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GAWEAN 2025\laporan normalisasi\Laporan RAB normalisasi 2025\master\"/>
    </mc:Choice>
  </mc:AlternateContent>
  <xr:revisionPtr revIDLastSave="0" documentId="8_{E33C305C-510E-412B-B044-FDD157E65061}" xr6:coauthVersionLast="47" xr6:coauthVersionMax="47" xr10:uidLastSave="{00000000-0000-0000-0000-000000000000}"/>
  <bookViews>
    <workbookView xWindow="-120" yWindow="-120" windowWidth="29040" windowHeight="15720" firstSheet="4" activeTab="9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Sheet1" sheetId="34" r:id="rId14"/>
    <sheet name="Backup Galian" sheetId="7" state="hidden" r:id="rId15"/>
    <sheet name="ELEVASI" sheetId="1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'!$B$1:$M$72</definedName>
    <definedName name="_xlnm.Print_Area" localSheetId="3">'ANALISA perencanaan'!$B$1:$M$72</definedName>
    <definedName name="_xlnm.Print_Area" localSheetId="14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rencana'!$B$1:$O$34</definedName>
    <definedName name="_xlnm.Print_Area" localSheetId="1">'Bahan Upah'!$B$3:$M$220</definedName>
    <definedName name="_xlnm.Print_Area" localSheetId="15">ELEVASI!$B$1:$I$55</definedName>
    <definedName name="_xlnm.Print_Area" localSheetId="8">'Kebutuhan  realisasi'!$A$1:$K$26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26" l="1"/>
  <c r="H56" i="26"/>
  <c r="H40" i="26"/>
  <c r="H24" i="26"/>
  <c r="H14" i="26"/>
  <c r="H16" i="26" s="1"/>
  <c r="H16" i="22"/>
  <c r="D11" i="25"/>
  <c r="D12" i="25" s="1"/>
  <c r="D13" i="25" s="1"/>
  <c r="D14" i="25" s="1"/>
  <c r="D15" i="25" s="1"/>
  <c r="D16" i="25" s="1"/>
  <c r="D17" i="25" s="1"/>
  <c r="D18" i="25" s="1"/>
  <c r="D19" i="25" s="1"/>
  <c r="D20" i="25" s="1"/>
  <c r="D21" i="25" s="1"/>
  <c r="D22" i="25" s="1"/>
  <c r="D23" i="25" s="1"/>
  <c r="D24" i="25" s="1"/>
  <c r="D25" i="25" s="1"/>
  <c r="J26" i="25"/>
  <c r="H13" i="22"/>
  <c r="H13" i="26" s="1"/>
  <c r="M14" i="25"/>
  <c r="M21" i="25"/>
  <c r="M15" i="25"/>
  <c r="M16" i="25"/>
  <c r="M17" i="25"/>
  <c r="M18" i="25"/>
  <c r="M20" i="25"/>
  <c r="M22" i="25"/>
  <c r="M23" i="25"/>
  <c r="M24" i="25"/>
  <c r="M25" i="25"/>
  <c r="E26" i="25" l="1"/>
  <c r="E38" i="30"/>
  <c r="E7" i="29"/>
  <c r="E5" i="31" s="1"/>
  <c r="E29" i="33" l="1"/>
  <c r="E28" i="33"/>
  <c r="L23" i="33"/>
  <c r="J25" i="22"/>
  <c r="F20" i="22" l="1"/>
  <c r="J14" i="29"/>
  <c r="L28" i="33"/>
  <c r="L14" i="33"/>
  <c r="E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38" i="26" s="1"/>
  <c r="H54" i="26" s="1"/>
  <c r="H70" i="26" s="1"/>
  <c r="H17" i="26"/>
  <c r="H25" i="26" s="1"/>
  <c r="H15" i="26"/>
  <c r="H71" i="26" s="1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28" i="25"/>
  <c r="M29" i="25" s="1"/>
  <c r="B4" i="25"/>
  <c r="B3" i="25"/>
  <c r="B2" i="25"/>
  <c r="E6" i="4"/>
  <c r="E7" i="19" s="1"/>
  <c r="E4" i="4"/>
  <c r="E6" i="19" s="1"/>
  <c r="E3" i="4"/>
  <c r="E4" i="19" s="1"/>
  <c r="I16" i="22"/>
  <c r="H41" i="26" l="1"/>
  <c r="H57" i="26" s="1"/>
  <c r="H73" i="26" s="1"/>
  <c r="H69" i="26" s="1"/>
  <c r="H21" i="26"/>
  <c r="E7" i="33"/>
  <c r="E6" i="33"/>
  <c r="E7" i="31"/>
  <c r="E6" i="31"/>
  <c r="K33" i="13"/>
  <c r="J13" i="29"/>
  <c r="K25" i="30"/>
  <c r="K26" i="30" s="1"/>
  <c r="K33" i="30"/>
  <c r="N10" i="26"/>
  <c r="E52" i="26" s="1"/>
  <c r="H39" i="26"/>
  <c r="H37" i="26" s="1"/>
  <c r="H55" i="26"/>
  <c r="H53" i="26" s="1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H9" i="25" l="1"/>
  <c r="I9" i="25" s="1"/>
  <c r="H10" i="25"/>
  <c r="F9" i="25"/>
  <c r="G9" i="25" s="1"/>
  <c r="F10" i="25"/>
  <c r="E20" i="26"/>
  <c r="E12" i="26"/>
  <c r="E5" i="33"/>
  <c r="I12" i="31"/>
  <c r="I13" i="31"/>
  <c r="L13" i="31" s="1"/>
  <c r="E68" i="26"/>
  <c r="E36" i="26"/>
  <c r="N23" i="26"/>
  <c r="F28" i="26" s="1"/>
  <c r="K34" i="30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F11" i="25" l="1"/>
  <c r="G10" i="25"/>
  <c r="H11" i="25"/>
  <c r="I10" i="25"/>
  <c r="K10" i="25" s="1"/>
  <c r="N39" i="26"/>
  <c r="J49" i="26" s="1"/>
  <c r="J33" i="26"/>
  <c r="AB102" i="30"/>
  <c r="L13" i="33"/>
  <c r="M13" i="33" s="1"/>
  <c r="N55" i="26"/>
  <c r="K14" i="33"/>
  <c r="N14" i="33" s="1"/>
  <c r="L12" i="3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H12" i="25" l="1"/>
  <c r="I11" i="25"/>
  <c r="K11" i="25" s="1"/>
  <c r="G11" i="25"/>
  <c r="F12" i="25"/>
  <c r="F44" i="26"/>
  <c r="F60" i="26"/>
  <c r="J65" i="26"/>
  <c r="N71" i="26"/>
  <c r="AB180" i="30"/>
  <c r="AB181" i="30" s="1"/>
  <c r="AB182" i="30" s="1"/>
  <c r="AB183" i="30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F13" i="25" l="1"/>
  <c r="G12" i="25"/>
  <c r="H13" i="25"/>
  <c r="I12" i="25"/>
  <c r="K12" i="25" s="1"/>
  <c r="F76" i="26"/>
  <c r="J81" i="26"/>
  <c r="Z93" i="13"/>
  <c r="Z122" i="13" s="1"/>
  <c r="AB122" i="13" s="1"/>
  <c r="AB124" i="13" s="1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H14" i="25" l="1"/>
  <c r="I13" i="25"/>
  <c r="K13" i="25" s="1"/>
  <c r="G13" i="25"/>
  <c r="F14" i="25"/>
  <c r="AB93" i="13"/>
  <c r="AB95" i="13" s="1"/>
  <c r="Z174" i="13"/>
  <c r="AB174" i="13" s="1"/>
  <c r="AB176" i="13" s="1"/>
  <c r="D124" i="7"/>
  <c r="F124" i="7" s="1"/>
  <c r="C127" i="7"/>
  <c r="A8" i="7"/>
  <c r="A7" i="7"/>
  <c r="L12" i="7"/>
  <c r="G14" i="25" l="1"/>
  <c r="F15" i="25"/>
  <c r="H15" i="25"/>
  <c r="I14" i="25"/>
  <c r="K14" i="25" s="1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F16" i="25" l="1"/>
  <c r="G15" i="25"/>
  <c r="H16" i="25"/>
  <c r="I15" i="25"/>
  <c r="K15" i="25" s="1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I16" i="25" l="1"/>
  <c r="K16" i="25" s="1"/>
  <c r="H17" i="25"/>
  <c r="G16" i="25"/>
  <c r="F17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H18" i="25" l="1"/>
  <c r="I17" i="25"/>
  <c r="K17" i="25" s="1"/>
  <c r="G17" i="25"/>
  <c r="F18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G18" i="25" l="1"/>
  <c r="F19" i="25"/>
  <c r="H19" i="25"/>
  <c r="I18" i="25"/>
  <c r="K18" i="25" s="1"/>
  <c r="O26" i="11"/>
  <c r="P23" i="11"/>
  <c r="T23" i="11" s="1"/>
  <c r="D134" i="7"/>
  <c r="F134" i="7" s="1"/>
  <c r="C137" i="7"/>
  <c r="C28" i="11"/>
  <c r="D25" i="11"/>
  <c r="J25" i="11" s="1"/>
  <c r="O22" i="7"/>
  <c r="Q22" i="7" s="1"/>
  <c r="N25" i="7"/>
  <c r="I19" i="25" l="1"/>
  <c r="K19" i="25" s="1"/>
  <c r="H20" i="25"/>
  <c r="G19" i="25"/>
  <c r="F20" i="25"/>
  <c r="P25" i="11"/>
  <c r="T25" i="11" s="1"/>
  <c r="O28" i="11"/>
  <c r="C139" i="7"/>
  <c r="D136" i="7"/>
  <c r="F136" i="7" s="1"/>
  <c r="D27" i="11"/>
  <c r="J27" i="11" s="1"/>
  <c r="C30" i="11"/>
  <c r="O24" i="7"/>
  <c r="Q24" i="7" s="1"/>
  <c r="N27" i="7"/>
  <c r="F21" i="25" l="1"/>
  <c r="G20" i="25"/>
  <c r="I20" i="25"/>
  <c r="K20" i="25" s="1"/>
  <c r="H21" i="25"/>
  <c r="O30" i="11"/>
  <c r="P27" i="11"/>
  <c r="T27" i="11" s="1"/>
  <c r="D138" i="7"/>
  <c r="F138" i="7" s="1"/>
  <c r="C141" i="7"/>
  <c r="C32" i="11"/>
  <c r="D29" i="11"/>
  <c r="J29" i="11" s="1"/>
  <c r="O26" i="7"/>
  <c r="Q26" i="7" s="1"/>
  <c r="N29" i="7"/>
  <c r="I21" i="25" l="1"/>
  <c r="K21" i="25" s="1"/>
  <c r="H22" i="25"/>
  <c r="G21" i="25"/>
  <c r="F22" i="25"/>
  <c r="P29" i="11"/>
  <c r="T29" i="11" s="1"/>
  <c r="O32" i="11"/>
  <c r="D140" i="7"/>
  <c r="F140" i="7" s="1"/>
  <c r="C143" i="7"/>
  <c r="C34" i="11"/>
  <c r="D31" i="11"/>
  <c r="J31" i="11" s="1"/>
  <c r="O28" i="7"/>
  <c r="Q28" i="7" s="1"/>
  <c r="N31" i="7"/>
  <c r="F23" i="25" l="1"/>
  <c r="G22" i="25"/>
  <c r="H23" i="25"/>
  <c r="I22" i="25"/>
  <c r="K22" i="25" s="1"/>
  <c r="P31" i="11"/>
  <c r="T31" i="11" s="1"/>
  <c r="O34" i="11"/>
  <c r="C145" i="7"/>
  <c r="D142" i="7"/>
  <c r="F142" i="7" s="1"/>
  <c r="C36" i="11"/>
  <c r="D33" i="11"/>
  <c r="J33" i="11" s="1"/>
  <c r="O30" i="7"/>
  <c r="Q30" i="7" s="1"/>
  <c r="N33" i="7"/>
  <c r="I23" i="25" l="1"/>
  <c r="K23" i="25" s="1"/>
  <c r="H24" i="25"/>
  <c r="G23" i="25"/>
  <c r="F24" i="25"/>
  <c r="O36" i="11"/>
  <c r="P33" i="11"/>
  <c r="T33" i="11" s="1"/>
  <c r="D144" i="7"/>
  <c r="F144" i="7" s="1"/>
  <c r="C147" i="7"/>
  <c r="D35" i="11"/>
  <c r="J35" i="11" s="1"/>
  <c r="C38" i="11"/>
  <c r="O32" i="7"/>
  <c r="Q32" i="7" s="1"/>
  <c r="N35" i="7"/>
  <c r="F25" i="25" l="1"/>
  <c r="G25" i="25" s="1"/>
  <c r="G24" i="25"/>
  <c r="H25" i="25"/>
  <c r="I25" i="25" s="1"/>
  <c r="I24" i="25"/>
  <c r="K24" i="25" s="1"/>
  <c r="P35" i="11"/>
  <c r="T35" i="11" s="1"/>
  <c r="O38" i="11"/>
  <c r="D146" i="7"/>
  <c r="F146" i="7" s="1"/>
  <c r="C149" i="7"/>
  <c r="C40" i="11"/>
  <c r="D37" i="11"/>
  <c r="J37" i="11" s="1"/>
  <c r="O34" i="7"/>
  <c r="Q34" i="7" s="1"/>
  <c r="N37" i="7"/>
  <c r="K25" i="25" l="1"/>
  <c r="O40" i="11"/>
  <c r="P37" i="11"/>
  <c r="T37" i="11" s="1"/>
  <c r="C151" i="7"/>
  <c r="D148" i="7"/>
  <c r="F148" i="7" s="1"/>
  <c r="C42" i="11"/>
  <c r="D39" i="11"/>
  <c r="J39" i="11" s="1"/>
  <c r="O36" i="7"/>
  <c r="Q36" i="7" s="1"/>
  <c r="N39" i="7"/>
  <c r="P39" i="11" l="1"/>
  <c r="T39" i="11" s="1"/>
  <c r="O42" i="11"/>
  <c r="C153" i="7"/>
  <c r="D150" i="7"/>
  <c r="F150" i="7" s="1"/>
  <c r="C44" i="11"/>
  <c r="D41" i="11"/>
  <c r="J41" i="11" s="1"/>
  <c r="O38" i="7"/>
  <c r="Q38" i="7" s="1"/>
  <c r="N41" i="7"/>
  <c r="O44" i="11" l="1"/>
  <c r="P41" i="11"/>
  <c r="T41" i="11" s="1"/>
  <c r="D152" i="7"/>
  <c r="F152" i="7" s="1"/>
  <c r="C155" i="7"/>
  <c r="D43" i="11"/>
  <c r="J43" i="11" s="1"/>
  <c r="C46" i="11"/>
  <c r="O40" i="7"/>
  <c r="Q40" i="7" s="1"/>
  <c r="N43" i="7"/>
  <c r="O46" i="11" l="1"/>
  <c r="P43" i="11"/>
  <c r="T43" i="11" s="1"/>
  <c r="D154" i="7"/>
  <c r="F154" i="7" s="1"/>
  <c r="C157" i="7"/>
  <c r="C48" i="11"/>
  <c r="D45" i="11"/>
  <c r="J45" i="11" s="1"/>
  <c r="O42" i="7"/>
  <c r="Q42" i="7" s="1"/>
  <c r="N45" i="7"/>
  <c r="O48" i="11" l="1"/>
  <c r="P45" i="11"/>
  <c r="T45" i="11" s="1"/>
  <c r="D156" i="7"/>
  <c r="F156" i="7" s="1"/>
  <c r="C159" i="7"/>
  <c r="C50" i="11"/>
  <c r="D47" i="11"/>
  <c r="J47" i="11" s="1"/>
  <c r="O44" i="7"/>
  <c r="Q44" i="7" s="1"/>
  <c r="N47" i="7"/>
  <c r="O50" i="11" l="1"/>
  <c r="P47" i="11"/>
  <c r="T47" i="11" s="1"/>
  <c r="C161" i="7"/>
  <c r="D158" i="7"/>
  <c r="F158" i="7" s="1"/>
  <c r="C52" i="11"/>
  <c r="D49" i="11"/>
  <c r="J49" i="11" s="1"/>
  <c r="O46" i="7"/>
  <c r="Q46" i="7" s="1"/>
  <c r="N49" i="7"/>
  <c r="O52" i="11" l="1"/>
  <c r="P49" i="11"/>
  <c r="T49" i="11" s="1"/>
  <c r="D160" i="7"/>
  <c r="F160" i="7" s="1"/>
  <c r="C163" i="7"/>
  <c r="D51" i="11"/>
  <c r="J51" i="11" s="1"/>
  <c r="C54" i="11"/>
  <c r="O48" i="7"/>
  <c r="Q48" i="7" s="1"/>
  <c r="N51" i="7"/>
  <c r="P51" i="11" l="1"/>
  <c r="T51" i="11" s="1"/>
  <c r="O54" i="11"/>
  <c r="D162" i="7"/>
  <c r="F162" i="7" s="1"/>
  <c r="C165" i="7"/>
  <c r="C56" i="11"/>
  <c r="D53" i="11"/>
  <c r="J53" i="11" s="1"/>
  <c r="O50" i="7"/>
  <c r="Q50" i="7" s="1"/>
  <c r="N53" i="7"/>
  <c r="O56" i="11" l="1"/>
  <c r="P53" i="11"/>
  <c r="T53" i="11" s="1"/>
  <c r="C167" i="7"/>
  <c r="D164" i="7"/>
  <c r="F164" i="7" s="1"/>
  <c r="C58" i="11"/>
  <c r="D55" i="11"/>
  <c r="J55" i="11" s="1"/>
  <c r="O52" i="7"/>
  <c r="Q52" i="7" s="1"/>
  <c r="N55" i="7"/>
  <c r="O58" i="11" l="1"/>
  <c r="P55" i="11"/>
  <c r="T55" i="11" s="1"/>
  <c r="D166" i="7"/>
  <c r="F166" i="7" s="1"/>
  <c r="C169" i="7"/>
  <c r="C60" i="11"/>
  <c r="D57" i="11"/>
  <c r="J57" i="11" s="1"/>
  <c r="O54" i="7"/>
  <c r="Q54" i="7" s="1"/>
  <c r="N57" i="7"/>
  <c r="P57" i="11" l="1"/>
  <c r="T57" i="11" s="1"/>
  <c r="O60" i="11"/>
  <c r="C171" i="7"/>
  <c r="D168" i="7"/>
  <c r="F168" i="7" s="1"/>
  <c r="D59" i="11"/>
  <c r="J59" i="11" s="1"/>
  <c r="C62" i="11"/>
  <c r="O56" i="7"/>
  <c r="Q56" i="7" s="1"/>
  <c r="N59" i="7"/>
  <c r="P59" i="11" l="1"/>
  <c r="T59" i="11" s="1"/>
  <c r="O62" i="11"/>
  <c r="D170" i="7"/>
  <c r="F170" i="7" s="1"/>
  <c r="C173" i="7"/>
  <c r="C64" i="11"/>
  <c r="D61" i="11"/>
  <c r="J61" i="11" s="1"/>
  <c r="O58" i="7"/>
  <c r="Q58" i="7" s="1"/>
  <c r="N61" i="7"/>
  <c r="O64" i="11" l="1"/>
  <c r="P61" i="11"/>
  <c r="T61" i="11" s="1"/>
  <c r="D172" i="7"/>
  <c r="F172" i="7" s="1"/>
  <c r="C175" i="7"/>
  <c r="C66" i="11"/>
  <c r="D63" i="11"/>
  <c r="J63" i="11" s="1"/>
  <c r="O60" i="7"/>
  <c r="Q60" i="7" s="1"/>
  <c r="N63" i="7"/>
  <c r="O66" i="11" l="1"/>
  <c r="P63" i="11"/>
  <c r="T63" i="11" s="1"/>
  <c r="C177" i="7"/>
  <c r="D174" i="7"/>
  <c r="F174" i="7" s="1"/>
  <c r="C68" i="11"/>
  <c r="D65" i="11"/>
  <c r="J65" i="11" s="1"/>
  <c r="O62" i="7"/>
  <c r="Q62" i="7" s="1"/>
  <c r="N65" i="7"/>
  <c r="O68" i="11" l="1"/>
  <c r="P65" i="11"/>
  <c r="T65" i="11" s="1"/>
  <c r="C179" i="7"/>
  <c r="D176" i="7"/>
  <c r="F176" i="7" s="1"/>
  <c r="D67" i="11"/>
  <c r="J67" i="11" s="1"/>
  <c r="C70" i="11"/>
  <c r="O64" i="7"/>
  <c r="Q64" i="7" s="1"/>
  <c r="N67" i="7"/>
  <c r="P67" i="11" l="1"/>
  <c r="T67" i="11" s="1"/>
  <c r="O70" i="11"/>
  <c r="D178" i="7"/>
  <c r="F178" i="7" s="1"/>
  <c r="C181" i="7"/>
  <c r="C72" i="11"/>
  <c r="D69" i="11"/>
  <c r="J69" i="11" s="1"/>
  <c r="O66" i="7"/>
  <c r="Q66" i="7" s="1"/>
  <c r="N69" i="7"/>
  <c r="O72" i="11" l="1"/>
  <c r="P69" i="11"/>
  <c r="T69" i="11" s="1"/>
  <c r="D180" i="7"/>
  <c r="F180" i="7" s="1"/>
  <c r="C183" i="7"/>
  <c r="C74" i="11"/>
  <c r="D71" i="11"/>
  <c r="J71" i="11" s="1"/>
  <c r="O68" i="7"/>
  <c r="Q68" i="7" s="1"/>
  <c r="N71" i="7"/>
  <c r="O74" i="11" l="1"/>
  <c r="P71" i="11"/>
  <c r="T71" i="11" s="1"/>
  <c r="D182" i="7"/>
  <c r="F182" i="7" s="1"/>
  <c r="C185" i="7"/>
  <c r="C76" i="11"/>
  <c r="D73" i="11"/>
  <c r="J73" i="11" s="1"/>
  <c r="O70" i="7"/>
  <c r="Q70" i="7" s="1"/>
  <c r="N73" i="7"/>
  <c r="P73" i="11" l="1"/>
  <c r="T73" i="11" s="1"/>
  <c r="O76" i="11"/>
  <c r="C187" i="7"/>
  <c r="D184" i="7"/>
  <c r="F184" i="7" s="1"/>
  <c r="D75" i="11"/>
  <c r="J75" i="11" s="1"/>
  <c r="C78" i="11"/>
  <c r="O72" i="7"/>
  <c r="Q72" i="7" s="1"/>
  <c r="N75" i="7"/>
  <c r="O78" i="11" l="1"/>
  <c r="P75" i="11"/>
  <c r="T75" i="11" s="1"/>
  <c r="D186" i="7"/>
  <c r="F186" i="7" s="1"/>
  <c r="C189" i="7"/>
  <c r="C80" i="11"/>
  <c r="D77" i="11"/>
  <c r="J77" i="11" s="1"/>
  <c r="O74" i="7"/>
  <c r="Q74" i="7" s="1"/>
  <c r="N77" i="7"/>
  <c r="O80" i="11" l="1"/>
  <c r="P77" i="11"/>
  <c r="T77" i="11" s="1"/>
  <c r="D188" i="7"/>
  <c r="F188" i="7" s="1"/>
  <c r="C191" i="7"/>
  <c r="C82" i="11"/>
  <c r="D79" i="11"/>
  <c r="J79" i="11" s="1"/>
  <c r="O76" i="7"/>
  <c r="Q76" i="7" s="1"/>
  <c r="N79" i="7"/>
  <c r="P79" i="11" l="1"/>
  <c r="T79" i="11" s="1"/>
  <c r="O82" i="11"/>
  <c r="C193" i="7"/>
  <c r="D190" i="7"/>
  <c r="F190" i="7" s="1"/>
  <c r="C84" i="11"/>
  <c r="D81" i="11"/>
  <c r="J81" i="11" s="1"/>
  <c r="O78" i="7"/>
  <c r="Q78" i="7" s="1"/>
  <c r="N81" i="7"/>
  <c r="G26" i="25" l="1"/>
  <c r="J27" i="25"/>
  <c r="P81" i="11"/>
  <c r="T81" i="11" s="1"/>
  <c r="O84" i="11"/>
  <c r="D192" i="7"/>
  <c r="F192" i="7" s="1"/>
  <c r="C195" i="7"/>
  <c r="D83" i="11"/>
  <c r="J83" i="11" s="1"/>
  <c r="C86" i="11"/>
  <c r="O80" i="7"/>
  <c r="Q80" i="7" s="1"/>
  <c r="N83" i="7"/>
  <c r="I26" i="25" l="1"/>
  <c r="O86" i="11"/>
  <c r="P83" i="11"/>
  <c r="T83" i="11" s="1"/>
  <c r="D194" i="7"/>
  <c r="F194" i="7" s="1"/>
  <c r="C197" i="7"/>
  <c r="C88" i="11"/>
  <c r="D85" i="11"/>
  <c r="J85" i="11" s="1"/>
  <c r="O82" i="7"/>
  <c r="Q82" i="7" s="1"/>
  <c r="N85" i="7"/>
  <c r="O88" i="11" l="1"/>
  <c r="P85" i="11"/>
  <c r="T85" i="11" s="1"/>
  <c r="C199" i="7"/>
  <c r="D196" i="7"/>
  <c r="F196" i="7" s="1"/>
  <c r="C90" i="11"/>
  <c r="D87" i="11"/>
  <c r="J87" i="11" s="1"/>
  <c r="O84" i="7"/>
  <c r="Q84" i="7" s="1"/>
  <c r="N87" i="7"/>
  <c r="O90" i="11" l="1"/>
  <c r="P87" i="11"/>
  <c r="T87" i="11" s="1"/>
  <c r="C201" i="7"/>
  <c r="D198" i="7"/>
  <c r="F198" i="7" s="1"/>
  <c r="C92" i="11"/>
  <c r="D89" i="11"/>
  <c r="J89" i="11" s="1"/>
  <c r="O86" i="7"/>
  <c r="Q86" i="7" s="1"/>
  <c r="N89" i="7"/>
  <c r="O92" i="11" l="1"/>
  <c r="P89" i="11"/>
  <c r="T89" i="11" s="1"/>
  <c r="D200" i="7"/>
  <c r="F200" i="7" s="1"/>
  <c r="C203" i="7"/>
  <c r="D91" i="11"/>
  <c r="J91" i="11" s="1"/>
  <c r="C94" i="11"/>
  <c r="O88" i="7"/>
  <c r="Q88" i="7" s="1"/>
  <c r="N91" i="7"/>
  <c r="P91" i="11" l="1"/>
  <c r="T91" i="11" s="1"/>
  <c r="O94" i="11"/>
  <c r="D202" i="7"/>
  <c r="F202" i="7" s="1"/>
  <c r="C205" i="7"/>
  <c r="C96" i="11"/>
  <c r="D93" i="11"/>
  <c r="J93" i="11" s="1"/>
  <c r="O90" i="7"/>
  <c r="Q90" i="7" s="1"/>
  <c r="N93" i="7"/>
  <c r="O96" i="11" l="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P99" i="11" l="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F14" i="7" l="1"/>
  <c r="C17" i="7"/>
  <c r="O37" i="22" l="1"/>
  <c r="R32" i="22" s="1"/>
  <c r="O37" i="13"/>
  <c r="Q17" i="26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24" i="22" l="1"/>
  <c r="J31" i="22" s="1"/>
  <c r="O15" i="22" l="1"/>
  <c r="O32" i="22" s="1"/>
  <c r="K13" i="19" s="1"/>
  <c r="E5" i="4"/>
  <c r="L24" i="26"/>
  <c r="J32" i="26"/>
  <c r="O23" i="26" s="1"/>
  <c r="O39" i="13" l="1"/>
  <c r="L40" i="26"/>
  <c r="J48" i="26"/>
  <c r="O39" i="26" s="1"/>
  <c r="G18" i="4"/>
  <c r="G13" i="4"/>
  <c r="U93" i="13"/>
  <c r="N13" i="19"/>
  <c r="U93" i="30"/>
  <c r="J14" i="4" l="1"/>
  <c r="L14" i="4" s="1"/>
  <c r="I13" i="14" s="1"/>
  <c r="L13" i="14" s="1"/>
  <c r="G14" i="4"/>
  <c r="J13" i="4"/>
  <c r="L13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7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<sst xmlns="http://schemas.openxmlformats.org/spreadsheetml/2006/main" count="2184" uniqueCount="742">
  <si>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</si>
  <si>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</si>
  <si>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</si>
  <si>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</si>
  <si>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</si>
  <si>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</si>
  <si>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</si>
  <si>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</si>
  <si>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</si>
  <si>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</si>
  <si>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</si>
  <si>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</si>
  <si>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</si>
  <si>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</si>
  <si>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</si>
  <si>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</si>
  <si>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</si>
  <si>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</si>
  <si>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</si>
  <si>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</si>
  <si>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</si>
  <si>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</si>
  <si>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</si>
  <si>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</si>
  <si>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</si>
  <si>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</si>
  <si>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</si>
  <si>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</si>
  <si>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</si>
  <si>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</si>
  <si>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</si>
  <si>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</si>
  <si>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</si>
  <si>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</si>
  <si>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</si>
  <si>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</si>
  <si>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</si>
  <si>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</si>
  <si>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</si>
  <si>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</si>
  <si>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</si>
  <si>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</si>
  <si>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</si>
  <si>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</si>
  <si>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</si>
  <si>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</si>
  <si>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</si>
  <si>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</si>
  <si>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</si>
  <si>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</si>
  <si>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</si>
  <si>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</si>
  <si>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</si>
  <si>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</si>
  <si>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</si>
  <si>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</si>
  <si>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</si>
  <si>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</si>
  <si>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</si>
  <si>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</si>
  <si>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</si>
  <si>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</si>
  <si>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</si>
  <si>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</si>
  <si>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</si>
  <si>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</si>
  <si>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</si>
  <si>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</si>
  <si>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</si>
  <si>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</si>
  <si>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</si>
  <si>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</si>
  <si>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</si>
  <si>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</si>
  <si>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</si>
  <si>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</si>
  <si>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</si>
  <si>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</si>
  <si>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</si>
  <si>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</si>
  <si>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</si>
  <si>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</si>
  <si>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</si>
  <si>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</si>
  <si>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</si>
  <si>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</si>
  <si>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</si>
  <si>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</si>
  <si>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</si>
  <si>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</si>
  <si>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</si>
  <si>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</si>
  <si>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</si>
  <si>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</si>
  <si>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</si>
  <si>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</si>
  <si>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</si>
  <si>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</si>
  <si>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</si>
  <si>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</si>
  <si>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</si>
  <si>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</si>
  <si>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</si>
  <si>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</si>
  <si>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</si>
  <si>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</si>
  <si>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</si>
  <si>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</si>
  <si>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</si>
  <si>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</si>
  <si>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</si>
  <si>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</si>
  <si>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</si>
  <si>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</si>
  <si>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</si>
  <si>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</si>
  <si>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</si>
  <si>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</si>
  <si>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</si>
  <si>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</si>
  <si>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</si>
  <si>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</si>
  <si>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</si>
  <si>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</si>
  <si>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</si>
  <si>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</si>
  <si>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</si>
  <si>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</si>
  <si>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</si>
  <si>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</si>
  <si>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</si>
  <si>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</si>
  <si>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</si>
  <si>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</si>
  <si>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</si>
  <si>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</si>
  <si>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</si>
  <si>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</si>
  <si>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</si>
  <si>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</si>
  <si>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</si>
  <si>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</si>
  <si>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</si>
  <si>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</si>
  <si>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</si>
  <si>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</si>
  <si>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</si>
  <si>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</si>
  <si>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</si>
  <si>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</si>
  <si>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</si>
  <si>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</si>
  <si>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</si>
  <si>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</si>
  <si>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</si>
  <si>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</si>
  <si>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</si>
  <si>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</si>
  <si>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</si>
  <si>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</si>
  <si>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</si>
  <si>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</si>
  <si>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</si>
  <si>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</si>
  <si>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</si>
  <si>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</si>
  <si>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</si>
  <si>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</si>
  <si>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</si>
  <si>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</si>
  <si>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</si>
  <si>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</si>
  <si>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</si>
  <si>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</si>
  <si>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</si>
  <si>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</si>
  <si>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</si>
  <si>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</si>
  <si>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</si>
  <si>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</si>
  <si>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</si>
  <si>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</si>
  <si>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</si>
  <si>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</si>
  <si>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</si>
  <si>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</si>
  <si>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</si>
  <si>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</si>
  <si>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</si>
  <si>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</si>
  <si>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</si>
  <si>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</si>
  <si>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</si>
  <si>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</si>
  <si>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</si>
  <si>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</si>
  <si>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</si>
  <si>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</si>
  <si>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</si>
  <si>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</si>
  <si>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</si>
  <si>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</si>
  <si>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</si>
  <si>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</si>
  <si>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</si>
  <si>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</si>
  <si>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</si>
  <si>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</si>
  <si>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</si>
  <si>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</si>
  <si>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</si>
  <si>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</si>
  <si>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</si>
  <si>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</si>
  <si>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</si>
  <si>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</si>
  <si>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</si>
  <si>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</si>
  <si>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</si>
  <si>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</si>
  <si>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</si>
  <si>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</si>
  <si>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</si>
  <si>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</si>
  <si>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</si>
  <si>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</si>
  <si>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</si>
  <si>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</si>
  <si>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</si>
  <si>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</si>
  <si>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</si>
  <si>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</si>
  <si>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</si>
  <si>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</si>
  <si>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</si>
  <si>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</si>
  <si>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</si>
  <si>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</si>
  <si>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</si>
  <si>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</si>
  <si>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</si>
  <si>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</si>
  <si>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</si>
  <si>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</si>
  <si>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</si>
  <si>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</si>
  <si>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</si>
  <si>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</si>
  <si>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</si>
  <si>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</si>
  <si>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</si>
  <si>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</si>
  <si>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</si>
  <si>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</si>
  <si>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</si>
  <si>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</si>
  <si>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</si>
  <si>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</si>
  <si>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</si>
  <si>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</si>
  <si>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</si>
  <si>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</si>
  <si>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</si>
  <si>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</si>
  <si>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</si>
  <si>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</si>
  <si>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</si>
  <si>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</si>
  <si>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</si>
  <si>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</si>
  <si>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</si>
  <si>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</si>
  <si>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</si>
  <si>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</si>
  <si>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</si>
  <si>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</si>
  <si>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</si>
  <si>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</si>
  <si>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</si>
  <si>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</si>
  <si>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</si>
  <si>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</si>
  <si>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</si>
  <si>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</si>
  <si>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</si>
  <si>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</si>
  <si>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</si>
  <si>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</si>
  <si>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</si>
  <si>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</si>
  <si>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</si>
  <si>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</si>
  <si>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</si>
  <si>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</si>
  <si>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</si>
  <si>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</si>
  <si>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</si>
  <si>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</si>
  <si>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</si>
  <si>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</si>
  <si>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</si>
  <si>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</si>
  <si>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</si>
  <si>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</si>
  <si>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</si>
  <si>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</si>
  <si>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</si>
  <si>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</si>
  <si>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</si>
  <si>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</si>
  <si>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</si>
  <si>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</si>
  <si>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</si>
  <si>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</si>
  <si>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</si>
  <si>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</si>
  <si>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</si>
  <si>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</si>
  <si>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</si>
  <si>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</si>
  <si>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</si>
  <si>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</si>
  <si>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</si>
  <si>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</si>
  <si>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</si>
  <si>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</si>
  <si>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</si>
  <si>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</si>
  <si>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</si>
  <si>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</si>
  <si>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</si>
  <si>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</si>
  <si>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</si>
  <si>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</si>
  <si>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</si>
  <si>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</si>
  <si>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</si>
  <si>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</si>
  <si>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</si>
  <si>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</si>
  <si>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</si>
  <si>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</si>
  <si>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</si>
  <si>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</si>
  <si>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</si>
  <si>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</si>
  <si>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</si>
  <si>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</si>
  <si>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</si>
  <si>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</si>
  <si>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</si>
  <si>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</si>
  <si>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</si>
  <si>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</si>
  <si>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</si>
  <si>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</si>
  <si>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</si>
  <si>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</si>
  <si>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</si>
  <si>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</si>
  <si>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</si>
  <si>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</si>
  <si>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</si>
  <si>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</si>
  <si>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</si>
  <si>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</si>
  <si>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</si>
  <si>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</si>
  <si>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</si>
  <si>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</si>
  <si>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</si>
  <si>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</si>
  <si>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</si>
  <si>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</si>
  <si>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</si>
  <si>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</si>
  <si>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</si>
  <si>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</si>
  <si>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</si>
  <si>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</si>
  <si>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</si>
  <si>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</si>
  <si>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</si>
  <si>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</si>
  <si>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</si>
  <si>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</si>
  <si>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</si>
  <si>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</si>
  <si>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</si>
  <si>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</si>
  <si>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</si>
  <si>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</si>
  <si>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</si>
  <si>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</si>
  <si>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</si>
  <si>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</si>
  <si>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</si>
  <si>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</si>
  <si>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</si>
  <si>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</si>
  <si>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</si>
  <si>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</si>
  <si>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</si>
  <si>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</si>
  <si>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</si>
  <si>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</si>
  <si>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</si>
  <si>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</si>
  <si>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</si>
  <si>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</si>
  <si>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</si>
  <si>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</si>
  <si>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</si>
  <si>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</si>
  <si>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</si>
  <si>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</si>
  <si>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</si>
  <si>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</si>
  <si>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</si>
  <si>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</si>
  <si>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</si>
  <si>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</si>
  <si>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</si>
  <si>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</si>
  <si>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</si>
  <si>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</si>
  <si>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</si>
  <si>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</si>
  <si>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</si>
  <si>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</si>
  <si>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</si>
  <si>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</si>
  <si>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</si>
  <si>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</si>
  <si>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</si>
  <si>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</si>
  <si>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</si>
  <si>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</si>
  <si>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</si>
  <si>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</si>
  <si>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</si>
  <si>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</si>
  <si>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</si>
  <si>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</si>
  <si>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</si>
  <si>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</si>
  <si>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</si>
  <si>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</si>
  <si>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</si>
  <si>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</si>
  <si>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</si>
  <si>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</si>
  <si>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</si>
  <si>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</si>
  <si>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</si>
  <si>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</si>
  <si>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</si>
  <si>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</si>
  <si>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</si>
  <si>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</si>
  <si>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</si>
  <si>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</si>
  <si>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</si>
  <si>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</si>
  <si>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</si>
  <si>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</si>
  <si>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</si>
  <si>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</si>
  <si>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</si>
  <si>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</si>
  <si>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</si>
  <si>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</si>
  <si>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</si>
  <si>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</si>
  <si>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</si>
  <si>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</si>
  <si>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</si>
  <si>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</si>
  <si>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</si>
  <si>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</si>
  <si>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</si>
  <si>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</si>
  <si>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</si>
  <si>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</si>
  <si>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</si>
  <si>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</si>
  <si>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</si>
  <si>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</si>
  <si>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</si>
  <si>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</si>
  <si>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</si>
  <si>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</si>
  <si>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</si>
  <si>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</si>
  <si>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</si>
  <si>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</si>
  <si>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</si>
  <si>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</si>
  <si>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</si>
  <si>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</si>
  <si>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</si>
  <si>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</si>
  <si>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</si>
  <si>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</si>
  <si>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</si>
  <si>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</si>
  <si>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</si>
  <si>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</si>
  <si>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</si>
  <si>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</si>
  <si>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</si>
  <si>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</si>
  <si>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</si>
  <si>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</si>
  <si>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</si>
  <si>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</si>
  <si>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</si>
  <si>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</si>
  <si>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</si>
  <si>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</si>
  <si>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</si>
  <si>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</si>
  <si>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</si>
  <si>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</si>
  <si>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</si>
  <si>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</si>
  <si>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</si>
  <si>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</si>
  <si>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</si>
  <si>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</si>
  <si>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</si>
  <si>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</si>
  <si>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</si>
  <si>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</si>
  <si>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</si>
  <si>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</si>
  <si>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</si>
  <si>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</si>
  <si>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</si>
  <si>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</si>
  <si>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</si>
  <si>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</si>
  <si>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</si>
  <si>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</si>
  <si>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</si>
  <si>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</si>
  <si>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</si>
  <si>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</si>
  <si>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</si>
  <si>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</si>
  <si>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</si>
  <si>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</si>
  <si>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</si>
  <si>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</si>
  <si>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</si>
  <si>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</si>
  <si>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</si>
  <si>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</si>
  <si>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</si>
  <si>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</si>
  <si>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</si>
  <si>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</si>
  <si>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</si>
  <si>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</si>
  <si>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</si>
  <si>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</si>
  <si>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</si>
  <si>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</si>
  <si>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</si>
  <si>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</si>
  <si>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</si>
  <si>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</si>
  <si>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</si>
  <si>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</si>
  <si>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</si>
  <si>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</si>
  <si>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</si>
  <si>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</si>
  <si>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</si>
  <si>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</si>
  <si>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</si>
  <si>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</si>
  <si>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</si>
  <si>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</si>
  <si>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</si>
  <si>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</si>
  <si>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</si>
  <si>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</si>
  <si>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</si>
  <si>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</si>
  <si>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</si>
  <si>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</si>
  <si>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</si>
  <si>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</si>
  <si>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</si>
  <si>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</si>
  <si>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</si>
  <si>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</si>
  <si>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</si>
  <si>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</si>
  <si>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</si>
  <si>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</si>
  <si>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</si>
  <si>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</si>
  <si>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</si>
  <si>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</si>
  <si>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</si>
  <si>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</si>
  <si>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</si>
  <si>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</si>
  <si>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</si>
  <si>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</si>
  <si>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</si>
  <si>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</si>
  <si>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</si>
  <si>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</si>
  <si>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</si>
  <si>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</si>
  <si>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</si>
  <si>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</si>
  <si>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</si>
  <si>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</si>
  <si>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</si>
  <si>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</si>
  <si>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</si>
  <si>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</si>
  <si>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</si>
  <si>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</si>
  <si>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</si>
  <si>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</si>
  <si>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</si>
  <si>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</si>
  <si>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</si>
  <si>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</si>
  <si>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</si>
  <si>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</si>
  <si>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</si>
  <si>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</si>
  <si>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</si>
  <si>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</si>
  <si>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</si>
  <si>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</si>
  <si>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</si>
  <si>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</si>
  <si>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</si>
  <si>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</si>
  <si>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</si>
  <si>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</si>
  <si>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</si>
  <si>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</si>
  <si>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</si>
  <si>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</si>
  <si>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</si>
  <si>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</si>
  <si>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</si>
  <si>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</si>
  <si>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</si>
  <si>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</si>
  <si>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</si>
  <si>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</si>
  <si>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</si>
  <si>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</si>
  <si>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</si>
  <si>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</si>
  <si>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</si>
  <si>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</si>
  <si>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</si>
  <si>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</si>
  <si>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</si>
  <si>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</si>
  <si>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</si>
  <si>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</si>
  <si>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</si>
  <si>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</si>
  <si>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</si>
  <si>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</si>
  <si>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</si>
  <si>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</si>
  <si>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</si>
  <si>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</si>
  <si>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</si>
  <si>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</si>
  <si>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</si>
  <si>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</si>
  <si>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</si>
  <si>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</si>
  <si>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</si>
  <si>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</si>
  <si>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</si>
  <si>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</si>
  <si>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</si>
  <si>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</si>
  <si>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</si>
  <si>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</si>
  <si>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</si>
  <si>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</si>
  <si>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</si>
  <si>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</si>
  <si>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</si>
  <si>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</si>
  <si>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</si>
  <si>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</si>
  <si>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</si>
  <si>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</si>
  <si>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</si>
  <si>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</si>
  <si>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</si>
  <si>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</si>
  <si>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</si>
  <si>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</si>
  <si>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</si>
  <si>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</si>
  <si>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</si>
  <si>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</si>
  <si>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</si>
  <si>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</si>
  <si>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</si>
  <si>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</si>
  <si>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</si>
  <si>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</si>
  <si>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</si>
  <si>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</si>
  <si>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</si>
  <si>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</si>
  <si>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</si>
  <si>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</si>
  <si>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</si>
  <si>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</si>
  <si>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</si>
  <si>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</si>
  <si>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</si>
  <si>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</si>
  <si>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</si>
  <si>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Juli</t>
  </si>
  <si>
    <t>P[</t>
  </si>
  <si>
    <t>Agustus</t>
  </si>
  <si>
    <t>NORMALISASI AVFOER DESA KEMAMANG KEC. BALEN</t>
  </si>
  <si>
    <t>DESA KEMAMANG KEC. BALEN</t>
  </si>
  <si>
    <t>luasan</t>
  </si>
  <si>
    <t>b3</t>
  </si>
  <si>
    <t xml:space="preserve">lebar atas </t>
  </si>
  <si>
    <t>Lebar 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</si>
</sst>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3" fontId="29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1" fillId="0" borderId="0"/>
    <xf numFmtId="0" fontId="35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" fillId="0" borderId="0"/>
    <xf numFmtId="0" fontId="43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0">
    <xf numFmtId="0" fontId="0" fillId="0" borderId="0" xfId="0"/>
    <xf numFmtId="0" fontId="2" fillId="2" borderId="0" xfId="1" applyFill="1"/>
    <xf numFmtId="0" fontId="2" fillId="2" borderId="1" xfId="1" applyFill="1" applyBorder="1"/>
    <xf numFmtId="0" fontId="2" fillId="2" borderId="2" xfId="1" applyFill="1" applyBorder="1"/>
    <xf numFmtId="0" fontId="2" fillId="2" borderId="3" xfId="1" applyFill="1" applyBorder="1"/>
    <xf numFmtId="0" fontId="4" fillId="2" borderId="5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2" fillId="2" borderId="9" xfId="1" applyFill="1" applyBorder="1"/>
    <xf numFmtId="0" fontId="2" fillId="2" borderId="10" xfId="1" applyFill="1" applyBorder="1"/>
    <xf numFmtId="0" fontId="2" fillId="2" borderId="11" xfId="1" applyFill="1" applyBorder="1"/>
    <xf numFmtId="0" fontId="2" fillId="2" borderId="12" xfId="1" applyFill="1" applyBorder="1"/>
    <xf numFmtId="0" fontId="2" fillId="2" borderId="13" xfId="1" applyFill="1" applyBorder="1"/>
    <xf numFmtId="0" fontId="4" fillId="2" borderId="0" xfId="1" applyFont="1" applyFill="1" applyAlignment="1">
      <alignment horizontal="center"/>
    </xf>
    <xf numFmtId="2" fontId="2" fillId="2" borderId="0" xfId="1" applyNumberFormat="1" applyFill="1"/>
    <xf numFmtId="0" fontId="2" fillId="2" borderId="15" xfId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2" fillId="2" borderId="17" xfId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6" xfId="1" applyFill="1" applyBorder="1"/>
    <xf numFmtId="0" fontId="2" fillId="2" borderId="7" xfId="1" applyFill="1" applyBorder="1"/>
    <xf numFmtId="0" fontId="2" fillId="2" borderId="8" xfId="1" applyFill="1" applyBorder="1"/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/>
    <xf numFmtId="167" fontId="4" fillId="2" borderId="8" xfId="2" applyNumberFormat="1" applyFont="1" applyFill="1" applyBorder="1"/>
    <xf numFmtId="0" fontId="4" fillId="2" borderId="8" xfId="1" applyFont="1" applyFill="1" applyBorder="1"/>
    <xf numFmtId="0" fontId="2" fillId="2" borderId="6" xfId="1" quotePrefix="1" applyFill="1" applyBorder="1"/>
    <xf numFmtId="0" fontId="4" fillId="3" borderId="0" xfId="1" applyFont="1" applyFill="1"/>
    <xf numFmtId="0" fontId="4" fillId="3" borderId="0" xfId="1" applyFont="1" applyFill="1" applyAlignment="1">
      <alignment horizontal="center"/>
    </xf>
    <xf numFmtId="2" fontId="2" fillId="3" borderId="0" xfId="1" applyNumberFormat="1" applyFill="1"/>
    <xf numFmtId="0" fontId="4" fillId="2" borderId="0" xfId="1" applyFont="1" applyFill="1"/>
    <xf numFmtId="0" fontId="2" fillId="2" borderId="8" xfId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13" xfId="1" applyFont="1" applyFill="1" applyBorder="1"/>
    <xf numFmtId="0" fontId="2" fillId="4" borderId="0" xfId="1" applyFill="1"/>
    <xf numFmtId="0" fontId="2" fillId="3" borderId="0" xfId="1" applyFill="1"/>
    <xf numFmtId="0" fontId="2" fillId="2" borderId="0" xfId="1" applyFill="1" applyAlignment="1">
      <alignment horizontal="center"/>
    </xf>
    <xf numFmtId="43" fontId="2" fillId="2" borderId="0" xfId="1" applyNumberFormat="1" applyFill="1"/>
    <xf numFmtId="0" fontId="2" fillId="5" borderId="0" xfId="1" applyFill="1"/>
    <xf numFmtId="16" fontId="2" fillId="2" borderId="0" xfId="1" applyNumberFormat="1" applyFill="1" applyAlignment="1">
      <alignment horizontal="center"/>
    </xf>
    <xf numFmtId="16" fontId="2" fillId="2" borderId="0" xfId="1" quotePrefix="1" applyNumberFormat="1" applyFill="1"/>
    <xf numFmtId="0" fontId="10" fillId="0" borderId="0" xfId="0" applyFont="1"/>
    <xf numFmtId="43" fontId="4" fillId="2" borderId="8" xfId="2" applyFont="1" applyFill="1" applyBorder="1"/>
    <xf numFmtId="43" fontId="4" fillId="2" borderId="13" xfId="2" applyFont="1" applyFill="1" applyBorder="1"/>
    <xf numFmtId="169" fontId="4" fillId="2" borderId="8" xfId="2" applyNumberFormat="1" applyFont="1" applyFill="1" applyBorder="1"/>
    <xf numFmtId="0" fontId="4" fillId="2" borderId="6" xfId="1" applyFont="1" applyFill="1" applyBorder="1"/>
    <xf numFmtId="0" fontId="2" fillId="2" borderId="0" xfId="4" applyFont="1" applyFill="1">
      <alignment vertical="top" wrapText="1"/>
    </xf>
    <xf numFmtId="0" fontId="4" fillId="2" borderId="0" xfId="4" quotePrefix="1" applyFont="1" applyFill="1" applyAlignment="1">
      <alignment horizontal="center" vertical="top"/>
    </xf>
    <xf numFmtId="0" fontId="4" fillId="2" borderId="0" xfId="4" applyFont="1" applyFill="1" applyAlignment="1">
      <alignment vertical="top"/>
    </xf>
    <xf numFmtId="0" fontId="2" fillId="2" borderId="0" xfId="4" applyFont="1" applyFill="1" applyAlignment="1">
      <alignment horizontal="center" vertical="top" wrapText="1"/>
    </xf>
    <xf numFmtId="168" fontId="2" fillId="2" borderId="0" xfId="5" applyNumberFormat="1" applyFont="1" applyFill="1" applyAlignment="1">
      <alignment vertical="top" wrapText="1"/>
    </xf>
    <xf numFmtId="0" fontId="4" fillId="2" borderId="22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168" fontId="4" fillId="2" borderId="23" xfId="5" applyNumberFormat="1" applyFont="1" applyFill="1" applyBorder="1" applyAlignment="1">
      <alignment horizontal="center" vertical="top" wrapText="1"/>
    </xf>
    <xf numFmtId="168" fontId="4" fillId="2" borderId="24" xfId="5" applyNumberFormat="1" applyFont="1" applyFill="1" applyBorder="1" applyAlignment="1">
      <alignment horizontal="center" vertical="center" wrapText="1"/>
    </xf>
    <xf numFmtId="170" fontId="4" fillId="2" borderId="25" xfId="4" applyNumberFormat="1" applyFont="1" applyFill="1" applyBorder="1" applyAlignment="1">
      <alignment horizontal="center" vertical="top" wrapText="1"/>
    </xf>
    <xf numFmtId="0" fontId="4" fillId="2" borderId="26" xfId="4" applyFont="1" applyFill="1" applyBorder="1" applyAlignment="1">
      <alignment horizontal="left" vertical="top" wrapText="1"/>
    </xf>
    <xf numFmtId="0" fontId="2" fillId="2" borderId="26" xfId="4" applyFont="1" applyFill="1" applyBorder="1" applyAlignment="1">
      <alignment horizontal="center" vertical="top" wrapText="1"/>
    </xf>
    <xf numFmtId="0" fontId="2" fillId="2" borderId="26" xfId="4" applyFont="1" applyFill="1" applyBorder="1">
      <alignment vertical="top" wrapText="1"/>
    </xf>
    <xf numFmtId="168" fontId="2" fillId="2" borderId="26" xfId="5" applyNumberFormat="1" applyFont="1" applyFill="1" applyBorder="1" applyAlignment="1">
      <alignment horizontal="right" vertical="top" wrapText="1"/>
    </xf>
    <xf numFmtId="168" fontId="2" fillId="2" borderId="27" xfId="5" applyNumberFormat="1" applyFont="1" applyFill="1" applyBorder="1" applyAlignment="1">
      <alignment horizontal="left" vertical="top" wrapText="1"/>
    </xf>
    <xf numFmtId="167" fontId="2" fillId="2" borderId="28" xfId="6" applyNumberFormat="1" applyFont="1" applyFill="1" applyBorder="1" applyAlignment="1">
      <alignment horizontal="right" vertical="top"/>
    </xf>
    <xf numFmtId="171" fontId="2" fillId="2" borderId="29" xfId="4" applyNumberFormat="1" applyFont="1" applyFill="1" applyBorder="1" applyAlignment="1">
      <alignment horizontal="left" vertical="top" wrapText="1"/>
    </xf>
    <xf numFmtId="171" fontId="2" fillId="2" borderId="29" xfId="4" applyNumberFormat="1" applyFont="1" applyFill="1" applyBorder="1" applyAlignment="1">
      <alignment horizontal="center" vertical="top" wrapText="1"/>
    </xf>
    <xf numFmtId="172" fontId="2" fillId="2" borderId="29" xfId="4" applyNumberFormat="1" applyFont="1" applyFill="1" applyBorder="1">
      <alignment vertical="top" wrapText="1"/>
    </xf>
    <xf numFmtId="167" fontId="2" fillId="2" borderId="0" xfId="6" applyNumberFormat="1" applyFont="1" applyFill="1" applyAlignment="1">
      <alignment vertical="top" wrapText="1"/>
    </xf>
    <xf numFmtId="170" fontId="4" fillId="2" borderId="33" xfId="4" applyNumberFormat="1" applyFont="1" applyFill="1" applyBorder="1" applyAlignment="1">
      <alignment horizontal="center" vertical="top" wrapText="1"/>
    </xf>
    <xf numFmtId="171" fontId="4" fillId="2" borderId="34" xfId="4" applyNumberFormat="1" applyFont="1" applyFill="1" applyBorder="1" applyAlignment="1">
      <alignment horizontal="left" vertical="top" wrapText="1"/>
    </xf>
    <xf numFmtId="171" fontId="2" fillId="2" borderId="34" xfId="4" applyNumberFormat="1" applyFont="1" applyFill="1" applyBorder="1" applyAlignment="1">
      <alignment horizontal="center" vertical="top" wrapText="1"/>
    </xf>
    <xf numFmtId="171" fontId="2" fillId="2" borderId="34" xfId="4" applyNumberFormat="1" applyFont="1" applyFill="1" applyBorder="1">
      <alignment vertical="top" wrapText="1"/>
    </xf>
    <xf numFmtId="168" fontId="2" fillId="2" borderId="34" xfId="5" applyNumberFormat="1" applyFont="1" applyFill="1" applyBorder="1" applyAlignment="1">
      <alignment horizontal="right" vertical="top" wrapText="1"/>
    </xf>
    <xf numFmtId="171" fontId="2" fillId="2" borderId="36" xfId="4" applyNumberFormat="1" applyFont="1" applyFill="1" applyBorder="1" applyAlignment="1">
      <alignment horizontal="left" vertical="top"/>
    </xf>
    <xf numFmtId="171" fontId="2" fillId="2" borderId="36" xfId="4" applyNumberFormat="1" applyFont="1" applyFill="1" applyBorder="1" applyAlignment="1">
      <alignment horizontal="center" vertical="top" wrapText="1"/>
    </xf>
    <xf numFmtId="170" fontId="2" fillId="2" borderId="36" xfId="4" applyNumberFormat="1" applyFont="1" applyFill="1" applyBorder="1">
      <alignment vertical="top" wrapText="1"/>
    </xf>
    <xf numFmtId="170" fontId="4" fillId="2" borderId="33" xfId="4" quotePrefix="1" applyNumberFormat="1" applyFont="1" applyFill="1" applyBorder="1" applyAlignment="1">
      <alignment horizontal="center" vertical="top" wrapText="1"/>
    </xf>
    <xf numFmtId="170" fontId="4" fillId="2" borderId="31" xfId="4" quotePrefix="1" applyNumberFormat="1" applyFont="1" applyFill="1" applyBorder="1" applyAlignment="1">
      <alignment horizontal="center" vertical="top" wrapText="1"/>
    </xf>
    <xf numFmtId="171" fontId="2" fillId="2" borderId="14" xfId="4" applyNumberFormat="1" applyFont="1" applyFill="1" applyBorder="1" applyAlignment="1">
      <alignment horizontal="left" vertical="top" wrapText="1"/>
    </xf>
    <xf numFmtId="171" fontId="2" fillId="2" borderId="14" xfId="4" applyNumberFormat="1" applyFont="1" applyFill="1" applyBorder="1" applyAlignment="1">
      <alignment horizontal="center" vertical="top" wrapText="1"/>
    </xf>
    <xf numFmtId="0" fontId="2" fillId="2" borderId="15" xfId="4" applyFont="1" applyFill="1" applyBorder="1">
      <alignment vertical="top" wrapText="1"/>
    </xf>
    <xf numFmtId="168" fontId="2" fillId="2" borderId="0" xfId="5" applyNumberFormat="1" applyFont="1" applyFill="1" applyAlignment="1">
      <alignment horizontal="right" vertical="top" wrapText="1"/>
    </xf>
    <xf numFmtId="173" fontId="4" fillId="2" borderId="8" xfId="2" applyNumberFormat="1" applyFont="1" applyFill="1" applyBorder="1"/>
    <xf numFmtId="168" fontId="2" fillId="2" borderId="36" xfId="5" applyNumberFormat="1" applyFont="1" applyFill="1" applyBorder="1" applyAlignment="1">
      <alignment horizontal="left" vertical="top" wrapText="1"/>
    </xf>
    <xf numFmtId="168" fontId="2" fillId="2" borderId="30" xfId="5" applyNumberFormat="1" applyFont="1" applyFill="1" applyBorder="1" applyAlignment="1">
      <alignment horizontal="left" vertical="top" wrapText="1"/>
    </xf>
    <xf numFmtId="168" fontId="4" fillId="2" borderId="32" xfId="5" applyNumberFormat="1" applyFont="1" applyFill="1" applyBorder="1" applyAlignment="1">
      <alignment horizontal="left" vertical="top" wrapText="1"/>
    </xf>
    <xf numFmtId="168" fontId="2" fillId="2" borderId="35" xfId="5" applyNumberFormat="1" applyFont="1" applyFill="1" applyBorder="1" applyAlignment="1">
      <alignment horizontal="left" vertical="top" wrapText="1"/>
    </xf>
    <xf numFmtId="171" fontId="2" fillId="2" borderId="28" xfId="4" applyNumberFormat="1" applyFont="1" applyFill="1" applyBorder="1" applyAlignment="1">
      <alignment horizontal="right" vertical="top"/>
    </xf>
    <xf numFmtId="43" fontId="2" fillId="2" borderId="36" xfId="6" applyFont="1" applyFill="1" applyBorder="1" applyAlignment="1">
      <alignment vertical="top" wrapText="1"/>
    </xf>
    <xf numFmtId="168" fontId="2" fillId="2" borderId="37" xfId="5" applyNumberFormat="1" applyFont="1" applyFill="1" applyBorder="1" applyAlignment="1">
      <alignment horizontal="left" vertical="top" wrapText="1"/>
    </xf>
    <xf numFmtId="168" fontId="2" fillId="2" borderId="32" xfId="5" applyNumberFormat="1" applyFont="1" applyFill="1" applyBorder="1" applyAlignment="1">
      <alignment horizontal="left" vertical="top" wrapText="1"/>
    </xf>
    <xf numFmtId="168" fontId="2" fillId="2" borderId="29" xfId="5" applyNumberFormat="1" applyFont="1" applyFill="1" applyBorder="1" applyAlignment="1">
      <alignment horizontal="right" vertical="top" wrapText="1"/>
    </xf>
    <xf numFmtId="43" fontId="4" fillId="2" borderId="20" xfId="6" applyFont="1" applyFill="1" applyBorder="1" applyAlignment="1" applyProtection="1"/>
    <xf numFmtId="0" fontId="13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horizontal="left" vertical="center"/>
    </xf>
    <xf numFmtId="43" fontId="13" fillId="0" borderId="29" xfId="0" applyNumberFormat="1" applyFont="1" applyBorder="1" applyAlignment="1">
      <alignment vertical="center"/>
    </xf>
    <xf numFmtId="43" fontId="13" fillId="0" borderId="50" xfId="0" applyNumberFormat="1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horizontal="left" vertical="center"/>
    </xf>
    <xf numFmtId="0" fontId="13" fillId="0" borderId="51" xfId="0" applyFont="1" applyBorder="1" applyAlignment="1">
      <alignment vertical="center"/>
    </xf>
    <xf numFmtId="41" fontId="14" fillId="0" borderId="52" xfId="0" applyNumberFormat="1" applyFont="1" applyBorder="1" applyAlignment="1">
      <alignment vertical="center"/>
    </xf>
    <xf numFmtId="41" fontId="14" fillId="0" borderId="53" xfId="0" applyNumberFormat="1" applyFont="1" applyBorder="1" applyAlignment="1">
      <alignment vertical="center"/>
    </xf>
    <xf numFmtId="41" fontId="14" fillId="0" borderId="53" xfId="0" applyNumberFormat="1" applyFont="1" applyBorder="1" applyAlignment="1">
      <alignment horizontal="left" vertical="center"/>
    </xf>
    <xf numFmtId="0" fontId="13" fillId="0" borderId="53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41" fontId="14" fillId="0" borderId="58" xfId="0" applyNumberFormat="1" applyFont="1" applyBorder="1" applyAlignment="1">
      <alignment vertical="center"/>
    </xf>
    <xf numFmtId="41" fontId="14" fillId="0" borderId="59" xfId="0" applyNumberFormat="1" applyFont="1" applyBorder="1" applyAlignment="1">
      <alignment vertical="center"/>
    </xf>
    <xf numFmtId="41" fontId="14" fillId="0" borderId="21" xfId="0" applyNumberFormat="1" applyFont="1" applyBorder="1" applyAlignment="1">
      <alignment horizontal="left" vertical="center"/>
    </xf>
    <xf numFmtId="4" fontId="14" fillId="0" borderId="62" xfId="0" applyNumberFormat="1" applyFont="1" applyBorder="1" applyAlignment="1">
      <alignment vertical="center"/>
    </xf>
    <xf numFmtId="0" fontId="16" fillId="0" borderId="3" xfId="0" applyFont="1" applyBorder="1" applyAlignment="1">
      <alignment horizontal="right" vertical="center"/>
    </xf>
    <xf numFmtId="4" fontId="14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3" fontId="14" fillId="0" borderId="42" xfId="6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3" fillId="0" borderId="6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horizontal="left" vertical="center"/>
    </xf>
    <xf numFmtId="43" fontId="13" fillId="0" borderId="64" xfId="0" applyNumberFormat="1" applyFont="1" applyBorder="1" applyAlignment="1">
      <alignment vertical="center"/>
    </xf>
    <xf numFmtId="43" fontId="13" fillId="0" borderId="48" xfId="0" applyNumberFormat="1" applyFont="1" applyBorder="1" applyAlignment="1">
      <alignment vertical="center"/>
    </xf>
    <xf numFmtId="0" fontId="13" fillId="0" borderId="47" xfId="0" applyFont="1" applyBorder="1" applyAlignment="1">
      <alignment horizontal="right" vertical="center"/>
    </xf>
    <xf numFmtId="43" fontId="13" fillId="0" borderId="48" xfId="6" applyFont="1" applyBorder="1" applyAlignment="1">
      <alignment horizontal="left" vertical="center"/>
    </xf>
    <xf numFmtId="173" fontId="13" fillId="0" borderId="64" xfId="0" applyNumberFormat="1" applyFont="1" applyBorder="1" applyAlignment="1">
      <alignment vertical="center"/>
    </xf>
    <xf numFmtId="174" fontId="13" fillId="0" borderId="29" xfId="0" applyNumberFormat="1" applyFont="1" applyBorder="1" applyAlignment="1">
      <alignment vertical="center"/>
    </xf>
    <xf numFmtId="173" fontId="13" fillId="0" borderId="48" xfId="0" applyNumberFormat="1" applyFont="1" applyBorder="1" applyAlignment="1">
      <alignment vertical="center"/>
    </xf>
    <xf numFmtId="43" fontId="13" fillId="0" borderId="64" xfId="0" applyNumberFormat="1" applyFont="1" applyBorder="1" applyAlignment="1">
      <alignment horizontal="center" vertical="center"/>
    </xf>
    <xf numFmtId="43" fontId="13" fillId="0" borderId="49" xfId="0" applyNumberFormat="1" applyFont="1" applyBorder="1" applyAlignment="1">
      <alignment horizontal="center" vertical="center"/>
    </xf>
    <xf numFmtId="43" fontId="13" fillId="0" borderId="50" xfId="6" applyFont="1" applyBorder="1" applyAlignment="1">
      <alignment vertical="center"/>
    </xf>
    <xf numFmtId="43" fontId="14" fillId="0" borderId="48" xfId="6" applyFont="1" applyBorder="1" applyAlignment="1">
      <alignment horizontal="left" vertical="center"/>
    </xf>
    <xf numFmtId="173" fontId="13" fillId="0" borderId="29" xfId="0" applyNumberFormat="1" applyFont="1" applyBorder="1" applyAlignment="1">
      <alignment vertical="center"/>
    </xf>
    <xf numFmtId="41" fontId="13" fillId="0" borderId="65" xfId="0" applyNumberFormat="1" applyFont="1" applyBorder="1" applyAlignment="1">
      <alignment horizontal="left" vertical="center"/>
    </xf>
    <xf numFmtId="173" fontId="13" fillId="0" borderId="66" xfId="0" applyNumberFormat="1" applyFont="1" applyBorder="1" applyAlignment="1">
      <alignment vertical="center"/>
    </xf>
    <xf numFmtId="43" fontId="13" fillId="0" borderId="66" xfId="0" applyNumberFormat="1" applyFont="1" applyBorder="1" applyAlignment="1">
      <alignment vertical="center"/>
    </xf>
    <xf numFmtId="43" fontId="13" fillId="0" borderId="67" xfId="0" applyNumberFormat="1" applyFont="1" applyBorder="1" applyAlignment="1">
      <alignment vertical="center"/>
    </xf>
    <xf numFmtId="41" fontId="14" fillId="0" borderId="52" xfId="0" applyNumberFormat="1" applyFont="1" applyBorder="1" applyAlignment="1">
      <alignment horizontal="left" vertical="center"/>
    </xf>
    <xf numFmtId="4" fontId="14" fillId="0" borderId="56" xfId="0" applyNumberFormat="1" applyFont="1" applyBorder="1" applyAlignment="1">
      <alignment vertical="center"/>
    </xf>
    <xf numFmtId="41" fontId="14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2" fillId="2" borderId="14" xfId="1" applyFill="1" applyBorder="1"/>
    <xf numFmtId="0" fontId="4" fillId="2" borderId="14" xfId="1" applyFont="1" applyFill="1" applyBorder="1" applyAlignment="1">
      <alignment horizontal="center"/>
    </xf>
    <xf numFmtId="0" fontId="4" fillId="2" borderId="14" xfId="1" applyFont="1" applyFill="1" applyBorder="1"/>
    <xf numFmtId="167" fontId="4" fillId="2" borderId="14" xfId="2" applyNumberFormat="1" applyFont="1" applyFill="1" applyBorder="1"/>
    <xf numFmtId="0" fontId="2" fillId="2" borderId="71" xfId="1" applyFill="1" applyBorder="1"/>
    <xf numFmtId="0" fontId="2" fillId="2" borderId="63" xfId="1" applyFill="1" applyBorder="1"/>
    <xf numFmtId="0" fontId="2" fillId="2" borderId="69" xfId="1" applyFill="1" applyBorder="1"/>
    <xf numFmtId="0" fontId="4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4" fillId="2" borderId="14" xfId="1" applyFont="1" applyFill="1" applyBorder="1" applyAlignment="1">
      <alignment horizontal="center" vertical="center"/>
    </xf>
    <xf numFmtId="2" fontId="2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8" fillId="2" borderId="14" xfId="1" applyNumberFormat="1" applyFont="1" applyFill="1" applyBorder="1" applyAlignment="1">
      <alignment vertical="center"/>
    </xf>
    <xf numFmtId="0" fontId="2" fillId="2" borderId="72" xfId="1" applyFill="1" applyBorder="1" applyAlignment="1">
      <alignment vertical="center"/>
    </xf>
    <xf numFmtId="0" fontId="4" fillId="2" borderId="14" xfId="1" applyFont="1" applyFill="1" applyBorder="1" applyAlignment="1">
      <alignment vertical="center"/>
    </xf>
    <xf numFmtId="0" fontId="5" fillId="2" borderId="10" xfId="1" applyFont="1" applyFill="1" applyBorder="1"/>
    <xf numFmtId="0" fontId="4" fillId="2" borderId="69" xfId="1" applyFont="1" applyFill="1" applyBorder="1"/>
    <xf numFmtId="167" fontId="4" fillId="2" borderId="69" xfId="2" applyNumberFormat="1" applyFont="1" applyFill="1" applyBorder="1"/>
    <xf numFmtId="0" fontId="6" fillId="2" borderId="8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2" fillId="2" borderId="10" xfId="1" quotePrefix="1" applyFill="1" applyBorder="1"/>
    <xf numFmtId="174" fontId="0" fillId="0" borderId="13" xfId="0" applyNumberFormat="1" applyBorder="1"/>
    <xf numFmtId="0" fontId="6" fillId="2" borderId="42" xfId="1" applyFont="1" applyFill="1" applyBorder="1"/>
    <xf numFmtId="0" fontId="2" fillId="2" borderId="43" xfId="1" applyFill="1" applyBorder="1"/>
    <xf numFmtId="0" fontId="2" fillId="2" borderId="44" xfId="1" applyFill="1" applyBorder="1"/>
    <xf numFmtId="0" fontId="2" fillId="2" borderId="42" xfId="1" applyFill="1" applyBorder="1"/>
    <xf numFmtId="0" fontId="2" fillId="2" borderId="13" xfId="1" applyFill="1" applyBorder="1" applyAlignment="1">
      <alignment horizontal="center"/>
    </xf>
    <xf numFmtId="0" fontId="6" fillId="2" borderId="69" xfId="1" applyFont="1" applyFill="1" applyBorder="1" applyAlignment="1">
      <alignment horizontal="center"/>
    </xf>
    <xf numFmtId="0" fontId="2" fillId="2" borderId="70" xfId="1" quotePrefix="1" applyFill="1" applyBorder="1"/>
    <xf numFmtId="167" fontId="4" fillId="2" borderId="13" xfId="2" applyNumberFormat="1" applyFont="1" applyFill="1" applyBorder="1"/>
    <xf numFmtId="173" fontId="4" fillId="2" borderId="69" xfId="2" applyNumberFormat="1" applyFont="1" applyFill="1" applyBorder="1"/>
    <xf numFmtId="43" fontId="13" fillId="0" borderId="0" xfId="0" applyNumberFormat="1" applyFont="1" applyAlignment="1">
      <alignment vertical="center"/>
    </xf>
    <xf numFmtId="0" fontId="4" fillId="2" borderId="0" xfId="4" applyFont="1" applyFill="1" applyAlignment="1">
      <alignment horizontal="center" vertical="top" wrapText="1"/>
    </xf>
    <xf numFmtId="0" fontId="13" fillId="0" borderId="6" xfId="0" applyFont="1" applyBorder="1" applyAlignment="1">
      <alignment horizontal="left" vertical="center"/>
    </xf>
    <xf numFmtId="0" fontId="23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3" fillId="0" borderId="0" xfId="0" applyFont="1" applyAlignment="1">
      <alignment horizontal="right"/>
    </xf>
    <xf numFmtId="0" fontId="28" fillId="0" borderId="0" xfId="9" applyFont="1" applyAlignment="1">
      <alignment horizontal="center"/>
    </xf>
    <xf numFmtId="0" fontId="27" fillId="0" borderId="0" xfId="9" applyFont="1" applyAlignment="1">
      <alignment horizontal="left"/>
    </xf>
    <xf numFmtId="0" fontId="28" fillId="0" borderId="0" xfId="9" applyFont="1" applyAlignment="1">
      <alignment horizontal="right"/>
    </xf>
    <xf numFmtId="166" fontId="28" fillId="0" borderId="0" xfId="10" applyFont="1" applyAlignment="1">
      <alignment horizontal="center"/>
    </xf>
    <xf numFmtId="0" fontId="30" fillId="2" borderId="0" xfId="12" applyFont="1" applyFill="1" applyAlignment="1">
      <alignment vertical="center"/>
    </xf>
    <xf numFmtId="0" fontId="31" fillId="2" borderId="0" xfId="12" applyFont="1" applyFill="1" applyAlignment="1">
      <alignment vertical="center"/>
    </xf>
    <xf numFmtId="168" fontId="30" fillId="2" borderId="0" xfId="13" applyNumberFormat="1" applyFont="1" applyFill="1" applyAlignment="1">
      <alignment vertical="center"/>
    </xf>
    <xf numFmtId="0" fontId="28" fillId="0" borderId="0" xfId="14" applyFont="1" applyAlignment="1">
      <alignment vertical="center"/>
    </xf>
    <xf numFmtId="165" fontId="28" fillId="0" borderId="0" xfId="14" applyNumberFormat="1" applyFont="1" applyAlignment="1">
      <alignment vertical="center"/>
    </xf>
    <xf numFmtId="0" fontId="32" fillId="2" borderId="0" xfId="12" applyFont="1" applyFill="1" applyAlignment="1">
      <alignment horizontal="left" vertical="center"/>
    </xf>
    <xf numFmtId="168" fontId="30" fillId="2" borderId="0" xfId="13" applyNumberFormat="1" applyFont="1" applyFill="1" applyBorder="1" applyAlignment="1">
      <alignment vertical="center"/>
    </xf>
    <xf numFmtId="0" fontId="30" fillId="2" borderId="2" xfId="12" applyFont="1" applyFill="1" applyBorder="1" applyAlignment="1">
      <alignment horizontal="center" vertical="center"/>
    </xf>
    <xf numFmtId="0" fontId="30" fillId="2" borderId="4" xfId="12" applyFont="1" applyFill="1" applyBorder="1" applyAlignment="1">
      <alignment horizontal="center" vertical="center"/>
    </xf>
    <xf numFmtId="0" fontId="30" fillId="2" borderId="73" xfId="12" applyFont="1" applyFill="1" applyBorder="1" applyAlignment="1">
      <alignment horizontal="center" vertical="center"/>
    </xf>
    <xf numFmtId="0" fontId="30" fillId="2" borderId="10" xfId="12" applyFont="1" applyFill="1" applyBorder="1" applyAlignment="1">
      <alignment horizontal="center" vertical="center"/>
    </xf>
    <xf numFmtId="0" fontId="30" fillId="2" borderId="13" xfId="12" applyFont="1" applyFill="1" applyBorder="1" applyAlignment="1">
      <alignment horizontal="center" vertical="center"/>
    </xf>
    <xf numFmtId="0" fontId="30" fillId="2" borderId="75" xfId="12" applyFont="1" applyFill="1" applyBorder="1" applyAlignment="1">
      <alignment horizontal="center" vertical="center"/>
    </xf>
    <xf numFmtId="0" fontId="30" fillId="2" borderId="31" xfId="12" applyFont="1" applyFill="1" applyBorder="1" applyAlignment="1">
      <alignment horizontal="center" vertical="center"/>
    </xf>
    <xf numFmtId="0" fontId="30" fillId="2" borderId="14" xfId="12" applyFont="1" applyFill="1" applyBorder="1" applyAlignment="1">
      <alignment horizontal="center" vertical="center"/>
    </xf>
    <xf numFmtId="0" fontId="30" fillId="2" borderId="42" xfId="12" applyFont="1" applyFill="1" applyBorder="1" applyAlignment="1">
      <alignment horizontal="center" vertical="center"/>
    </xf>
    <xf numFmtId="0" fontId="30" fillId="2" borderId="32" xfId="12" applyFont="1" applyFill="1" applyBorder="1" applyAlignment="1">
      <alignment horizontal="center" vertical="center"/>
    </xf>
    <xf numFmtId="168" fontId="34" fillId="2" borderId="0" xfId="13" applyNumberFormat="1" applyFont="1" applyFill="1" applyBorder="1" applyAlignment="1">
      <alignment vertical="center"/>
    </xf>
    <xf numFmtId="0" fontId="30" fillId="2" borderId="47" xfId="12" applyFont="1" applyFill="1" applyBorder="1" applyAlignment="1">
      <alignment horizontal="center" vertical="center"/>
    </xf>
    <xf numFmtId="178" fontId="30" fillId="2" borderId="48" xfId="15" applyNumberFormat="1" applyFont="1" applyFill="1" applyBorder="1" applyAlignment="1">
      <alignment horizontal="left" vertical="center"/>
    </xf>
    <xf numFmtId="0" fontId="30" fillId="2" borderId="64" xfId="12" applyFont="1" applyFill="1" applyBorder="1" applyAlignment="1">
      <alignment vertical="center"/>
    </xf>
    <xf numFmtId="178" fontId="30" fillId="2" borderId="29" xfId="15" applyNumberFormat="1" applyFont="1" applyFill="1" applyBorder="1" applyAlignment="1">
      <alignment horizontal="center" vertical="center"/>
    </xf>
    <xf numFmtId="43" fontId="30" fillId="2" borderId="80" xfId="16" applyFont="1" applyFill="1" applyBorder="1" applyAlignment="1">
      <alignment vertical="center"/>
    </xf>
    <xf numFmtId="166" fontId="36" fillId="2" borderId="48" xfId="17" applyFont="1" applyFill="1" applyBorder="1" applyAlignment="1">
      <alignment horizontal="right" vertical="center"/>
    </xf>
    <xf numFmtId="10" fontId="30" fillId="2" borderId="29" xfId="17" applyNumberFormat="1" applyFont="1" applyFill="1" applyBorder="1" applyAlignment="1">
      <alignment vertical="center"/>
    </xf>
    <xf numFmtId="166" fontId="30" fillId="2" borderId="48" xfId="17" applyFont="1" applyFill="1" applyBorder="1" applyAlignment="1">
      <alignment vertical="center"/>
    </xf>
    <xf numFmtId="166" fontId="30" fillId="2" borderId="30" xfId="17" applyFont="1" applyFill="1" applyBorder="1" applyAlignment="1">
      <alignment horizontal="left" vertical="center"/>
    </xf>
    <xf numFmtId="168" fontId="30" fillId="2" borderId="0" xfId="13" applyNumberFormat="1" applyFont="1" applyFill="1" applyBorder="1" applyAlignment="1">
      <alignment horizontal="center" vertical="center"/>
    </xf>
    <xf numFmtId="166" fontId="37" fillId="2" borderId="48" xfId="17" applyFont="1" applyFill="1" applyBorder="1" applyAlignment="1">
      <alignment horizontal="right" vertical="center"/>
    </xf>
    <xf numFmtId="166" fontId="30" fillId="2" borderId="48" xfId="17" applyFont="1" applyFill="1" applyBorder="1" applyAlignment="1">
      <alignment vertical="center" wrapText="1"/>
    </xf>
    <xf numFmtId="166" fontId="39" fillId="2" borderId="30" xfId="18" applyNumberFormat="1" applyFont="1" applyFill="1" applyBorder="1" applyAlignment="1">
      <alignment horizontal="left" vertical="center" wrapText="1"/>
    </xf>
    <xf numFmtId="0" fontId="30" fillId="2" borderId="67" xfId="12" applyFont="1" applyFill="1" applyBorder="1" applyAlignment="1">
      <alignment vertical="center"/>
    </xf>
    <xf numFmtId="0" fontId="30" fillId="2" borderId="81" xfId="12" applyFont="1" applyFill="1" applyBorder="1" applyAlignment="1">
      <alignment vertical="center"/>
    </xf>
    <xf numFmtId="0" fontId="30" fillId="2" borderId="80" xfId="12" applyFont="1" applyFill="1" applyBorder="1" applyAlignment="1">
      <alignment horizontal="center" vertical="center"/>
    </xf>
    <xf numFmtId="166" fontId="36" fillId="2" borderId="82" xfId="17" applyFont="1" applyFill="1" applyBorder="1" applyAlignment="1">
      <alignment horizontal="right" vertical="center"/>
    </xf>
    <xf numFmtId="10" fontId="30" fillId="2" borderId="80" xfId="19" applyNumberFormat="1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center" vertical="center" wrapText="1"/>
    </xf>
    <xf numFmtId="168" fontId="39" fillId="2" borderId="83" xfId="18" applyNumberFormat="1" applyFont="1" applyFill="1" applyBorder="1" applyAlignment="1">
      <alignment horizontal="left" vertical="center" wrapText="1"/>
    </xf>
    <xf numFmtId="43" fontId="36" fillId="2" borderId="82" xfId="16" applyFont="1" applyFill="1" applyBorder="1" applyAlignment="1">
      <alignment horizontal="right" vertical="center"/>
    </xf>
    <xf numFmtId="10" fontId="30" fillId="2" borderId="80" xfId="16" applyNumberFormat="1" applyFont="1" applyFill="1" applyBorder="1" applyAlignment="1">
      <alignment vertical="center"/>
    </xf>
    <xf numFmtId="43" fontId="30" fillId="2" borderId="82" xfId="16" applyFont="1" applyFill="1" applyBorder="1" applyAlignment="1">
      <alignment vertical="center" wrapText="1"/>
    </xf>
    <xf numFmtId="43" fontId="39" fillId="2" borderId="83" xfId="18" applyNumberFormat="1" applyFont="1" applyFill="1" applyBorder="1" applyAlignment="1">
      <alignment horizontal="left" vertical="center" wrapText="1"/>
    </xf>
    <xf numFmtId="43" fontId="30" fillId="2" borderId="83" xfId="16" applyFont="1" applyFill="1" applyBorder="1" applyAlignment="1">
      <alignment horizontal="left" vertical="center" wrapText="1"/>
    </xf>
    <xf numFmtId="0" fontId="30" fillId="2" borderId="48" xfId="12" applyFont="1" applyFill="1" applyBorder="1" applyAlignment="1">
      <alignment vertical="center"/>
    </xf>
    <xf numFmtId="0" fontId="30" fillId="2" borderId="29" xfId="12" applyFont="1" applyFill="1" applyBorder="1" applyAlignment="1">
      <alignment horizontal="center" vertical="center"/>
    </xf>
    <xf numFmtId="43" fontId="36" fillId="2" borderId="48" xfId="16" applyFont="1" applyFill="1" applyBorder="1" applyAlignment="1">
      <alignment horizontal="right" vertical="center"/>
    </xf>
    <xf numFmtId="10" fontId="30" fillId="2" borderId="29" xfId="16" applyNumberFormat="1" applyFont="1" applyFill="1" applyBorder="1" applyAlignment="1">
      <alignment vertical="center"/>
    </xf>
    <xf numFmtId="43" fontId="30" fillId="2" borderId="48" xfId="16" applyFont="1" applyFill="1" applyBorder="1" applyAlignment="1">
      <alignment vertical="center" wrapText="1"/>
    </xf>
    <xf numFmtId="43" fontId="39" fillId="2" borderId="30" xfId="18" applyNumberFormat="1" applyFont="1" applyFill="1" applyBorder="1" applyAlignment="1">
      <alignment horizontal="left" vertical="center" wrapText="1"/>
    </xf>
    <xf numFmtId="0" fontId="30" fillId="2" borderId="33" xfId="12" applyFont="1" applyFill="1" applyBorder="1" applyAlignment="1">
      <alignment horizontal="center" vertical="center"/>
    </xf>
    <xf numFmtId="0" fontId="30" fillId="2" borderId="84" xfId="12" applyFont="1" applyFill="1" applyBorder="1" applyAlignment="1">
      <alignment vertical="center"/>
    </xf>
    <xf numFmtId="0" fontId="30" fillId="2" borderId="85" xfId="12" applyFont="1" applyFill="1" applyBorder="1" applyAlignment="1">
      <alignment vertical="center"/>
    </xf>
    <xf numFmtId="0" fontId="30" fillId="2" borderId="34" xfId="12" applyFont="1" applyFill="1" applyBorder="1" applyAlignment="1">
      <alignment horizontal="center" vertical="center"/>
    </xf>
    <xf numFmtId="166" fontId="36" fillId="2" borderId="86" xfId="17" applyFont="1" applyFill="1" applyBorder="1" applyAlignment="1">
      <alignment horizontal="right" vertical="center"/>
    </xf>
    <xf numFmtId="10" fontId="30" fillId="2" borderId="34" xfId="19" applyNumberFormat="1" applyFont="1" applyFill="1" applyBorder="1" applyAlignment="1">
      <alignment horizontal="center" vertical="center"/>
    </xf>
    <xf numFmtId="168" fontId="30" fillId="2" borderId="86" xfId="19" applyNumberFormat="1" applyFont="1" applyFill="1" applyBorder="1" applyAlignment="1">
      <alignment horizontal="left" vertical="center" wrapText="1"/>
    </xf>
    <xf numFmtId="168" fontId="38" fillId="2" borderId="35" xfId="18" applyNumberFormat="1" applyFill="1" applyBorder="1" applyAlignment="1">
      <alignment horizontal="left" vertical="center" wrapText="1"/>
    </xf>
    <xf numFmtId="10" fontId="30" fillId="2" borderId="29" xfId="19" applyNumberFormat="1" applyFont="1" applyFill="1" applyBorder="1" applyAlignment="1">
      <alignment horizontal="center" vertical="center"/>
    </xf>
    <xf numFmtId="168" fontId="30" fillId="2" borderId="48" xfId="19" applyNumberFormat="1" applyFont="1" applyFill="1" applyBorder="1" applyAlignment="1">
      <alignment horizontal="left" vertical="center" wrapText="1"/>
    </xf>
    <xf numFmtId="168" fontId="38" fillId="2" borderId="30" xfId="18" applyNumberFormat="1" applyFill="1" applyBorder="1" applyAlignment="1">
      <alignment horizontal="left" vertical="center" wrapText="1"/>
    </xf>
    <xf numFmtId="0" fontId="30" fillId="0" borderId="0" xfId="12" applyFont="1" applyAlignment="1">
      <alignment vertical="center"/>
    </xf>
    <xf numFmtId="0" fontId="30" fillId="0" borderId="47" xfId="12" applyFont="1" applyBorder="1" applyAlignment="1">
      <alignment horizontal="center" vertical="center"/>
    </xf>
    <xf numFmtId="0" fontId="30" fillId="0" borderId="67" xfId="12" applyFont="1" applyBorder="1" applyAlignment="1">
      <alignment vertical="center"/>
    </xf>
    <xf numFmtId="0" fontId="30" fillId="0" borderId="81" xfId="12" applyFont="1" applyBorder="1" applyAlignment="1">
      <alignment vertical="center"/>
    </xf>
    <xf numFmtId="0" fontId="30" fillId="0" borderId="80" xfId="12" applyFont="1" applyBorder="1" applyAlignment="1">
      <alignment horizontal="center" vertical="center"/>
    </xf>
    <xf numFmtId="43" fontId="36" fillId="0" borderId="82" xfId="16" applyFont="1" applyFill="1" applyBorder="1" applyAlignment="1">
      <alignment horizontal="right" vertical="center"/>
    </xf>
    <xf numFmtId="10" fontId="30" fillId="0" borderId="80" xfId="16" applyNumberFormat="1" applyFont="1" applyFill="1" applyBorder="1" applyAlignment="1">
      <alignment vertical="center"/>
    </xf>
    <xf numFmtId="43" fontId="30" fillId="0" borderId="82" xfId="16" applyFont="1" applyFill="1" applyBorder="1" applyAlignment="1">
      <alignment vertical="center" wrapText="1"/>
    </xf>
    <xf numFmtId="43" fontId="39" fillId="0" borderId="83" xfId="18" applyNumberFormat="1" applyFont="1" applyFill="1" applyBorder="1" applyAlignment="1">
      <alignment horizontal="left" vertical="center" wrapText="1"/>
    </xf>
    <xf numFmtId="168" fontId="30" fillId="0" borderId="0" xfId="13" applyNumberFormat="1" applyFont="1" applyFill="1" applyBorder="1" applyAlignment="1">
      <alignment horizontal="center" vertical="center"/>
    </xf>
    <xf numFmtId="43" fontId="38" fillId="2" borderId="83" xfId="18" applyNumberFormat="1" applyFill="1" applyBorder="1" applyAlignment="1">
      <alignment horizontal="left" vertical="center" wrapText="1"/>
    </xf>
    <xf numFmtId="168" fontId="38" fillId="2" borderId="83" xfId="18" applyNumberFormat="1" applyFill="1" applyBorder="1" applyAlignment="1">
      <alignment horizontal="left" vertical="center" wrapText="1"/>
    </xf>
    <xf numFmtId="166" fontId="36" fillId="0" borderId="82" xfId="17" applyFont="1" applyFill="1" applyBorder="1" applyAlignment="1">
      <alignment horizontal="right" vertical="center"/>
    </xf>
    <xf numFmtId="43" fontId="38" fillId="0" borderId="83" xfId="18" applyNumberFormat="1" applyFill="1" applyBorder="1" applyAlignment="1">
      <alignment horizontal="left" vertical="center" wrapText="1"/>
    </xf>
    <xf numFmtId="10" fontId="30" fillId="0" borderId="80" xfId="19" applyNumberFormat="1" applyFont="1" applyFill="1" applyBorder="1" applyAlignment="1">
      <alignment horizontal="center" vertical="center"/>
    </xf>
    <xf numFmtId="168" fontId="30" fillId="0" borderId="82" xfId="19" applyNumberFormat="1" applyFont="1" applyFill="1" applyBorder="1" applyAlignment="1">
      <alignment horizontal="center" vertical="center" wrapText="1"/>
    </xf>
    <xf numFmtId="168" fontId="38" fillId="0" borderId="83" xfId="18" applyNumberFormat="1" applyFill="1" applyBorder="1" applyAlignment="1">
      <alignment horizontal="left" vertical="center" wrapText="1"/>
    </xf>
    <xf numFmtId="168" fontId="39" fillId="0" borderId="83" xfId="18" applyNumberFormat="1" applyFont="1" applyFill="1" applyBorder="1" applyAlignment="1">
      <alignment horizontal="left" vertical="center" wrapText="1"/>
    </xf>
    <xf numFmtId="0" fontId="39" fillId="0" borderId="0" xfId="18" applyFont="1" applyAlignment="1">
      <alignment vertical="center"/>
    </xf>
    <xf numFmtId="166" fontId="36" fillId="2" borderId="48" xfId="17" applyFont="1" applyFill="1" applyBorder="1" applyAlignment="1">
      <alignment horizontal="right" vertical="center" wrapText="1"/>
    </xf>
    <xf numFmtId="10" fontId="30" fillId="2" borderId="29" xfId="17" applyNumberFormat="1" applyFont="1" applyFill="1" applyBorder="1" applyAlignment="1">
      <alignment vertical="center" wrapText="1"/>
    </xf>
    <xf numFmtId="166" fontId="38" fillId="2" borderId="30" xfId="18" applyNumberFormat="1" applyFill="1" applyBorder="1" applyAlignment="1">
      <alignment horizontal="left" vertical="center" wrapText="1"/>
    </xf>
    <xf numFmtId="166" fontId="30" fillId="2" borderId="48" xfId="17" applyFont="1" applyFill="1" applyBorder="1" applyAlignment="1">
      <alignment horizontal="right" vertical="center"/>
    </xf>
    <xf numFmtId="10" fontId="30" fillId="2" borderId="80" xfId="17" applyNumberFormat="1" applyFont="1" applyFill="1" applyBorder="1" applyAlignment="1">
      <alignment vertical="center"/>
    </xf>
    <xf numFmtId="166" fontId="30" fillId="2" borderId="82" xfId="17" applyFont="1" applyFill="1" applyBorder="1" applyAlignment="1">
      <alignment vertical="center" wrapText="1"/>
    </xf>
    <xf numFmtId="166" fontId="39" fillId="2" borderId="83" xfId="18" applyNumberFormat="1" applyFont="1" applyFill="1" applyBorder="1" applyAlignment="1">
      <alignment horizontal="left" vertical="center" wrapText="1"/>
    </xf>
    <xf numFmtId="166" fontId="38" fillId="2" borderId="83" xfId="18" applyNumberFormat="1" applyFill="1" applyBorder="1" applyAlignment="1">
      <alignment horizontal="left" vertical="center" wrapText="1"/>
    </xf>
    <xf numFmtId="49" fontId="38" fillId="2" borderId="83" xfId="18" applyNumberFormat="1" applyFill="1" applyBorder="1" applyAlignment="1">
      <alignment horizontal="left" vertical="center" wrapText="1"/>
    </xf>
    <xf numFmtId="43" fontId="30" fillId="0" borderId="82" xfId="16" applyFont="1" applyFill="1" applyBorder="1" applyAlignment="1">
      <alignment vertical="center"/>
    </xf>
    <xf numFmtId="178" fontId="30" fillId="2" borderId="67" xfId="15" applyNumberFormat="1" applyFont="1" applyFill="1" applyBorder="1" applyAlignment="1">
      <alignment horizontal="left" vertical="center"/>
    </xf>
    <xf numFmtId="178" fontId="30" fillId="2" borderId="80" xfId="15" applyNumberFormat="1" applyFont="1" applyFill="1" applyBorder="1" applyAlignment="1">
      <alignment horizontal="center" vertical="center"/>
    </xf>
    <xf numFmtId="166" fontId="30" fillId="2" borderId="82" xfId="17" applyFont="1" applyFill="1" applyBorder="1" applyAlignment="1">
      <alignment vertical="center"/>
    </xf>
    <xf numFmtId="166" fontId="30" fillId="2" borderId="83" xfId="17" applyFont="1" applyFill="1" applyBorder="1" applyAlignment="1">
      <alignment horizontal="left" vertical="center"/>
    </xf>
    <xf numFmtId="166" fontId="30" fillId="2" borderId="29" xfId="17" applyFont="1" applyFill="1" applyBorder="1" applyAlignment="1">
      <alignment vertical="center"/>
    </xf>
    <xf numFmtId="166" fontId="30" fillId="2" borderId="80" xfId="17" applyFont="1" applyFill="1" applyBorder="1" applyAlignment="1">
      <alignment vertical="center"/>
    </xf>
    <xf numFmtId="168" fontId="30" fillId="2" borderId="80" xfId="19" applyNumberFormat="1" applyFont="1" applyFill="1" applyBorder="1" applyAlignment="1">
      <alignment horizontal="center" vertical="center"/>
    </xf>
    <xf numFmtId="0" fontId="30" fillId="2" borderId="87" xfId="12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left" vertical="center" wrapText="1"/>
    </xf>
    <xf numFmtId="168" fontId="30" fillId="2" borderId="34" xfId="19" applyNumberFormat="1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center" vertical="center"/>
    </xf>
    <xf numFmtId="168" fontId="30" fillId="2" borderId="83" xfId="19" applyNumberFormat="1" applyFont="1" applyFill="1" applyBorder="1" applyAlignment="1">
      <alignment horizontal="left" vertical="center"/>
    </xf>
    <xf numFmtId="165" fontId="38" fillId="0" borderId="0" xfId="18" applyNumberFormat="1" applyAlignment="1">
      <alignment vertical="center"/>
    </xf>
    <xf numFmtId="43" fontId="30" fillId="0" borderId="80" xfId="16" applyFont="1" applyFill="1" applyBorder="1" applyAlignment="1">
      <alignment vertical="center"/>
    </xf>
    <xf numFmtId="43" fontId="30" fillId="0" borderId="83" xfId="16" applyFont="1" applyFill="1" applyBorder="1" applyAlignment="1">
      <alignment horizontal="left" vertical="center" wrapText="1"/>
    </xf>
    <xf numFmtId="0" fontId="30" fillId="2" borderId="49" xfId="12" applyFont="1" applyFill="1" applyBorder="1" applyAlignment="1">
      <alignment vertical="center"/>
    </xf>
    <xf numFmtId="43" fontId="30" fillId="2" borderId="29" xfId="16" applyFont="1" applyFill="1" applyBorder="1" applyAlignment="1">
      <alignment vertical="center"/>
    </xf>
    <xf numFmtId="0" fontId="30" fillId="2" borderId="57" xfId="12" applyFont="1" applyFill="1" applyBorder="1" applyAlignment="1">
      <alignment horizontal="center" vertical="center"/>
    </xf>
    <xf numFmtId="0" fontId="30" fillId="2" borderId="68" xfId="12" applyFont="1" applyFill="1" applyBorder="1" applyAlignment="1">
      <alignment vertical="center"/>
    </xf>
    <xf numFmtId="0" fontId="30" fillId="2" borderId="60" xfId="12" applyFont="1" applyFill="1" applyBorder="1" applyAlignment="1">
      <alignment vertical="center"/>
    </xf>
    <xf numFmtId="178" fontId="30" fillId="2" borderId="61" xfId="15" applyNumberFormat="1" applyFont="1" applyFill="1" applyBorder="1" applyAlignment="1">
      <alignment horizontal="center" vertical="center"/>
    </xf>
    <xf numFmtId="43" fontId="30" fillId="2" borderId="61" xfId="16" applyFont="1" applyFill="1" applyBorder="1" applyAlignment="1">
      <alignment vertical="center"/>
    </xf>
    <xf numFmtId="43" fontId="36" fillId="2" borderId="61" xfId="16" applyFont="1" applyFill="1" applyBorder="1" applyAlignment="1">
      <alignment horizontal="right" vertical="center"/>
    </xf>
    <xf numFmtId="166" fontId="37" fillId="2" borderId="61" xfId="17" applyFont="1" applyFill="1" applyBorder="1" applyAlignment="1">
      <alignment horizontal="right" vertical="center"/>
    </xf>
    <xf numFmtId="10" fontId="30" fillId="2" borderId="61" xfId="17" applyNumberFormat="1" applyFont="1" applyFill="1" applyBorder="1" applyAlignment="1">
      <alignment vertical="center"/>
    </xf>
    <xf numFmtId="166" fontId="30" fillId="2" borderId="61" xfId="17" applyFont="1" applyFill="1" applyBorder="1" applyAlignment="1">
      <alignment vertical="center"/>
    </xf>
    <xf numFmtId="166" fontId="38" fillId="2" borderId="88" xfId="18" applyNumberFormat="1" applyFill="1" applyBorder="1" applyAlignment="1">
      <alignment horizontal="left" vertical="center" wrapText="1"/>
    </xf>
    <xf numFmtId="0" fontId="30" fillId="2" borderId="0" xfId="12" applyFont="1" applyFill="1" applyAlignment="1">
      <alignment horizontal="center" vertical="center"/>
    </xf>
    <xf numFmtId="43" fontId="31" fillId="2" borderId="0" xfId="2" applyFont="1" applyFill="1" applyBorder="1" applyAlignment="1">
      <alignment vertical="center"/>
    </xf>
    <xf numFmtId="43" fontId="30" fillId="2" borderId="0" xfId="2" applyFont="1" applyFill="1" applyBorder="1" applyAlignment="1">
      <alignment vertical="center"/>
    </xf>
    <xf numFmtId="0" fontId="30" fillId="2" borderId="43" xfId="12" applyFont="1" applyFill="1" applyBorder="1" applyAlignment="1">
      <alignment horizontal="center" vertical="center"/>
    </xf>
    <xf numFmtId="0" fontId="30" fillId="2" borderId="48" xfId="12" applyFont="1" applyFill="1" applyBorder="1" applyAlignment="1">
      <alignment horizontal="left" vertical="center"/>
    </xf>
    <xf numFmtId="0" fontId="30" fillId="2" borderId="64" xfId="12" applyFont="1" applyFill="1" applyBorder="1" applyAlignment="1">
      <alignment horizontal="left" vertical="center"/>
    </xf>
    <xf numFmtId="0" fontId="30" fillId="2" borderId="49" xfId="12" applyFont="1" applyFill="1" applyBorder="1" applyAlignment="1">
      <alignment horizontal="center" vertical="center"/>
    </xf>
    <xf numFmtId="43" fontId="30" fillId="2" borderId="48" xfId="16" applyFont="1" applyFill="1" applyBorder="1" applyAlignment="1">
      <alignment vertical="center"/>
    </xf>
    <xf numFmtId="43" fontId="30" fillId="2" borderId="89" xfId="12" applyNumberFormat="1" applyFont="1" applyFill="1" applyBorder="1" applyAlignment="1">
      <alignment vertical="center"/>
    </xf>
    <xf numFmtId="43" fontId="30" fillId="2" borderId="49" xfId="12" applyNumberFormat="1" applyFont="1" applyFill="1" applyBorder="1" applyAlignment="1">
      <alignment vertical="center"/>
    </xf>
    <xf numFmtId="10" fontId="30" fillId="2" borderId="29" xfId="20" applyNumberFormat="1" applyFont="1" applyFill="1" applyBorder="1" applyAlignment="1">
      <alignment horizontal="center" vertical="center"/>
    </xf>
    <xf numFmtId="9" fontId="30" fillId="2" borderId="29" xfId="20" applyFont="1" applyFill="1" applyBorder="1" applyAlignment="1">
      <alignment horizontal="center" vertical="center"/>
    </xf>
    <xf numFmtId="43" fontId="30" fillId="2" borderId="50" xfId="21" applyFont="1" applyFill="1" applyBorder="1" applyAlignment="1">
      <alignment horizontal="center" vertical="center"/>
    </xf>
    <xf numFmtId="0" fontId="30" fillId="2" borderId="82" xfId="12" applyFont="1" applyFill="1" applyBorder="1" applyAlignment="1">
      <alignment horizontal="left" vertical="center"/>
    </xf>
    <xf numFmtId="0" fontId="30" fillId="2" borderId="81" xfId="12" applyFont="1" applyFill="1" applyBorder="1" applyAlignment="1">
      <alignment horizontal="left" vertical="center"/>
    </xf>
    <xf numFmtId="0" fontId="30" fillId="2" borderId="67" xfId="12" applyFont="1" applyFill="1" applyBorder="1" applyAlignment="1">
      <alignment horizontal="center" vertical="center"/>
    </xf>
    <xf numFmtId="43" fontId="30" fillId="2" borderId="82" xfId="16" applyFont="1" applyFill="1" applyBorder="1" applyAlignment="1">
      <alignment vertical="center"/>
    </xf>
    <xf numFmtId="43" fontId="30" fillId="2" borderId="90" xfId="12" applyNumberFormat="1" applyFont="1" applyFill="1" applyBorder="1" applyAlignment="1">
      <alignment vertical="center"/>
    </xf>
    <xf numFmtId="43" fontId="30" fillId="2" borderId="67" xfId="12" applyNumberFormat="1" applyFont="1" applyFill="1" applyBorder="1" applyAlignment="1">
      <alignment vertical="center"/>
    </xf>
    <xf numFmtId="10" fontId="30" fillId="2" borderId="80" xfId="20" applyNumberFormat="1" applyFont="1" applyFill="1" applyBorder="1" applyAlignment="1">
      <alignment horizontal="center" vertical="center"/>
    </xf>
    <xf numFmtId="9" fontId="30" fillId="2" borderId="80" xfId="20" applyFont="1" applyFill="1" applyBorder="1" applyAlignment="1">
      <alignment horizontal="center" vertical="center" wrapText="1"/>
    </xf>
    <xf numFmtId="43" fontId="39" fillId="2" borderId="91" xfId="18" applyNumberFormat="1" applyFont="1" applyFill="1" applyBorder="1" applyAlignment="1">
      <alignment horizontal="center" vertical="center" wrapText="1"/>
    </xf>
    <xf numFmtId="9" fontId="30" fillId="2" borderId="80" xfId="20" applyFont="1" applyFill="1" applyBorder="1" applyAlignment="1">
      <alignment horizontal="center" vertical="center"/>
    </xf>
    <xf numFmtId="43" fontId="30" fillId="2" borderId="91" xfId="21" applyFont="1" applyFill="1" applyBorder="1" applyAlignment="1">
      <alignment horizontal="center" vertical="center"/>
    </xf>
    <xf numFmtId="43" fontId="38" fillId="2" borderId="91" xfId="18" applyNumberFormat="1" applyFill="1" applyBorder="1" applyAlignment="1">
      <alignment horizontal="left" vertical="center" wrapText="1"/>
    </xf>
    <xf numFmtId="166" fontId="39" fillId="2" borderId="91" xfId="18" applyNumberFormat="1" applyFont="1" applyFill="1" applyBorder="1" applyAlignment="1">
      <alignment horizontal="center" vertical="center" wrapText="1"/>
    </xf>
    <xf numFmtId="0" fontId="40" fillId="2" borderId="0" xfId="12" applyFont="1" applyFill="1" applyAlignment="1">
      <alignment vertical="center"/>
    </xf>
    <xf numFmtId="0" fontId="40" fillId="2" borderId="81" xfId="12" applyFont="1" applyFill="1" applyBorder="1" applyAlignment="1">
      <alignment horizontal="left" vertical="center"/>
    </xf>
    <xf numFmtId="166" fontId="38" fillId="2" borderId="91" xfId="18" applyNumberFormat="1" applyFill="1" applyBorder="1" applyAlignment="1">
      <alignment horizontal="center" vertical="center" wrapText="1"/>
    </xf>
    <xf numFmtId="0" fontId="21" fillId="0" borderId="0" xfId="14"/>
    <xf numFmtId="165" fontId="21" fillId="0" borderId="0" xfId="14" applyNumberFormat="1"/>
    <xf numFmtId="0" fontId="30" fillId="2" borderId="92" xfId="12" applyFont="1" applyFill="1" applyBorder="1" applyAlignment="1">
      <alignment horizontal="center" vertical="center"/>
    </xf>
    <xf numFmtId="0" fontId="30" fillId="2" borderId="58" xfId="12" applyFont="1" applyFill="1" applyBorder="1" applyAlignment="1">
      <alignment horizontal="left" vertical="center"/>
    </xf>
    <xf numFmtId="0" fontId="30" fillId="2" borderId="93" xfId="12" applyFont="1" applyFill="1" applyBorder="1" applyAlignment="1">
      <alignment horizontal="left" vertical="center"/>
    </xf>
    <xf numFmtId="0" fontId="30" fillId="2" borderId="59" xfId="12" applyFont="1" applyFill="1" applyBorder="1" applyAlignment="1">
      <alignment horizontal="center" vertical="center"/>
    </xf>
    <xf numFmtId="43" fontId="30" fillId="2" borderId="58" xfId="16" applyFont="1" applyFill="1" applyBorder="1" applyAlignment="1">
      <alignment vertical="center"/>
    </xf>
    <xf numFmtId="43" fontId="30" fillId="2" borderId="94" xfId="12" applyNumberFormat="1" applyFont="1" applyFill="1" applyBorder="1" applyAlignment="1">
      <alignment vertical="center"/>
    </xf>
    <xf numFmtId="43" fontId="30" fillId="2" borderId="59" xfId="12" applyNumberFormat="1" applyFont="1" applyFill="1" applyBorder="1" applyAlignment="1">
      <alignment vertical="center"/>
    </xf>
    <xf numFmtId="10" fontId="30" fillId="2" borderId="95" xfId="20" applyNumberFormat="1" applyFont="1" applyFill="1" applyBorder="1" applyAlignment="1">
      <alignment horizontal="center" vertical="center"/>
    </xf>
    <xf numFmtId="9" fontId="30" fillId="2" borderId="95" xfId="20" applyFont="1" applyFill="1" applyBorder="1" applyAlignment="1">
      <alignment horizontal="center" vertical="center" wrapText="1"/>
    </xf>
    <xf numFmtId="166" fontId="39" fillId="2" borderId="96" xfId="18" applyNumberFormat="1" applyFont="1" applyFill="1" applyBorder="1" applyAlignment="1">
      <alignment horizontal="center" vertical="center" wrapText="1"/>
    </xf>
    <xf numFmtId="0" fontId="30" fillId="2" borderId="7" xfId="12" applyFont="1" applyFill="1" applyBorder="1" applyAlignment="1">
      <alignment horizontal="center" vertical="center"/>
    </xf>
    <xf numFmtId="0" fontId="30" fillId="2" borderId="8" xfId="12" applyFont="1" applyFill="1" applyBorder="1" applyAlignment="1">
      <alignment horizontal="center" vertical="center"/>
    </xf>
    <xf numFmtId="0" fontId="30" fillId="2" borderId="6" xfId="12" applyFont="1" applyFill="1" applyBorder="1" applyAlignment="1">
      <alignment horizontal="center" vertical="center"/>
    </xf>
    <xf numFmtId="0" fontId="30" fillId="2" borderId="74" xfId="12" applyFont="1" applyFill="1" applyBorder="1" applyAlignment="1">
      <alignment horizontal="center" vertical="center"/>
    </xf>
    <xf numFmtId="0" fontId="30" fillId="2" borderId="12" xfId="12" applyFont="1" applyFill="1" applyBorder="1" applyAlignment="1">
      <alignment horizontal="center" vertical="center"/>
    </xf>
    <xf numFmtId="0" fontId="30" fillId="2" borderId="11" xfId="12" applyFont="1" applyFill="1" applyBorder="1" applyAlignment="1">
      <alignment horizontal="center" vertical="center"/>
    </xf>
    <xf numFmtId="0" fontId="30" fillId="2" borderId="51" xfId="12" applyFont="1" applyFill="1" applyBorder="1" applyAlignment="1">
      <alignment horizontal="center" vertical="center"/>
    </xf>
    <xf numFmtId="0" fontId="30" fillId="2" borderId="52" xfId="12" applyFont="1" applyFill="1" applyBorder="1" applyAlignment="1">
      <alignment horizontal="left" vertical="center"/>
    </xf>
    <xf numFmtId="0" fontId="30" fillId="2" borderId="54" xfId="12" applyFont="1" applyFill="1" applyBorder="1" applyAlignment="1">
      <alignment horizontal="center" vertical="center"/>
    </xf>
    <xf numFmtId="0" fontId="30" fillId="2" borderId="53" xfId="12" applyFont="1" applyFill="1" applyBorder="1" applyAlignment="1">
      <alignment horizontal="center" vertical="center"/>
    </xf>
    <xf numFmtId="166" fontId="30" fillId="2" borderId="55" xfId="10" applyFont="1" applyFill="1" applyBorder="1" applyAlignment="1">
      <alignment horizontal="center" vertical="center"/>
    </xf>
    <xf numFmtId="166" fontId="30" fillId="2" borderId="53" xfId="12" applyNumberFormat="1" applyFont="1" applyFill="1" applyBorder="1" applyAlignment="1">
      <alignment horizontal="center" vertical="center"/>
    </xf>
    <xf numFmtId="9" fontId="30" fillId="2" borderId="55" xfId="20" applyFont="1" applyFill="1" applyBorder="1" applyAlignment="1">
      <alignment horizontal="center" vertical="center"/>
    </xf>
    <xf numFmtId="43" fontId="30" fillId="2" borderId="97" xfId="21" applyFont="1" applyFill="1" applyBorder="1" applyAlignment="1">
      <alignment horizontal="center" vertical="center"/>
    </xf>
    <xf numFmtId="0" fontId="30" fillId="2" borderId="64" xfId="12" applyFont="1" applyFill="1" applyBorder="1" applyAlignment="1">
      <alignment horizontal="center" vertical="center"/>
    </xf>
    <xf numFmtId="166" fontId="30" fillId="2" borderId="29" xfId="10" applyFont="1" applyFill="1" applyBorder="1" applyAlignment="1">
      <alignment horizontal="center" vertical="center"/>
    </xf>
    <xf numFmtId="166" fontId="30" fillId="2" borderId="49" xfId="12" applyNumberFormat="1" applyFont="1" applyFill="1" applyBorder="1" applyAlignment="1">
      <alignment horizontal="center" vertical="center"/>
    </xf>
    <xf numFmtId="0" fontId="41" fillId="2" borderId="0" xfId="12" applyFont="1" applyFill="1" applyAlignment="1">
      <alignment vertical="center"/>
    </xf>
    <xf numFmtId="43" fontId="30" fillId="2" borderId="95" xfId="16" applyFont="1" applyFill="1" applyBorder="1" applyAlignment="1">
      <alignment vertical="center"/>
    </xf>
    <xf numFmtId="9" fontId="30" fillId="2" borderId="95" xfId="20" applyFont="1" applyFill="1" applyBorder="1" applyAlignment="1">
      <alignment horizontal="center" vertical="center"/>
    </xf>
    <xf numFmtId="166" fontId="30" fillId="2" borderId="96" xfId="22" applyFont="1" applyFill="1" applyBorder="1" applyAlignment="1">
      <alignment horizontal="center" vertical="center"/>
    </xf>
    <xf numFmtId="0" fontId="41" fillId="2" borderId="0" xfId="12" applyFont="1" applyFill="1" applyAlignment="1">
      <alignment horizontal="center" vertical="center"/>
    </xf>
    <xf numFmtId="0" fontId="30" fillId="2" borderId="0" xfId="12" applyFont="1" applyFill="1" applyAlignment="1">
      <alignment horizontal="left" vertical="center"/>
    </xf>
    <xf numFmtId="166" fontId="31" fillId="2" borderId="0" xfId="22" applyFont="1" applyFill="1" applyBorder="1" applyAlignment="1">
      <alignment horizontal="center" vertical="center"/>
    </xf>
    <xf numFmtId="166" fontId="30" fillId="2" borderId="0" xfId="22" applyFont="1" applyFill="1" applyBorder="1" applyAlignment="1">
      <alignment horizontal="center" vertical="center"/>
    </xf>
    <xf numFmtId="43" fontId="30" fillId="2" borderId="0" xfId="21" applyFont="1" applyFill="1" applyBorder="1" applyAlignment="1">
      <alignment horizontal="center" vertical="center"/>
    </xf>
    <xf numFmtId="43" fontId="30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6" fillId="0" borderId="0" xfId="0" applyFont="1" applyAlignment="1">
      <alignment vertical="center" wrapText="1"/>
    </xf>
    <xf numFmtId="166" fontId="0" fillId="0" borderId="0" xfId="0" applyNumberFormat="1"/>
    <xf numFmtId="0" fontId="27" fillId="0" borderId="0" xfId="9" applyFont="1" applyAlignment="1">
      <alignment horizontal="left" wrapText="1"/>
    </xf>
    <xf numFmtId="166" fontId="27" fillId="0" borderId="0" xfId="10" applyFont="1" applyAlignment="1">
      <alignment horizontal="left" wrapText="1"/>
    </xf>
    <xf numFmtId="169" fontId="2" fillId="2" borderId="36" xfId="6" applyNumberFormat="1" applyFont="1" applyFill="1" applyBorder="1" applyAlignment="1">
      <alignment vertical="top" wrapText="1"/>
    </xf>
    <xf numFmtId="165" fontId="13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2" fillId="0" borderId="0" xfId="0" applyNumberFormat="1" applyFont="1"/>
    <xf numFmtId="0" fontId="42" fillId="0" borderId="0" xfId="0" applyFont="1"/>
    <xf numFmtId="165" fontId="22" fillId="0" borderId="0" xfId="0" applyNumberFormat="1" applyFont="1"/>
    <xf numFmtId="165" fontId="23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3" fillId="0" borderId="0" xfId="0" applyNumberFormat="1" applyFont="1"/>
    <xf numFmtId="180" fontId="25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3" fillId="6" borderId="0" xfId="0" applyNumberFormat="1" applyFont="1" applyFill="1"/>
    <xf numFmtId="0" fontId="23" fillId="6" borderId="0" xfId="0" applyFont="1" applyFill="1" applyAlignment="1">
      <alignment horizontal="right"/>
    </xf>
    <xf numFmtId="0" fontId="23" fillId="6" borderId="0" xfId="0" applyFont="1" applyFill="1"/>
    <xf numFmtId="175" fontId="0" fillId="0" borderId="14" xfId="0" applyNumberFormat="1" applyBorder="1"/>
    <xf numFmtId="0" fontId="42" fillId="3" borderId="0" xfId="0" applyFont="1" applyFill="1"/>
    <xf numFmtId="2" fontId="0" fillId="3" borderId="14" xfId="0" applyNumberFormat="1" applyFill="1" applyBorder="1"/>
    <xf numFmtId="2" fontId="42" fillId="3" borderId="0" xfId="0" applyNumberFormat="1" applyFont="1" applyFill="1"/>
    <xf numFmtId="4" fontId="42" fillId="3" borderId="0" xfId="0" applyNumberFormat="1" applyFont="1" applyFill="1"/>
    <xf numFmtId="0" fontId="42" fillId="7" borderId="0" xfId="0" applyFont="1" applyFill="1"/>
    <xf numFmtId="2" fontId="0" fillId="7" borderId="14" xfId="0" applyNumberFormat="1" applyFill="1" applyBorder="1"/>
    <xf numFmtId="0" fontId="13" fillId="0" borderId="0" xfId="0" applyFont="1" applyAlignment="1">
      <alignment horizontal="left" vertical="center"/>
    </xf>
    <xf numFmtId="0" fontId="13" fillId="0" borderId="99" xfId="0" applyFont="1" applyBorder="1"/>
    <xf numFmtId="0" fontId="13" fillId="0" borderId="46" xfId="0" applyFont="1" applyBorder="1"/>
    <xf numFmtId="0" fontId="14" fillId="0" borderId="99" xfId="0" applyFont="1" applyBorder="1" applyAlignment="1">
      <alignment vertical="center"/>
    </xf>
    <xf numFmtId="0" fontId="13" fillId="0" borderId="46" xfId="0" applyFont="1" applyBorder="1" applyAlignment="1">
      <alignment horizontal="left" vertical="center"/>
    </xf>
    <xf numFmtId="0" fontId="13" fillId="0" borderId="100" xfId="0" applyFont="1" applyBorder="1" applyAlignment="1">
      <alignment vertical="center"/>
    </xf>
    <xf numFmtId="0" fontId="13" fillId="0" borderId="101" xfId="0" applyFont="1" applyBorder="1" applyAlignment="1">
      <alignment vertical="center"/>
    </xf>
    <xf numFmtId="0" fontId="13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center" vertical="center"/>
    </xf>
    <xf numFmtId="171" fontId="2" fillId="2" borderId="36" xfId="4" applyNumberFormat="1" applyFont="1" applyFill="1" applyBorder="1" applyAlignment="1">
      <alignment horizontal="center" vertical="top"/>
    </xf>
    <xf numFmtId="0" fontId="43" fillId="0" borderId="0" xfId="24"/>
    <xf numFmtId="0" fontId="14" fillId="0" borderId="38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3" fillId="0" borderId="6" xfId="0" applyNumberFormat="1" applyFont="1" applyBorder="1" applyAlignment="1">
      <alignment horizontal="center" vertical="center"/>
    </xf>
    <xf numFmtId="178" fontId="13" fillId="0" borderId="8" xfId="0" applyNumberFormat="1" applyFont="1" applyBorder="1" applyAlignment="1">
      <alignment horizontal="center" vertical="center"/>
    </xf>
    <xf numFmtId="41" fontId="44" fillId="0" borderId="48" xfId="0" applyNumberFormat="1" applyFont="1" applyBorder="1" applyAlignment="1">
      <alignment vertical="center"/>
    </xf>
    <xf numFmtId="0" fontId="15" fillId="0" borderId="0" xfId="0" applyFont="1"/>
    <xf numFmtId="0" fontId="13" fillId="0" borderId="69" xfId="0" applyFont="1" applyBorder="1" applyAlignment="1">
      <alignment horizontal="center" vertical="center"/>
    </xf>
    <xf numFmtId="165" fontId="13" fillId="0" borderId="30" xfId="0" applyNumberFormat="1" applyFont="1" applyBorder="1" applyAlignment="1">
      <alignment vertical="center"/>
    </xf>
    <xf numFmtId="0" fontId="14" fillId="6" borderId="57" xfId="0" applyFont="1" applyFill="1" applyBorder="1" applyAlignment="1">
      <alignment horizontal="center" vertical="center"/>
    </xf>
    <xf numFmtId="0" fontId="14" fillId="6" borderId="68" xfId="0" applyFont="1" applyFill="1" applyBorder="1" applyAlignment="1">
      <alignment horizontal="left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165" fontId="13" fillId="6" borderId="61" xfId="0" applyNumberFormat="1" applyFont="1" applyFill="1" applyBorder="1" applyAlignment="1">
      <alignment horizontal="center" vertical="center"/>
    </xf>
    <xf numFmtId="165" fontId="13" fillId="6" borderId="101" xfId="0" applyNumberFormat="1" applyFont="1" applyFill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68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178" fontId="13" fillId="0" borderId="61" xfId="0" applyNumberFormat="1" applyFont="1" applyBorder="1" applyAlignment="1">
      <alignment horizontal="center" vertical="center"/>
    </xf>
    <xf numFmtId="165" fontId="13" fillId="0" borderId="61" xfId="0" applyNumberFormat="1" applyFont="1" applyBorder="1" applyAlignment="1">
      <alignment vertical="center"/>
    </xf>
    <xf numFmtId="0" fontId="14" fillId="0" borderId="104" xfId="0" applyFont="1" applyBorder="1" applyAlignment="1">
      <alignment horizontal="center" vertical="center" wrapText="1"/>
    </xf>
    <xf numFmtId="0" fontId="13" fillId="0" borderId="106" xfId="0" applyFont="1" applyBorder="1" applyAlignment="1">
      <alignment horizontal="center" vertical="center"/>
    </xf>
    <xf numFmtId="165" fontId="13" fillId="0" borderId="73" xfId="0" applyNumberFormat="1" applyFont="1" applyBorder="1" applyAlignment="1">
      <alignment horizontal="center" vertical="center"/>
    </xf>
    <xf numFmtId="165" fontId="13" fillId="0" borderId="88" xfId="0" applyNumberFormat="1" applyFont="1" applyBorder="1" applyAlignment="1">
      <alignment vertical="center"/>
    </xf>
    <xf numFmtId="0" fontId="14" fillId="0" borderId="10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2" fontId="22" fillId="7" borderId="14" xfId="0" applyNumberFormat="1" applyFont="1" applyFill="1" applyBorder="1"/>
    <xf numFmtId="0" fontId="13" fillId="0" borderId="0" xfId="0" applyFont="1" applyAlignment="1">
      <alignment horizontal="left" vertical="center" wrapText="1"/>
    </xf>
    <xf numFmtId="0" fontId="15" fillId="0" borderId="46" xfId="0" applyFont="1" applyBorder="1"/>
    <xf numFmtId="165" fontId="15" fillId="0" borderId="0" xfId="0" applyNumberFormat="1" applyFont="1" applyAlignment="1">
      <alignment horizontal="center" vertical="center"/>
    </xf>
    <xf numFmtId="166" fontId="2" fillId="2" borderId="0" xfId="25" applyFont="1" applyFill="1" applyAlignment="1">
      <alignment vertical="top" wrapText="1"/>
    </xf>
    <xf numFmtId="166" fontId="13" fillId="0" borderId="2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165" fontId="13" fillId="0" borderId="8" xfId="0" applyNumberFormat="1" applyFont="1" applyBorder="1" applyAlignment="1">
      <alignment horizontal="center" vertical="center"/>
    </xf>
    <xf numFmtId="165" fontId="13" fillId="0" borderId="74" xfId="0" applyNumberFormat="1" applyFont="1" applyBorder="1" applyAlignment="1">
      <alignment horizontal="center" vertical="center"/>
    </xf>
    <xf numFmtId="0" fontId="14" fillId="8" borderId="57" xfId="0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left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61" xfId="0" applyFont="1" applyFill="1" applyBorder="1" applyAlignment="1">
      <alignment horizontal="center" vertical="center"/>
    </xf>
    <xf numFmtId="165" fontId="13" fillId="8" borderId="61" xfId="0" applyNumberFormat="1" applyFont="1" applyFill="1" applyBorder="1" applyAlignment="1">
      <alignment horizontal="center" vertical="center"/>
    </xf>
    <xf numFmtId="165" fontId="13" fillId="8" borderId="101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45" fillId="0" borderId="0" xfId="0" applyFont="1" applyAlignment="1">
      <alignment horizontal="right"/>
    </xf>
    <xf numFmtId="0" fontId="47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/>
    </xf>
    <xf numFmtId="0" fontId="46" fillId="0" borderId="73" xfId="0" applyFont="1" applyBorder="1" applyAlignment="1">
      <alignment horizontal="center"/>
    </xf>
    <xf numFmtId="0" fontId="46" fillId="0" borderId="74" xfId="0" applyFont="1" applyBorder="1" applyAlignment="1">
      <alignment horizontal="center"/>
    </xf>
    <xf numFmtId="0" fontId="47" fillId="0" borderId="111" xfId="0" applyFont="1" applyBorder="1" applyAlignment="1">
      <alignment horizontal="center" vertical="center"/>
    </xf>
    <xf numFmtId="0" fontId="47" fillId="0" borderId="111" xfId="0" applyFont="1" applyBorder="1" applyAlignment="1">
      <alignment horizontal="center"/>
    </xf>
    <xf numFmtId="0" fontId="48" fillId="0" borderId="75" xfId="0" applyFont="1" applyBorder="1" applyAlignment="1">
      <alignment horizontal="center"/>
    </xf>
    <xf numFmtId="0" fontId="45" fillId="0" borderId="99" xfId="0" applyFont="1" applyBorder="1"/>
    <xf numFmtId="0" fontId="45" fillId="0" borderId="108" xfId="0" applyFont="1" applyBorder="1"/>
    <xf numFmtId="0" fontId="46" fillId="0" borderId="113" xfId="0" applyFont="1" applyBorder="1" applyAlignment="1">
      <alignment horizontal="left"/>
    </xf>
    <xf numFmtId="0" fontId="46" fillId="0" borderId="114" xfId="0" applyFont="1" applyBorder="1"/>
    <xf numFmtId="0" fontId="45" fillId="0" borderId="114" xfId="0" applyFont="1" applyBorder="1"/>
    <xf numFmtId="0" fontId="45" fillId="0" borderId="115" xfId="0" applyFont="1" applyBorder="1"/>
    <xf numFmtId="39" fontId="46" fillId="0" borderId="116" xfId="0" applyNumberFormat="1" applyFont="1" applyBorder="1" applyAlignment="1">
      <alignment horizontal="center"/>
    </xf>
    <xf numFmtId="0" fontId="45" fillId="0" borderId="117" xfId="0" applyFont="1" applyBorder="1" applyAlignment="1">
      <alignment horizontal="left"/>
    </xf>
    <xf numFmtId="2" fontId="45" fillId="0" borderId="118" xfId="0" applyNumberFormat="1" applyFont="1" applyBorder="1" applyAlignment="1">
      <alignment horizontal="left"/>
    </xf>
    <xf numFmtId="0" fontId="45" fillId="0" borderId="118" xfId="0" applyFont="1" applyBorder="1" applyAlignment="1">
      <alignment horizontal="center"/>
    </xf>
    <xf numFmtId="2" fontId="45" fillId="0" borderId="118" xfId="0" applyNumberFormat="1" applyFont="1" applyBorder="1" applyAlignment="1">
      <alignment horizontal="center"/>
    </xf>
    <xf numFmtId="0" fontId="46" fillId="0" borderId="118" xfId="0" applyFont="1" applyBorder="1" applyAlignment="1">
      <alignment horizontal="center"/>
    </xf>
    <xf numFmtId="168" fontId="45" fillId="0" borderId="118" xfId="5" applyNumberFormat="1" applyFont="1" applyFill="1" applyBorder="1" applyAlignment="1" applyProtection="1">
      <alignment horizontal="center"/>
    </xf>
    <xf numFmtId="181" fontId="45" fillId="0" borderId="118" xfId="5" applyNumberFormat="1" applyFont="1" applyFill="1" applyBorder="1" applyAlignment="1" applyProtection="1">
      <alignment horizontal="center"/>
    </xf>
    <xf numFmtId="0" fontId="45" fillId="0" borderId="119" xfId="0" applyFont="1" applyBorder="1"/>
    <xf numFmtId="39" fontId="46" fillId="0" borderId="37" xfId="0" applyNumberFormat="1" applyFont="1" applyBorder="1" applyAlignment="1">
      <alignment horizontal="center"/>
    </xf>
    <xf numFmtId="182" fontId="45" fillId="0" borderId="118" xfId="0" applyNumberFormat="1" applyFont="1" applyBorder="1" applyAlignment="1">
      <alignment horizontal="center"/>
    </xf>
    <xf numFmtId="183" fontId="45" fillId="0" borderId="118" xfId="5" applyNumberFormat="1" applyFont="1" applyFill="1" applyBorder="1" applyAlignment="1" applyProtection="1">
      <alignment horizontal="center"/>
    </xf>
    <xf numFmtId="0" fontId="45" fillId="0" borderId="119" xfId="0" applyFont="1" applyBorder="1" applyAlignment="1">
      <alignment horizontal="center"/>
    </xf>
    <xf numFmtId="175" fontId="45" fillId="0" borderId="118" xfId="0" applyNumberFormat="1" applyFont="1" applyBorder="1" applyAlignment="1">
      <alignment horizontal="center"/>
    </xf>
    <xf numFmtId="184" fontId="46" fillId="0" borderId="37" xfId="0" applyNumberFormat="1" applyFont="1" applyBorder="1" applyAlignment="1">
      <alignment horizontal="center"/>
    </xf>
    <xf numFmtId="2" fontId="45" fillId="0" borderId="118" xfId="0" quotePrefix="1" applyNumberFormat="1" applyFont="1" applyBorder="1" applyAlignment="1">
      <alignment horizontal="center"/>
    </xf>
    <xf numFmtId="2" fontId="45" fillId="0" borderId="119" xfId="0" applyNumberFormat="1" applyFont="1" applyBorder="1" applyAlignment="1">
      <alignment horizontal="center"/>
    </xf>
    <xf numFmtId="0" fontId="49" fillId="0" borderId="108" xfId="0" applyFont="1" applyBorder="1"/>
    <xf numFmtId="184" fontId="46" fillId="0" borderId="116" xfId="0" applyNumberFormat="1" applyFont="1" applyBorder="1" applyAlignment="1">
      <alignment horizontal="center"/>
    </xf>
    <xf numFmtId="0" fontId="45" fillId="0" borderId="117" xfId="0" applyFont="1" applyBorder="1" applyAlignment="1">
      <alignment horizontal="center"/>
    </xf>
    <xf numFmtId="181" fontId="45" fillId="0" borderId="118" xfId="0" applyNumberFormat="1" applyFont="1" applyBorder="1" applyAlignment="1">
      <alignment horizontal="center"/>
    </xf>
    <xf numFmtId="0" fontId="50" fillId="0" borderId="119" xfId="0" applyFont="1" applyBorder="1" applyAlignment="1">
      <alignment horizontal="center"/>
    </xf>
    <xf numFmtId="41" fontId="45" fillId="0" borderId="118" xfId="0" applyNumberFormat="1" applyFont="1" applyBorder="1" applyAlignment="1">
      <alignment horizontal="left"/>
    </xf>
    <xf numFmtId="185" fontId="45" fillId="0" borderId="118" xfId="0" applyNumberFormat="1" applyFont="1" applyBorder="1" applyAlignment="1">
      <alignment horizontal="center"/>
    </xf>
    <xf numFmtId="0" fontId="45" fillId="0" borderId="120" xfId="0" applyFont="1" applyBorder="1" applyAlignment="1">
      <alignment horizontal="center"/>
    </xf>
    <xf numFmtId="0" fontId="50" fillId="0" borderId="121" xfId="0" applyFont="1" applyBorder="1" applyAlignment="1">
      <alignment horizontal="center"/>
    </xf>
    <xf numFmtId="0" fontId="50" fillId="0" borderId="122" xfId="0" applyFont="1" applyBorder="1" applyAlignment="1">
      <alignment horizontal="center"/>
    </xf>
    <xf numFmtId="0" fontId="45" fillId="0" borderId="123" xfId="0" applyFont="1" applyBorder="1"/>
    <xf numFmtId="0" fontId="45" fillId="0" borderId="124" xfId="0" applyFont="1" applyBorder="1"/>
    <xf numFmtId="173" fontId="46" fillId="0" borderId="126" xfId="2" applyNumberFormat="1" applyFont="1" applyFill="1" applyBorder="1" applyAlignment="1" applyProtection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8" fillId="2" borderId="0" xfId="4" applyFont="1" applyFill="1" applyAlignment="1">
      <alignment vertical="top"/>
    </xf>
    <xf numFmtId="0" fontId="47" fillId="2" borderId="0" xfId="4" applyFont="1" applyFill="1" applyAlignment="1">
      <alignment vertical="top"/>
    </xf>
    <xf numFmtId="0" fontId="47" fillId="4" borderId="4" xfId="4" applyFont="1" applyFill="1" applyBorder="1" applyAlignment="1">
      <alignment horizontal="center" vertical="center"/>
    </xf>
    <xf numFmtId="0" fontId="47" fillId="0" borderId="0" xfId="4" applyFont="1" applyFill="1" applyBorder="1" applyAlignment="1">
      <alignment horizontal="center" vertical="center"/>
    </xf>
    <xf numFmtId="0" fontId="47" fillId="4" borderId="61" xfId="4" applyFont="1" applyFill="1" applyBorder="1" applyAlignment="1">
      <alignment horizontal="center" vertical="center"/>
    </xf>
    <xf numFmtId="0" fontId="52" fillId="4" borderId="61" xfId="4" applyFont="1" applyFill="1" applyBorder="1" applyAlignment="1">
      <alignment horizontal="center" vertical="center"/>
    </xf>
    <xf numFmtId="0" fontId="48" fillId="4" borderId="61" xfId="4" applyFont="1" applyFill="1" applyBorder="1" applyAlignment="1">
      <alignment horizontal="center" vertical="center"/>
    </xf>
    <xf numFmtId="0" fontId="47" fillId="4" borderId="88" xfId="4" applyFont="1" applyFill="1" applyBorder="1" applyAlignment="1">
      <alignment horizontal="center" vertical="center"/>
    </xf>
    <xf numFmtId="0" fontId="47" fillId="2" borderId="128" xfId="4" applyFont="1" applyFill="1" applyBorder="1" applyAlignment="1">
      <alignment horizontal="center" vertical="center"/>
    </xf>
    <xf numFmtId="0" fontId="47" fillId="2" borderId="129" xfId="4" applyFont="1" applyFill="1" applyBorder="1" applyAlignment="1">
      <alignment horizontal="center" vertical="center"/>
    </xf>
    <xf numFmtId="0" fontId="47" fillId="2" borderId="130" xfId="4" applyFont="1" applyFill="1" applyBorder="1" applyAlignment="1">
      <alignment horizontal="center" vertical="center"/>
    </xf>
    <xf numFmtId="0" fontId="47" fillId="2" borderId="131" xfId="4" applyFont="1" applyFill="1" applyBorder="1" applyAlignment="1">
      <alignment horizontal="center" vertical="center"/>
    </xf>
    <xf numFmtId="0" fontId="47" fillId="2" borderId="132" xfId="4" applyFont="1" applyFill="1" applyBorder="1" applyAlignment="1">
      <alignment horizontal="center" vertical="center"/>
    </xf>
    <xf numFmtId="0" fontId="52" fillId="2" borderId="132" xfId="4" applyFont="1" applyFill="1" applyBorder="1" applyAlignment="1">
      <alignment horizontal="center" vertical="center"/>
    </xf>
    <xf numFmtId="0" fontId="47" fillId="2" borderId="133" xfId="4" applyFont="1" applyFill="1" applyBorder="1" applyAlignment="1">
      <alignment horizontal="center" vertical="center"/>
    </xf>
    <xf numFmtId="0" fontId="47" fillId="2" borderId="0" xfId="4" applyFont="1" applyFill="1" applyBorder="1" applyAlignment="1">
      <alignment horizontal="center" vertical="center"/>
    </xf>
    <xf numFmtId="43" fontId="47" fillId="2" borderId="0" xfId="6" applyFont="1" applyFill="1" applyBorder="1" applyAlignment="1">
      <alignment horizontal="center" vertical="top"/>
    </xf>
    <xf numFmtId="0" fontId="47" fillId="2" borderId="47" xfId="4" applyFont="1" applyFill="1" applyBorder="1" applyAlignment="1">
      <alignment horizontal="center" vertical="top"/>
    </xf>
    <xf numFmtId="182" fontId="47" fillId="2" borderId="0" xfId="4" applyNumberFormat="1" applyFont="1" applyFill="1" applyAlignment="1">
      <alignment vertical="top"/>
    </xf>
    <xf numFmtId="0" fontId="47" fillId="2" borderId="58" xfId="4" applyFont="1" applyFill="1" applyBorder="1" applyAlignment="1">
      <alignment horizontal="center" vertical="top"/>
    </xf>
    <xf numFmtId="0" fontId="47" fillId="2" borderId="59" xfId="4" applyFont="1" applyFill="1" applyBorder="1" applyAlignment="1">
      <alignment horizontal="center" vertical="top"/>
    </xf>
    <xf numFmtId="0" fontId="47" fillId="2" borderId="93" xfId="4" applyFont="1" applyFill="1" applyBorder="1" applyAlignment="1">
      <alignment horizontal="center" vertical="top"/>
    </xf>
    <xf numFmtId="186" fontId="47" fillId="2" borderId="95" xfId="4" applyNumberFormat="1" applyFont="1" applyFill="1" applyBorder="1" applyAlignment="1">
      <alignment horizontal="center" vertical="top"/>
    </xf>
    <xf numFmtId="0" fontId="47" fillId="2" borderId="95" xfId="4" applyFont="1" applyFill="1" applyBorder="1" applyAlignment="1">
      <alignment horizontal="center" vertical="top"/>
    </xf>
    <xf numFmtId="175" fontId="47" fillId="0" borderId="95" xfId="4" applyNumberFormat="1" applyFont="1" applyFill="1" applyBorder="1" applyAlignment="1">
      <alignment horizontal="center" vertical="top"/>
    </xf>
    <xf numFmtId="0" fontId="51" fillId="2" borderId="95" xfId="4" applyFont="1" applyFill="1" applyBorder="1" applyAlignment="1">
      <alignment horizontal="center" vertical="top"/>
    </xf>
    <xf numFmtId="0" fontId="47" fillId="2" borderId="95" xfId="4" applyNumberFormat="1" applyFont="1" applyFill="1" applyBorder="1" applyAlignment="1">
      <alignment horizontal="center" vertical="top"/>
    </xf>
    <xf numFmtId="0" fontId="47" fillId="2" borderId="62" xfId="4" applyFont="1" applyFill="1" applyBorder="1" applyAlignment="1">
      <alignment horizontal="center" vertical="top"/>
    </xf>
    <xf numFmtId="0" fontId="47" fillId="2" borderId="0" xfId="4" applyFont="1" applyFill="1" applyBorder="1" applyAlignment="1">
      <alignment horizontal="center" vertical="top"/>
    </xf>
    <xf numFmtId="0" fontId="47" fillId="2" borderId="0" xfId="4" applyFont="1" applyFill="1" applyAlignment="1">
      <alignment horizontal="center" vertical="top"/>
    </xf>
    <xf numFmtId="166" fontId="47" fillId="2" borderId="0" xfId="4" applyNumberFormat="1" applyFont="1" applyFill="1" applyAlignment="1">
      <alignment horizontal="center" vertical="top"/>
    </xf>
    <xf numFmtId="183" fontId="45" fillId="0" borderId="118" xfId="0" applyNumberFormat="1" applyFont="1" applyBorder="1" applyAlignment="1">
      <alignment horizontal="left"/>
    </xf>
    <xf numFmtId="0" fontId="4" fillId="2" borderId="0" xfId="1" applyFont="1" applyFill="1" applyAlignment="1">
      <alignment horizontal="center" vertical="center"/>
    </xf>
    <xf numFmtId="186" fontId="4" fillId="2" borderId="8" xfId="2" applyNumberFormat="1" applyFont="1" applyFill="1" applyBorder="1"/>
    <xf numFmtId="0" fontId="2" fillId="2" borderId="0" xfId="1" applyFill="1" applyAlignment="1">
      <alignment horizontal="right"/>
    </xf>
    <xf numFmtId="0" fontId="7" fillId="0" borderId="0" xfId="1" applyFont="1"/>
    <xf numFmtId="9" fontId="0" fillId="0" borderId="0" xfId="26" applyFont="1"/>
    <xf numFmtId="2" fontId="45" fillId="3" borderId="118" xfId="0" applyNumberFormat="1" applyFont="1" applyFill="1" applyBorder="1" applyAlignment="1">
      <alignment horizontal="center"/>
    </xf>
    <xf numFmtId="2" fontId="45" fillId="5" borderId="118" xfId="0" applyNumberFormat="1" applyFont="1" applyFill="1" applyBorder="1" applyAlignment="1">
      <alignment horizontal="center"/>
    </xf>
    <xf numFmtId="175" fontId="45" fillId="5" borderId="118" xfId="0" applyNumberFormat="1" applyFont="1" applyFill="1" applyBorder="1" applyAlignment="1">
      <alignment horizontal="center"/>
    </xf>
    <xf numFmtId="2" fontId="45" fillId="5" borderId="119" xfId="0" applyNumberFormat="1" applyFont="1" applyFill="1" applyBorder="1" applyAlignment="1">
      <alignment horizontal="center"/>
    </xf>
    <xf numFmtId="2" fontId="2" fillId="2" borderId="8" xfId="1" applyNumberFormat="1" applyFill="1" applyBorder="1"/>
    <xf numFmtId="0" fontId="2" fillId="9" borderId="0" xfId="1" applyFill="1"/>
    <xf numFmtId="2" fontId="2" fillId="9" borderId="0" xfId="4" applyNumberFormat="1" applyFont="1" applyFill="1">
      <alignment vertical="top" wrapText="1"/>
    </xf>
    <xf numFmtId="173" fontId="4" fillId="9" borderId="8" xfId="2" applyNumberFormat="1" applyFont="1" applyFill="1" applyBorder="1"/>
    <xf numFmtId="0" fontId="2" fillId="9" borderId="0" xfId="1" applyFill="1" applyAlignment="1">
      <alignment horizontal="right"/>
    </xf>
    <xf numFmtId="43" fontId="4" fillId="9" borderId="8" xfId="2" applyFont="1" applyFill="1" applyBorder="1"/>
    <xf numFmtId="2" fontId="2" fillId="3" borderId="0" xfId="4" applyNumberFormat="1" applyFont="1" applyFill="1">
      <alignment vertical="top" wrapText="1"/>
    </xf>
    <xf numFmtId="173" fontId="46" fillId="0" borderId="135" xfId="2" applyNumberFormat="1" applyFont="1" applyFill="1" applyBorder="1" applyAlignment="1" applyProtection="1">
      <alignment horizontal="center" vertical="center"/>
    </xf>
    <xf numFmtId="39" fontId="46" fillId="0" borderId="136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2" fillId="2" borderId="137" xfId="1" applyFill="1" applyBorder="1"/>
    <xf numFmtId="0" fontId="2" fillId="2" borderId="138" xfId="1" applyFill="1" applyBorder="1"/>
    <xf numFmtId="0" fontId="2" fillId="2" borderId="139" xfId="1" applyFill="1" applyBorder="1"/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 vertical="center" wrapText="1"/>
    </xf>
    <xf numFmtId="0" fontId="4" fillId="9" borderId="0" xfId="1" applyFont="1" applyFill="1" applyAlignment="1">
      <alignment horizontal="center"/>
    </xf>
    <xf numFmtId="43" fontId="14" fillId="0" borderId="0" xfId="6" applyFont="1" applyBorder="1" applyAlignment="1">
      <alignment vertical="center"/>
    </xf>
    <xf numFmtId="173" fontId="0" fillId="0" borderId="0" xfId="0" applyNumberFormat="1"/>
    <xf numFmtId="43" fontId="54" fillId="0" borderId="0" xfId="0" applyNumberFormat="1" applyFont="1"/>
    <xf numFmtId="4" fontId="55" fillId="0" borderId="3" xfId="0" applyNumberFormat="1" applyFont="1" applyBorder="1" applyAlignment="1">
      <alignment horizontal="right" vertical="center"/>
    </xf>
    <xf numFmtId="173" fontId="51" fillId="2" borderId="95" xfId="4" applyNumberFormat="1" applyFont="1" applyFill="1" applyBorder="1" applyAlignment="1">
      <alignment horizontal="center" vertical="top"/>
    </xf>
    <xf numFmtId="187" fontId="45" fillId="0" borderId="118" xfId="5" applyNumberFormat="1" applyFont="1" applyFill="1" applyBorder="1" applyAlignment="1" applyProtection="1">
      <alignment horizontal="center"/>
    </xf>
    <xf numFmtId="175" fontId="45" fillId="3" borderId="118" xfId="0" applyNumberFormat="1" applyFont="1" applyFill="1" applyBorder="1" applyAlignment="1">
      <alignment horizontal="center"/>
    </xf>
    <xf numFmtId="175" fontId="45" fillId="2" borderId="118" xfId="0" applyNumberFormat="1" applyFont="1" applyFill="1" applyBorder="1" applyAlignment="1">
      <alignment horizontal="center"/>
    </xf>
    <xf numFmtId="2" fontId="45" fillId="2" borderId="118" xfId="0" applyNumberFormat="1" applyFont="1" applyFill="1" applyBorder="1" applyAlignment="1">
      <alignment horizontal="center"/>
    </xf>
    <xf numFmtId="182" fontId="45" fillId="2" borderId="118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30" fillId="2" borderId="0" xfId="12" applyFont="1" applyFill="1" applyAlignment="1">
      <alignment horizontal="center" vertical="center"/>
    </xf>
    <xf numFmtId="0" fontId="30" fillId="2" borderId="42" xfId="12" applyFont="1" applyFill="1" applyBorder="1" applyAlignment="1">
      <alignment horizontal="center" vertical="center"/>
    </xf>
    <xf numFmtId="0" fontId="30" fillId="2" borderId="44" xfId="12" applyFont="1" applyFill="1" applyBorder="1" applyAlignment="1">
      <alignment horizontal="center" vertical="center"/>
    </xf>
    <xf numFmtId="0" fontId="33" fillId="2" borderId="76" xfId="12" applyFont="1" applyFill="1" applyBorder="1" applyAlignment="1">
      <alignment horizontal="center" vertical="center"/>
    </xf>
    <xf numFmtId="0" fontId="33" fillId="2" borderId="77" xfId="12" applyFont="1" applyFill="1" applyBorder="1" applyAlignment="1">
      <alignment horizontal="center" vertical="center"/>
    </xf>
    <xf numFmtId="0" fontId="33" fillId="2" borderId="78" xfId="12" applyFont="1" applyFill="1" applyBorder="1" applyAlignment="1">
      <alignment horizontal="center" vertical="center"/>
    </xf>
    <xf numFmtId="0" fontId="30" fillId="2" borderId="5" xfId="12" applyFont="1" applyFill="1" applyBorder="1" applyAlignment="1">
      <alignment horizontal="center" vertical="center"/>
    </xf>
    <xf numFmtId="0" fontId="30" fillId="2" borderId="9" xfId="12" applyFont="1" applyFill="1" applyBorder="1" applyAlignment="1">
      <alignment horizontal="center" vertical="center"/>
    </xf>
    <xf numFmtId="0" fontId="30" fillId="2" borderId="6" xfId="12" applyFont="1" applyFill="1" applyBorder="1" applyAlignment="1">
      <alignment horizontal="center" vertical="center"/>
    </xf>
    <xf numFmtId="0" fontId="30" fillId="2" borderId="7" xfId="12" applyFont="1" applyFill="1" applyBorder="1" applyAlignment="1">
      <alignment horizontal="center" vertical="center"/>
    </xf>
    <xf numFmtId="0" fontId="30" fillId="2" borderId="10" xfId="12" applyFont="1" applyFill="1" applyBorder="1" applyAlignment="1">
      <alignment horizontal="center" vertical="center"/>
    </xf>
    <xf numFmtId="0" fontId="30" fillId="2" borderId="12" xfId="12" applyFont="1" applyFill="1" applyBorder="1" applyAlignment="1">
      <alignment horizontal="center" vertical="center"/>
    </xf>
    <xf numFmtId="0" fontId="30" fillId="2" borderId="8" xfId="12" applyFont="1" applyFill="1" applyBorder="1" applyAlignment="1">
      <alignment horizontal="center" vertical="center"/>
    </xf>
    <xf numFmtId="0" fontId="30" fillId="2" borderId="13" xfId="12" applyFont="1" applyFill="1" applyBorder="1" applyAlignment="1">
      <alignment horizontal="center" vertical="center"/>
    </xf>
    <xf numFmtId="0" fontId="33" fillId="2" borderId="3" xfId="12" applyFont="1" applyFill="1" applyBorder="1" applyAlignment="1">
      <alignment horizontal="center" vertical="center"/>
    </xf>
    <xf numFmtId="0" fontId="33" fillId="2" borderId="41" xfId="12" applyFont="1" applyFill="1" applyBorder="1" applyAlignment="1">
      <alignment horizontal="center" vertical="center"/>
    </xf>
    <xf numFmtId="0" fontId="30" fillId="2" borderId="1" xfId="12" applyFont="1" applyFill="1" applyBorder="1" applyAlignment="1">
      <alignment horizontal="center" vertical="center"/>
    </xf>
    <xf numFmtId="0" fontId="30" fillId="2" borderId="2" xfId="12" applyFont="1" applyFill="1" applyBorder="1" applyAlignment="1">
      <alignment horizontal="center" vertical="center"/>
    </xf>
    <xf numFmtId="0" fontId="30" fillId="2" borderId="79" xfId="12" applyFont="1" applyFill="1" applyBorder="1" applyAlignment="1">
      <alignment horizontal="center" vertical="center"/>
    </xf>
    <xf numFmtId="0" fontId="30" fillId="2" borderId="4" xfId="12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6" fillId="0" borderId="98" xfId="0" applyFont="1" applyBorder="1" applyAlignment="1">
      <alignment horizontal="center" vertical="center"/>
    </xf>
    <xf numFmtId="0" fontId="47" fillId="0" borderId="3" xfId="0" applyFont="1" applyBorder="1" applyAlignment="1">
      <alignment vertical="top" wrapText="1"/>
    </xf>
    <xf numFmtId="0" fontId="47" fillId="0" borderId="107" xfId="0" applyFont="1" applyBorder="1" applyAlignment="1">
      <alignment vertical="top" wrapText="1"/>
    </xf>
    <xf numFmtId="0" fontId="47" fillId="0" borderId="99" xfId="0" applyFont="1" applyBorder="1" applyAlignment="1">
      <alignment vertical="top" wrapText="1"/>
    </xf>
    <xf numFmtId="0" fontId="47" fillId="0" borderId="0" xfId="0" applyFont="1" applyAlignment="1">
      <alignment vertical="top" wrapText="1"/>
    </xf>
    <xf numFmtId="0" fontId="47" fillId="0" borderId="108" xfId="0" applyFont="1" applyBorder="1" applyAlignment="1">
      <alignment vertical="top" wrapText="1"/>
    </xf>
    <xf numFmtId="0" fontId="47" fillId="0" borderId="110" xfId="0" applyFont="1" applyBorder="1" applyAlignment="1">
      <alignment vertical="top" wrapText="1"/>
    </xf>
    <xf numFmtId="0" fontId="47" fillId="0" borderId="111" xfId="0" applyFont="1" applyBorder="1" applyAlignment="1">
      <alignment vertical="top" wrapText="1"/>
    </xf>
    <xf numFmtId="0" fontId="47" fillId="0" borderId="112" xfId="0" applyFont="1" applyBorder="1" applyAlignment="1">
      <alignment vertical="top" wrapText="1"/>
    </xf>
    <xf numFmtId="0" fontId="46" fillId="0" borderId="109" xfId="0" applyFont="1" applyBorder="1" applyAlignment="1">
      <alignment horizontal="center"/>
    </xf>
    <xf numFmtId="181" fontId="45" fillId="0" borderId="118" xfId="0" applyNumberFormat="1" applyFont="1" applyBorder="1" applyAlignment="1">
      <alignment horizontal="center"/>
    </xf>
    <xf numFmtId="0" fontId="46" fillId="0" borderId="124" xfId="0" applyFont="1" applyBorder="1" applyAlignment="1">
      <alignment horizontal="center" vertical="center"/>
    </xf>
    <xf numFmtId="0" fontId="47" fillId="0" borderId="124" xfId="0" applyFont="1" applyBorder="1" applyAlignment="1">
      <alignment vertical="top" wrapText="1"/>
    </xf>
    <xf numFmtId="171" fontId="4" fillId="2" borderId="31" xfId="4" applyNumberFormat="1" applyFont="1" applyFill="1" applyBorder="1" applyAlignment="1">
      <alignment horizontal="left" vertical="top" wrapText="1"/>
    </xf>
    <xf numFmtId="171" fontId="4" fillId="2" borderId="14" xfId="4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2" fillId="2" borderId="6" xfId="1" applyFill="1" applyBorder="1" applyAlignment="1">
      <alignment horizontal="left" wrapText="1"/>
    </xf>
    <xf numFmtId="0" fontId="2" fillId="2" borderId="0" xfId="1" applyFill="1" applyAlignment="1">
      <alignment horizontal="left" wrapText="1"/>
    </xf>
    <xf numFmtId="0" fontId="11" fillId="2" borderId="0" xfId="4" applyFont="1" applyFill="1" applyAlignment="1">
      <alignment horizontal="center" vertical="top" wrapText="1"/>
    </xf>
    <xf numFmtId="0" fontId="4" fillId="2" borderId="0" xfId="4" applyFont="1" applyFill="1" applyAlignment="1">
      <alignment horizontal="center" vertical="top" wrapText="1"/>
    </xf>
    <xf numFmtId="0" fontId="7" fillId="2" borderId="21" xfId="4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1" fontId="2" fillId="2" borderId="42" xfId="4" applyNumberFormat="1" applyFont="1" applyFill="1" applyBorder="1" applyAlignment="1">
      <alignment horizontal="left" vertical="top" wrapText="1"/>
    </xf>
    <xf numFmtId="171" fontId="2" fillId="2" borderId="44" xfId="4" applyNumberFormat="1" applyFont="1" applyFill="1" applyBorder="1" applyAlignment="1">
      <alignment horizontal="left" vertical="top" wrapText="1"/>
    </xf>
    <xf numFmtId="171" fontId="2" fillId="2" borderId="14" xfId="4" applyNumberFormat="1" applyFont="1" applyFill="1" applyBorder="1" applyAlignment="1">
      <alignment horizontal="left" vertical="top" wrapText="1"/>
    </xf>
    <xf numFmtId="171" fontId="2" fillId="2" borderId="19" xfId="4" applyNumberFormat="1" applyFont="1" applyFill="1" applyBorder="1" applyAlignment="1">
      <alignment horizontal="left" vertical="top" wrapText="1"/>
    </xf>
    <xf numFmtId="171" fontId="2" fillId="2" borderId="16" xfId="4" applyNumberFormat="1" applyFont="1" applyFill="1" applyBorder="1" applyAlignment="1">
      <alignment horizontal="left" vertical="top" wrapText="1"/>
    </xf>
    <xf numFmtId="171" fontId="2" fillId="2" borderId="17" xfId="4" applyNumberFormat="1" applyFont="1" applyFill="1" applyBorder="1" applyAlignment="1">
      <alignment horizontal="left" vertical="top" wrapText="1"/>
    </xf>
    <xf numFmtId="171" fontId="2" fillId="2" borderId="18" xfId="4" applyNumberFormat="1" applyFont="1" applyFill="1" applyBorder="1" applyAlignment="1">
      <alignment horizontal="left" vertical="top" wrapText="1"/>
    </xf>
    <xf numFmtId="171" fontId="2" fillId="2" borderId="43" xfId="4" applyNumberFormat="1" applyFont="1" applyFill="1" applyBorder="1" applyAlignment="1">
      <alignment horizontal="left" vertical="top" wrapText="1"/>
    </xf>
    <xf numFmtId="0" fontId="4" fillId="2" borderId="7" xfId="1" applyFont="1" applyFill="1" applyBorder="1" applyAlignment="1">
      <alignment horizontal="center"/>
    </xf>
    <xf numFmtId="0" fontId="2" fillId="2" borderId="70" xfId="1" applyFill="1" applyBorder="1" applyAlignment="1">
      <alignment horizontal="left" wrapText="1"/>
    </xf>
    <xf numFmtId="0" fontId="2" fillId="2" borderId="71" xfId="1" applyFill="1" applyBorder="1" applyAlignment="1">
      <alignment horizontal="left" wrapText="1"/>
    </xf>
    <xf numFmtId="0" fontId="2" fillId="2" borderId="63" xfId="1" applyFill="1" applyBorder="1" applyAlignment="1">
      <alignment horizontal="left" wrapText="1"/>
    </xf>
    <xf numFmtId="0" fontId="2" fillId="2" borderId="7" xfId="1" applyFill="1" applyBorder="1" applyAlignment="1">
      <alignment horizontal="left" wrapText="1"/>
    </xf>
    <xf numFmtId="171" fontId="4" fillId="2" borderId="102" xfId="4" applyNumberFormat="1" applyFont="1" applyFill="1" applyBorder="1" applyAlignment="1">
      <alignment horizontal="left" vertical="top" wrapText="1"/>
    </xf>
    <xf numFmtId="171" fontId="4" fillId="2" borderId="43" xfId="4" applyNumberFormat="1" applyFont="1" applyFill="1" applyBorder="1" applyAlignment="1">
      <alignment horizontal="left" vertical="top" wrapText="1"/>
    </xf>
    <xf numFmtId="171" fontId="4" fillId="2" borderId="44" xfId="4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46" xfId="0" applyFont="1" applyBorder="1" applyAlignment="1">
      <alignment horizontal="left"/>
    </xf>
    <xf numFmtId="0" fontId="16" fillId="0" borderId="3" xfId="0" applyFont="1" applyBorder="1" applyAlignment="1">
      <alignment horizontal="right" vertical="center"/>
    </xf>
    <xf numFmtId="0" fontId="12" fillId="0" borderId="9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47" fillId="4" borderId="127" xfId="4" applyFont="1" applyFill="1" applyBorder="1" applyAlignment="1">
      <alignment horizontal="center" vertical="center"/>
    </xf>
    <xf numFmtId="0" fontId="47" fillId="4" borderId="15" xfId="4" applyFont="1" applyFill="1" applyBorder="1" applyAlignment="1">
      <alignment horizontal="center" vertical="center"/>
    </xf>
    <xf numFmtId="0" fontId="47" fillId="4" borderId="105" xfId="4" applyFont="1" applyFill="1" applyBorder="1" applyAlignment="1">
      <alignment horizontal="center" vertical="center"/>
    </xf>
    <xf numFmtId="0" fontId="47" fillId="4" borderId="19" xfId="4" applyFont="1" applyFill="1" applyBorder="1" applyAlignment="1">
      <alignment horizontal="center" vertical="center"/>
    </xf>
    <xf numFmtId="0" fontId="47" fillId="4" borderId="104" xfId="4" applyFont="1" applyFill="1" applyBorder="1" applyAlignment="1">
      <alignment horizontal="center" vertical="center"/>
    </xf>
    <xf numFmtId="0" fontId="47" fillId="0" borderId="125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47" fillId="2" borderId="47" xfId="4" applyFont="1" applyFill="1" applyBorder="1" applyAlignment="1">
      <alignment vertical="top"/>
    </xf>
    <xf numFmtId="0" fontId="47" fillId="2" borderId="48" xfId="4" applyFont="1" applyFill="1" applyBorder="1" applyAlignment="1">
      <alignment vertical="top"/>
    </xf>
    <xf numFmtId="43" fontId="47" fillId="2" borderId="30" xfId="6" applyFont="1" applyFill="1" applyBorder="1" applyAlignment="1">
      <alignment horizontal="center" vertical="top"/>
    </xf>
    <xf numFmtId="0" fontId="47" fillId="2" borderId="49" xfId="4" applyFont="1" applyFill="1" applyBorder="1" applyAlignment="1">
      <alignment horizontal="center" vertical="top"/>
    </xf>
    <xf numFmtId="0" fontId="47" fillId="0" borderId="64" xfId="4" applyFont="1" applyFill="1" applyBorder="1" applyAlignment="1">
      <alignment horizontal="center" vertical="top"/>
    </xf>
    <xf numFmtId="186" fontId="47" fillId="2" borderId="29" xfId="6" applyNumberFormat="1" applyFont="1" applyFill="1" applyBorder="1" applyAlignment="1">
      <alignment horizontal="center" vertical="top"/>
    </xf>
    <xf numFmtId="173" fontId="47" fillId="2" borderId="29" xfId="6" applyNumberFormat="1" applyFont="1" applyFill="1" applyBorder="1" applyAlignment="1">
      <alignment horizontal="center" vertical="top"/>
    </xf>
    <xf numFmtId="43" fontId="47" fillId="0" borderId="29" xfId="6" applyFont="1" applyFill="1" applyBorder="1" applyAlignment="1">
      <alignment horizontal="center" vertical="top"/>
    </xf>
    <xf numFmtId="173" fontId="47" fillId="0" borderId="29" xfId="6" applyNumberFormat="1" applyFont="1" applyFill="1" applyBorder="1" applyAlignment="1">
      <alignment horizontal="center" vertical="top"/>
    </xf>
    <xf numFmtId="0" fontId="47" fillId="0" borderId="29" xfId="6" applyNumberFormat="1" applyFont="1" applyFill="1" applyBorder="1" applyAlignment="1">
      <alignment horizontal="center" vertical="top"/>
    </xf>
    <xf numFmtId="0" fontId="47" fillId="2" borderId="64" xfId="4" applyFont="1" applyFill="1" applyBorder="1" applyAlignment="1">
      <alignment horizontal="center" vertical="top"/>
    </xf>
    <xf numFmtId="43" fontId="47" fillId="2" borderId="29" xfId="6" applyFont="1" applyFill="1" applyBorder="1" applyAlignment="1">
      <alignment horizontal="center" vertical="top"/>
    </xf>
    <xf numFmtId="0" fontId="47" fillId="2" borderId="29" xfId="6" applyNumberFormat="1" applyFont="1" applyFill="1" applyBorder="1" applyAlignment="1">
      <alignment horizontal="center" vertical="top"/>
    </xf>
    <xf numFmtId="186" fontId="47" fillId="2" borderId="29" xfId="6" applyNumberFormat="1" applyFont="1" applyFill="1" applyBorder="1" applyAlignment="1">
      <alignment horizontal="center" vertical="top"/>
    </xf>
    <xf numFmtId="2" fontId="45" fillId="2" borderId="118" xfId="0" applyNumberFormat="1" applyFont="1" applyFill="1" applyBorder="1" applyAlignment="1">
      <alignment horizontal="center"/>
    </xf>
    <xf numFmtId="186" fontId="47" fillId="2" borderId="80" xfId="6" applyNumberFormat="1" applyFont="1" applyFill="1" applyBorder="1" applyAlignment="1">
      <alignment horizontal="center" vertical="top"/>
    </xf>
  </cellXfs>
  <cellStyles count="30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" xfId="28" xr:uid="{C8AE6226-B0AD-47FE-8B4A-D1344DCAFF9B}"/>
    <cellStyle name="Comma 4 2 2" xfId="16" xr:uid="{F3BCA0CA-D539-4F35-9D20-1FC95E3CCDA0}"/>
    <cellStyle name="Comma 4 2 2 2" xfId="17" xr:uid="{68F31D12-4A84-4144-B1DA-7C954862D7AA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29 2" xfId="27" xr:uid="{98E942CB-7D39-4D88-AC9A-47B62AD323B9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cent 2 2" xfId="29" xr:uid="{9557020B-F32B-492F-B988-B05484AD1183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5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359019</xdr:colOff>
      <xdr:row>36</xdr:row>
      <xdr:rowOff>190500</xdr:rowOff>
    </xdr:from>
    <xdr:to>
      <xdr:col>3</xdr:col>
      <xdr:colOff>776654</xdr:colOff>
      <xdr:row>43</xdr:row>
      <xdr:rowOff>124558</xdr:rowOff>
    </xdr:to>
    <xdr:sp macro="" textlink="">
      <xdr:nvSpPr>
        <xdr:cNvPr id="15" name="Trapezoid 14">
          <a:extLst>
            <a:ext uri="{FF2B5EF4-FFF2-40B4-BE49-F238E27FC236}">
              <a16:creationId xmlns:a16="http://schemas.microsoft.com/office/drawing/2014/main" id="{A98B0860-BD7C-4D63-1CEA-A0B7CB3C296E}"/>
            </a:ext>
          </a:extLst>
        </xdr:cNvPr>
        <xdr:cNvSpPr/>
      </xdr:nvSpPr>
      <xdr:spPr>
        <a:xfrm>
          <a:off x="967154" y="7129096"/>
          <a:ext cx="1743808" cy="127488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20514</xdr:colOff>
      <xdr:row>43</xdr:row>
      <xdr:rowOff>137746</xdr:rowOff>
    </xdr:from>
    <xdr:to>
      <xdr:col>3</xdr:col>
      <xdr:colOff>1106364</xdr:colOff>
      <xdr:row>50</xdr:row>
      <xdr:rowOff>79131</xdr:rowOff>
    </xdr:to>
    <xdr:sp macro="" textlink="">
      <xdr:nvSpPr>
        <xdr:cNvPr id="17" name="Trapezoid 16">
          <a:extLst>
            <a:ext uri="{FF2B5EF4-FFF2-40B4-BE49-F238E27FC236}">
              <a16:creationId xmlns:a16="http://schemas.microsoft.com/office/drawing/2014/main" id="{375C7E0A-8FD6-4686-8C69-6FC237B4EA37}"/>
            </a:ext>
          </a:extLst>
        </xdr:cNvPr>
        <xdr:cNvSpPr/>
      </xdr:nvSpPr>
      <xdr:spPr>
        <a:xfrm>
          <a:off x="628649" y="8417169"/>
          <a:ext cx="2412023" cy="1274885"/>
        </a:xfrm>
        <a:prstGeom prst="trapezoid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307731</xdr:colOff>
      <xdr:row>35</xdr:row>
      <xdr:rowOff>87923</xdr:rowOff>
    </xdr:from>
    <xdr:to>
      <xdr:col>3</xdr:col>
      <xdr:colOff>87923</xdr:colOff>
      <xdr:row>36</xdr:row>
      <xdr:rowOff>146538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05907-1042-B2BF-C6FF-C2FE968756BA}"/>
            </a:ext>
          </a:extLst>
        </xdr:cNvPr>
        <xdr:cNvSpPr txBox="1"/>
      </xdr:nvSpPr>
      <xdr:spPr>
        <a:xfrm>
          <a:off x="1633904" y="6828692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B2</a:t>
          </a:r>
          <a:endParaRPr lang="id-ID" sz="1100"/>
        </a:p>
      </xdr:txBody>
    </xdr:sp>
    <xdr:clientData/>
  </xdr:twoCellAnchor>
  <xdr:twoCellAnchor>
    <xdr:from>
      <xdr:col>2</xdr:col>
      <xdr:colOff>291611</xdr:colOff>
      <xdr:row>42</xdr:row>
      <xdr:rowOff>36635</xdr:rowOff>
    </xdr:from>
    <xdr:to>
      <xdr:col>3</xdr:col>
      <xdr:colOff>73269</xdr:colOff>
      <xdr:row>43</xdr:row>
      <xdr:rowOff>93785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4206DE-FE2A-4A34-9616-6204FA6A1435}"/>
            </a:ext>
          </a:extLst>
        </xdr:cNvPr>
        <xdr:cNvSpPr txBox="1"/>
      </xdr:nvSpPr>
      <xdr:spPr>
        <a:xfrm>
          <a:off x="1617784" y="8125558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B1</a:t>
          </a:r>
          <a:endParaRPr lang="id-ID" sz="1100"/>
        </a:p>
      </xdr:txBody>
    </xdr:sp>
    <xdr:clientData/>
  </xdr:twoCellAnchor>
  <xdr:twoCellAnchor>
    <xdr:from>
      <xdr:col>2</xdr:col>
      <xdr:colOff>275492</xdr:colOff>
      <xdr:row>48</xdr:row>
      <xdr:rowOff>167054</xdr:rowOff>
    </xdr:from>
    <xdr:to>
      <xdr:col>3</xdr:col>
      <xdr:colOff>57150</xdr:colOff>
      <xdr:row>50</xdr:row>
      <xdr:rowOff>33704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BE2C29-45F6-4348-816B-2B9FD4D679CB}"/>
            </a:ext>
          </a:extLst>
        </xdr:cNvPr>
        <xdr:cNvSpPr txBox="1"/>
      </xdr:nvSpPr>
      <xdr:spPr>
        <a:xfrm>
          <a:off x="1601665" y="9398977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B3</a:t>
          </a:r>
          <a:endParaRPr lang="id-ID" sz="1100"/>
        </a:p>
      </xdr:txBody>
    </xdr:sp>
    <xdr:clientData/>
  </xdr:twoCellAnchor>
  <xdr:twoCellAnchor>
    <xdr:from>
      <xdr:col>3</xdr:col>
      <xdr:colOff>857249</xdr:colOff>
      <xdr:row>36</xdr:row>
      <xdr:rowOff>183173</xdr:rowOff>
    </xdr:from>
    <xdr:to>
      <xdr:col>3</xdr:col>
      <xdr:colOff>857249</xdr:colOff>
      <xdr:row>43</xdr:row>
      <xdr:rowOff>109904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5DD23EB-DEDC-9DF5-004E-54DD0DD12768}"/>
            </a:ext>
          </a:extLst>
        </xdr:cNvPr>
        <xdr:cNvCxnSpPr/>
      </xdr:nvCxnSpPr>
      <xdr:spPr>
        <a:xfrm>
          <a:off x="2791557" y="7121769"/>
          <a:ext cx="0" cy="126755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1229456</xdr:colOff>
      <xdr:row>43</xdr:row>
      <xdr:rowOff>139212</xdr:rowOff>
    </xdr:from>
    <xdr:to>
      <xdr:col>3</xdr:col>
      <xdr:colOff>1229456</xdr:colOff>
      <xdr:row>50</xdr:row>
      <xdr:rowOff>79131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360EC7-D053-45BF-A800-020CF8E0517C}"/>
            </a:ext>
          </a:extLst>
        </xdr:cNvPr>
        <xdr:cNvCxnSpPr/>
      </xdr:nvCxnSpPr>
      <xdr:spPr>
        <a:xfrm>
          <a:off x="3163764" y="8418635"/>
          <a:ext cx="0" cy="12734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943708</xdr:colOff>
      <xdr:row>38</xdr:row>
      <xdr:rowOff>174380</xdr:rowOff>
    </xdr:from>
    <xdr:to>
      <xdr:col>4</xdr:col>
      <xdr:colOff>71805</xdr:colOff>
      <xdr:row>40</xdr:row>
      <xdr:rowOff>49822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717CE98-E762-4DB7-A9D5-5B0EEFAC7F06}"/>
            </a:ext>
          </a:extLst>
        </xdr:cNvPr>
        <xdr:cNvSpPr txBox="1"/>
      </xdr:nvSpPr>
      <xdr:spPr>
        <a:xfrm>
          <a:off x="2878016" y="750130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</a:t>
          </a:r>
          <a:endParaRPr lang="id-ID" sz="1100"/>
        </a:p>
      </xdr:txBody>
    </xdr:sp>
    <xdr:clientData/>
  </xdr:twoCellAnchor>
  <xdr:twoCellAnchor>
    <xdr:from>
      <xdr:col>4</xdr:col>
      <xdr:colOff>33705</xdr:colOff>
      <xdr:row>46</xdr:row>
      <xdr:rowOff>41030</xdr:rowOff>
    </xdr:from>
    <xdr:to>
      <xdr:col>4</xdr:col>
      <xdr:colOff>422032</xdr:colOff>
      <xdr:row>47</xdr:row>
      <xdr:rowOff>106972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C84A2C-F2B4-491A-9F13-69BB4EE5ED31}"/>
            </a:ext>
          </a:extLst>
        </xdr:cNvPr>
        <xdr:cNvSpPr txBox="1"/>
      </xdr:nvSpPr>
      <xdr:spPr>
        <a:xfrm>
          <a:off x="3228243" y="889195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H'</a:t>
          </a:r>
          <a:endParaRPr lang="id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992" y="8713323"/>
          <a:ext cx="6976904" cy="8947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608452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Data%20Anis/UPTD/Data%20Anis/Data%20USB/Data/Konsultan/Profil%20Teknik/Penawaran/PBB/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_POLISI%20ISTIMEWA/LAIN2/fhm/2.%20Al.%20Hikmah/08.%20AL%20HIKMA%20SBY/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wnloads\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\JKE69\WAR%202020\LAPORAN%20GEDUNG\KB%20TUNAS%20HARAPAN\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2016\LAIN%20-%20LAIN\PENINGKATAN%20JALAN%20TAMBAKROMO-KAWENGAN\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U%202015\jembatan%20ngaglik\SKA\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HSPK%202011/Ummah's/Penawaran%20umum/psr/My%20Documents/tahun%202001/Agus/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ENCANAAN%20LUAR/2008/sukolilo/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PROYEK%20KANTOR/PENGAWASAN/2012/dispenduk%20capil/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821\Downloads\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603" t="s">
        <v>204</v>
      </c>
      <c r="D2" s="603"/>
      <c r="E2" s="603"/>
      <c r="F2" s="603"/>
      <c r="G2" s="603"/>
      <c r="H2" s="603"/>
      <c r="I2" s="603"/>
      <c r="J2" s="603"/>
      <c r="O2" s="603" t="s">
        <v>615</v>
      </c>
      <c r="P2" s="603"/>
      <c r="Q2" s="603"/>
      <c r="R2" s="603"/>
      <c r="S2" s="603"/>
      <c r="T2" s="603"/>
      <c r="U2" s="603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604" t="s">
        <v>176</v>
      </c>
      <c r="D107" s="605"/>
      <c r="E107" s="605"/>
      <c r="F107" s="605"/>
      <c r="G107" s="605"/>
      <c r="H107" s="605"/>
      <c r="I107" s="606"/>
      <c r="J107" s="204">
        <f>SUM(J16:J106)</f>
        <v>85843.75</v>
      </c>
      <c r="O107" s="604" t="s">
        <v>176</v>
      </c>
      <c r="P107" s="605"/>
      <c r="Q107" s="605"/>
      <c r="R107" s="605"/>
      <c r="S107" s="606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610" t="s">
        <v>309</v>
      </c>
      <c r="D5" s="611"/>
      <c r="E5" s="611"/>
      <c r="F5" s="611"/>
      <c r="G5" s="611"/>
      <c r="H5" s="611"/>
      <c r="I5" s="611"/>
      <c r="J5" s="611"/>
      <c r="K5" s="611"/>
      <c r="L5" s="612"/>
      <c r="M5" s="216"/>
    </row>
    <row r="6" spans="3:16" x14ac:dyDescent="0.25">
      <c r="C6" s="623" t="s">
        <v>2</v>
      </c>
      <c r="D6" s="624" t="s">
        <v>3</v>
      </c>
      <c r="E6" s="625"/>
      <c r="F6" s="625" t="s">
        <v>310</v>
      </c>
      <c r="G6" s="624" t="s">
        <v>311</v>
      </c>
      <c r="H6" s="625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14"/>
      <c r="D7" s="617"/>
      <c r="E7" s="618"/>
      <c r="F7" s="618"/>
      <c r="G7" s="617" t="s">
        <v>315</v>
      </c>
      <c r="H7" s="618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608">
        <v>2</v>
      </c>
      <c r="E8" s="609"/>
      <c r="F8" s="224">
        <v>3</v>
      </c>
      <c r="G8" s="608">
        <v>4</v>
      </c>
      <c r="H8" s="609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610" t="s">
        <v>556</v>
      </c>
      <c r="D167" s="611"/>
      <c r="E167" s="611"/>
      <c r="F167" s="611"/>
      <c r="G167" s="611"/>
      <c r="H167" s="611"/>
      <c r="I167" s="621"/>
      <c r="J167" s="621"/>
      <c r="K167" s="621"/>
      <c r="L167" s="622"/>
      <c r="M167" s="216"/>
    </row>
    <row r="168" spans="3:15" x14ac:dyDescent="0.25">
      <c r="C168" s="623" t="s">
        <v>2</v>
      </c>
      <c r="D168" s="624" t="s">
        <v>3</v>
      </c>
      <c r="E168" s="625"/>
      <c r="F168" s="626" t="s">
        <v>310</v>
      </c>
      <c r="G168" s="624" t="s">
        <v>557</v>
      </c>
      <c r="H168" s="625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14"/>
      <c r="D169" s="617"/>
      <c r="E169" s="618"/>
      <c r="F169" s="620"/>
      <c r="G169" s="617"/>
      <c r="H169" s="618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608">
        <v>2</v>
      </c>
      <c r="E170" s="609"/>
      <c r="F170" s="329">
        <v>3</v>
      </c>
      <c r="G170" s="608">
        <v>4</v>
      </c>
      <c r="H170" s="609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610" t="s">
        <v>599</v>
      </c>
      <c r="D204" s="611"/>
      <c r="E204" s="611"/>
      <c r="F204" s="611"/>
      <c r="G204" s="611"/>
      <c r="H204" s="611"/>
      <c r="I204" s="611"/>
      <c r="J204" s="611"/>
      <c r="K204" s="611"/>
      <c r="L204" s="612"/>
      <c r="M204" s="216"/>
    </row>
    <row r="205" spans="3:13" x14ac:dyDescent="0.25">
      <c r="C205" s="613" t="s">
        <v>2</v>
      </c>
      <c r="D205" s="615" t="s">
        <v>3</v>
      </c>
      <c r="E205" s="616"/>
      <c r="F205" s="619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14"/>
      <c r="D206" s="617"/>
      <c r="E206" s="618"/>
      <c r="F206" s="620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608">
        <v>2</v>
      </c>
      <c r="E207" s="609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607"/>
      <c r="D221" s="607"/>
      <c r="E221" s="607"/>
      <c r="F221" s="607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607"/>
      <c r="D222" s="607"/>
      <c r="E222" s="607"/>
      <c r="F222" s="607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607"/>
      <c r="E223" s="607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607"/>
      <c r="D232" s="607"/>
      <c r="E232" s="607"/>
      <c r="F232" s="607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607"/>
      <c r="D233" s="607"/>
      <c r="E233" s="607"/>
      <c r="F233" s="607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607"/>
      <c r="E234" s="607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607"/>
      <c r="D243" s="607"/>
      <c r="E243" s="607"/>
      <c r="F243" s="607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607"/>
      <c r="D244" s="607"/>
      <c r="E244" s="607"/>
      <c r="F244" s="607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607"/>
      <c r="E245" s="607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607"/>
      <c r="D254" s="607"/>
      <c r="E254" s="607"/>
      <c r="F254" s="607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607"/>
      <c r="D255" s="607"/>
      <c r="E255" s="607"/>
      <c r="F255" s="607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607"/>
      <c r="E256" s="607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607"/>
      <c r="E260" s="607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607"/>
      <c r="E264" s="607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C5:L5"/>
    <mergeCell ref="C6:C7"/>
    <mergeCell ref="D6:E7"/>
    <mergeCell ref="F6:F7"/>
    <mergeCell ref="G6:H6"/>
    <mergeCell ref="G7:H7"/>
    <mergeCell ref="D8:E8"/>
    <mergeCell ref="G8:H8"/>
    <mergeCell ref="C167:L167"/>
    <mergeCell ref="C168:C169"/>
    <mergeCell ref="D168:E169"/>
    <mergeCell ref="F168:F169"/>
    <mergeCell ref="G168:H169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F243:F244"/>
    <mergeCell ref="D245:E245"/>
    <mergeCell ref="C254:C255"/>
    <mergeCell ref="D254:E255"/>
    <mergeCell ref="F254:F255"/>
    <mergeCell ref="D256:E256"/>
    <mergeCell ref="D260:E260"/>
    <mergeCell ref="D264:E264"/>
    <mergeCell ref="D234:E234"/>
    <mergeCell ref="C243:C244"/>
    <mergeCell ref="D243:E244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zoomScale="85" zoomScaleNormal="85" zoomScaleSheetLayoutView="85" workbookViewId="0">
      <selection activeCell="H15" sqref="H15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27" t="s">
        <v>721</v>
      </c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">
        <v>736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">
        <v>737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28" t="s">
        <v>665</v>
      </c>
      <c r="C7" s="629"/>
      <c r="D7" s="630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31"/>
      <c r="C8" s="632"/>
      <c r="D8" s="633"/>
      <c r="E8" s="637" t="s">
        <v>667</v>
      </c>
      <c r="F8" s="632"/>
      <c r="G8" s="632"/>
      <c r="H8" s="632"/>
      <c r="I8" s="632"/>
      <c r="J8" s="632"/>
      <c r="K8" s="632"/>
      <c r="L8" s="632"/>
      <c r="M8" s="632"/>
      <c r="N8" s="632"/>
      <c r="O8" s="492" t="s">
        <v>668</v>
      </c>
    </row>
    <row r="9" spans="2:15" ht="15.75" thickBot="1" x14ac:dyDescent="0.3">
      <c r="B9" s="634"/>
      <c r="C9" s="635"/>
      <c r="D9" s="636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740</v>
      </c>
      <c r="F13" s="506" t="s">
        <v>739</v>
      </c>
      <c r="G13" s="508" t="s">
        <v>663</v>
      </c>
      <c r="H13" s="574">
        <f>H15 * ( ( H17 + 2*H14 ) / ( H14 + H17 ) )</f>
        <v>11.666666666666668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99">
        <v>4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72">
        <v>7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75">
        <v>30</v>
      </c>
      <c r="O15" s="516">
        <f>J24+J25</f>
        <v>357.5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73">
        <f>H15 * ( H14 / ( H14 + H17 ) )</f>
        <v>4.6666666666666661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72">
        <v>2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73">
        <v>2.5</v>
      </c>
      <c r="G19" s="508" t="s">
        <v>175</v>
      </c>
      <c r="H19" s="506" t="s">
        <v>683</v>
      </c>
      <c r="I19" s="573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7.5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66">
        <f>((0.5*(H15+H16))*H17)*N15</f>
        <v>350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7.5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38">
        <f>J24+J25</f>
        <v>357.5</v>
      </c>
      <c r="K31" s="638"/>
      <c r="L31" s="508" t="s">
        <v>94</v>
      </c>
      <c r="M31" s="527"/>
      <c r="N31" s="528"/>
      <c r="O31" s="584"/>
    </row>
    <row r="32" spans="2:19" ht="15.75" thickBot="1" x14ac:dyDescent="0.3">
      <c r="B32" s="529"/>
      <c r="C32" s="530"/>
      <c r="D32" s="530"/>
      <c r="E32" s="639" t="s">
        <v>688</v>
      </c>
      <c r="F32" s="640"/>
      <c r="G32" s="640"/>
      <c r="H32" s="640"/>
      <c r="I32" s="640"/>
      <c r="J32" s="640"/>
      <c r="K32" s="640"/>
      <c r="L32" s="640"/>
      <c r="M32" s="640"/>
      <c r="N32" s="640"/>
      <c r="O32" s="586">
        <f>O15</f>
        <v>357.5</v>
      </c>
      <c r="P32" s="583"/>
      <c r="R32" s="160">
        <f>O37/'Kebutuhan  realisasi'!G26</f>
        <v>0.98920171646189525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realisasi'!G26*'backup volume rencana'!S32</f>
        <v>402.66745968599815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8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B4" zoomScale="70" zoomScaleNormal="55" zoomScaleSheetLayoutView="70" workbookViewId="0">
      <selection activeCell="O37" sqref="O37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43" t="s">
        <v>0</v>
      </c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2:40" customFormat="1" x14ac:dyDescent="0.25">
      <c r="B2" s="643" t="s">
        <v>1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44" t="s">
        <v>3</v>
      </c>
      <c r="D5" s="645"/>
      <c r="E5" s="645"/>
      <c r="F5" s="645"/>
      <c r="G5" s="645"/>
      <c r="H5" s="645"/>
      <c r="I5" s="645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46" t="s">
        <v>33</v>
      </c>
      <c r="D11" s="647"/>
      <c r="E11" s="647"/>
      <c r="F11" s="647"/>
      <c r="G11" s="647"/>
      <c r="H11" s="647"/>
      <c r="I11" s="647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46" t="s">
        <v>34</v>
      </c>
      <c r="D12" s="647"/>
      <c r="E12" s="647"/>
      <c r="F12" s="647"/>
      <c r="G12" s="647"/>
      <c r="H12" s="647"/>
      <c r="I12" s="647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92">
        <v>148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80">
        <v>0.46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6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81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81">
        <v>0.75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81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7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85">
        <v>2.8763204459378851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2.8763204459378851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11.244835409656048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89.958683277248383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8.8929714270543289E-2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1.1116214283817913E-2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30.730810482560575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245.8464838604846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2.7328821955163285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110.36360000000001</v>
      </c>
      <c r="L36" s="24"/>
      <c r="M36" s="19"/>
      <c r="O36" s="587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79">
        <v>0.4</v>
      </c>
      <c r="L37" s="24"/>
      <c r="M37" s="19"/>
      <c r="O37" s="588">
        <f>'Kebutuhan  realisasi'!G26</f>
        <v>407.06304182955711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77"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588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78">
        <v>198</v>
      </c>
      <c r="F39" s="1" t="s">
        <v>717</v>
      </c>
      <c r="G39" s="1" t="s">
        <v>718</v>
      </c>
      <c r="H39" s="13">
        <f>K24*60</f>
        <v>172.5792267562731</v>
      </c>
      <c r="I39" s="1" t="s">
        <v>717</v>
      </c>
      <c r="J39" s="6" t="s">
        <v>719</v>
      </c>
      <c r="K39" s="79">
        <f>(E39/H39) + ((H39-E39)/H39) * 0.7</f>
        <v>1.0441897447129502</v>
      </c>
      <c r="L39" s="24"/>
      <c r="M39" s="19"/>
      <c r="O39" s="589">
        <f>'backup volume rencana'!O32</f>
        <v>357.5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4077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1002142.8253106207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70"/>
      <c r="P52" s="570" t="s">
        <v>75</v>
      </c>
      <c r="Q52" s="570" t="s">
        <v>76</v>
      </c>
      <c r="R52" s="570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70"/>
      <c r="P53" s="570" t="s">
        <v>79</v>
      </c>
      <c r="Q53" s="570" t="s">
        <v>80</v>
      </c>
      <c r="R53" s="570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70"/>
      <c r="P54" s="570"/>
      <c r="Q54" s="570" t="s">
        <v>82</v>
      </c>
      <c r="R54" s="570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51"/>
      <c r="C55" s="651"/>
      <c r="D55" s="651"/>
      <c r="E55" s="651"/>
      <c r="F55" s="651"/>
      <c r="G55" s="651"/>
      <c r="I55" t="s">
        <v>708</v>
      </c>
      <c r="O55" s="570"/>
      <c r="P55" s="570"/>
      <c r="Q55" s="570" t="s">
        <v>84</v>
      </c>
      <c r="R55" s="570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48" t="s">
        <v>102</v>
      </c>
      <c r="X83" s="648"/>
      <c r="Y83" s="648"/>
      <c r="Z83" s="648"/>
      <c r="AA83" s="648"/>
      <c r="AB83" s="648"/>
    </row>
    <row r="84" spans="21:29" ht="20.100000000000001" customHeight="1" x14ac:dyDescent="0.25">
      <c r="W84" s="649" t="s">
        <v>103</v>
      </c>
      <c r="X84" s="649"/>
      <c r="Y84" s="649"/>
      <c r="Z84" s="649"/>
      <c r="AA84" s="649"/>
      <c r="AB84" s="649"/>
    </row>
    <row r="85" spans="21:29" ht="15" customHeight="1" x14ac:dyDescent="0.25">
      <c r="W85" s="649"/>
      <c r="X85" s="649"/>
      <c r="Y85" s="649"/>
      <c r="Z85" s="649"/>
      <c r="AA85" s="649"/>
      <c r="AB85" s="649"/>
    </row>
    <row r="86" spans="21:29" ht="15" customHeight="1" thickBot="1" x14ac:dyDescent="0.3">
      <c r="W86" s="46"/>
      <c r="X86" s="47" t="s">
        <v>104</v>
      </c>
      <c r="Z86" s="650" t="str">
        <f>[63]Excavator!C9</f>
        <v>( Komatsu Pc 200 Standart )</v>
      </c>
      <c r="AA86" s="650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41" t="s">
        <v>114</v>
      </c>
      <c r="X91" s="642"/>
      <c r="Y91" s="642"/>
      <c r="Z91" s="642"/>
      <c r="AA91" s="642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977.00538489708742</v>
      </c>
      <c r="W93" s="60">
        <v>1</v>
      </c>
      <c r="X93" s="70" t="s">
        <v>117</v>
      </c>
      <c r="Y93" s="71" t="s">
        <v>178</v>
      </c>
      <c r="Z93" s="72">
        <f>K35</f>
        <v>2.7328821955163285</v>
      </c>
      <c r="AA93" s="80">
        <v>22300</v>
      </c>
      <c r="AB93" s="81">
        <f>AA93*Z93</f>
        <v>60943.272960014125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41" t="s">
        <v>120</v>
      </c>
      <c r="X95" s="642"/>
      <c r="Y95" s="642"/>
      <c r="Z95" s="642"/>
      <c r="AA95" s="642"/>
      <c r="AB95" s="82">
        <f>AB93</f>
        <v>60943.272960014125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41" t="s">
        <v>124</v>
      </c>
      <c r="X98" s="642"/>
      <c r="Y98" s="642"/>
      <c r="Z98" s="642"/>
      <c r="AA98" s="642"/>
      <c r="AB98" s="82">
        <f>AB97</f>
        <v>0</v>
      </c>
    </row>
    <row r="99" spans="1:30" ht="15" customHeight="1" x14ac:dyDescent="0.25">
      <c r="W99" s="74" t="s">
        <v>125</v>
      </c>
      <c r="X99" s="654" t="s">
        <v>126</v>
      </c>
      <c r="Y99" s="654"/>
      <c r="Z99" s="654"/>
      <c r="AA99" s="654"/>
      <c r="AB99" s="87">
        <f>AB91+AB95</f>
        <v>60943.272960014125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4" t="s">
        <v>128</v>
      </c>
      <c r="AA100" s="654"/>
      <c r="AB100" s="87">
        <f>AB99*Y100/100</f>
        <v>0</v>
      </c>
    </row>
    <row r="101" spans="1:30" ht="15" customHeight="1" x14ac:dyDescent="0.25">
      <c r="W101" s="74" t="s">
        <v>129</v>
      </c>
      <c r="X101" s="654" t="s">
        <v>130</v>
      </c>
      <c r="Y101" s="654"/>
      <c r="Z101" s="654"/>
      <c r="AA101" s="654"/>
      <c r="AB101" s="87">
        <f>AB100+AB99</f>
        <v>60943.272960014125</v>
      </c>
    </row>
    <row r="102" spans="1:30" ht="15" customHeight="1" thickBot="1" x14ac:dyDescent="0.25">
      <c r="W102" s="77"/>
      <c r="X102" s="655" t="s">
        <v>131</v>
      </c>
      <c r="Y102" s="655"/>
      <c r="Z102" s="655"/>
      <c r="AA102" s="655"/>
      <c r="AB102" s="89">
        <f>ROUNDDOWN(AB101,0)</f>
        <v>60943</v>
      </c>
    </row>
    <row r="108" spans="1:30" ht="20.100000000000001" customHeight="1" x14ac:dyDescent="0.25">
      <c r="A108" s="643" t="s">
        <v>0</v>
      </c>
      <c r="B108" s="643"/>
      <c r="C108" s="643"/>
      <c r="D108" s="643"/>
      <c r="E108" s="643"/>
      <c r="F108" s="643"/>
      <c r="G108" s="643"/>
      <c r="H108" s="643"/>
      <c r="I108" s="643"/>
      <c r="J108" s="643"/>
      <c r="K108" s="643"/>
      <c r="L108" s="643"/>
      <c r="W108" s="648" t="s">
        <v>102</v>
      </c>
      <c r="X108" s="648"/>
      <c r="Y108" s="648"/>
      <c r="Z108" s="648"/>
      <c r="AA108" s="648"/>
      <c r="AB108" s="648"/>
    </row>
    <row r="109" spans="1:30" ht="20.100000000000001" customHeight="1" x14ac:dyDescent="0.25">
      <c r="A109" s="643" t="s">
        <v>1</v>
      </c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W109" s="649" t="s">
        <v>103</v>
      </c>
      <c r="X109" s="649"/>
      <c r="Y109" s="649"/>
      <c r="Z109" s="649"/>
      <c r="AA109" s="649"/>
      <c r="AB109" s="649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44" t="s">
        <v>3</v>
      </c>
      <c r="C112" s="645"/>
      <c r="D112" s="645"/>
      <c r="E112" s="645"/>
      <c r="F112" s="645"/>
      <c r="G112" s="645"/>
      <c r="H112" s="660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50"/>
      <c r="AA115" s="650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1" t="s">
        <v>33</v>
      </c>
      <c r="C118" s="662"/>
      <c r="D118" s="662"/>
      <c r="E118" s="662"/>
      <c r="F118" s="662"/>
      <c r="G118" s="662"/>
      <c r="H118" s="663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46" t="s">
        <v>34</v>
      </c>
      <c r="C119" s="647"/>
      <c r="D119" s="647"/>
      <c r="E119" s="647"/>
      <c r="F119" s="647"/>
      <c r="G119" s="647"/>
      <c r="H119" s="664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65" t="s">
        <v>114</v>
      </c>
      <c r="X120" s="666"/>
      <c r="Y120" s="666"/>
      <c r="Z120" s="666"/>
      <c r="AA120" s="667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2.7328821955163285</v>
      </c>
      <c r="AA122" s="435">
        <f>$AA$93</f>
        <v>22300</v>
      </c>
      <c r="AB122" s="81">
        <f>AA122*Z122</f>
        <v>60943.272960014125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65" t="s">
        <v>120</v>
      </c>
      <c r="X124" s="666"/>
      <c r="Y124" s="666"/>
      <c r="Z124" s="666"/>
      <c r="AA124" s="667"/>
      <c r="AB124" s="82">
        <f>AB122</f>
        <v>60943.272960014125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65" t="s">
        <v>124</v>
      </c>
      <c r="X127" s="666"/>
      <c r="Y127" s="666"/>
      <c r="Z127" s="666"/>
      <c r="AA127" s="667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2" t="s">
        <v>126</v>
      </c>
      <c r="Y128" s="659"/>
      <c r="Z128" s="659"/>
      <c r="AA128" s="653"/>
      <c r="AB128" s="87">
        <f>AB120+AB124+AB127</f>
        <v>61377.677008585553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2" t="s">
        <v>128</v>
      </c>
      <c r="AA129" s="653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2" t="s">
        <v>130</v>
      </c>
      <c r="Y130" s="659"/>
      <c r="Z130" s="659"/>
      <c r="AA130" s="653"/>
      <c r="AB130" s="87">
        <f>AB129+AB128</f>
        <v>61377.677008585553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6" t="s">
        <v>131</v>
      </c>
      <c r="Y131" s="657"/>
      <c r="Z131" s="657"/>
      <c r="AA131" s="658"/>
      <c r="AB131" s="89">
        <f>ROUNDDOWN(AB130,0)</f>
        <v>61377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48" t="s">
        <v>102</v>
      </c>
      <c r="X161" s="648"/>
      <c r="Y161" s="648"/>
      <c r="Z161" s="648"/>
      <c r="AA161" s="648"/>
      <c r="AB161" s="648"/>
    </row>
    <row r="162" spans="23:28" ht="15" customHeight="1" x14ac:dyDescent="0.25">
      <c r="W162" s="649" t="s">
        <v>103</v>
      </c>
      <c r="X162" s="649"/>
      <c r="Y162" s="649"/>
      <c r="Z162" s="649"/>
      <c r="AA162" s="649"/>
      <c r="AB162" s="649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50"/>
      <c r="AA166" s="650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1.1116214283817913E-2</v>
      </c>
      <c r="AA169" s="88">
        <v>75000</v>
      </c>
      <c r="AB169" s="81">
        <f>Z169*AA169</f>
        <v>833.71607128634344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41" t="s">
        <v>114</v>
      </c>
      <c r="X172" s="642"/>
      <c r="Y172" s="642"/>
      <c r="Z172" s="642"/>
      <c r="AA172" s="642"/>
      <c r="AB172" s="82">
        <f>SUM(AB169:AB171)</f>
        <v>833.71607128634344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2.7328821955163285</v>
      </c>
      <c r="AA174" s="88">
        <f>$AA$93</f>
        <v>22300</v>
      </c>
      <c r="AB174" s="81">
        <f>AA174*Z174</f>
        <v>60943.272960014125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41" t="s">
        <v>120</v>
      </c>
      <c r="X176" s="642"/>
      <c r="Y176" s="642"/>
      <c r="Z176" s="642"/>
      <c r="AA176" s="642"/>
      <c r="AB176" s="82">
        <f>AB174</f>
        <v>60943.272960014125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41" t="s">
        <v>124</v>
      </c>
      <c r="X179" s="642"/>
      <c r="Y179" s="642"/>
      <c r="Z179" s="642"/>
      <c r="AA179" s="642"/>
      <c r="AB179" s="82">
        <f>AB178</f>
        <v>0</v>
      </c>
    </row>
    <row r="180" spans="23:28" ht="15" customHeight="1" x14ac:dyDescent="0.25">
      <c r="W180" s="74" t="s">
        <v>125</v>
      </c>
      <c r="X180" s="654" t="s">
        <v>126</v>
      </c>
      <c r="Y180" s="654"/>
      <c r="Z180" s="654"/>
      <c r="AA180" s="654"/>
      <c r="AB180" s="87">
        <f>AB172+AB176+AB179</f>
        <v>61776.989031300465</v>
      </c>
    </row>
    <row r="181" spans="23:28" ht="15" customHeight="1" x14ac:dyDescent="0.25">
      <c r="W181" s="74"/>
      <c r="X181" s="75" t="s">
        <v>127</v>
      </c>
      <c r="Y181" s="76">
        <v>0</v>
      </c>
      <c r="Z181" s="654" t="s">
        <v>128</v>
      </c>
      <c r="AA181" s="654"/>
      <c r="AB181" s="87">
        <f>AB180*Y181/100</f>
        <v>0</v>
      </c>
    </row>
    <row r="182" spans="23:28" ht="15" customHeight="1" x14ac:dyDescent="0.25">
      <c r="W182" s="74" t="s">
        <v>129</v>
      </c>
      <c r="X182" s="654" t="s">
        <v>130</v>
      </c>
      <c r="Y182" s="654"/>
      <c r="Z182" s="654"/>
      <c r="AA182" s="654"/>
      <c r="AB182" s="87">
        <f>AB181+AB180</f>
        <v>61776.989031300465</v>
      </c>
    </row>
    <row r="183" spans="23:28" ht="15" customHeight="1" thickBot="1" x14ac:dyDescent="0.25">
      <c r="W183" s="77"/>
      <c r="X183" s="655" t="s">
        <v>131</v>
      </c>
      <c r="Y183" s="655"/>
      <c r="Z183" s="655"/>
      <c r="AA183" s="655"/>
      <c r="AB183" s="89">
        <f>ROUNDDOWN(AB182,0)</f>
        <v>61776</v>
      </c>
    </row>
    <row r="192" spans="23:28" ht="15" customHeight="1" x14ac:dyDescent="0.25">
      <c r="W192" s="648" t="s">
        <v>102</v>
      </c>
      <c r="X192" s="648"/>
      <c r="Y192" s="648"/>
      <c r="Z192" s="648"/>
      <c r="AA192" s="648"/>
      <c r="AB192" s="648"/>
    </row>
    <row r="193" spans="23:29" ht="15" customHeight="1" x14ac:dyDescent="0.25">
      <c r="W193" s="649" t="s">
        <v>103</v>
      </c>
      <c r="X193" s="649"/>
      <c r="Y193" s="649"/>
      <c r="Z193" s="649"/>
      <c r="AA193" s="649"/>
      <c r="AB193" s="649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50"/>
      <c r="AA199" s="650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41" t="s">
        <v>114</v>
      </c>
      <c r="X205" s="642"/>
      <c r="Y205" s="642"/>
      <c r="Z205" s="642"/>
      <c r="AA205" s="642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41" t="s">
        <v>120</v>
      </c>
      <c r="X209" s="642"/>
      <c r="Y209" s="642"/>
      <c r="Z209" s="642"/>
      <c r="AA209" s="642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41" t="s">
        <v>124</v>
      </c>
      <c r="X212" s="642"/>
      <c r="Y212" s="642"/>
      <c r="Z212" s="642"/>
      <c r="AA212" s="642"/>
      <c r="AB212" s="82">
        <f>AB211</f>
        <v>15480</v>
      </c>
    </row>
    <row r="213" spans="23:28" ht="15" customHeight="1" x14ac:dyDescent="0.25">
      <c r="W213" s="74" t="s">
        <v>125</v>
      </c>
      <c r="X213" s="654" t="s">
        <v>126</v>
      </c>
      <c r="Y213" s="654"/>
      <c r="Z213" s="654"/>
      <c r="AA213" s="654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4" t="s">
        <v>128</v>
      </c>
      <c r="AA214" s="654"/>
      <c r="AB214" s="87">
        <f>AB213*Y214/100</f>
        <v>0</v>
      </c>
    </row>
    <row r="215" spans="23:28" ht="15" customHeight="1" x14ac:dyDescent="0.25">
      <c r="W215" s="74" t="s">
        <v>129</v>
      </c>
      <c r="X215" s="654" t="s">
        <v>130</v>
      </c>
      <c r="Y215" s="654"/>
      <c r="Z215" s="654"/>
      <c r="AA215" s="654"/>
      <c r="AB215" s="87">
        <f>AB214+AB213</f>
        <v>15480</v>
      </c>
    </row>
    <row r="216" spans="23:28" ht="15" customHeight="1" thickBot="1" x14ac:dyDescent="0.25">
      <c r="W216" s="77"/>
      <c r="X216" s="655" t="s">
        <v>131</v>
      </c>
      <c r="Y216" s="655"/>
      <c r="Z216" s="655"/>
      <c r="AA216" s="655"/>
      <c r="AB216" s="89">
        <f>ROUNDDOWN(AB215,0)</f>
        <v>15480</v>
      </c>
    </row>
  </sheetData>
  <mergeCells count="52"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Z129:AA129"/>
    <mergeCell ref="X99:AA99"/>
    <mergeCell ref="Z100:AA100"/>
    <mergeCell ref="X101:AA101"/>
    <mergeCell ref="X102:AA102"/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R12" sqref="R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68" t="s">
        <v>726</v>
      </c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593">
        <f>'backup volume rencana'!O32</f>
        <v>357.5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4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69" t="s">
        <v>105</v>
      </c>
      <c r="D9" s="670"/>
      <c r="E9" s="670"/>
      <c r="F9" s="670"/>
      <c r="G9" s="669" t="s">
        <v>144</v>
      </c>
      <c r="H9" s="671"/>
      <c r="I9" s="96" t="s">
        <v>161</v>
      </c>
      <c r="J9" s="669" t="s">
        <v>162</v>
      </c>
      <c r="K9" s="671"/>
      <c r="L9" s="669" t="s">
        <v>163</v>
      </c>
      <c r="M9" s="671"/>
      <c r="N9" s="97" t="s">
        <v>164</v>
      </c>
    </row>
    <row r="10" spans="2:15" x14ac:dyDescent="0.25">
      <c r="B10" s="98" t="s">
        <v>147</v>
      </c>
      <c r="C10" s="672" t="s">
        <v>148</v>
      </c>
      <c r="D10" s="673"/>
      <c r="E10" s="673"/>
      <c r="F10" s="673"/>
      <c r="G10" s="672" t="s">
        <v>165</v>
      </c>
      <c r="H10" s="674"/>
      <c r="I10" s="99" t="s">
        <v>149</v>
      </c>
      <c r="J10" s="672" t="s">
        <v>653</v>
      </c>
      <c r="K10" s="674"/>
      <c r="L10" s="672" t="s">
        <v>150</v>
      </c>
      <c r="M10" s="674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357.5</v>
      </c>
      <c r="H13" s="145" t="s">
        <v>94</v>
      </c>
      <c r="I13" s="146"/>
      <c r="J13" s="147">
        <f>G13/I17</f>
        <v>3.9740466064649036</v>
      </c>
      <c r="K13" s="148" t="s">
        <v>101</v>
      </c>
      <c r="L13" s="149">
        <f>ROUND(J13,0)</f>
        <v>4</v>
      </c>
      <c r="M13" s="141" t="str">
        <f>K13</f>
        <v>hari</v>
      </c>
      <c r="N13" s="150"/>
      <c r="O13" s="396">
        <f>L13/30</f>
        <v>0.13333333333333333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357.5</v>
      </c>
      <c r="H14" s="145" t="s">
        <v>94</v>
      </c>
      <c r="I14" s="146"/>
      <c r="J14" s="147">
        <f>G13/I17</f>
        <v>3.9740466064649036</v>
      </c>
      <c r="K14" s="148" t="s">
        <v>101</v>
      </c>
      <c r="L14" s="149">
        <f>ROUND(J14,0)</f>
        <v>4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89.958683277248383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357.5</v>
      </c>
      <c r="H18" s="145" t="s">
        <v>94</v>
      </c>
      <c r="I18" s="152"/>
      <c r="J18" s="147">
        <f>('ANALISA perencanaan'!K34/PERSONIL!I17)*G17*G18</f>
        <v>977.00538489708742</v>
      </c>
      <c r="K18" s="148" t="s">
        <v>168</v>
      </c>
      <c r="L18" s="149">
        <f>ROUNDUP(J18,3)</f>
        <v>977.00599999999997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76"/>
      <c r="K23" s="676"/>
      <c r="L23" s="676"/>
      <c r="M23" s="129"/>
      <c r="N23" s="130"/>
    </row>
    <row r="24" spans="2:15" x14ac:dyDescent="0.25">
      <c r="B24" s="675" t="s">
        <v>152</v>
      </c>
      <c r="C24" s="675"/>
      <c r="D24" s="675"/>
      <c r="E24" s="675"/>
      <c r="F24" s="675"/>
      <c r="G24" s="675"/>
      <c r="H24" s="675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C10:F10"/>
    <mergeCell ref="G10:H10"/>
    <mergeCell ref="J10:K10"/>
    <mergeCell ref="L10:M10"/>
    <mergeCell ref="B24:H24"/>
    <mergeCell ref="J23:L23"/>
    <mergeCell ref="B1:N1"/>
    <mergeCell ref="C9:F9"/>
    <mergeCell ref="G9:H9"/>
    <mergeCell ref="J9:K9"/>
    <mergeCell ref="L9:M9"/>
  </mergeCells>
  <pageMargins left="0.7" right="0.7" top="0.75" bottom="0.75" header="0.3" footer="0.3"/>
  <pageSetup paperSize="14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81" t="s">
        <v>657</v>
      </c>
      <c r="C2" s="682"/>
      <c r="D2" s="682"/>
      <c r="E2" s="682"/>
      <c r="F2" s="682"/>
      <c r="G2" s="682"/>
      <c r="H2" s="682"/>
      <c r="I2" s="682"/>
      <c r="J2" s="682"/>
      <c r="K2" s="682"/>
      <c r="L2" s="683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77" t="str">
        <f>PERSONIL!E3</f>
        <v>NORMALISASI / RESTORASI SUNGAI</v>
      </c>
      <c r="F4" s="678"/>
      <c r="G4" s="678"/>
      <c r="H4" s="678"/>
      <c r="I4" s="678"/>
      <c r="J4" s="678"/>
      <c r="K4" s="678"/>
      <c r="L4" s="679"/>
    </row>
    <row r="5" spans="2:15" x14ac:dyDescent="0.25">
      <c r="B5" s="427" t="s">
        <v>197</v>
      </c>
      <c r="C5" s="92"/>
      <c r="D5" s="93" t="s">
        <v>139</v>
      </c>
      <c r="E5" s="471">
        <f>PERSONIL!E7</f>
        <v>4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69" t="s">
        <v>142</v>
      </c>
      <c r="D9" s="670"/>
      <c r="E9" s="670"/>
      <c r="F9" s="670"/>
      <c r="G9" s="670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84" t="s">
        <v>148</v>
      </c>
      <c r="D10" s="685"/>
      <c r="E10" s="685"/>
      <c r="F10" s="685"/>
      <c r="G10" s="685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4</v>
      </c>
      <c r="J12" s="441">
        <f>'ANALISA perencanaan'!$AD$73</f>
        <v>75000</v>
      </c>
      <c r="K12" s="400"/>
      <c r="L12" s="445">
        <f>I12*J12</f>
        <v>300000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4</v>
      </c>
      <c r="J13" s="441">
        <f>'ANALISA perencanaan'!$AD$73</f>
        <v>75000</v>
      </c>
      <c r="K13" s="400"/>
      <c r="L13" s="445">
        <f>I13*J13</f>
        <v>300000</v>
      </c>
      <c r="O13" s="402">
        <f>L19</f>
        <v>25001000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90">
        <f>PERSONIL!J18</f>
        <v>977.00538489708742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24401686.493189655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25001686.493189655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25001000</v>
      </c>
      <c r="O19" s="406"/>
    </row>
    <row r="20" spans="2:15" x14ac:dyDescent="0.25">
      <c r="B20" s="680"/>
      <c r="C20" s="680"/>
      <c r="D20" s="680"/>
      <c r="E20" s="680"/>
      <c r="F20" s="680"/>
      <c r="G20" s="680"/>
      <c r="H20" s="680"/>
      <c r="I20" s="680"/>
      <c r="J20" s="680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75" t="s">
        <v>152</v>
      </c>
      <c r="C22" s="675"/>
      <c r="D22" s="675"/>
      <c r="E22" s="675"/>
      <c r="F22" s="675"/>
      <c r="G22" s="675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H33" sqref="H3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81" t="s">
        <v>720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3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77" t="str">
        <f>PERSONIL!E3</f>
        <v>NORMALISASI / RESTORASI SUNGAI</v>
      </c>
      <c r="F4" s="678"/>
      <c r="G4" s="678"/>
      <c r="H4" s="678"/>
      <c r="I4" s="678"/>
      <c r="J4" s="678"/>
      <c r="K4" s="678"/>
      <c r="L4" s="678"/>
      <c r="M4" s="678"/>
      <c r="N4" s="679"/>
    </row>
    <row r="5" spans="2:17" x14ac:dyDescent="0.25">
      <c r="B5" s="427" t="s">
        <v>197</v>
      </c>
      <c r="C5" s="92"/>
      <c r="D5" s="93" t="s">
        <v>139</v>
      </c>
      <c r="E5" s="471">
        <f>PERSONIL!E7</f>
        <v>4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69" t="s">
        <v>142</v>
      </c>
      <c r="D9" s="670"/>
      <c r="E9" s="670"/>
      <c r="F9" s="670"/>
      <c r="G9" s="670"/>
      <c r="H9" s="670"/>
      <c r="I9" s="670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84" t="s">
        <v>148</v>
      </c>
      <c r="D10" s="685"/>
      <c r="E10" s="685"/>
      <c r="F10" s="685"/>
      <c r="G10" s="685"/>
      <c r="H10" s="685"/>
      <c r="I10" s="685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357.5</v>
      </c>
      <c r="L13" s="441">
        <f>'ANALISA perencanaan'!$AB$101</f>
        <v>60943.272960014125</v>
      </c>
      <c r="M13" s="400">
        <f>(L13*12%)+L13</f>
        <v>68256.465715215818</v>
      </c>
      <c r="N13" s="445">
        <f>K13*M13</f>
        <v>24401686.493189655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8</v>
      </c>
      <c r="L14" s="441">
        <f>'ANALISA perencanaan'!$AD$73</f>
        <v>75000</v>
      </c>
      <c r="M14" s="400"/>
      <c r="N14" s="445">
        <f>K14*L14</f>
        <v>600000</v>
      </c>
      <c r="Q14" s="402">
        <f>Q12-N17</f>
        <v>3574999000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25001686.493189655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25001686.493189655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25001000</v>
      </c>
      <c r="Q17" s="406"/>
    </row>
    <row r="18" spans="2:17" x14ac:dyDescent="0.25">
      <c r="B18" s="680"/>
      <c r="C18" s="680"/>
      <c r="D18" s="680"/>
      <c r="E18" s="680"/>
      <c r="F18" s="680"/>
      <c r="G18" s="680"/>
      <c r="H18" s="680"/>
      <c r="I18" s="680"/>
      <c r="J18" s="680"/>
      <c r="K18" s="680"/>
      <c r="L18" s="680"/>
      <c r="M18" s="125"/>
      <c r="N18" s="596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46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43" t="s">
        <v>0</v>
      </c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2:40" customFormat="1" x14ac:dyDescent="0.25">
      <c r="B2" s="643" t="s">
        <v>1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44" t="s">
        <v>3</v>
      </c>
      <c r="D5" s="645"/>
      <c r="E5" s="645"/>
      <c r="F5" s="645"/>
      <c r="G5" s="645"/>
      <c r="H5" s="645"/>
      <c r="I5" s="645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46" t="s">
        <v>33</v>
      </c>
      <c r="D11" s="647"/>
      <c r="E11" s="647"/>
      <c r="F11" s="647"/>
      <c r="G11" s="647"/>
      <c r="H11" s="647"/>
      <c r="I11" s="647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46" t="s">
        <v>34</v>
      </c>
      <c r="D12" s="647"/>
      <c r="E12" s="647"/>
      <c r="F12" s="647"/>
      <c r="G12" s="647"/>
      <c r="H12" s="647"/>
      <c r="I12" s="647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68">
        <f>'ANALISA perencanaan'!K16</f>
        <v>148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69">
        <f>'ANALISA perencanaan'!K17</f>
        <v>0.46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76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0.75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67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2.8763204459378851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2.8763204459378851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11.244835409656048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89.958683277248383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8.8929714270543289E-2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1.1116214283817913E-2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21.624397772649218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172.99518218119374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1.9230515151942678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110.36360000000001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0.4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82">
        <v>20</v>
      </c>
      <c r="F39" s="1" t="s">
        <v>717</v>
      </c>
      <c r="G39" s="1" t="s">
        <v>718</v>
      </c>
      <c r="H39" s="13">
        <f>K24*60</f>
        <v>172.5792267562731</v>
      </c>
      <c r="I39" s="1" t="s">
        <v>717</v>
      </c>
      <c r="J39" s="6" t="s">
        <v>719</v>
      </c>
      <c r="K39" s="79">
        <f>(E39/H39) + ((H39-E39)/H39) * 0.7</f>
        <v>0.73476664088009591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4077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705179.41893596668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70"/>
      <c r="P52" s="570" t="s">
        <v>75</v>
      </c>
      <c r="Q52" s="570" t="s">
        <v>76</v>
      </c>
      <c r="R52" s="570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70"/>
      <c r="P53" s="570" t="s">
        <v>79</v>
      </c>
      <c r="Q53" s="570" t="s">
        <v>80</v>
      </c>
      <c r="R53" s="570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70"/>
      <c r="P54" s="570"/>
      <c r="Q54" s="570" t="s">
        <v>82</v>
      </c>
      <c r="R54" s="570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51"/>
      <c r="C55" s="651"/>
      <c r="D55" s="651"/>
      <c r="E55" s="651"/>
      <c r="F55" s="651"/>
      <c r="G55" s="651"/>
      <c r="I55" t="s">
        <v>708</v>
      </c>
      <c r="O55" s="570"/>
      <c r="P55" s="570"/>
      <c r="Q55" s="570" t="s">
        <v>84</v>
      </c>
      <c r="R55" s="570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48" t="s">
        <v>102</v>
      </c>
      <c r="X83" s="648"/>
      <c r="Y83" s="648"/>
      <c r="Z83" s="648"/>
      <c r="AA83" s="648"/>
      <c r="AB83" s="648"/>
    </row>
    <row r="84" spans="21:29" ht="20.100000000000001" customHeight="1" x14ac:dyDescent="0.25">
      <c r="W84" s="649" t="s">
        <v>103</v>
      </c>
      <c r="X84" s="649"/>
      <c r="Y84" s="649"/>
      <c r="Z84" s="649"/>
      <c r="AA84" s="649"/>
      <c r="AB84" s="649"/>
    </row>
    <row r="85" spans="21:29" ht="15" customHeight="1" x14ac:dyDescent="0.25">
      <c r="W85" s="649"/>
      <c r="X85" s="649"/>
      <c r="Y85" s="649"/>
      <c r="Z85" s="649"/>
      <c r="AA85" s="649"/>
      <c r="AB85" s="649"/>
    </row>
    <row r="86" spans="21:29" ht="15" customHeight="1" thickBot="1" x14ac:dyDescent="0.3">
      <c r="W86" s="46"/>
      <c r="X86" s="47" t="s">
        <v>104</v>
      </c>
      <c r="Z86" s="650" t="str">
        <f>[63]Excavator!C9</f>
        <v>( Komatsu Pc 200 Standart )</v>
      </c>
      <c r="AA86" s="650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41" t="s">
        <v>114</v>
      </c>
      <c r="X91" s="642"/>
      <c r="Y91" s="642"/>
      <c r="Z91" s="642"/>
      <c r="AA91" s="642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687.49091668195069</v>
      </c>
      <c r="W93" s="60">
        <v>1</v>
      </c>
      <c r="X93" s="70" t="s">
        <v>117</v>
      </c>
      <c r="Y93" s="71" t="s">
        <v>178</v>
      </c>
      <c r="Z93" s="72">
        <f>K35</f>
        <v>1.9230515151942678</v>
      </c>
      <c r="AA93" s="80">
        <v>22300</v>
      </c>
      <c r="AB93" s="81">
        <f>AA93*Z93</f>
        <v>42884.048788832173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41" t="s">
        <v>120</v>
      </c>
      <c r="X95" s="642"/>
      <c r="Y95" s="642"/>
      <c r="Z95" s="642"/>
      <c r="AA95" s="642"/>
      <c r="AB95" s="82">
        <f>AB93</f>
        <v>42884.048788832173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41" t="s">
        <v>124</v>
      </c>
      <c r="X98" s="642"/>
      <c r="Y98" s="642"/>
      <c r="Z98" s="642"/>
      <c r="AA98" s="642"/>
      <c r="AB98" s="82">
        <f>AB97</f>
        <v>0</v>
      </c>
    </row>
    <row r="99" spans="1:30" ht="15" customHeight="1" x14ac:dyDescent="0.25">
      <c r="W99" s="74" t="s">
        <v>125</v>
      </c>
      <c r="X99" s="654" t="s">
        <v>126</v>
      </c>
      <c r="Y99" s="654"/>
      <c r="Z99" s="654"/>
      <c r="AA99" s="654"/>
      <c r="AB99" s="87">
        <f>AB91+AB95</f>
        <v>42884.048788832173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54" t="s">
        <v>128</v>
      </c>
      <c r="AA100" s="654"/>
      <c r="AB100" s="87">
        <f>AB99*Y100/100</f>
        <v>0</v>
      </c>
    </row>
    <row r="101" spans="1:30" ht="15" customHeight="1" x14ac:dyDescent="0.25">
      <c r="W101" s="74" t="s">
        <v>129</v>
      </c>
      <c r="X101" s="654" t="s">
        <v>130</v>
      </c>
      <c r="Y101" s="654"/>
      <c r="Z101" s="654"/>
      <c r="AA101" s="654"/>
      <c r="AB101" s="87">
        <f>AB100+AB99</f>
        <v>42884.048788832173</v>
      </c>
    </row>
    <row r="102" spans="1:30" ht="15" customHeight="1" thickBot="1" x14ac:dyDescent="0.25">
      <c r="W102" s="77"/>
      <c r="X102" s="655" t="s">
        <v>131</v>
      </c>
      <c r="Y102" s="655"/>
      <c r="Z102" s="655"/>
      <c r="AA102" s="655"/>
      <c r="AB102" s="89">
        <f>ROUNDDOWN(AB101,0)</f>
        <v>42884</v>
      </c>
    </row>
    <row r="108" spans="1:30" ht="20.100000000000001" customHeight="1" x14ac:dyDescent="0.25">
      <c r="A108" s="643" t="s">
        <v>0</v>
      </c>
      <c r="B108" s="643"/>
      <c r="C108" s="643"/>
      <c r="D108" s="643"/>
      <c r="E108" s="643"/>
      <c r="F108" s="643"/>
      <c r="G108" s="643"/>
      <c r="H108" s="643"/>
      <c r="I108" s="643"/>
      <c r="J108" s="643"/>
      <c r="K108" s="643"/>
      <c r="L108" s="643"/>
      <c r="W108" s="648" t="s">
        <v>102</v>
      </c>
      <c r="X108" s="648"/>
      <c r="Y108" s="648"/>
      <c r="Z108" s="648"/>
      <c r="AA108" s="648"/>
      <c r="AB108" s="648"/>
    </row>
    <row r="109" spans="1:30" ht="20.100000000000001" customHeight="1" x14ac:dyDescent="0.25">
      <c r="A109" s="643" t="s">
        <v>1</v>
      </c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W109" s="649" t="s">
        <v>103</v>
      </c>
      <c r="X109" s="649"/>
      <c r="Y109" s="649"/>
      <c r="Z109" s="649"/>
      <c r="AA109" s="649"/>
      <c r="AB109" s="649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44" t="s">
        <v>3</v>
      </c>
      <c r="C112" s="645"/>
      <c r="D112" s="645"/>
      <c r="E112" s="645"/>
      <c r="F112" s="645"/>
      <c r="G112" s="645"/>
      <c r="H112" s="660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50"/>
      <c r="AA115" s="650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1" t="s">
        <v>33</v>
      </c>
      <c r="C118" s="662"/>
      <c r="D118" s="662"/>
      <c r="E118" s="662"/>
      <c r="F118" s="662"/>
      <c r="G118" s="662"/>
      <c r="H118" s="663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46" t="s">
        <v>34</v>
      </c>
      <c r="C119" s="647"/>
      <c r="D119" s="647"/>
      <c r="E119" s="647"/>
      <c r="F119" s="647"/>
      <c r="G119" s="647"/>
      <c r="H119" s="664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65" t="s">
        <v>114</v>
      </c>
      <c r="X120" s="666"/>
      <c r="Y120" s="666"/>
      <c r="Z120" s="666"/>
      <c r="AA120" s="667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1.9230515151942678</v>
      </c>
      <c r="AA122" s="435">
        <f>$AA$93</f>
        <v>22300</v>
      </c>
      <c r="AB122" s="81">
        <f>AA122*Z122</f>
        <v>42884.048788832173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65" t="s">
        <v>120</v>
      </c>
      <c r="X124" s="666"/>
      <c r="Y124" s="666"/>
      <c r="Z124" s="666"/>
      <c r="AA124" s="667"/>
      <c r="AB124" s="82">
        <f>AB122</f>
        <v>42884.048788832173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65" t="s">
        <v>124</v>
      </c>
      <c r="X127" s="666"/>
      <c r="Y127" s="666"/>
      <c r="Z127" s="666"/>
      <c r="AA127" s="667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52" t="s">
        <v>126</v>
      </c>
      <c r="Y128" s="659"/>
      <c r="Z128" s="659"/>
      <c r="AA128" s="653"/>
      <c r="AB128" s="87">
        <f>AB120+AB124+AB127</f>
        <v>43318.452837403602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52" t="s">
        <v>128</v>
      </c>
      <c r="AA129" s="653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52" t="s">
        <v>130</v>
      </c>
      <c r="Y130" s="659"/>
      <c r="Z130" s="659"/>
      <c r="AA130" s="653"/>
      <c r="AB130" s="87">
        <f>AB129+AB128</f>
        <v>43318.452837403602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6" t="s">
        <v>131</v>
      </c>
      <c r="Y131" s="657"/>
      <c r="Z131" s="657"/>
      <c r="AA131" s="658"/>
      <c r="AB131" s="89">
        <f>ROUNDDOWN(AB130,0)</f>
        <v>43318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48" t="s">
        <v>102</v>
      </c>
      <c r="X161" s="648"/>
      <c r="Y161" s="648"/>
      <c r="Z161" s="648"/>
      <c r="AA161" s="648"/>
      <c r="AB161" s="648"/>
    </row>
    <row r="162" spans="23:28" ht="15" customHeight="1" x14ac:dyDescent="0.25">
      <c r="W162" s="649" t="s">
        <v>103</v>
      </c>
      <c r="X162" s="649"/>
      <c r="Y162" s="649"/>
      <c r="Z162" s="649"/>
      <c r="AA162" s="649"/>
      <c r="AB162" s="649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50"/>
      <c r="AA166" s="650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1.1116214283817913E-2</v>
      </c>
      <c r="AA169" s="88">
        <v>75000</v>
      </c>
      <c r="AB169" s="81">
        <f>Z169*AA169</f>
        <v>833.71607128634344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41" t="s">
        <v>114</v>
      </c>
      <c r="X172" s="642"/>
      <c r="Y172" s="642"/>
      <c r="Z172" s="642"/>
      <c r="AA172" s="642"/>
      <c r="AB172" s="82">
        <f>SUM(AB169:AB171)</f>
        <v>833.71607128634344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1.9230515151942678</v>
      </c>
      <c r="AA174" s="88">
        <f>$AA$93</f>
        <v>22300</v>
      </c>
      <c r="AB174" s="81">
        <f>AA174*Z174</f>
        <v>42884.048788832173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41" t="s">
        <v>120</v>
      </c>
      <c r="X176" s="642"/>
      <c r="Y176" s="642"/>
      <c r="Z176" s="642"/>
      <c r="AA176" s="642"/>
      <c r="AB176" s="82">
        <f>AB174</f>
        <v>42884.048788832173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41" t="s">
        <v>124</v>
      </c>
      <c r="X179" s="642"/>
      <c r="Y179" s="642"/>
      <c r="Z179" s="642"/>
      <c r="AA179" s="642"/>
      <c r="AB179" s="82">
        <f>AB178</f>
        <v>0</v>
      </c>
    </row>
    <row r="180" spans="23:28" ht="15" customHeight="1" x14ac:dyDescent="0.25">
      <c r="W180" s="74" t="s">
        <v>125</v>
      </c>
      <c r="X180" s="654" t="s">
        <v>126</v>
      </c>
      <c r="Y180" s="654"/>
      <c r="Z180" s="654"/>
      <c r="AA180" s="654"/>
      <c r="AB180" s="87">
        <f>AB172+AB176+AB179</f>
        <v>43717.764860118514</v>
      </c>
    </row>
    <row r="181" spans="23:28" ht="15" customHeight="1" x14ac:dyDescent="0.25">
      <c r="W181" s="74"/>
      <c r="X181" s="75" t="s">
        <v>127</v>
      </c>
      <c r="Y181" s="76">
        <v>0</v>
      </c>
      <c r="Z181" s="654" t="s">
        <v>128</v>
      </c>
      <c r="AA181" s="654"/>
      <c r="AB181" s="87">
        <f>AB180*Y181/100</f>
        <v>0</v>
      </c>
    </row>
    <row r="182" spans="23:28" ht="15" customHeight="1" x14ac:dyDescent="0.25">
      <c r="W182" s="74" t="s">
        <v>129</v>
      </c>
      <c r="X182" s="654" t="s">
        <v>130</v>
      </c>
      <c r="Y182" s="654"/>
      <c r="Z182" s="654"/>
      <c r="AA182" s="654"/>
      <c r="AB182" s="87">
        <f>AB181+AB180</f>
        <v>43717.764860118514</v>
      </c>
    </row>
    <row r="183" spans="23:28" ht="15" customHeight="1" thickBot="1" x14ac:dyDescent="0.25">
      <c r="W183" s="77"/>
      <c r="X183" s="655" t="s">
        <v>131</v>
      </c>
      <c r="Y183" s="655"/>
      <c r="Z183" s="655"/>
      <c r="AA183" s="655"/>
      <c r="AB183" s="89">
        <f>ROUNDDOWN(AB182,0)</f>
        <v>43717</v>
      </c>
    </row>
    <row r="192" spans="23:28" ht="15" customHeight="1" x14ac:dyDescent="0.25">
      <c r="W192" s="648" t="s">
        <v>102</v>
      </c>
      <c r="X192" s="648"/>
      <c r="Y192" s="648"/>
      <c r="Z192" s="648"/>
      <c r="AA192" s="648"/>
      <c r="AB192" s="648"/>
    </row>
    <row r="193" spans="23:29" ht="15" customHeight="1" x14ac:dyDescent="0.25">
      <c r="W193" s="649" t="s">
        <v>103</v>
      </c>
      <c r="X193" s="649"/>
      <c r="Y193" s="649"/>
      <c r="Z193" s="649"/>
      <c r="AA193" s="649"/>
      <c r="AB193" s="649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50"/>
      <c r="AA199" s="650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41" t="s">
        <v>114</v>
      </c>
      <c r="X205" s="642"/>
      <c r="Y205" s="642"/>
      <c r="Z205" s="642"/>
      <c r="AA205" s="642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41" t="s">
        <v>120</v>
      </c>
      <c r="X209" s="642"/>
      <c r="Y209" s="642"/>
      <c r="Z209" s="642"/>
      <c r="AA209" s="642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41" t="s">
        <v>124</v>
      </c>
      <c r="X212" s="642"/>
      <c r="Y212" s="642"/>
      <c r="Z212" s="642"/>
      <c r="AA212" s="642"/>
      <c r="AB212" s="82">
        <f>AB211</f>
        <v>15480</v>
      </c>
    </row>
    <row r="213" spans="23:28" ht="15" customHeight="1" x14ac:dyDescent="0.25">
      <c r="W213" s="74" t="s">
        <v>125</v>
      </c>
      <c r="X213" s="654" t="s">
        <v>126</v>
      </c>
      <c r="Y213" s="654"/>
      <c r="Z213" s="654"/>
      <c r="AA213" s="654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54" t="s">
        <v>128</v>
      </c>
      <c r="AA214" s="654"/>
      <c r="AB214" s="87">
        <f>AB213*Y214/100</f>
        <v>0</v>
      </c>
    </row>
    <row r="215" spans="23:28" ht="15" customHeight="1" x14ac:dyDescent="0.25">
      <c r="W215" s="74" t="s">
        <v>129</v>
      </c>
      <c r="X215" s="654" t="s">
        <v>130</v>
      </c>
      <c r="Y215" s="654"/>
      <c r="Z215" s="654"/>
      <c r="AA215" s="654"/>
      <c r="AB215" s="87">
        <f>AB214+AB213</f>
        <v>15480</v>
      </c>
    </row>
    <row r="216" spans="23:28" ht="15" customHeight="1" thickBot="1" x14ac:dyDescent="0.25">
      <c r="W216" s="77"/>
      <c r="X216" s="655" t="s">
        <v>131</v>
      </c>
      <c r="Y216" s="655"/>
      <c r="Z216" s="655"/>
      <c r="AA216" s="655"/>
      <c r="AB216" s="89">
        <f>ROUNDDOWN(AB215,0)</f>
        <v>15480</v>
      </c>
    </row>
  </sheetData>
  <mergeCells count="52"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B55:G55"/>
    <mergeCell ref="B1:M1"/>
    <mergeCell ref="B2:M2"/>
    <mergeCell ref="C5:I5"/>
    <mergeCell ref="C11:I11"/>
    <mergeCell ref="C12:I12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9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36"/>
  <sheetViews>
    <sheetView view="pageBreakPreview" topLeftCell="A5" zoomScaleNormal="74" zoomScaleSheetLayoutView="100" workbookViewId="0">
      <selection activeCell="J24" sqref="J24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AVFOER DESA KEMAMANG KEC. BALEN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KEMAMANG KEC. BALEN</v>
      </c>
    </row>
    <row r="5" spans="1:14" ht="13.5" thickBot="1" x14ac:dyDescent="0.3"/>
    <row r="6" spans="1:14" ht="20.25" customHeight="1" x14ac:dyDescent="0.25">
      <c r="A6" s="686" t="s">
        <v>691</v>
      </c>
      <c r="B6" s="688" t="s">
        <v>692</v>
      </c>
      <c r="C6" s="688"/>
      <c r="D6" s="688"/>
      <c r="E6" s="537" t="s">
        <v>693</v>
      </c>
      <c r="F6" s="688" t="s">
        <v>694</v>
      </c>
      <c r="G6" s="688"/>
      <c r="H6" s="688" t="s">
        <v>695</v>
      </c>
      <c r="I6" s="688"/>
      <c r="J6" s="688"/>
      <c r="K6" s="690"/>
      <c r="L6" s="538"/>
    </row>
    <row r="7" spans="1:14" ht="20.25" customHeight="1" thickBot="1" x14ac:dyDescent="0.3">
      <c r="A7" s="687"/>
      <c r="B7" s="689"/>
      <c r="C7" s="689"/>
      <c r="D7" s="689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694">
        <v>1</v>
      </c>
      <c r="B9" s="695">
        <v>16</v>
      </c>
      <c r="C9" s="697" t="s">
        <v>733</v>
      </c>
      <c r="D9" s="704">
        <v>2025</v>
      </c>
      <c r="E9" s="707">
        <v>2.6999999999989086</v>
      </c>
      <c r="F9" s="700">
        <f>'ANALISA pelaksanaan '!K26</f>
        <v>11.244835409656048</v>
      </c>
      <c r="G9" s="705">
        <f t="shared" ref="G9" si="0">F9*E9</f>
        <v>30.361055606059058</v>
      </c>
      <c r="H9" s="700">
        <f>'ANALISA pelaksanaan '!K33</f>
        <v>21.624397772649218</v>
      </c>
      <c r="I9" s="700">
        <f t="shared" ref="I9" si="1">H9*E9</f>
        <v>58.385873986129283</v>
      </c>
      <c r="J9" s="706">
        <v>400</v>
      </c>
      <c r="K9" s="696">
        <v>55</v>
      </c>
      <c r="L9" s="551"/>
    </row>
    <row r="10" spans="1:14" x14ac:dyDescent="0.25">
      <c r="A10" s="694">
        <v>2</v>
      </c>
      <c r="B10" s="695">
        <v>17</v>
      </c>
      <c r="C10" s="697" t="s">
        <v>733</v>
      </c>
      <c r="D10" s="704">
        <v>2025</v>
      </c>
      <c r="E10" s="707">
        <v>2</v>
      </c>
      <c r="F10" s="700">
        <f>'ANALISA pelaksanaan '!K26</f>
        <v>11.244835409656048</v>
      </c>
      <c r="G10" s="705">
        <f t="shared" ref="G10:G14" si="2">F10*E10</f>
        <v>22.489670819312096</v>
      </c>
      <c r="H10" s="700">
        <f>'ANALISA pelaksanaan '!K33</f>
        <v>21.624397772649218</v>
      </c>
      <c r="I10" s="700">
        <f t="shared" ref="I10:I14" si="3">H10*E10</f>
        <v>43.248795545298435</v>
      </c>
      <c r="J10" s="706"/>
      <c r="K10" s="696">
        <f>(J10+K9)-I10+J9</f>
        <v>411.75120445470156</v>
      </c>
      <c r="L10" s="551"/>
      <c r="M10" s="553">
        <v>0</v>
      </c>
      <c r="N10" s="553">
        <v>0</v>
      </c>
    </row>
    <row r="11" spans="1:14" x14ac:dyDescent="0.25">
      <c r="A11" s="694">
        <v>3</v>
      </c>
      <c r="B11" s="695">
        <v>18</v>
      </c>
      <c r="C11" s="697" t="s">
        <v>733</v>
      </c>
      <c r="D11" s="704">
        <f>D10</f>
        <v>2025</v>
      </c>
      <c r="E11" s="707">
        <v>0</v>
      </c>
      <c r="F11" s="700">
        <f>F10</f>
        <v>11.244835409656048</v>
      </c>
      <c r="G11" s="705">
        <f t="shared" si="2"/>
        <v>0</v>
      </c>
      <c r="H11" s="700">
        <f>H10</f>
        <v>21.624397772649218</v>
      </c>
      <c r="I11" s="700">
        <f t="shared" si="3"/>
        <v>0</v>
      </c>
      <c r="J11" s="706"/>
      <c r="K11" s="696">
        <f>(J11+K10)-I11</f>
        <v>411.75120445470156</v>
      </c>
      <c r="L11" s="551"/>
      <c r="M11" s="553">
        <v>954.9</v>
      </c>
      <c r="N11" s="553">
        <v>961.6</v>
      </c>
    </row>
    <row r="12" spans="1:14" x14ac:dyDescent="0.25">
      <c r="A12" s="694">
        <v>4</v>
      </c>
      <c r="B12" s="695">
        <v>19</v>
      </c>
      <c r="C12" s="697" t="s">
        <v>733</v>
      </c>
      <c r="D12" s="704">
        <f>D11</f>
        <v>2025</v>
      </c>
      <c r="E12" s="707">
        <v>0</v>
      </c>
      <c r="F12" s="700">
        <f>F11</f>
        <v>11.244835409656048</v>
      </c>
      <c r="G12" s="705">
        <f t="shared" si="2"/>
        <v>0</v>
      </c>
      <c r="H12" s="700">
        <f>H11</f>
        <v>21.624397772649218</v>
      </c>
      <c r="I12" s="700">
        <f t="shared" si="3"/>
        <v>0</v>
      </c>
      <c r="J12" s="706"/>
      <c r="K12" s="696">
        <f t="shared" ref="K12:K14" si="4">(J12+K11)-I12</f>
        <v>411.75120445470156</v>
      </c>
      <c r="L12" s="551"/>
      <c r="M12" s="553">
        <v>0</v>
      </c>
      <c r="N12" s="553">
        <v>0</v>
      </c>
    </row>
    <row r="13" spans="1:14" x14ac:dyDescent="0.25">
      <c r="A13" s="694">
        <v>5</v>
      </c>
      <c r="B13" s="695">
        <v>20</v>
      </c>
      <c r="C13" s="697" t="s">
        <v>733</v>
      </c>
      <c r="D13" s="704">
        <f>D12</f>
        <v>2025</v>
      </c>
      <c r="E13" s="707">
        <v>0</v>
      </c>
      <c r="F13" s="700">
        <f>F12</f>
        <v>11.244835409656048</v>
      </c>
      <c r="G13" s="705">
        <f t="shared" si="2"/>
        <v>0</v>
      </c>
      <c r="H13" s="700">
        <f>H12</f>
        <v>21.624397772649218</v>
      </c>
      <c r="I13" s="700">
        <f t="shared" si="3"/>
        <v>0</v>
      </c>
      <c r="J13" s="706"/>
      <c r="K13" s="696">
        <f t="shared" si="4"/>
        <v>411.75120445470156</v>
      </c>
      <c r="L13" s="551"/>
      <c r="M13" s="553">
        <v>0</v>
      </c>
      <c r="N13" s="553">
        <v>0</v>
      </c>
    </row>
    <row r="14" spans="1:14" x14ac:dyDescent="0.25">
      <c r="A14" s="694">
        <v>6</v>
      </c>
      <c r="B14" s="695">
        <v>21</v>
      </c>
      <c r="C14" s="697" t="s">
        <v>733</v>
      </c>
      <c r="D14" s="698">
        <f>D13</f>
        <v>2025</v>
      </c>
      <c r="E14" s="707">
        <v>3.6000000000003638</v>
      </c>
      <c r="F14" s="702">
        <f>F13</f>
        <v>11.244835409656048</v>
      </c>
      <c r="G14" s="701">
        <f t="shared" si="2"/>
        <v>40.481407474765867</v>
      </c>
      <c r="H14" s="702">
        <f>H13</f>
        <v>21.624397772649218</v>
      </c>
      <c r="I14" s="702">
        <f t="shared" si="3"/>
        <v>77.847831981545056</v>
      </c>
      <c r="J14" s="703"/>
      <c r="K14" s="696">
        <f t="shared" si="4"/>
        <v>333.90337247315654</v>
      </c>
      <c r="L14" s="551"/>
      <c r="M14" s="553">
        <f>N11</f>
        <v>961.6</v>
      </c>
      <c r="N14" s="553">
        <v>969.6</v>
      </c>
    </row>
    <row r="15" spans="1:14" x14ac:dyDescent="0.25">
      <c r="A15" s="694">
        <v>7</v>
      </c>
      <c r="B15" s="695">
        <v>22</v>
      </c>
      <c r="C15" s="697" t="s">
        <v>733</v>
      </c>
      <c r="D15" s="698">
        <f t="shared" ref="D15:D25" si="5">D14</f>
        <v>2025</v>
      </c>
      <c r="E15" s="707">
        <v>0.8999999999996362</v>
      </c>
      <c r="F15" s="702">
        <f t="shared" ref="F15:F25" si="6">F14</f>
        <v>11.244835409656048</v>
      </c>
      <c r="G15" s="701">
        <f t="shared" ref="G15:G25" si="7">F15*E15</f>
        <v>10.120351868686353</v>
      </c>
      <c r="H15" s="702">
        <f t="shared" ref="H15:H25" si="8">H14</f>
        <v>21.624397772649218</v>
      </c>
      <c r="I15" s="702">
        <f t="shared" ref="I15:I25" si="9">H15*E15</f>
        <v>19.46195799537643</v>
      </c>
      <c r="J15" s="703"/>
      <c r="K15" s="696">
        <f t="shared" ref="K15:K25" si="10">(J15+K14)-I15</f>
        <v>314.44141447778009</v>
      </c>
      <c r="L15" s="551"/>
      <c r="M15" s="553">
        <f t="shared" ref="M15:M25" si="11">N14</f>
        <v>969.6</v>
      </c>
      <c r="N15" s="553">
        <v>975.8</v>
      </c>
    </row>
    <row r="16" spans="1:14" x14ac:dyDescent="0.25">
      <c r="A16" s="694">
        <v>8</v>
      </c>
      <c r="B16" s="695">
        <v>23</v>
      </c>
      <c r="C16" s="697" t="s">
        <v>733</v>
      </c>
      <c r="D16" s="698">
        <f t="shared" si="5"/>
        <v>2025</v>
      </c>
      <c r="E16" s="707">
        <v>4.4000000000014552</v>
      </c>
      <c r="F16" s="702">
        <f t="shared" si="6"/>
        <v>11.244835409656048</v>
      </c>
      <c r="G16" s="701">
        <f t="shared" si="7"/>
        <v>49.477275802502973</v>
      </c>
      <c r="H16" s="702">
        <f t="shared" si="8"/>
        <v>21.624397772649218</v>
      </c>
      <c r="I16" s="702">
        <f t="shared" si="9"/>
        <v>95.14735019968802</v>
      </c>
      <c r="J16" s="703"/>
      <c r="K16" s="696">
        <f t="shared" si="10"/>
        <v>219.29406427809207</v>
      </c>
      <c r="L16" s="551"/>
      <c r="M16" s="553">
        <f t="shared" si="11"/>
        <v>975.8</v>
      </c>
      <c r="N16" s="553">
        <v>983.2</v>
      </c>
    </row>
    <row r="17" spans="1:14" x14ac:dyDescent="0.25">
      <c r="A17" s="694">
        <v>9</v>
      </c>
      <c r="B17" s="695">
        <v>24</v>
      </c>
      <c r="C17" s="697" t="s">
        <v>733</v>
      </c>
      <c r="D17" s="698">
        <f t="shared" si="5"/>
        <v>2025</v>
      </c>
      <c r="E17" s="707">
        <v>6</v>
      </c>
      <c r="F17" s="702">
        <f t="shared" si="6"/>
        <v>11.244835409656048</v>
      </c>
      <c r="G17" s="701">
        <f t="shared" si="7"/>
        <v>67.469012457936287</v>
      </c>
      <c r="H17" s="702">
        <f t="shared" si="8"/>
        <v>21.624397772649218</v>
      </c>
      <c r="I17" s="702">
        <f t="shared" si="9"/>
        <v>129.74638663589531</v>
      </c>
      <c r="J17" s="703">
        <v>400</v>
      </c>
      <c r="K17" s="696">
        <f t="shared" si="10"/>
        <v>489.54767764219673</v>
      </c>
      <c r="L17" s="551"/>
      <c r="M17" s="553">
        <f t="shared" si="11"/>
        <v>983.2</v>
      </c>
      <c r="N17" s="553">
        <v>990.7</v>
      </c>
    </row>
    <row r="18" spans="1:14" x14ac:dyDescent="0.25">
      <c r="A18" s="694">
        <v>10</v>
      </c>
      <c r="B18" s="695">
        <v>25</v>
      </c>
      <c r="C18" s="697" t="s">
        <v>733</v>
      </c>
      <c r="D18" s="698">
        <f t="shared" si="5"/>
        <v>2025</v>
      </c>
      <c r="E18" s="707">
        <v>5</v>
      </c>
      <c r="F18" s="702">
        <f t="shared" si="6"/>
        <v>11.244835409656048</v>
      </c>
      <c r="G18" s="701">
        <f t="shared" si="7"/>
        <v>56.224177048280239</v>
      </c>
      <c r="H18" s="702">
        <f t="shared" si="8"/>
        <v>21.624397772649218</v>
      </c>
      <c r="I18" s="702">
        <f t="shared" si="9"/>
        <v>108.12198886324609</v>
      </c>
      <c r="J18" s="703"/>
      <c r="K18" s="696">
        <f t="shared" si="10"/>
        <v>381.42568877895064</v>
      </c>
      <c r="L18" s="551"/>
      <c r="M18" s="553">
        <f t="shared" si="11"/>
        <v>990.7</v>
      </c>
      <c r="N18" s="553">
        <v>998.2</v>
      </c>
    </row>
    <row r="19" spans="1:14" x14ac:dyDescent="0.25">
      <c r="A19" s="694">
        <v>11</v>
      </c>
      <c r="B19" s="695">
        <v>26</v>
      </c>
      <c r="C19" s="697" t="s">
        <v>733</v>
      </c>
      <c r="D19" s="698">
        <f t="shared" si="5"/>
        <v>2025</v>
      </c>
      <c r="E19" s="707">
        <v>0</v>
      </c>
      <c r="F19" s="702">
        <f t="shared" si="6"/>
        <v>11.244835409656048</v>
      </c>
      <c r="G19" s="701">
        <f t="shared" si="7"/>
        <v>0</v>
      </c>
      <c r="H19" s="702">
        <f t="shared" si="8"/>
        <v>21.624397772649218</v>
      </c>
      <c r="I19" s="702">
        <f t="shared" si="9"/>
        <v>0</v>
      </c>
      <c r="J19" s="703"/>
      <c r="K19" s="696">
        <f t="shared" si="10"/>
        <v>381.42568877895064</v>
      </c>
      <c r="L19" s="551"/>
      <c r="M19" s="553">
        <v>0</v>
      </c>
      <c r="N19" s="553"/>
    </row>
    <row r="20" spans="1:14" x14ac:dyDescent="0.25">
      <c r="A20" s="694">
        <v>12</v>
      </c>
      <c r="B20" s="695">
        <v>27</v>
      </c>
      <c r="C20" s="697" t="s">
        <v>733</v>
      </c>
      <c r="D20" s="698">
        <f t="shared" si="5"/>
        <v>2025</v>
      </c>
      <c r="E20" s="707">
        <v>0</v>
      </c>
      <c r="F20" s="702">
        <f t="shared" si="6"/>
        <v>11.244835409656048</v>
      </c>
      <c r="G20" s="701">
        <f t="shared" si="7"/>
        <v>0</v>
      </c>
      <c r="H20" s="702">
        <f t="shared" si="8"/>
        <v>21.624397772649218</v>
      </c>
      <c r="I20" s="702">
        <f t="shared" si="9"/>
        <v>0</v>
      </c>
      <c r="J20" s="703"/>
      <c r="K20" s="696">
        <f t="shared" si="10"/>
        <v>381.42568877895064</v>
      </c>
      <c r="L20" s="551"/>
      <c r="M20" s="553">
        <f t="shared" si="11"/>
        <v>0</v>
      </c>
      <c r="N20" s="553"/>
    </row>
    <row r="21" spans="1:14" x14ac:dyDescent="0.25">
      <c r="A21" s="694">
        <v>13</v>
      </c>
      <c r="B21" s="695">
        <v>28</v>
      </c>
      <c r="C21" s="697" t="s">
        <v>733</v>
      </c>
      <c r="D21" s="698">
        <f t="shared" si="5"/>
        <v>2025</v>
      </c>
      <c r="E21" s="707">
        <v>5.7999999999992724</v>
      </c>
      <c r="F21" s="702">
        <f t="shared" si="6"/>
        <v>11.244835409656048</v>
      </c>
      <c r="G21" s="701">
        <f t="shared" si="7"/>
        <v>65.220045375996889</v>
      </c>
      <c r="H21" s="702">
        <f t="shared" si="8"/>
        <v>21.624397772649218</v>
      </c>
      <c r="I21" s="702">
        <f t="shared" si="9"/>
        <v>125.42150708134973</v>
      </c>
      <c r="J21" s="703"/>
      <c r="K21" s="696">
        <f t="shared" si="10"/>
        <v>256.00418169760093</v>
      </c>
      <c r="L21" s="551"/>
      <c r="M21" s="553">
        <f>N18</f>
        <v>998.2</v>
      </c>
      <c r="N21" s="553">
        <v>1003.2</v>
      </c>
    </row>
    <row r="22" spans="1:14" x14ac:dyDescent="0.25">
      <c r="A22" s="694">
        <v>14</v>
      </c>
      <c r="B22" s="695">
        <v>29</v>
      </c>
      <c r="C22" s="697" t="s">
        <v>733</v>
      </c>
      <c r="D22" s="698">
        <f t="shared" si="5"/>
        <v>2025</v>
      </c>
      <c r="E22" s="707">
        <v>8.5</v>
      </c>
      <c r="F22" s="702">
        <f t="shared" si="6"/>
        <v>11.244835409656048</v>
      </c>
      <c r="G22" s="701">
        <f t="shared" si="7"/>
        <v>95.581100982076407</v>
      </c>
      <c r="H22" s="702">
        <f t="shared" si="8"/>
        <v>21.624397772649218</v>
      </c>
      <c r="I22" s="702">
        <f t="shared" si="9"/>
        <v>183.80738106751835</v>
      </c>
      <c r="J22" s="703"/>
      <c r="K22" s="696">
        <f t="shared" si="10"/>
        <v>72.196800630082578</v>
      </c>
      <c r="L22" s="551"/>
      <c r="M22" s="553">
        <f t="shared" si="11"/>
        <v>1003.2</v>
      </c>
      <c r="N22" s="553">
        <v>1010.2</v>
      </c>
    </row>
    <row r="23" spans="1:14" x14ac:dyDescent="0.25">
      <c r="A23" s="694">
        <v>15</v>
      </c>
      <c r="B23" s="695">
        <v>30</v>
      </c>
      <c r="C23" s="697" t="s">
        <v>733</v>
      </c>
      <c r="D23" s="698">
        <f t="shared" si="5"/>
        <v>2025</v>
      </c>
      <c r="E23" s="709"/>
      <c r="F23" s="702">
        <f t="shared" si="6"/>
        <v>11.244835409656048</v>
      </c>
      <c r="G23" s="701">
        <f t="shared" si="7"/>
        <v>0</v>
      </c>
      <c r="H23" s="702">
        <f t="shared" si="8"/>
        <v>21.624397772649218</v>
      </c>
      <c r="I23" s="702">
        <f t="shared" si="9"/>
        <v>0</v>
      </c>
      <c r="J23" s="703"/>
      <c r="K23" s="696">
        <f t="shared" si="10"/>
        <v>72.196800630082578</v>
      </c>
      <c r="L23" s="551"/>
      <c r="M23" s="553">
        <f t="shared" si="11"/>
        <v>1010.2</v>
      </c>
      <c r="N23" s="553">
        <v>1017.5</v>
      </c>
    </row>
    <row r="24" spans="1:14" x14ac:dyDescent="0.25">
      <c r="A24" s="694">
        <v>16</v>
      </c>
      <c r="B24" s="695">
        <v>31</v>
      </c>
      <c r="C24" s="697" t="s">
        <v>733</v>
      </c>
      <c r="D24" s="698">
        <f t="shared" si="5"/>
        <v>2025</v>
      </c>
      <c r="E24" s="709"/>
      <c r="F24" s="702">
        <f t="shared" si="6"/>
        <v>11.244835409656048</v>
      </c>
      <c r="G24" s="701">
        <f t="shared" si="7"/>
        <v>0</v>
      </c>
      <c r="H24" s="702">
        <f t="shared" si="8"/>
        <v>21.624397772649218</v>
      </c>
      <c r="I24" s="702">
        <f t="shared" si="9"/>
        <v>0</v>
      </c>
      <c r="J24" s="703"/>
      <c r="K24" s="696">
        <f t="shared" si="10"/>
        <v>72.196800630082578</v>
      </c>
      <c r="L24" s="551"/>
      <c r="M24" s="553">
        <f t="shared" si="11"/>
        <v>1017.5</v>
      </c>
      <c r="N24" s="553">
        <v>1024.5999999999999</v>
      </c>
    </row>
    <row r="25" spans="1:14" x14ac:dyDescent="0.25">
      <c r="A25" s="694">
        <v>17</v>
      </c>
      <c r="B25" s="695">
        <v>1</v>
      </c>
      <c r="C25" s="697" t="s">
        <v>735</v>
      </c>
      <c r="D25" s="698">
        <f t="shared" si="5"/>
        <v>2025</v>
      </c>
      <c r="E25" s="699"/>
      <c r="F25" s="702">
        <f t="shared" si="6"/>
        <v>11.244835409656048</v>
      </c>
      <c r="G25" s="701">
        <f t="shared" si="7"/>
        <v>0</v>
      </c>
      <c r="H25" s="702">
        <f t="shared" si="8"/>
        <v>21.624397772649218</v>
      </c>
      <c r="I25" s="702">
        <f t="shared" si="9"/>
        <v>0</v>
      </c>
      <c r="J25" s="703"/>
      <c r="K25" s="696">
        <f t="shared" si="10"/>
        <v>72.196800630082578</v>
      </c>
      <c r="L25" s="551"/>
      <c r="M25" s="553">
        <f t="shared" si="11"/>
        <v>1024.5999999999999</v>
      </c>
      <c r="N25" s="553">
        <v>1030.5</v>
      </c>
    </row>
    <row r="26" spans="1:14" ht="13.5" thickBot="1" x14ac:dyDescent="0.3">
      <c r="A26" s="552"/>
      <c r="B26" s="554"/>
      <c r="C26" s="555"/>
      <c r="D26" s="556"/>
      <c r="E26" s="557">
        <f>SUM(E10:E25)</f>
        <v>36.200000000000728</v>
      </c>
      <c r="F26" s="558"/>
      <c r="G26" s="559">
        <f>SUM(G10:G25)</f>
        <v>407.06304182955711</v>
      </c>
      <c r="H26" s="560"/>
      <c r="I26" s="597">
        <f>SUM(I10:I25)</f>
        <v>782.80319936991748</v>
      </c>
      <c r="J26" s="561">
        <f>SUM(J9:J25)</f>
        <v>800</v>
      </c>
      <c r="K26" s="562"/>
      <c r="L26" s="563"/>
    </row>
    <row r="27" spans="1:14" x14ac:dyDescent="0.25">
      <c r="A27" s="552"/>
      <c r="B27" s="564"/>
      <c r="C27" s="564"/>
      <c r="D27" s="564"/>
      <c r="E27" s="564"/>
      <c r="F27" s="564"/>
      <c r="G27" s="564"/>
      <c r="H27" s="564"/>
      <c r="I27" s="564"/>
      <c r="J27" s="565" t="e">
        <f>J26-#REF!</f>
        <v>#REF!</v>
      </c>
      <c r="K27" s="564"/>
      <c r="L27" s="564"/>
    </row>
    <row r="28" spans="1:14" x14ac:dyDescent="0.25">
      <c r="A28" s="564"/>
      <c r="B28" s="564"/>
      <c r="C28" s="564"/>
      <c r="D28" s="564"/>
      <c r="E28" s="564"/>
      <c r="F28" s="564"/>
      <c r="G28" s="564"/>
      <c r="H28" s="564"/>
      <c r="I28" s="564"/>
      <c r="J28" s="564"/>
      <c r="K28" s="564"/>
      <c r="L28" s="564"/>
      <c r="M28" s="553" t="e">
        <f>#REF!-#REF!</f>
        <v>#REF!</v>
      </c>
    </row>
    <row r="29" spans="1:14" x14ac:dyDescent="0.25">
      <c r="A29" s="564"/>
      <c r="B29" s="564"/>
      <c r="C29" s="564"/>
      <c r="D29" s="564"/>
      <c r="E29" s="564"/>
      <c r="F29" s="564"/>
      <c r="G29" s="564"/>
      <c r="H29" s="564"/>
      <c r="I29" s="564"/>
      <c r="J29" s="564"/>
      <c r="K29" s="564"/>
      <c r="L29" s="564"/>
      <c r="M29" s="536" t="e">
        <f>M28/8</f>
        <v>#REF!</v>
      </c>
    </row>
    <row r="30" spans="1:14" x14ac:dyDescent="0.25">
      <c r="A30" s="564"/>
      <c r="B30" s="564"/>
      <c r="C30" s="564"/>
      <c r="D30" s="564"/>
      <c r="E30" s="564"/>
      <c r="F30" s="564"/>
      <c r="G30" s="564"/>
      <c r="H30" s="564"/>
      <c r="I30" s="564"/>
      <c r="J30" s="564"/>
      <c r="K30" s="564"/>
      <c r="L30" s="564"/>
    </row>
    <row r="31" spans="1:14" x14ac:dyDescent="0.25">
      <c r="A31" s="564"/>
      <c r="B31" s="564"/>
      <c r="C31" s="564"/>
      <c r="D31" s="564"/>
      <c r="E31" s="564"/>
      <c r="F31" s="564" t="s">
        <v>25</v>
      </c>
      <c r="G31" s="564"/>
      <c r="H31" s="564"/>
      <c r="I31" s="564"/>
      <c r="J31" s="564"/>
      <c r="K31" s="564"/>
      <c r="L31" s="564"/>
    </row>
    <row r="32" spans="1:14" x14ac:dyDescent="0.25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</row>
    <row r="33" spans="1:12" x14ac:dyDescent="0.25">
      <c r="A33" s="564"/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</row>
    <row r="34" spans="1:12" x14ac:dyDescent="0.25">
      <c r="A34" s="564"/>
      <c r="B34" s="564"/>
      <c r="C34" s="564"/>
      <c r="D34" s="564"/>
      <c r="E34" s="564"/>
      <c r="F34" s="564"/>
      <c r="G34" s="564"/>
      <c r="H34" s="564"/>
      <c r="I34" s="564"/>
      <c r="J34" s="564"/>
      <c r="K34" s="564"/>
      <c r="L34" s="564"/>
    </row>
    <row r="35" spans="1:12" x14ac:dyDescent="0.25">
      <c r="A35" s="564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</row>
    <row r="36" spans="1:12" x14ac:dyDescent="0.25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</row>
  </sheetData>
  <mergeCells count="4">
    <mergeCell ref="A6:A7"/>
    <mergeCell ref="B6:D7"/>
    <mergeCell ref="F6:G6"/>
    <mergeCell ref="H6:K6"/>
  </mergeCells>
  <phoneticPr fontId="53" type="noConversion"/>
  <pageMargins left="0.7" right="0.7" top="0.75" bottom="0.75" header="0.3" footer="0.3"/>
  <pageSetup paperSize="5" scale="91" orientation="portrait" horizontalDpi="4294967293" verticalDpi="360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tabSelected="1" view="pageBreakPreview" topLeftCell="A46" zoomScale="73" zoomScaleNormal="73" zoomScaleSheetLayoutView="73" workbookViewId="0">
      <selection activeCell="H24" sqref="H24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27" t="s">
        <v>664</v>
      </c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AVFOER DESA KEMAMANG KEC. BALEN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KEMAMANG KEC. BALEN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28" t="s">
        <v>665</v>
      </c>
      <c r="C7" s="629"/>
      <c r="D7" s="630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31"/>
      <c r="C8" s="632"/>
      <c r="D8" s="633"/>
      <c r="E8" s="637" t="s">
        <v>667</v>
      </c>
      <c r="F8" s="632"/>
      <c r="G8" s="632"/>
      <c r="H8" s="632"/>
      <c r="I8" s="632"/>
      <c r="J8" s="632"/>
      <c r="K8" s="632"/>
      <c r="L8" s="632"/>
      <c r="M8" s="632"/>
      <c r="N8" s="632"/>
      <c r="O8" s="492" t="s">
        <v>668</v>
      </c>
    </row>
    <row r="9" spans="2:15" ht="15.75" thickBot="1" x14ac:dyDescent="0.3">
      <c r="B9" s="634"/>
      <c r="C9" s="635"/>
      <c r="D9" s="636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30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741</v>
      </c>
      <c r="F13" s="506" t="s">
        <v>739</v>
      </c>
      <c r="G13" s="508" t="s">
        <v>663</v>
      </c>
      <c r="H13" s="600">
        <f>'backup volume rencana'!H13</f>
        <v>11.666666666666668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601">
        <f>'backup volume rencana'!H14</f>
        <v>4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601">
        <f>'backup volume rencana'!H15</f>
        <v>7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601">
        <f>H15 * ( H14 / ( H14 + H17 ) )</f>
        <v>4.6666666666666661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601">
        <f>'backup volume rencana'!H17</f>
        <v>2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realisasi'!G26</f>
        <v>407.06304182955711</v>
      </c>
    </row>
    <row r="18" spans="2:18" x14ac:dyDescent="0.25">
      <c r="B18" s="496"/>
      <c r="C18" s="486"/>
      <c r="D18" s="497"/>
      <c r="E18" s="503"/>
      <c r="F18" s="506"/>
      <c r="G18" s="508"/>
      <c r="H18" s="601"/>
      <c r="I18" s="506"/>
      <c r="J18" s="506"/>
      <c r="K18" s="506"/>
      <c r="L18" s="513"/>
      <c r="M18" s="508"/>
      <c r="N18" s="514"/>
      <c r="O18" s="516"/>
      <c r="P18" t="s">
        <v>730</v>
      </c>
      <c r="Q18" s="594">
        <f>O85</f>
        <v>407.0625</v>
      </c>
    </row>
    <row r="19" spans="2:18" x14ac:dyDescent="0.25">
      <c r="B19" s="496"/>
      <c r="C19" s="486"/>
      <c r="D19" s="497"/>
      <c r="E19" s="503"/>
      <c r="F19" s="506"/>
      <c r="G19" s="508"/>
      <c r="H19" s="601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+ 7.5</v>
      </c>
      <c r="F20" s="503" t="s">
        <v>173</v>
      </c>
      <c r="G20" s="508"/>
      <c r="H20" s="602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741</v>
      </c>
      <c r="F21" s="506" t="s">
        <v>739</v>
      </c>
      <c r="G21" s="508" t="s">
        <v>663</v>
      </c>
      <c r="H21" s="600">
        <f>H23 * ( ( H25 + 2*H22 ) / ( H22 + H25 ) )</f>
        <v>11.166666666666668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4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72">
        <v>6.7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7.5</v>
      </c>
      <c r="O23" s="511">
        <f>J32+J33</f>
        <v>100.54166666666667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708">
        <f>H23 * ( H22 / ( H22 + H25 ) )</f>
        <v>4.4666666666666668</v>
      </c>
      <c r="I24" s="506" t="str">
        <f>I23</f>
        <v>m</v>
      </c>
      <c r="J24" s="506"/>
      <c r="K24" s="506" t="s">
        <v>738</v>
      </c>
      <c r="L24" s="598">
        <f>0.5*(H23+H24)*H25</f>
        <v>11.166666666666668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2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2.5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1.875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66">
        <f>(((0.5*(H23+H24))*H25)+((0.5*(H15+H16))*H17)*N23)</f>
        <v>98.666666666666671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1.875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+ 15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741</v>
      </c>
      <c r="F37" s="506" t="s">
        <v>739</v>
      </c>
      <c r="G37" s="508" t="s">
        <v>663</v>
      </c>
      <c r="H37" s="600">
        <f>H39 * ( ( H41 + 2*H38 ) / ( H38 + H41 ) )</f>
        <v>11.958333333333332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4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7.1749999999999989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7.5</v>
      </c>
      <c r="O39" s="511">
        <f>J48+J49</f>
        <v>97.583333333333343</v>
      </c>
      <c r="R39" s="571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708">
        <f>H39 * ( H38 / ( H38 + H41 ) )</f>
        <v>4.7833333333333323</v>
      </c>
      <c r="I40" s="506" t="str">
        <f>I39</f>
        <v>m</v>
      </c>
      <c r="J40" s="506"/>
      <c r="K40" s="506" t="s">
        <v>738</v>
      </c>
      <c r="L40" s="598">
        <f>0.5*(H39+H40)*H41</f>
        <v>11.958333333333332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2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2.5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1.875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66">
        <f>((0.5*(H39+H40))*H41)+((0.5*(H23+H24))*H25)*N39</f>
        <v>95.708333333333343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1.875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+ 22.5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741</v>
      </c>
      <c r="F53" s="506" t="s">
        <v>739</v>
      </c>
      <c r="G53" s="508" t="s">
        <v>663</v>
      </c>
      <c r="H53" s="600">
        <f>H55 * ( ( H57 + 2*H54 ) / ( H54 + H57 ) )</f>
        <v>12.250000000000002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4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7.3500000000000005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7.5</v>
      </c>
      <c r="O55" s="511">
        <f>J64+J65</f>
        <v>103.81249999999999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708">
        <f>H55 * ( H54 / ( H54 + H57 ) )</f>
        <v>4.9000000000000004</v>
      </c>
      <c r="I56" s="506" t="str">
        <f>I55</f>
        <v>m</v>
      </c>
      <c r="J56" s="506"/>
      <c r="K56" s="506" t="s">
        <v>738</v>
      </c>
      <c r="L56" s="598">
        <f>0.5*(H55+H56)*H57</f>
        <v>12.25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2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2.5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1.875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66">
        <f>((0.5*(H55+H56))*H57)+((0.5*(H39+H40))*H41)*N55</f>
        <v>101.93749999999999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1.875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+ 30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741</v>
      </c>
      <c r="F69" s="506" t="s">
        <v>739</v>
      </c>
      <c r="G69" s="508" t="s">
        <v>663</v>
      </c>
      <c r="H69" s="600">
        <f>H71 * ( ( H73 + 2*H70 ) / ( H70 + H73 ) )</f>
        <v>11.375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4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6.8250000000000002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7.5</v>
      </c>
      <c r="O71" s="511">
        <f>J80+J81</f>
        <v>105.125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708">
        <f>H71 * ( H70 / ( H70 + H73 ) )</f>
        <v>4.55</v>
      </c>
      <c r="I72" s="506" t="str">
        <f>I71</f>
        <v>m</v>
      </c>
      <c r="J72" s="506"/>
      <c r="K72" s="506" t="s">
        <v>738</v>
      </c>
      <c r="L72" s="598">
        <f>0.5*(H71+H72)*H73</f>
        <v>11.375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2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2.5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1.875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66">
        <f>((0.5*(H71+H72))*H73)+((0.5*(H55+H56))*H57)*N71</f>
        <v>103.25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1.875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39" t="s">
        <v>688</v>
      </c>
      <c r="F85" s="640"/>
      <c r="G85" s="640"/>
      <c r="H85" s="640"/>
      <c r="I85" s="640"/>
      <c r="J85" s="640"/>
      <c r="K85" s="640"/>
      <c r="L85" s="640"/>
      <c r="M85" s="640"/>
      <c r="N85" s="691"/>
      <c r="O85" s="531">
        <f>SUM(O10:O84)</f>
        <v>407.0625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82" fitToHeight="0" orientation="landscape" horizontalDpi="360" verticalDpi="360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68" t="s">
        <v>158</v>
      </c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407.0625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realisasi'!B9:B76)-1</f>
        <v>16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734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69" t="s">
        <v>105</v>
      </c>
      <c r="D9" s="670"/>
      <c r="E9" s="670"/>
      <c r="F9" s="670"/>
      <c r="G9" s="669" t="s">
        <v>144</v>
      </c>
      <c r="H9" s="671"/>
      <c r="I9" s="96" t="s">
        <v>161</v>
      </c>
      <c r="J9" s="669" t="s">
        <v>162</v>
      </c>
      <c r="K9" s="671"/>
      <c r="L9" s="669" t="s">
        <v>163</v>
      </c>
      <c r="M9" s="671"/>
      <c r="N9" s="97" t="s">
        <v>164</v>
      </c>
    </row>
    <row r="10" spans="2:15" x14ac:dyDescent="0.25">
      <c r="B10" s="98" t="s">
        <v>147</v>
      </c>
      <c r="C10" s="672" t="s">
        <v>148</v>
      </c>
      <c r="D10" s="673"/>
      <c r="E10" s="673"/>
      <c r="F10" s="673"/>
      <c r="G10" s="672" t="s">
        <v>165</v>
      </c>
      <c r="H10" s="674"/>
      <c r="I10" s="99" t="s">
        <v>149</v>
      </c>
      <c r="J10" s="672" t="s">
        <v>653</v>
      </c>
      <c r="K10" s="674"/>
      <c r="L10" s="672" t="s">
        <v>150</v>
      </c>
      <c r="M10" s="674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407.0625</v>
      </c>
      <c r="H13" s="145" t="s">
        <v>94</v>
      </c>
      <c r="I13" s="146"/>
      <c r="J13" s="147">
        <f>E7</f>
        <v>16</v>
      </c>
      <c r="K13" s="148" t="s">
        <v>101</v>
      </c>
      <c r="L13" s="149">
        <f>ROUND(J13,0)</f>
        <v>16</v>
      </c>
      <c r="M13" s="141" t="str">
        <f>K13</f>
        <v>hari</v>
      </c>
      <c r="N13" s="150"/>
      <c r="O13" s="396">
        <f>L13/30</f>
        <v>0.53333333333333333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407.0625</v>
      </c>
      <c r="H14" s="145" t="s">
        <v>94</v>
      </c>
      <c r="I14" s="146"/>
      <c r="J14" s="147">
        <f>E7</f>
        <v>16</v>
      </c>
      <c r="K14" s="148" t="s">
        <v>101</v>
      </c>
      <c r="L14" s="149">
        <f>ROUND(J14,0)</f>
        <v>16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89.958683277248383</v>
      </c>
      <c r="J17" s="142"/>
      <c r="K17" s="148"/>
      <c r="L17" s="149"/>
      <c r="M17" s="141"/>
      <c r="N17" s="110"/>
      <c r="O17" s="396">
        <f>G18-'RAB PEKERJAAN'!K13</f>
        <v>49.5625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407.0625</v>
      </c>
      <c r="H18" s="145" t="s">
        <v>94</v>
      </c>
      <c r="I18" s="152"/>
      <c r="J18" s="147">
        <f>('ANALISA pelaksanaan '!K34/'PERSONIL pelaksanaan'!I17)*G17*G18</f>
        <v>782.80215740376661</v>
      </c>
      <c r="K18" s="148" t="s">
        <v>168</v>
      </c>
      <c r="L18" s="149">
        <f>ROUNDUP(J18,3)</f>
        <v>782.803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76"/>
      <c r="K23" s="676"/>
      <c r="L23" s="676"/>
      <c r="M23" s="129"/>
      <c r="N23" s="130"/>
    </row>
    <row r="24" spans="2:15" x14ac:dyDescent="0.25">
      <c r="B24" s="675" t="s">
        <v>152</v>
      </c>
      <c r="C24" s="675"/>
      <c r="D24" s="675"/>
      <c r="E24" s="675"/>
      <c r="F24" s="675"/>
      <c r="G24" s="675"/>
      <c r="H24" s="675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1" zoomScale="55" zoomScaleNormal="100" zoomScaleSheetLayoutView="55" workbookViewId="0">
      <selection activeCell="U14" sqref="U14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81" t="s">
        <v>727</v>
      </c>
      <c r="C2" s="682"/>
      <c r="D2" s="682"/>
      <c r="E2" s="682"/>
      <c r="F2" s="682"/>
      <c r="G2" s="682"/>
      <c r="H2" s="682"/>
      <c r="I2" s="682"/>
      <c r="J2" s="682"/>
      <c r="K2" s="682"/>
      <c r="L2" s="683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77" t="str">
        <f>PERSONIL!E3</f>
        <v>NORMALISASI / RESTORASI SUNGAI</v>
      </c>
      <c r="F4" s="678"/>
      <c r="G4" s="678"/>
      <c r="H4" s="678"/>
      <c r="I4" s="678"/>
      <c r="J4" s="678"/>
      <c r="K4" s="678"/>
      <c r="L4" s="679"/>
    </row>
    <row r="5" spans="2:15" x14ac:dyDescent="0.25">
      <c r="B5" s="427" t="s">
        <v>197</v>
      </c>
      <c r="C5" s="92"/>
      <c r="D5" s="93" t="s">
        <v>139</v>
      </c>
      <c r="E5" s="591">
        <f>'PERSONIL pelaksanaan'!E7</f>
        <v>16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69" t="s">
        <v>142</v>
      </c>
      <c r="D9" s="670"/>
      <c r="E9" s="670"/>
      <c r="F9" s="670"/>
      <c r="G9" s="670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84" t="s">
        <v>148</v>
      </c>
      <c r="D10" s="685"/>
      <c r="E10" s="685"/>
      <c r="F10" s="685"/>
      <c r="G10" s="685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16</v>
      </c>
      <c r="J12" s="441">
        <f>'ANALISA perencanaan'!$AD$73</f>
        <v>75000</v>
      </c>
      <c r="K12" s="400"/>
      <c r="L12" s="445">
        <f>I12*J12</f>
        <v>1200000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16</v>
      </c>
      <c r="J13" s="441">
        <f>'ANALISA perencanaan'!$AD$73</f>
        <v>75000</v>
      </c>
      <c r="K13" s="400"/>
      <c r="L13" s="445">
        <f>I13*J13</f>
        <v>1200000</v>
      </c>
      <c r="O13" s="402">
        <f>L19</f>
        <v>21951000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90">
        <f>'PERSONIL pelaksanaan'!J18</f>
        <v>782.80215740376661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19551266.683316477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21951266.683316477</v>
      </c>
      <c r="O18" s="406">
        <f>L18-'RAB PEKERJAAN'!N15</f>
        <v>-3050419.8098731786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21951000</v>
      </c>
      <c r="O19" s="406"/>
    </row>
    <row r="20" spans="2:15" x14ac:dyDescent="0.25">
      <c r="B20" s="680"/>
      <c r="C20" s="680"/>
      <c r="D20" s="680"/>
      <c r="E20" s="680"/>
      <c r="F20" s="680"/>
      <c r="G20" s="680"/>
      <c r="H20" s="680"/>
      <c r="I20" s="680"/>
      <c r="J20" s="680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75" t="s">
        <v>152</v>
      </c>
      <c r="C22" s="675"/>
      <c r="D22" s="675"/>
      <c r="E22" s="675"/>
      <c r="F22" s="675"/>
      <c r="G22" s="675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81" t="s">
        <v>728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3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77" t="str">
        <f>PERSONIL!E3</f>
        <v>NORMALISASI / RESTORASI SUNGAI</v>
      </c>
      <c r="F4" s="678"/>
      <c r="G4" s="678"/>
      <c r="H4" s="678"/>
      <c r="I4" s="678"/>
      <c r="J4" s="678"/>
      <c r="K4" s="678"/>
      <c r="L4" s="678"/>
      <c r="M4" s="678"/>
      <c r="N4" s="679"/>
    </row>
    <row r="5" spans="2:17" x14ac:dyDescent="0.25">
      <c r="B5" s="427" t="s">
        <v>197</v>
      </c>
      <c r="C5" s="92"/>
      <c r="D5" s="93" t="s">
        <v>139</v>
      </c>
      <c r="E5" s="591">
        <f>'RAB PERSONIL PELAKSANAAN'!E5</f>
        <v>16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69" t="s">
        <v>142</v>
      </c>
      <c r="D9" s="670"/>
      <c r="E9" s="670"/>
      <c r="F9" s="670"/>
      <c r="G9" s="670"/>
      <c r="H9" s="670"/>
      <c r="I9" s="670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84" t="s">
        <v>148</v>
      </c>
      <c r="D10" s="685"/>
      <c r="E10" s="685"/>
      <c r="F10" s="685"/>
      <c r="G10" s="685"/>
      <c r="H10" s="685"/>
      <c r="I10" s="685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407.0625</v>
      </c>
      <c r="L13" s="441">
        <f>'ANALISA pelaksanaan '!AB101</f>
        <v>42884.048788832173</v>
      </c>
      <c r="M13" s="400">
        <f>(L13*12%)+L13</f>
        <v>48030.134643492034</v>
      </c>
      <c r="N13" s="445">
        <f>K13*M13</f>
        <v>19551266.683316477</v>
      </c>
      <c r="O13" s="402">
        <f>N13-'RAB PERSONIL'!L16</f>
        <v>-4850419.8098731786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32</v>
      </c>
      <c r="L14" s="441">
        <f>'ANALISA perencanaan'!$AD$73</f>
        <v>75000</v>
      </c>
      <c r="M14" s="400"/>
      <c r="N14" s="445">
        <f>K14*L14</f>
        <v>2400000</v>
      </c>
      <c r="Q14" s="402">
        <f>Q12-N17</f>
        <v>3578049000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21951266.683316477</v>
      </c>
      <c r="Q15" s="406">
        <f>N15-'RAB PERSONIL'!L18</f>
        <v>-3050419.8098731786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21951266.683316477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21951000</v>
      </c>
      <c r="O17" s="595">
        <f>N17-'RAB PERSONIL'!L19</f>
        <v>-3050000</v>
      </c>
      <c r="Q17" s="406"/>
    </row>
    <row r="18" spans="2:17" x14ac:dyDescent="0.25">
      <c r="B18" s="680"/>
      <c r="C18" s="680"/>
      <c r="D18" s="680"/>
      <c r="E18" s="680"/>
      <c r="F18" s="680"/>
      <c r="G18" s="680"/>
      <c r="H18" s="680"/>
      <c r="I18" s="680"/>
      <c r="J18" s="680"/>
      <c r="K18" s="680"/>
      <c r="L18" s="680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98CE-0035-4C48-A19E-7835638C787E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603" t="s">
        <v>204</v>
      </c>
      <c r="D2" s="603"/>
      <c r="E2" s="603"/>
      <c r="F2" s="603"/>
      <c r="G2" s="603"/>
      <c r="H2" s="603"/>
      <c r="I2" s="603"/>
      <c r="N2" s="603" t="s">
        <v>615</v>
      </c>
      <c r="O2" s="603"/>
      <c r="P2" s="603"/>
      <c r="Q2" s="603"/>
      <c r="R2" s="603"/>
      <c r="S2" s="603"/>
      <c r="T2" s="603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3574999000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604" t="s">
        <v>176</v>
      </c>
      <c r="D104" s="605"/>
      <c r="E104" s="606"/>
      <c r="F104" s="204">
        <f>SUM(F13:F103)</f>
        <v>357823.14269886009</v>
      </c>
      <c r="N104" s="604" t="s">
        <v>176</v>
      </c>
      <c r="O104" s="605"/>
      <c r="P104" s="606"/>
      <c r="Q104" s="204">
        <f>SUM(Q13:Q103)</f>
        <v>8875</v>
      </c>
    </row>
    <row r="108" spans="1:17" ht="36" customHeight="1" x14ac:dyDescent="0.25">
      <c r="C108" s="603" t="s">
        <v>642</v>
      </c>
      <c r="D108" s="603"/>
      <c r="E108" s="603"/>
      <c r="F108" s="603"/>
      <c r="G108" s="603"/>
      <c r="H108" s="603"/>
      <c r="I108" s="603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692"/>
      <c r="H177" s="693"/>
      <c r="I177" s="693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604" t="s">
        <v>176</v>
      </c>
      <c r="D210" s="605"/>
      <c r="E210" s="606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603" t="s">
        <v>644</v>
      </c>
      <c r="C2" s="603"/>
      <c r="D2" s="603"/>
      <c r="E2" s="603"/>
      <c r="F2" s="603"/>
      <c r="G2" s="603"/>
      <c r="H2" s="603"/>
      <c r="I2" s="603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Sheet1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2025-09-08T06:47:38Z</cp:lastPrinted>
  <dcterms:created xsi:type="dcterms:W3CDTF">2025-02-26T03:13:46Z</dcterms:created>
  <dcterms:modified xsi:type="dcterms:W3CDTF">2025-10-09T01:52:39Z</dcterms:modified>
</cp:coreProperties>
</file>