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ent\App\Maarg\vyuha\others\mis\input_files\"/>
    </mc:Choice>
  </mc:AlternateContent>
  <xr:revisionPtr revIDLastSave="0" documentId="8_{1DDE372D-02FD-43E3-A766-65DB9A6C5FAA}" xr6:coauthVersionLast="47" xr6:coauthVersionMax="47" xr10:uidLastSave="{00000000-0000-0000-0000-000000000000}"/>
  <bookViews>
    <workbookView xWindow="-120" yWindow="-120" windowWidth="20730" windowHeight="11040" activeTab="5" xr2:uid="{8E86AF5B-549C-4CA3-9FF8-9EDCF7B528C7}"/>
  </bookViews>
  <sheets>
    <sheet name="April 22" sheetId="25" r:id="rId1"/>
    <sheet name="May 22" sheetId="27" r:id="rId2"/>
    <sheet name="June 22" sheetId="29" r:id="rId3"/>
    <sheet name="July 22" sheetId="32" r:id="rId4"/>
    <sheet name="August 22" sheetId="33" r:id="rId5"/>
    <sheet name="September 22" sheetId="3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7" i="34" l="1"/>
  <c r="BG17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BH15" i="34"/>
  <c r="BG15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BH7" i="34" l="1"/>
  <c r="BG7" i="34"/>
  <c r="BF7" i="34"/>
  <c r="BE7" i="34"/>
  <c r="BD7" i="34"/>
  <c r="BC7" i="34"/>
  <c r="BB7" i="34"/>
  <c r="BA7" i="34"/>
  <c r="AZ7" i="34"/>
  <c r="AY7" i="34"/>
  <c r="AX7" i="34"/>
  <c r="AW7" i="34"/>
  <c r="AV7" i="34"/>
  <c r="AS7" i="34"/>
  <c r="AR7" i="34"/>
  <c r="AQ7" i="34"/>
  <c r="AP7" i="34"/>
  <c r="AO7" i="34"/>
  <c r="AN7" i="34"/>
  <c r="AM7" i="34"/>
  <c r="AL7" i="34"/>
  <c r="AK7" i="34"/>
  <c r="AI7" i="34"/>
  <c r="AH7" i="34"/>
  <c r="AG7" i="34"/>
  <c r="AF7" i="34"/>
  <c r="AD7" i="34"/>
  <c r="AC7" i="34"/>
  <c r="AB7" i="34"/>
  <c r="AA7" i="34"/>
  <c r="Z7" i="34"/>
  <c r="Y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J6" i="34"/>
  <c r="AE6" i="34"/>
  <c r="X6" i="34"/>
  <c r="W6" i="34"/>
  <c r="AV5" i="34"/>
  <c r="AU5" i="34"/>
  <c r="AU7" i="34" s="1"/>
  <c r="AT5" i="34"/>
  <c r="AT7" i="34" s="1"/>
  <c r="AJ5" i="34"/>
  <c r="AJ7" i="34" s="1"/>
  <c r="X5" i="34"/>
  <c r="X7" i="34" s="1"/>
  <c r="V5" i="34"/>
  <c r="V7" i="34" s="1"/>
  <c r="T5" i="34"/>
  <c r="S5" i="34"/>
  <c r="H5" i="34"/>
  <c r="W7" i="34" l="1"/>
  <c r="AE7" i="34"/>
  <c r="AY14" i="33" l="1"/>
  <c r="AZ14" i="33"/>
  <c r="BA14" i="33"/>
  <c r="BB14" i="33"/>
  <c r="BC14" i="33"/>
  <c r="BD14" i="33"/>
  <c r="BE14" i="33"/>
  <c r="BF14" i="33"/>
  <c r="BG14" i="33"/>
  <c r="AW15" i="33"/>
  <c r="AX15" i="33"/>
  <c r="AY15" i="33"/>
  <c r="AZ15" i="33"/>
  <c r="BA15" i="33"/>
  <c r="BB15" i="33"/>
  <c r="BC15" i="33"/>
  <c r="BD15" i="33"/>
  <c r="BE15" i="33"/>
  <c r="BF15" i="33"/>
  <c r="BG15" i="33"/>
  <c r="AX16" i="33"/>
  <c r="AY16" i="33"/>
  <c r="AZ16" i="33"/>
  <c r="BA16" i="33"/>
  <c r="BB16" i="33"/>
  <c r="BC16" i="33"/>
  <c r="BD16" i="33"/>
  <c r="BE16" i="33"/>
  <c r="BF16" i="33"/>
  <c r="BG16" i="33"/>
  <c r="AX17" i="33"/>
  <c r="AY17" i="33"/>
  <c r="AZ17" i="33"/>
  <c r="BA17" i="33"/>
  <c r="BB17" i="33"/>
  <c r="BC17" i="33"/>
  <c r="BD17" i="33"/>
  <c r="BE17" i="33"/>
  <c r="BF17" i="33"/>
  <c r="BG17" i="33"/>
  <c r="AY17" i="32"/>
  <c r="AZ17" i="32"/>
  <c r="BA17" i="32"/>
  <c r="BB17" i="32"/>
  <c r="BC17" i="32"/>
  <c r="BD17" i="32"/>
  <c r="BE17" i="32"/>
  <c r="BF17" i="32"/>
  <c r="BG17" i="32"/>
  <c r="AY16" i="32"/>
  <c r="AZ16" i="32"/>
  <c r="BA16" i="32"/>
  <c r="BB16" i="32"/>
  <c r="BC16" i="32"/>
  <c r="BC14" i="32" s="1"/>
  <c r="BD16" i="32"/>
  <c r="BE16" i="32"/>
  <c r="BF16" i="32"/>
  <c r="BG16" i="32"/>
  <c r="AY15" i="32"/>
  <c r="AZ15" i="32"/>
  <c r="BA15" i="32"/>
  <c r="BA14" i="32" s="1"/>
  <c r="BB15" i="32"/>
  <c r="BC15" i="32"/>
  <c r="BD15" i="32"/>
  <c r="BE15" i="32"/>
  <c r="BF15" i="32"/>
  <c r="BG15" i="32"/>
  <c r="AY14" i="32"/>
  <c r="AZ14" i="32"/>
  <c r="BB14" i="32"/>
  <c r="BD14" i="32"/>
  <c r="BG14" i="32"/>
  <c r="AY17" i="27"/>
  <c r="AZ17" i="27"/>
  <c r="BA17" i="27"/>
  <c r="BB17" i="27"/>
  <c r="AY16" i="27"/>
  <c r="AY15" i="27"/>
  <c r="AZ15" i="27"/>
  <c r="BA15" i="27"/>
  <c r="BB15" i="27"/>
  <c r="BC17" i="29"/>
  <c r="BB17" i="29"/>
  <c r="BA17" i="29"/>
  <c r="BA14" i="29" s="1"/>
  <c r="AZ17" i="29"/>
  <c r="AY17" i="29"/>
  <c r="AY14" i="29" s="1"/>
  <c r="AX17" i="29"/>
  <c r="BC16" i="29"/>
  <c r="BB16" i="29"/>
  <c r="BB14" i="29" s="1"/>
  <c r="BA16" i="29"/>
  <c r="AZ16" i="29"/>
  <c r="AY16" i="29"/>
  <c r="AX16" i="29"/>
  <c r="AX14" i="29" s="1"/>
  <c r="BC14" i="29"/>
  <c r="AZ14" i="29"/>
  <c r="AY15" i="29"/>
  <c r="AZ15" i="29"/>
  <c r="BA15" i="29"/>
  <c r="BB15" i="29"/>
  <c r="BC15" i="29"/>
  <c r="AZ16" i="27"/>
  <c r="BA16" i="27"/>
  <c r="BB16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AV15" i="32"/>
  <c r="AW15" i="32"/>
  <c r="AX15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AV16" i="32"/>
  <c r="AW16" i="32"/>
  <c r="AX16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AV17" i="32"/>
  <c r="AW17" i="32"/>
  <c r="AX17" i="32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J15" i="27"/>
  <c r="K15" i="27"/>
  <c r="L15" i="27"/>
  <c r="M15" i="27"/>
  <c r="N15" i="27"/>
  <c r="O15" i="27"/>
  <c r="P15" i="27"/>
  <c r="Q15" i="27"/>
  <c r="R15" i="27"/>
  <c r="S15" i="27"/>
  <c r="T15" i="27"/>
  <c r="J16" i="27"/>
  <c r="K16" i="27"/>
  <c r="L16" i="27"/>
  <c r="M16" i="27"/>
  <c r="N16" i="27"/>
  <c r="O16" i="27"/>
  <c r="P16" i="27"/>
  <c r="Q16" i="27"/>
  <c r="R16" i="27"/>
  <c r="S16" i="27"/>
  <c r="T16" i="27"/>
  <c r="J17" i="27"/>
  <c r="K17" i="27"/>
  <c r="L17" i="27"/>
  <c r="M17" i="27"/>
  <c r="N17" i="27"/>
  <c r="O17" i="27"/>
  <c r="P17" i="27"/>
  <c r="Q17" i="27"/>
  <c r="R17" i="27"/>
  <c r="S17" i="27"/>
  <c r="T17" i="27"/>
  <c r="J15" i="29"/>
  <c r="K15" i="29"/>
  <c r="L15" i="29"/>
  <c r="M15" i="29"/>
  <c r="N15" i="29"/>
  <c r="O15" i="29"/>
  <c r="P15" i="29"/>
  <c r="Q15" i="29"/>
  <c r="R15" i="29"/>
  <c r="S15" i="29"/>
  <c r="T15" i="29"/>
  <c r="J16" i="29"/>
  <c r="K16" i="29"/>
  <c r="L16" i="29"/>
  <c r="M16" i="29"/>
  <c r="N16" i="29"/>
  <c r="O16" i="29"/>
  <c r="P16" i="29"/>
  <c r="Q16" i="29"/>
  <c r="R16" i="29"/>
  <c r="S16" i="29"/>
  <c r="T16" i="29"/>
  <c r="J17" i="29"/>
  <c r="K17" i="29"/>
  <c r="L17" i="29"/>
  <c r="M17" i="29"/>
  <c r="N17" i="29"/>
  <c r="O17" i="29"/>
  <c r="P17" i="29"/>
  <c r="Q17" i="29"/>
  <c r="R17" i="29"/>
  <c r="S17" i="29"/>
  <c r="T17" i="29"/>
  <c r="J15" i="32"/>
  <c r="K15" i="32"/>
  <c r="L15" i="32"/>
  <c r="M15" i="32"/>
  <c r="N15" i="32"/>
  <c r="O15" i="32"/>
  <c r="P15" i="32"/>
  <c r="Q15" i="32"/>
  <c r="R15" i="32"/>
  <c r="S15" i="32"/>
  <c r="T15" i="32"/>
  <c r="J16" i="32"/>
  <c r="K16" i="32"/>
  <c r="L16" i="32"/>
  <c r="M16" i="32"/>
  <c r="N16" i="32"/>
  <c r="O16" i="32"/>
  <c r="P16" i="32"/>
  <c r="Q16" i="32"/>
  <c r="R16" i="32"/>
  <c r="S16" i="32"/>
  <c r="T16" i="32"/>
  <c r="J17" i="32"/>
  <c r="K17" i="32"/>
  <c r="L17" i="32"/>
  <c r="M17" i="32"/>
  <c r="N17" i="32"/>
  <c r="O17" i="32"/>
  <c r="P17" i="32"/>
  <c r="Q17" i="32"/>
  <c r="R17" i="32"/>
  <c r="S17" i="32"/>
  <c r="T17" i="32"/>
  <c r="J15" i="33"/>
  <c r="K15" i="33"/>
  <c r="L15" i="33"/>
  <c r="M15" i="33"/>
  <c r="N15" i="33"/>
  <c r="O15" i="33"/>
  <c r="P15" i="33"/>
  <c r="Q15" i="33"/>
  <c r="R15" i="33"/>
  <c r="S15" i="33"/>
  <c r="T15" i="33"/>
  <c r="J16" i="33"/>
  <c r="K16" i="33"/>
  <c r="L16" i="33"/>
  <c r="M16" i="33"/>
  <c r="N16" i="33"/>
  <c r="O16" i="33"/>
  <c r="P16" i="33"/>
  <c r="Q16" i="33"/>
  <c r="R16" i="33"/>
  <c r="S16" i="33"/>
  <c r="T16" i="33"/>
  <c r="J17" i="33"/>
  <c r="K17" i="33"/>
  <c r="L17" i="33"/>
  <c r="M17" i="33"/>
  <c r="N17" i="33"/>
  <c r="O17" i="33"/>
  <c r="P17" i="33"/>
  <c r="Q17" i="33"/>
  <c r="R17" i="33"/>
  <c r="S17" i="33"/>
  <c r="T17" i="33"/>
  <c r="J15" i="25"/>
  <c r="K15" i="25"/>
  <c r="L15" i="25"/>
  <c r="M15" i="25"/>
  <c r="N15" i="25"/>
  <c r="O15" i="25"/>
  <c r="P15" i="25"/>
  <c r="Q15" i="25"/>
  <c r="R15" i="25"/>
  <c r="S15" i="25"/>
  <c r="T15" i="25"/>
  <c r="J16" i="25"/>
  <c r="K16" i="25"/>
  <c r="L16" i="25"/>
  <c r="M16" i="25"/>
  <c r="N16" i="25"/>
  <c r="O16" i="25"/>
  <c r="P16" i="25"/>
  <c r="Q16" i="25"/>
  <c r="R16" i="25"/>
  <c r="S16" i="25"/>
  <c r="T16" i="25"/>
  <c r="J17" i="25"/>
  <c r="K17" i="25"/>
  <c r="L17" i="25"/>
  <c r="M17" i="25"/>
  <c r="N17" i="25"/>
  <c r="O17" i="25"/>
  <c r="P17" i="25"/>
  <c r="Q17" i="25"/>
  <c r="R17" i="25"/>
  <c r="S17" i="25"/>
  <c r="T17" i="25"/>
  <c r="E15" i="27"/>
  <c r="F15" i="27"/>
  <c r="G15" i="27"/>
  <c r="H15" i="27"/>
  <c r="I15" i="27"/>
  <c r="E16" i="27"/>
  <c r="F16" i="27"/>
  <c r="G16" i="27"/>
  <c r="H16" i="27"/>
  <c r="I16" i="27"/>
  <c r="E17" i="27"/>
  <c r="F17" i="27"/>
  <c r="G17" i="27"/>
  <c r="H17" i="27"/>
  <c r="I17" i="27"/>
  <c r="E15" i="29"/>
  <c r="F15" i="29"/>
  <c r="G15" i="29"/>
  <c r="H15" i="29"/>
  <c r="I15" i="29"/>
  <c r="E16" i="29"/>
  <c r="F16" i="29"/>
  <c r="G16" i="29"/>
  <c r="H16" i="29"/>
  <c r="I16" i="29"/>
  <c r="E17" i="29"/>
  <c r="F17" i="29"/>
  <c r="G17" i="29"/>
  <c r="H17" i="29"/>
  <c r="I17" i="29"/>
  <c r="E15" i="32"/>
  <c r="F15" i="32"/>
  <c r="G15" i="32"/>
  <c r="H15" i="32"/>
  <c r="I15" i="32"/>
  <c r="E16" i="32"/>
  <c r="F16" i="32"/>
  <c r="G16" i="32"/>
  <c r="H16" i="32"/>
  <c r="I16" i="32"/>
  <c r="E17" i="32"/>
  <c r="F17" i="32"/>
  <c r="G17" i="32"/>
  <c r="H17" i="32"/>
  <c r="I17" i="32"/>
  <c r="E15" i="33"/>
  <c r="F15" i="33"/>
  <c r="G15" i="33"/>
  <c r="H15" i="33"/>
  <c r="I15" i="33"/>
  <c r="E16" i="33"/>
  <c r="F16" i="33"/>
  <c r="G16" i="33"/>
  <c r="H16" i="33"/>
  <c r="I16" i="33"/>
  <c r="E17" i="33"/>
  <c r="F17" i="33"/>
  <c r="G17" i="33"/>
  <c r="H17" i="33"/>
  <c r="I17" i="33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B16" i="27"/>
  <c r="C16" i="27"/>
  <c r="D16" i="27"/>
  <c r="B17" i="27"/>
  <c r="C17" i="27"/>
  <c r="D17" i="27"/>
  <c r="D14" i="27" s="1"/>
  <c r="B16" i="29"/>
  <c r="B14" i="29" s="1"/>
  <c r="C16" i="29"/>
  <c r="D16" i="29"/>
  <c r="B17" i="29"/>
  <c r="C17" i="29"/>
  <c r="D17" i="29"/>
  <c r="B16" i="32"/>
  <c r="C16" i="32"/>
  <c r="D16" i="32"/>
  <c r="B17" i="32"/>
  <c r="C17" i="32"/>
  <c r="D17" i="32"/>
  <c r="B16" i="33"/>
  <c r="C16" i="33"/>
  <c r="D16" i="33"/>
  <c r="B17" i="33"/>
  <c r="B14" i="33" s="1"/>
  <c r="C17" i="33"/>
  <c r="D17" i="33"/>
  <c r="B16" i="25"/>
  <c r="C16" i="25"/>
  <c r="D16" i="25"/>
  <c r="B17" i="25"/>
  <c r="C17" i="25"/>
  <c r="D17" i="25"/>
  <c r="D14" i="25" s="1"/>
  <c r="C15" i="27"/>
  <c r="D15" i="27"/>
  <c r="C15" i="29"/>
  <c r="D15" i="29"/>
  <c r="C15" i="32"/>
  <c r="D15" i="32"/>
  <c r="C15" i="33"/>
  <c r="D15" i="33"/>
  <c r="D14" i="33" s="1"/>
  <c r="C15" i="25"/>
  <c r="D15" i="25"/>
  <c r="B15" i="27"/>
  <c r="B15" i="29"/>
  <c r="B15" i="32"/>
  <c r="B15" i="33"/>
  <c r="B15" i="25"/>
  <c r="C14" i="29"/>
  <c r="D14" i="29"/>
  <c r="D14" i="32"/>
  <c r="B14" i="32"/>
  <c r="BG7" i="33"/>
  <c r="BF7" i="33"/>
  <c r="BE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Q7" i="33"/>
  <c r="AP7" i="33"/>
  <c r="AO7" i="33"/>
  <c r="AN7" i="33"/>
  <c r="AK7" i="33"/>
  <c r="AI7" i="33"/>
  <c r="AH7" i="33"/>
  <c r="AG7" i="33"/>
  <c r="AF7" i="33"/>
  <c r="AD7" i="33"/>
  <c r="AC7" i="33"/>
  <c r="AB7" i="33"/>
  <c r="AA7" i="33"/>
  <c r="Z7" i="33"/>
  <c r="V7" i="33"/>
  <c r="U7" i="33"/>
  <c r="S7" i="33"/>
  <c r="R7" i="33"/>
  <c r="Q7" i="33"/>
  <c r="P7" i="33"/>
  <c r="O7" i="33"/>
  <c r="N7" i="33"/>
  <c r="M7" i="33"/>
  <c r="L7" i="33"/>
  <c r="K7" i="33"/>
  <c r="J7" i="33"/>
  <c r="I7" i="33"/>
  <c r="H7" i="33"/>
  <c r="F7" i="33"/>
  <c r="E7" i="33"/>
  <c r="D7" i="33"/>
  <c r="C7" i="33"/>
  <c r="B7" i="33"/>
  <c r="AJ6" i="33"/>
  <c r="AE6" i="33"/>
  <c r="Z6" i="33"/>
  <c r="X6" i="33"/>
  <c r="W6" i="33"/>
  <c r="AJ5" i="33"/>
  <c r="Y5" i="33"/>
  <c r="Y7" i="33" s="1"/>
  <c r="X5" i="33"/>
  <c r="T5" i="33"/>
  <c r="G5" i="33"/>
  <c r="G7" i="33" s="1"/>
  <c r="AA6" i="32"/>
  <c r="Z6" i="32"/>
  <c r="Z5" i="32"/>
  <c r="BE14" i="32" l="1"/>
  <c r="BF14" i="32"/>
  <c r="C14" i="25"/>
  <c r="C14" i="33"/>
  <c r="C14" i="32"/>
  <c r="C14" i="27"/>
  <c r="B14" i="25"/>
  <c r="B14" i="27"/>
  <c r="T7" i="33"/>
  <c r="X7" i="33"/>
  <c r="AJ7" i="33"/>
  <c r="W7" i="33"/>
  <c r="AE7" i="33"/>
  <c r="W5" i="32"/>
  <c r="S5" i="27" l="1"/>
  <c r="S5" i="29"/>
  <c r="S5" i="32"/>
  <c r="T5" i="32"/>
  <c r="AK6" i="32"/>
  <c r="AK5" i="32"/>
  <c r="AW7" i="32"/>
  <c r="AF6" i="32" l="1"/>
  <c r="AC6" i="29"/>
  <c r="M7" i="32" l="1"/>
  <c r="L7" i="32"/>
  <c r="BG7" i="32" l="1"/>
  <c r="BF7" i="32"/>
  <c r="BE7" i="32"/>
  <c r="BD7" i="32"/>
  <c r="BC7" i="32"/>
  <c r="BB7" i="32"/>
  <c r="BA7" i="32"/>
  <c r="AZ7" i="32"/>
  <c r="AY7" i="32"/>
  <c r="AX7" i="32"/>
  <c r="AV7" i="32"/>
  <c r="AU7" i="32"/>
  <c r="AT7" i="32"/>
  <c r="AR7" i="32"/>
  <c r="AQ7" i="32"/>
  <c r="AP7" i="32"/>
  <c r="AO7" i="32"/>
  <c r="AL7" i="32"/>
  <c r="AK7" i="32"/>
  <c r="AJ7" i="32"/>
  <c r="AI7" i="32"/>
  <c r="AH7" i="32"/>
  <c r="AG7" i="32"/>
  <c r="AF7" i="32"/>
  <c r="AE7" i="32"/>
  <c r="AC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K7" i="32"/>
  <c r="J7" i="32"/>
  <c r="I7" i="32"/>
  <c r="H7" i="32"/>
  <c r="G7" i="32"/>
  <c r="F7" i="32"/>
  <c r="E7" i="32"/>
  <c r="D7" i="32"/>
  <c r="C7" i="32"/>
  <c r="B7" i="32"/>
  <c r="AD5" i="32"/>
  <c r="AB5" i="32"/>
  <c r="AB7" i="32" l="1"/>
  <c r="AD7" i="32"/>
  <c r="AH6" i="29"/>
  <c r="AH5" i="29"/>
  <c r="AB6" i="27"/>
  <c r="B5" i="29" l="1"/>
  <c r="AD5" i="29"/>
  <c r="AG5" i="29" l="1"/>
  <c r="AF5" i="29"/>
  <c r="AE5" i="29"/>
  <c r="AB5" i="29"/>
  <c r="AA5" i="29"/>
  <c r="AQ5" i="29" l="1"/>
  <c r="P5" i="29"/>
  <c r="O5" i="29"/>
  <c r="AW5" i="29"/>
  <c r="N5" i="29"/>
  <c r="M5" i="29"/>
  <c r="L5" i="29"/>
  <c r="K5" i="29"/>
  <c r="J7" i="29" l="1"/>
  <c r="AY7" i="29" l="1"/>
  <c r="AR7" i="29"/>
  <c r="AO7" i="29"/>
  <c r="AN7" i="29"/>
  <c r="AM7" i="29"/>
  <c r="AL7" i="29"/>
  <c r="AA7" i="29"/>
  <c r="Z7" i="29"/>
  <c r="Y7" i="29"/>
  <c r="S7" i="29"/>
  <c r="N7" i="29"/>
  <c r="I7" i="29"/>
  <c r="H7" i="29"/>
  <c r="G7" i="29"/>
  <c r="F7" i="29"/>
  <c r="E7" i="29"/>
  <c r="D7" i="29"/>
  <c r="C7" i="29"/>
  <c r="BA7" i="29"/>
  <c r="AX7" i="29"/>
  <c r="AW7" i="29"/>
  <c r="AV7" i="29"/>
  <c r="AU7" i="29"/>
  <c r="AT7" i="29"/>
  <c r="AI7" i="29"/>
  <c r="AG7" i="29"/>
  <c r="AF7" i="29"/>
  <c r="AB7" i="29"/>
  <c r="W7" i="29"/>
  <c r="V7" i="29"/>
  <c r="T7" i="29"/>
  <c r="P7" i="29"/>
  <c r="O7" i="29"/>
  <c r="M7" i="29"/>
  <c r="L7" i="29"/>
  <c r="BC7" i="29"/>
  <c r="BB7" i="29"/>
  <c r="AQ7" i="29"/>
  <c r="Q7" i="29"/>
  <c r="R4" i="29"/>
  <c r="AC7" i="29" l="1"/>
  <c r="K7" i="29"/>
  <c r="AD7" i="29"/>
  <c r="AS7" i="29"/>
  <c r="U7" i="29"/>
  <c r="AE7" i="29"/>
  <c r="B7" i="29"/>
  <c r="AH7" i="29"/>
  <c r="R7" i="29"/>
  <c r="AZ7" i="29"/>
  <c r="X7" i="29"/>
  <c r="AR5" i="27" l="1"/>
  <c r="W5" i="27"/>
  <c r="AP5" i="27" l="1"/>
  <c r="AG5" i="27"/>
  <c r="T5" i="27" l="1"/>
  <c r="Q5" i="27"/>
  <c r="Q4" i="27"/>
  <c r="B5" i="27"/>
  <c r="BB5" i="27" l="1"/>
  <c r="R7" i="27"/>
  <c r="BB7" i="27" l="1"/>
  <c r="J5" i="27"/>
  <c r="AY5" i="27"/>
  <c r="BA5" i="27"/>
  <c r="BA7" i="27" s="1"/>
  <c r="AD5" i="27"/>
  <c r="AD7" i="27" s="1"/>
  <c r="AZ7" i="27" l="1"/>
  <c r="P5" i="27" l="1"/>
  <c r="AN7" i="27" l="1"/>
  <c r="AM7" i="27"/>
  <c r="AL7" i="27"/>
  <c r="AK7" i="27"/>
  <c r="AB7" i="27"/>
  <c r="T7" i="27"/>
  <c r="P7" i="27"/>
  <c r="L7" i="27"/>
  <c r="K7" i="27"/>
  <c r="I7" i="27"/>
  <c r="H7" i="27"/>
  <c r="G7" i="27"/>
  <c r="E7" i="27"/>
  <c r="AY7" i="27"/>
  <c r="AW7" i="27"/>
  <c r="AV7" i="27"/>
  <c r="AU7" i="27"/>
  <c r="AT7" i="27"/>
  <c r="AS7" i="27"/>
  <c r="AQ7" i="27"/>
  <c r="AF7" i="27"/>
  <c r="AE7" i="27"/>
  <c r="AA7" i="27"/>
  <c r="Z7" i="27"/>
  <c r="Y7" i="27"/>
  <c r="X7" i="27"/>
  <c r="W7" i="27"/>
  <c r="U7" i="27"/>
  <c r="S7" i="27"/>
  <c r="O7" i="27"/>
  <c r="N7" i="27"/>
  <c r="M7" i="27"/>
  <c r="J7" i="27"/>
  <c r="D7" i="27"/>
  <c r="C7" i="27"/>
  <c r="AX7" i="27"/>
  <c r="F7" i="27"/>
  <c r="AG6" i="27"/>
  <c r="AC6" i="27"/>
  <c r="AP7" i="27"/>
  <c r="AH7" i="27"/>
  <c r="Q7" i="27"/>
  <c r="AC7" i="27" l="1"/>
  <c r="AG7" i="27"/>
  <c r="B7" i="27"/>
  <c r="AR7" i="27"/>
  <c r="V7" i="27"/>
  <c r="AF6" i="25"/>
  <c r="AF5" i="25"/>
  <c r="AF7" i="25" s="1"/>
  <c r="AR7" i="25" l="1"/>
  <c r="AV7" i="25"/>
  <c r="AQ7" i="25" l="1"/>
  <c r="B5" i="25"/>
  <c r="Q5" i="25" l="1"/>
  <c r="U5" i="25" l="1"/>
  <c r="M7" i="25" l="1"/>
  <c r="L7" i="25"/>
  <c r="K7" i="25"/>
  <c r="AX7" i="25"/>
  <c r="O7" i="25"/>
  <c r="N7" i="25"/>
  <c r="D7" i="25"/>
  <c r="AO5" i="25" l="1"/>
  <c r="X7" i="25" l="1"/>
  <c r="AO7" i="25"/>
  <c r="AM7" i="25"/>
  <c r="AL7" i="25"/>
  <c r="AK7" i="25"/>
  <c r="AJ7" i="25"/>
  <c r="Z7" i="25"/>
  <c r="Y7" i="25"/>
  <c r="W7" i="25"/>
  <c r="V7" i="25"/>
  <c r="S7" i="25"/>
  <c r="R7" i="25"/>
  <c r="Q7" i="25"/>
  <c r="Q8" i="25" s="1"/>
  <c r="P7" i="25"/>
  <c r="I7" i="25"/>
  <c r="H7" i="25"/>
  <c r="G7" i="25"/>
  <c r="E7" i="25"/>
  <c r="C7" i="25"/>
  <c r="B7" i="25"/>
  <c r="AU7" i="25"/>
  <c r="AT7" i="25"/>
  <c r="AS7" i="25"/>
  <c r="AP7" i="25"/>
  <c r="AE7" i="25"/>
  <c r="AD7" i="25"/>
  <c r="U7" i="25"/>
  <c r="T7" i="25"/>
  <c r="J7" i="25"/>
  <c r="AW7" i="25"/>
  <c r="F7" i="25"/>
  <c r="AB6" i="25"/>
  <c r="AB7" i="25" s="1"/>
  <c r="AA6" i="25"/>
  <c r="AA7" i="25" s="1"/>
  <c r="AG5" i="25"/>
  <c r="AG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0000669C-476A-412A-B6D4-FFCDFF0A744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F5" authorId="0" shapeId="0" xr:uid="{B6365977-EBCD-4018-BF57-5FCAA8C8A44E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O5" authorId="0" shapeId="0" xr:uid="{952C1A47-D4CF-412C-BE53-F9F66D7047A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205083
First mile : 0
Last mile : 1112416</t>
        </r>
      </text>
    </comment>
    <comment ref="AO11" authorId="0" shapeId="0" xr:uid="{18EEA72E-EDC3-4186-AC4B-7C457B0BC3AD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A6E00580-00A8-4D75-8730-11A3F0F8CDC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G5" authorId="0" shapeId="0" xr:uid="{8815E8EE-1020-4827-B57B-83DECCA6956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P5" authorId="0" shapeId="0" xr:uid="{53106524-24D2-453C-A111-A9F1C45D6586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143330
First mile : 56051
Last mile : 932825
SUP: 39000</t>
        </r>
      </text>
    </comment>
    <comment ref="AP11" authorId="0" shapeId="0" xr:uid="{E057443E-63D8-4D4B-8D1F-C334D3E3B99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D91DD514-5DE8-4FE0-BF5C-CC2E02BD99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Q5" authorId="0" shapeId="0" xr:uid="{813C8C9C-B454-4CA2-8166-D272B7681E48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
Mid mile (B2B): 121891 
First mile : </t>
        </r>
        <r>
          <rPr>
            <b/>
            <sz val="9"/>
            <color indexed="81"/>
            <rFont val="Tahoma"/>
            <family val="2"/>
          </rPr>
          <t>67041?</t>
        </r>
        <r>
          <rPr>
            <sz val="9"/>
            <color indexed="81"/>
            <rFont val="Tahoma"/>
            <family val="2"/>
          </rPr>
          <t xml:space="preserve">
Last mile: 594581+327249
Arrears : 66163</t>
        </r>
      </text>
    </comment>
    <comment ref="AQ11" authorId="0" shapeId="0" xr:uid="{C3292027-A8D9-4098-BC0F-3373A0709F0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tc={0C6DBDC5-2E31-445A-B663-88C77E6E4978}</author>
  </authors>
  <commentList>
    <comment ref="B5" authorId="0" shapeId="0" xr:uid="{1ADE553C-13DF-402B-8174-26ADAB4142F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T6" authorId="1" shapeId="0" xr:uid="{0C6DBDC5-2E31-445A-B663-88C77E6E4978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T11" authorId="0" shapeId="0" xr:uid="{3B5F960F-2B7B-4A1D-AFF6-2673C19768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tc={F5BE8804-30C6-438F-8E08-A3D86F493A43}</author>
  </authors>
  <commentList>
    <comment ref="B5" authorId="0" shapeId="0" xr:uid="{D129F45A-00F2-41FE-B2DA-148752AFD4F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6" authorId="1" shapeId="0" xr:uid="{F5BE8804-30C6-438F-8E08-A3D86F493A43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S11" authorId="0" shapeId="0" xr:uid="{222E2D7A-E5CA-479D-9824-F1549E7137E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7919E602-0F84-478E-9E8D-C2A4F3AF079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11" authorId="0" shapeId="0" xr:uid="{63DA9235-0A54-4870-A15A-C2C64D71C95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sharedStrings.xml><?xml version="1.0" encoding="utf-8"?>
<sst xmlns="http://schemas.openxmlformats.org/spreadsheetml/2006/main" count="445" uniqueCount="77">
  <si>
    <t>Logistics</t>
  </si>
  <si>
    <t>Supervisor</t>
  </si>
  <si>
    <t xml:space="preserve">Biker cost </t>
  </si>
  <si>
    <t xml:space="preserve">Van Cost </t>
  </si>
  <si>
    <t xml:space="preserve">last Mile Total </t>
  </si>
  <si>
    <t>Cost per</t>
  </si>
  <si>
    <t xml:space="preserve">Biker </t>
  </si>
  <si>
    <t xml:space="preserve">Van </t>
  </si>
  <si>
    <t>Effective Headcount</t>
  </si>
  <si>
    <t xml:space="preserve">Total head count </t>
  </si>
  <si>
    <t>Unit</t>
  </si>
  <si>
    <t>Indore</t>
  </si>
  <si>
    <t>Lucknow</t>
  </si>
  <si>
    <t>Patna</t>
  </si>
  <si>
    <t>Kanpur</t>
  </si>
  <si>
    <t>Raipur</t>
  </si>
  <si>
    <t>Pune</t>
  </si>
  <si>
    <t>Gwalior</t>
  </si>
  <si>
    <t>Surat</t>
  </si>
  <si>
    <t>Simba</t>
  </si>
  <si>
    <t>Desai</t>
  </si>
  <si>
    <t>Eastern</t>
  </si>
  <si>
    <t>Aryan</t>
  </si>
  <si>
    <t>Mahaveer</t>
  </si>
  <si>
    <t>Jp</t>
  </si>
  <si>
    <t>Kolkata</t>
  </si>
  <si>
    <t>DC MYP</t>
  </si>
  <si>
    <t>DC PPG</t>
  </si>
  <si>
    <t>Jamshedpur</t>
  </si>
  <si>
    <t>Som - Kharghar</t>
  </si>
  <si>
    <t>Soham - Thane</t>
  </si>
  <si>
    <t>7star</t>
  </si>
  <si>
    <t>Jodhpur</t>
  </si>
  <si>
    <t>Bhopal</t>
  </si>
  <si>
    <t>Prayagraj</t>
  </si>
  <si>
    <t>Bilaspur</t>
  </si>
  <si>
    <t>N.A</t>
  </si>
  <si>
    <t>Nagpur</t>
  </si>
  <si>
    <t>Guwahati</t>
  </si>
  <si>
    <t>Sangli</t>
  </si>
  <si>
    <t>Varanasi</t>
  </si>
  <si>
    <t>Muzaffarpur</t>
  </si>
  <si>
    <t>Ludhiana</t>
  </si>
  <si>
    <t>Jalandhar</t>
  </si>
  <si>
    <t>Goa</t>
  </si>
  <si>
    <t>Rajkot</t>
  </si>
  <si>
    <t>Dhanbad</t>
  </si>
  <si>
    <t>Aurangabad</t>
  </si>
  <si>
    <t>Nashik</t>
  </si>
  <si>
    <t>Darkstore</t>
  </si>
  <si>
    <t>Vizag</t>
  </si>
  <si>
    <t>Gaya</t>
  </si>
  <si>
    <t>Patiala</t>
  </si>
  <si>
    <t>Puri</t>
  </si>
  <si>
    <t>Balasore</t>
  </si>
  <si>
    <t>Bokaro</t>
  </si>
  <si>
    <t>Hyd Arush</t>
  </si>
  <si>
    <t>Pondy</t>
  </si>
  <si>
    <t>Bhubaneswar</t>
  </si>
  <si>
    <t>Ahmedabad</t>
  </si>
  <si>
    <t>Jammu</t>
  </si>
  <si>
    <t>VPIM</t>
  </si>
  <si>
    <t>Chennai</t>
  </si>
  <si>
    <t>Gurgaon</t>
  </si>
  <si>
    <t>Davangere</t>
  </si>
  <si>
    <t>Aushad</t>
  </si>
  <si>
    <t>Venk</t>
  </si>
  <si>
    <t>DRK</t>
  </si>
  <si>
    <t>Chandigarh</t>
  </si>
  <si>
    <t>Jaipur</t>
  </si>
  <si>
    <t>Kota</t>
  </si>
  <si>
    <t>Belgam</t>
  </si>
  <si>
    <t>Supervisor_headcount</t>
  </si>
  <si>
    <t>Biker_headcount</t>
  </si>
  <si>
    <t>Van_headcount</t>
  </si>
  <si>
    <t>Ranchi</t>
  </si>
  <si>
    <t>417900+214635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</si>
</sst>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9" fillId="0" borderId="1" xfId="87" applyNumberFormat="1" applyFont="1" applyFill="1" applyBorder="1" applyAlignment="1">
      <alignment horizontal="center" vertical="center"/>
    </xf>
    <xf numFmtId="0" fontId="3" fillId="0" borderId="1" xfId="87" applyNumberFormat="1" applyFont="1" applyFill="1" applyBorder="1" applyAlignment="1">
      <alignment horizontal="center" vertical="center"/>
    </xf>
    <xf numFmtId="1" fontId="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87" applyNumberFormat="1" applyFont="1" applyAlignment="1">
      <alignment horizontal="center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1" fontId="0" fillId="2" borderId="1" xfId="0" applyNumberFormat="1" applyFill="1" applyBorder="1" applyAlignment="1">
      <alignment horizontal="center"/>
    </xf>
  </cellXfs>
  <cellStyles count="88">
    <cellStyle name="Comma" xfId="87" builtinId="3"/>
    <cellStyle name="Comma 10" xfId="1" xr:uid="{47CBFD74-A0FA-4A5D-8F2F-155EFE69AC3C}"/>
    <cellStyle name="Comma 10 2" xfId="48" xr:uid="{E42E13AD-CCD7-4966-9DD5-D332C9D069ED}"/>
    <cellStyle name="Comma 11" xfId="49" xr:uid="{A04BD3D6-13A0-4B63-92B1-7E84A3A22243}"/>
    <cellStyle name="Comma 12" xfId="65" xr:uid="{9962791C-7F80-40AE-B2FC-16D5C2768C8B}"/>
    <cellStyle name="Comma 13" xfId="75" xr:uid="{A0E94894-65E8-460F-964C-FB77B657E012}"/>
    <cellStyle name="Comma 14" xfId="3" xr:uid="{E2192645-5191-4676-8539-E8109F11A698}"/>
    <cellStyle name="Comma 2" xfId="7" xr:uid="{690EF7CC-A681-41F7-B8A6-DFAAABA1CC5F}"/>
    <cellStyle name="Comma 3" xfId="15" xr:uid="{6E4889DF-3839-4303-9AA3-C091170A02F2}"/>
    <cellStyle name="Comma 4" xfId="25" xr:uid="{6020A270-D3C1-45F6-8163-C7FB5A21AFE5}"/>
    <cellStyle name="Comma 5" xfId="27" xr:uid="{B857E75A-65EC-418E-9243-F3DCFB3ADB99}"/>
    <cellStyle name="Comma 6" xfId="31" xr:uid="{838CEE6D-F241-4369-A3BD-381030B26423}"/>
    <cellStyle name="Comma 7" xfId="35" xr:uid="{9F38E6AA-4EE8-444E-9233-2ED0F5E3DCD8}"/>
    <cellStyle name="Comma 8" xfId="38" xr:uid="{A93D6D8A-259F-4DBF-8D5D-F89279556829}"/>
    <cellStyle name="Comma 9" xfId="41" xr:uid="{25E4A597-7A41-4500-B425-EF0488C35BA4}"/>
    <cellStyle name="Excel Built-in Normal" xfId="58" xr:uid="{40648C59-AC8F-4BFE-BAC0-108B816E4DF9}"/>
    <cellStyle name="Normal" xfId="0" builtinId="0"/>
    <cellStyle name="Normal 10" xfId="23" xr:uid="{1C6F7C39-7DB8-4C91-A52A-E88788B9E768}"/>
    <cellStyle name="Normal 11" xfId="24" xr:uid="{31F0A51F-647E-4EF2-8392-6FF34274ED46}"/>
    <cellStyle name="Normal 12" xfId="26" xr:uid="{C7F0176C-9C5D-49DB-9F1F-35B7E2EDCE12}"/>
    <cellStyle name="Normal 13" xfId="28" xr:uid="{968940CD-FB5C-420F-A21C-09228E39B22C}"/>
    <cellStyle name="Normal 14" xfId="29" xr:uid="{6E0F2C2C-DE7A-4453-9EBF-9EB5961151F9}"/>
    <cellStyle name="Normal 15" xfId="30" xr:uid="{06DF71F3-EFA2-459A-9363-CDBC72185A45}"/>
    <cellStyle name="Normal 16" xfId="32" xr:uid="{7D2421FE-C896-4FB0-8FF5-E207A83A203F}"/>
    <cellStyle name="Normal 17" xfId="33" xr:uid="{2240B6F1-125A-47BD-A266-A69D84CC2F23}"/>
    <cellStyle name="Normal 18" xfId="34" xr:uid="{F5F181AD-67DB-428C-9144-7C8614FE6758}"/>
    <cellStyle name="Normal 19" xfId="36" xr:uid="{2607D437-9B59-499B-AE16-C16EE91DA30F}"/>
    <cellStyle name="Normal 2" xfId="4" xr:uid="{A4160DC7-810B-4418-830B-1DE3ADCEDE5D}"/>
    <cellStyle name="Normal 2 2" xfId="9" xr:uid="{5E933352-51AB-4923-AB1C-AED366903B50}"/>
    <cellStyle name="Normal 2 2 2" xfId="19" xr:uid="{F1F7B542-EA5F-4AF6-8C80-2936B701BAE8}"/>
    <cellStyle name="Normal 2 3" xfId="17" xr:uid="{0672F19C-8BA3-45B2-BE82-195486DFA196}"/>
    <cellStyle name="Normal 2 3 2" xfId="64" xr:uid="{E4954078-4300-41A7-8935-194AFAB576ED}"/>
    <cellStyle name="Normal 2 4" xfId="85" xr:uid="{49AB8FD3-4575-4845-804E-BA6494764F68}"/>
    <cellStyle name="Normal 20" xfId="37" xr:uid="{7FA1A3E6-979C-4556-AE0C-ADA3FF706BBB}"/>
    <cellStyle name="Normal 21" xfId="39" xr:uid="{4840E81A-0002-436C-9684-C002BBFF9ED5}"/>
    <cellStyle name="Normal 22" xfId="40" xr:uid="{2AA1A2A2-6178-4B26-A522-02D0262286B1}"/>
    <cellStyle name="Normal 23" xfId="42" xr:uid="{DFEF890C-F0FD-449E-8892-93F498C6A8A3}"/>
    <cellStyle name="Normal 24" xfId="43" xr:uid="{831B5F85-DB99-444E-A9F4-CBB709441D5C}"/>
    <cellStyle name="Normal 25" xfId="44" xr:uid="{DCF0671D-05CE-4475-912E-2746A819643E}"/>
    <cellStyle name="Normal 26" xfId="45" xr:uid="{1FAF632B-5814-4AEA-BA8C-EEB38BD6FE5B}"/>
    <cellStyle name="Normal 27" xfId="46" xr:uid="{B4807323-C7F6-441A-AC2F-5529EDD5005B}"/>
    <cellStyle name="Normal 28" xfId="47" xr:uid="{2EA7D984-802E-4340-8E3F-0AC4636949FB}"/>
    <cellStyle name="Normal 29" xfId="50" xr:uid="{8A177FC6-803A-42F7-96B9-DC7482D99845}"/>
    <cellStyle name="Normal 3" xfId="6" xr:uid="{A95AADB9-0124-4699-9E05-4443AA29F7CA}"/>
    <cellStyle name="Normal 30" xfId="51" xr:uid="{2250F103-BD4E-46FE-9071-F02932B6206C}"/>
    <cellStyle name="Normal 31" xfId="52" xr:uid="{8D03BD96-92B5-4B31-8216-953877A3BC6A}"/>
    <cellStyle name="Normal 32" xfId="53" xr:uid="{8E3175C1-DAEA-4834-A7F2-B5E8B0B24EA8}"/>
    <cellStyle name="Normal 33" xfId="54" xr:uid="{ED3157C8-CDC5-496E-9CD1-49D0DC177253}"/>
    <cellStyle name="Normal 34" xfId="55" xr:uid="{B185D309-CBBE-4479-8FFA-157AF76A38AE}"/>
    <cellStyle name="Normal 35" xfId="56" xr:uid="{2C7F018E-6D81-4328-8826-D66F984D05B2}"/>
    <cellStyle name="Normal 36" xfId="57" xr:uid="{4D9E6193-B2FA-4817-8AE0-6AD41778C1BB}"/>
    <cellStyle name="Normal 37" xfId="59" xr:uid="{6F7FD7AD-73BB-4B18-9938-C665935A9400}"/>
    <cellStyle name="Normal 38" xfId="60" xr:uid="{12C36E5A-D7F1-45B6-A1DA-670A99B98832}"/>
    <cellStyle name="Normal 39" xfId="61" xr:uid="{71BD8914-EB20-4443-8B62-6E4508F5CA7C}"/>
    <cellStyle name="Normal 4" xfId="5" xr:uid="{0193A707-5561-4D9C-831A-D3D7AA9E6B63}"/>
    <cellStyle name="Normal 4 2" xfId="18" xr:uid="{18DF6485-E41B-4095-A5CD-E4D1B7C7BCA7}"/>
    <cellStyle name="Normal 40" xfId="62" xr:uid="{83419696-0FDE-4CBF-A637-6FFADF280ABE}"/>
    <cellStyle name="Normal 41" xfId="63" xr:uid="{7C2C0B69-6F4C-4635-B784-B6B36E0A4DF0}"/>
    <cellStyle name="Normal 42" xfId="66" xr:uid="{30B6D71D-0800-427E-90B2-51C7F2A1F872}"/>
    <cellStyle name="Normal 43" xfId="67" xr:uid="{9E484234-827D-47E4-A17E-F8275A4DA7BF}"/>
    <cellStyle name="Normal 44" xfId="68" xr:uid="{6F577782-D596-4371-928D-0C9D269CBA66}"/>
    <cellStyle name="Normal 45" xfId="69" xr:uid="{2C2FE833-890D-4660-ABC8-1012622A0B7C}"/>
    <cellStyle name="Normal 46" xfId="70" xr:uid="{6978126B-17AB-4C40-BBA6-18D78775553B}"/>
    <cellStyle name="Normal 47" xfId="71" xr:uid="{C85C0368-29F8-4B2F-BBE8-9B7D54BF616B}"/>
    <cellStyle name="Normal 48" xfId="72" xr:uid="{E8E7BE62-572D-4D9D-B875-AD9307DFEEA8}"/>
    <cellStyle name="Normal 49" xfId="73" xr:uid="{81D73577-C5BA-41FE-B5FA-21ABDB3DA11F}"/>
    <cellStyle name="Normal 5" xfId="10" xr:uid="{1E205C6B-17A4-4BBB-982C-E03070998546}"/>
    <cellStyle name="Normal 5 2" xfId="20" xr:uid="{CA0C8F80-D023-44EC-9274-389977E0F0CB}"/>
    <cellStyle name="Normal 50" xfId="74" xr:uid="{C7DC3E5C-BD45-457F-8EDD-DCB9C67B88BC}"/>
    <cellStyle name="Normal 51" xfId="76" xr:uid="{0CB29707-6401-4E9F-A83F-DF0AEAF31A7F}"/>
    <cellStyle name="Normal 52" xfId="77" xr:uid="{DB09F071-A8A9-4BB4-B52C-E389FB537D2F}"/>
    <cellStyle name="Normal 53" xfId="78" xr:uid="{A3C24928-9CAC-437F-9EEE-4727DCABA882}"/>
    <cellStyle name="Normal 54" xfId="79" xr:uid="{68B12D8C-D4C5-437B-AFF8-2114F91F1F11}"/>
    <cellStyle name="Normal 55" xfId="80" xr:uid="{D6B21BD6-D1D2-4001-8069-BBE95B3A749D}"/>
    <cellStyle name="Normal 56" xfId="81" xr:uid="{9F441144-1410-4F53-A4FA-82B623C07B73}"/>
    <cellStyle name="Normal 57" xfId="82" xr:uid="{6992A351-1A63-4544-BC18-FE2F38EA03E1}"/>
    <cellStyle name="Normal 58" xfId="83" xr:uid="{BE76F61B-BFE5-4CEC-A581-12484BE0F99E}"/>
    <cellStyle name="Normal 59" xfId="84" xr:uid="{8BCCE4AB-6289-4231-8C74-C24047E18B32}"/>
    <cellStyle name="Normal 6" xfId="11" xr:uid="{C0938187-C228-4D9E-A651-F9A93F23A80E}"/>
    <cellStyle name="Normal 6 2" xfId="21" xr:uid="{4B3EFA2D-2F16-40AA-BDED-A66CCD8933DF}"/>
    <cellStyle name="Normal 60" xfId="86" xr:uid="{E9256669-8E84-4147-9DA4-B41E1E3CB2AF}"/>
    <cellStyle name="Normal 7" xfId="12" xr:uid="{1F74BA50-D9D4-40D6-AFD0-5C5EF0037832}"/>
    <cellStyle name="Normal 7 2" xfId="22" xr:uid="{1E655008-A0A9-4AA7-AAE1-59D465570A7F}"/>
    <cellStyle name="Normal 8" xfId="14" xr:uid="{7D0FBE6C-6B02-4AE9-BF78-2B570F156F69}"/>
    <cellStyle name="Normal 9" xfId="13" xr:uid="{91DC7677-927A-4024-BDE8-C4D18F0370B6}"/>
    <cellStyle name="Percent" xfId="2" builtinId="5"/>
    <cellStyle name="Percent 2" xfId="8" xr:uid="{97F75CC6-634C-499A-B060-7C79537DD2D4}"/>
    <cellStyle name="Percent 3" xfId="16" xr:uid="{7910882E-4EDB-4AB6-AD76-996876E6F753}"/>
  </cellStyles>
  <dxfs count="0"/>
  <tableStyles count="1" defaultTableStyle="TableStyleMedium2" defaultPivotStyle="PivotStyleLight16">
    <tableStyle name="Invisible" pivot="0" table="0" count="0" xr9:uid="{A3123D96-59E3-4E5C-8CB3-63573F1F60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cent" id="{F5FB93C3-41CD-4FB7-87EB-505AF2EC4A8C}" userId="Asce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6" dT="2022-08-17T07:17:03.11" personId="{F5FB93C3-41CD-4FB7-87EB-505AF2EC4A8C}" id="{0C6DBDC5-2E31-445A-B663-88C77E6E4978}">
    <text>It excludes Kharagpur mid mile cost 135405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S6" dT="2022-08-17T07:17:03.11" personId="{F5FB93C3-41CD-4FB7-87EB-505AF2EC4A8C}" id="{F5BE8804-30C6-438F-8E08-A3D86F493A43}">
    <text>It excludes Kharagpur mid mile cost 135405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A338-397C-4328-BF58-0F4E91AD6874}">
  <dimension ref="A1:BF22"/>
  <sheetViews>
    <sheetView zoomScale="85" zoomScaleNormal="85" workbookViewId="0">
      <pane xSplit="1" ySplit="1" topLeftCell="AQ9" activePane="bottomRight" state="frozen"/>
      <selection activeCell="AV14" sqref="AV14:BT14"/>
      <selection pane="topRight" activeCell="AV14" sqref="AV14:BT14"/>
      <selection pane="bottomLeft" activeCell="AV14" sqref="AV14:BT14"/>
      <selection pane="bottomRight" activeCell="A17" sqref="A17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4" width="9.140625" style="2"/>
    <col min="25" max="26" width="9.140625" style="2" customWidth="1"/>
    <col min="27" max="39" width="9.140625" style="2"/>
    <col min="40" max="40" width="9.5703125" style="2" bestFit="1" customWidth="1"/>
    <col min="41" max="45" width="9.140625" style="2"/>
    <col min="46" max="46" width="9.5703125" style="2" bestFit="1" customWidth="1"/>
    <col min="47" max="56" width="9.140625" style="2"/>
    <col min="57" max="58" width="9.7109375" style="2" bestFit="1" customWidth="1"/>
    <col min="59" max="59" width="9.140625" style="2"/>
    <col min="60" max="60" width="9.7109375" style="2" bestFit="1" customWidth="1"/>
    <col min="61" max="16384" width="9.140625" style="2"/>
  </cols>
  <sheetData>
    <row r="1" spans="1:58" s="1" customFormat="1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1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31</v>
      </c>
      <c r="S1" s="1" t="s">
        <v>19</v>
      </c>
      <c r="T1" s="1" t="s">
        <v>29</v>
      </c>
      <c r="U1" s="1" t="s">
        <v>30</v>
      </c>
      <c r="V1" s="1" t="s">
        <v>26</v>
      </c>
      <c r="W1" s="1" t="s">
        <v>27</v>
      </c>
      <c r="X1" s="22" t="s">
        <v>68</v>
      </c>
      <c r="Y1" s="1" t="s">
        <v>42</v>
      </c>
      <c r="Z1" s="1" t="s">
        <v>43</v>
      </c>
      <c r="AA1" s="22" t="s">
        <v>63</v>
      </c>
      <c r="AB1" s="22" t="s">
        <v>69</v>
      </c>
      <c r="AC1" s="1" t="s">
        <v>17</v>
      </c>
      <c r="AD1" s="22" t="s">
        <v>70</v>
      </c>
      <c r="AE1" s="1" t="s">
        <v>32</v>
      </c>
      <c r="AF1" s="22" t="s">
        <v>62</v>
      </c>
      <c r="AG1" s="1" t="s">
        <v>61</v>
      </c>
      <c r="AH1" s="1" t="s">
        <v>23</v>
      </c>
      <c r="AI1" s="22" t="s">
        <v>64</v>
      </c>
      <c r="AJ1" s="22" t="s">
        <v>71</v>
      </c>
      <c r="AK1" s="22" t="s">
        <v>66</v>
      </c>
      <c r="AL1" s="1" t="s">
        <v>24</v>
      </c>
      <c r="AM1" s="22" t="s">
        <v>67</v>
      </c>
      <c r="AN1" s="22" t="s">
        <v>65</v>
      </c>
      <c r="AO1" s="22" t="s">
        <v>25</v>
      </c>
      <c r="AP1" s="1" t="s">
        <v>28</v>
      </c>
      <c r="AQ1" s="1" t="s">
        <v>46</v>
      </c>
      <c r="AR1" s="1" t="s">
        <v>34</v>
      </c>
      <c r="AS1" s="1" t="s">
        <v>37</v>
      </c>
      <c r="AT1" s="1" t="s">
        <v>38</v>
      </c>
      <c r="AU1" s="1" t="s">
        <v>39</v>
      </c>
      <c r="AV1" s="22" t="s">
        <v>40</v>
      </c>
      <c r="AW1" s="1" t="s">
        <v>44</v>
      </c>
      <c r="AX1" s="1" t="s">
        <v>45</v>
      </c>
    </row>
    <row r="2" spans="1:58" x14ac:dyDescent="0.25">
      <c r="A2" s="3" t="s">
        <v>0</v>
      </c>
    </row>
    <row r="4" spans="1:58" x14ac:dyDescent="0.25">
      <c r="A4" s="1" t="s">
        <v>1</v>
      </c>
      <c r="B4" s="2">
        <v>0</v>
      </c>
      <c r="C4" s="2">
        <v>7500</v>
      </c>
      <c r="D4" s="2">
        <v>9067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19909</v>
      </c>
      <c r="K4" s="2">
        <v>7500</v>
      </c>
      <c r="L4" s="2">
        <v>0</v>
      </c>
      <c r="M4" s="2">
        <v>8000</v>
      </c>
      <c r="N4" s="2">
        <v>7742</v>
      </c>
      <c r="O4" s="2">
        <v>8500</v>
      </c>
      <c r="P4" s="2">
        <v>0</v>
      </c>
      <c r="Q4" s="2">
        <v>0</v>
      </c>
      <c r="R4" s="2">
        <v>0</v>
      </c>
      <c r="S4" s="2">
        <v>153600</v>
      </c>
      <c r="T4" s="2">
        <v>0</v>
      </c>
      <c r="U4" s="2">
        <v>0</v>
      </c>
      <c r="V4" s="2">
        <v>20000</v>
      </c>
      <c r="W4" s="2">
        <v>20000</v>
      </c>
      <c r="X4" s="2">
        <v>0</v>
      </c>
      <c r="Y4" s="2">
        <v>0</v>
      </c>
      <c r="Z4" s="2">
        <v>0</v>
      </c>
      <c r="AA4" s="2">
        <v>20226</v>
      </c>
      <c r="AB4" s="2">
        <v>0</v>
      </c>
      <c r="AC4" s="2">
        <v>13419</v>
      </c>
      <c r="AD4" s="2">
        <v>0</v>
      </c>
      <c r="AE4" s="2">
        <v>0</v>
      </c>
      <c r="AF4" s="10">
        <v>0</v>
      </c>
      <c r="AG4" s="2">
        <v>0</v>
      </c>
      <c r="AJ4" s="2">
        <v>0</v>
      </c>
      <c r="AK4" s="2">
        <v>0</v>
      </c>
      <c r="AL4" s="2">
        <v>0</v>
      </c>
      <c r="AM4" s="2">
        <v>0</v>
      </c>
      <c r="AO4" s="2">
        <v>0</v>
      </c>
      <c r="AP4" s="2">
        <v>0</v>
      </c>
      <c r="AQ4" s="2">
        <v>0</v>
      </c>
      <c r="AR4" s="2">
        <v>7000</v>
      </c>
      <c r="AS4" s="2">
        <v>8500</v>
      </c>
      <c r="AT4" s="2">
        <v>11782</v>
      </c>
      <c r="AU4" s="2">
        <v>8000</v>
      </c>
      <c r="AV4" s="2">
        <v>8000</v>
      </c>
      <c r="AW4" s="2">
        <v>0</v>
      </c>
      <c r="AX4" s="2">
        <v>0</v>
      </c>
    </row>
    <row r="5" spans="1:58" x14ac:dyDescent="0.25">
      <c r="A5" s="1" t="s">
        <v>2</v>
      </c>
      <c r="B5" s="2">
        <f>658607+65250+65250</f>
        <v>789107</v>
      </c>
      <c r="C5" s="2">
        <v>168198</v>
      </c>
      <c r="D5" s="2">
        <v>90668</v>
      </c>
      <c r="E5" s="2">
        <v>0</v>
      </c>
      <c r="F5" s="2">
        <v>274227</v>
      </c>
      <c r="G5" s="2">
        <v>73639</v>
      </c>
      <c r="H5" s="2">
        <v>130357</v>
      </c>
      <c r="I5" s="2">
        <v>28857</v>
      </c>
      <c r="J5" s="2">
        <v>383284</v>
      </c>
      <c r="K5" s="2">
        <v>199373</v>
      </c>
      <c r="L5" s="2">
        <v>22072</v>
      </c>
      <c r="M5" s="2">
        <v>189171</v>
      </c>
      <c r="N5" s="2">
        <v>142903</v>
      </c>
      <c r="O5" s="2">
        <v>147133</v>
      </c>
      <c r="P5" s="2">
        <v>535383</v>
      </c>
      <c r="Q5" s="2">
        <f>1316233+44000</f>
        <v>1360233</v>
      </c>
      <c r="R5" s="2">
        <v>283667</v>
      </c>
      <c r="S5" s="2">
        <v>1115935</v>
      </c>
      <c r="T5" s="2">
        <v>274400</v>
      </c>
      <c r="U5" s="2">
        <f>307000+35267</f>
        <v>342267</v>
      </c>
      <c r="V5" s="2">
        <v>1015913</v>
      </c>
      <c r="W5" s="2">
        <v>892733</v>
      </c>
      <c r="X5" s="2">
        <v>120800</v>
      </c>
      <c r="Y5" s="2">
        <v>39690</v>
      </c>
      <c r="Z5" s="2">
        <v>39308</v>
      </c>
      <c r="AA5" s="2">
        <v>761661</v>
      </c>
      <c r="AB5" s="2">
        <v>17433</v>
      </c>
      <c r="AC5" s="2">
        <v>65484</v>
      </c>
      <c r="AD5" s="2">
        <v>120279</v>
      </c>
      <c r="AE5" s="2">
        <v>131218</v>
      </c>
      <c r="AF5" s="2">
        <f>285808+450000</f>
        <v>735808</v>
      </c>
      <c r="AG5" s="2">
        <f>66309+311458</f>
        <v>377767</v>
      </c>
      <c r="AJ5" s="2">
        <v>67321</v>
      </c>
      <c r="AK5" s="2">
        <v>39096</v>
      </c>
      <c r="AL5" s="2">
        <v>82074</v>
      </c>
      <c r="AM5" s="2">
        <v>0</v>
      </c>
      <c r="AO5" s="2">
        <f>39000+61132+123483+1159871+122265</f>
        <v>1505751</v>
      </c>
      <c r="AP5" s="2">
        <v>104667</v>
      </c>
      <c r="AQ5" s="2">
        <v>39226</v>
      </c>
      <c r="AR5" s="2">
        <v>98000</v>
      </c>
      <c r="AS5" s="2">
        <v>212117</v>
      </c>
      <c r="AT5" s="2">
        <v>136533</v>
      </c>
      <c r="AU5" s="2">
        <v>108000</v>
      </c>
      <c r="AV5" s="2">
        <v>112200</v>
      </c>
      <c r="AW5" s="2">
        <v>62301</v>
      </c>
      <c r="AX5" s="2">
        <v>30484</v>
      </c>
    </row>
    <row r="6" spans="1:58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209667</v>
      </c>
      <c r="R6" s="2">
        <v>48000</v>
      </c>
      <c r="S6" s="2">
        <v>0</v>
      </c>
      <c r="T6" s="2">
        <v>65200</v>
      </c>
      <c r="U6" s="2">
        <v>52700</v>
      </c>
      <c r="V6" s="2">
        <v>51600</v>
      </c>
      <c r="W6" s="2">
        <v>200784</v>
      </c>
      <c r="X6" s="2">
        <v>0</v>
      </c>
      <c r="Y6" s="2">
        <v>0</v>
      </c>
      <c r="Z6" s="2">
        <v>0</v>
      </c>
      <c r="AA6" s="2">
        <f>(46500*8)+315613+467571</f>
        <v>1155184</v>
      </c>
      <c r="AB6" s="2">
        <f>52724+15000</f>
        <v>67724</v>
      </c>
      <c r="AC6" s="2">
        <v>0</v>
      </c>
      <c r="AD6" s="2">
        <v>0</v>
      </c>
      <c r="AE6" s="2">
        <v>0</v>
      </c>
      <c r="AF6" s="2">
        <f>81427+108000+145000</f>
        <v>334427</v>
      </c>
      <c r="AG6" s="2">
        <v>0</v>
      </c>
      <c r="AJ6" s="2">
        <v>0</v>
      </c>
      <c r="AK6" s="2">
        <v>0</v>
      </c>
      <c r="AL6" s="2">
        <v>0</v>
      </c>
      <c r="AM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8" x14ac:dyDescent="0.25">
      <c r="A7" s="5" t="s">
        <v>4</v>
      </c>
      <c r="B7" s="5">
        <f t="shared" ref="B7:AB7" si="0">SUM(B4:B6)</f>
        <v>789107</v>
      </c>
      <c r="C7" s="5">
        <f t="shared" si="0"/>
        <v>175698</v>
      </c>
      <c r="D7" s="5">
        <f t="shared" si="0"/>
        <v>99735</v>
      </c>
      <c r="E7" s="9">
        <f t="shared" si="0"/>
        <v>0</v>
      </c>
      <c r="F7" s="9">
        <f t="shared" si="0"/>
        <v>274227</v>
      </c>
      <c r="G7" s="9">
        <f t="shared" si="0"/>
        <v>73639</v>
      </c>
      <c r="H7" s="9">
        <f t="shared" si="0"/>
        <v>130357</v>
      </c>
      <c r="I7" s="9">
        <f t="shared" si="0"/>
        <v>28857</v>
      </c>
      <c r="J7" s="9">
        <f t="shared" si="0"/>
        <v>403193</v>
      </c>
      <c r="K7" s="5">
        <f t="shared" si="0"/>
        <v>206873</v>
      </c>
      <c r="L7" s="5">
        <f t="shared" si="0"/>
        <v>22072</v>
      </c>
      <c r="M7" s="5">
        <f t="shared" si="0"/>
        <v>197171</v>
      </c>
      <c r="N7" s="5">
        <f t="shared" si="0"/>
        <v>150645</v>
      </c>
      <c r="O7" s="5">
        <f t="shared" si="0"/>
        <v>155633</v>
      </c>
      <c r="P7" s="5">
        <f t="shared" si="0"/>
        <v>535383</v>
      </c>
      <c r="Q7" s="5">
        <f t="shared" si="0"/>
        <v>1569900</v>
      </c>
      <c r="R7" s="5">
        <f t="shared" si="0"/>
        <v>331667</v>
      </c>
      <c r="S7" s="5">
        <f t="shared" si="0"/>
        <v>1269535</v>
      </c>
      <c r="T7" s="5">
        <f t="shared" si="0"/>
        <v>339600</v>
      </c>
      <c r="U7" s="5">
        <f t="shared" si="0"/>
        <v>394967</v>
      </c>
      <c r="V7" s="5">
        <f t="shared" si="0"/>
        <v>1087513</v>
      </c>
      <c r="W7" s="5">
        <f t="shared" si="0"/>
        <v>1113517</v>
      </c>
      <c r="X7" s="5">
        <f t="shared" si="0"/>
        <v>120800</v>
      </c>
      <c r="Y7" s="5">
        <f t="shared" si="0"/>
        <v>39690</v>
      </c>
      <c r="Z7" s="5">
        <f t="shared" si="0"/>
        <v>39308</v>
      </c>
      <c r="AA7" s="5">
        <f t="shared" si="0"/>
        <v>1937071</v>
      </c>
      <c r="AB7" s="9">
        <f t="shared" si="0"/>
        <v>85157</v>
      </c>
      <c r="AC7" s="5">
        <v>86793.3</v>
      </c>
      <c r="AD7" s="9">
        <f>SUM(AD4:AD6)</f>
        <v>120279</v>
      </c>
      <c r="AE7" s="9">
        <f>SUM(AE4:AE6)</f>
        <v>131218</v>
      </c>
      <c r="AF7" s="5">
        <f>SUM(AF4:AF6)</f>
        <v>1070235</v>
      </c>
      <c r="AG7" s="9">
        <f>SUM(AG4:AG6)</f>
        <v>377767</v>
      </c>
      <c r="AJ7" s="5">
        <f>SUM(AJ4:AJ6)</f>
        <v>67321</v>
      </c>
      <c r="AK7" s="5">
        <f>SUM(AK4:AK6)</f>
        <v>39096</v>
      </c>
      <c r="AL7" s="5">
        <f>SUM(AL4:AL6)</f>
        <v>82074</v>
      </c>
      <c r="AM7" s="5">
        <f>SUM(AM4:AM6)</f>
        <v>0</v>
      </c>
      <c r="AO7" s="5">
        <f t="shared" ref="AO7:AX7" si="1">SUM(AO4:AO6)</f>
        <v>1505751</v>
      </c>
      <c r="AP7" s="5">
        <f t="shared" si="1"/>
        <v>104667</v>
      </c>
      <c r="AQ7" s="5">
        <f t="shared" si="1"/>
        <v>39226</v>
      </c>
      <c r="AR7" s="5">
        <f t="shared" si="1"/>
        <v>105000</v>
      </c>
      <c r="AS7" s="5">
        <f t="shared" si="1"/>
        <v>220617</v>
      </c>
      <c r="AT7" s="5">
        <f t="shared" si="1"/>
        <v>148315</v>
      </c>
      <c r="AU7" s="5">
        <f t="shared" si="1"/>
        <v>116000</v>
      </c>
      <c r="AV7" s="5">
        <f t="shared" si="1"/>
        <v>120200</v>
      </c>
      <c r="AW7" s="5">
        <f t="shared" si="1"/>
        <v>62301</v>
      </c>
      <c r="AX7" s="5">
        <f t="shared" si="1"/>
        <v>30484</v>
      </c>
      <c r="BF7" s="7"/>
    </row>
    <row r="8" spans="1:58" x14ac:dyDescent="0.25">
      <c r="A8" s="6"/>
      <c r="B8" s="6"/>
      <c r="C8" s="6"/>
      <c r="E8" s="6"/>
      <c r="F8" s="6"/>
      <c r="G8" s="6"/>
      <c r="J8" s="7"/>
      <c r="Q8" s="4">
        <f>Q7+1674000</f>
        <v>3243900</v>
      </c>
      <c r="W8" s="4"/>
      <c r="X8" s="4"/>
      <c r="AA8" s="4"/>
      <c r="AP8" s="4">
        <v>27781</v>
      </c>
      <c r="AS8" s="11"/>
    </row>
    <row r="9" spans="1:58" x14ac:dyDescent="0.25">
      <c r="A9" s="3" t="s">
        <v>5</v>
      </c>
    </row>
    <row r="10" spans="1:58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0</v>
      </c>
      <c r="Q10" s="2">
        <v>0</v>
      </c>
      <c r="R10" s="2">
        <v>20323</v>
      </c>
      <c r="S10" s="2">
        <v>21700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10000</v>
      </c>
      <c r="AB10" s="2">
        <v>0</v>
      </c>
      <c r="AC10" s="2">
        <v>8000</v>
      </c>
      <c r="AD10" s="2">
        <v>0</v>
      </c>
      <c r="AE10" s="2">
        <v>0</v>
      </c>
      <c r="AF10" s="2">
        <v>0</v>
      </c>
      <c r="AG10" s="2">
        <v>0</v>
      </c>
      <c r="AJ10" s="2">
        <v>0</v>
      </c>
      <c r="AK10" s="2">
        <v>0</v>
      </c>
      <c r="AL10" s="2">
        <v>0</v>
      </c>
      <c r="AM10" s="2">
        <v>0</v>
      </c>
      <c r="AO10" s="2">
        <v>0</v>
      </c>
      <c r="AP10" s="2">
        <v>0</v>
      </c>
      <c r="AQ10" s="2">
        <v>0</v>
      </c>
      <c r="AR10" s="2">
        <v>7000</v>
      </c>
      <c r="AS10" s="2">
        <v>8500</v>
      </c>
      <c r="AT10" s="2">
        <v>11782</v>
      </c>
      <c r="AU10" s="2">
        <v>8000</v>
      </c>
      <c r="AV10" s="2">
        <v>8000</v>
      </c>
      <c r="AW10" s="2">
        <v>0</v>
      </c>
      <c r="AX10" s="2">
        <v>0</v>
      </c>
    </row>
    <row r="11" spans="1:58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12200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21200</v>
      </c>
      <c r="S11" s="2">
        <v>17500</v>
      </c>
      <c r="T11" s="2">
        <v>22000</v>
      </c>
      <c r="U11" s="2">
        <v>19000</v>
      </c>
      <c r="V11" s="2">
        <v>22000</v>
      </c>
      <c r="W11" s="2">
        <v>22000</v>
      </c>
      <c r="X11" s="2">
        <v>11000</v>
      </c>
      <c r="Y11" s="2">
        <v>10000</v>
      </c>
      <c r="Z11" s="2">
        <v>11200</v>
      </c>
      <c r="AA11" s="2">
        <v>20000</v>
      </c>
      <c r="AB11" s="2">
        <v>6500</v>
      </c>
      <c r="AC11" s="2">
        <v>14500</v>
      </c>
      <c r="AD11" s="2">
        <v>10000</v>
      </c>
      <c r="AE11" s="2">
        <v>12200</v>
      </c>
      <c r="AF11" s="2">
        <v>17200</v>
      </c>
      <c r="AG11" s="2">
        <v>18000</v>
      </c>
      <c r="AJ11" s="2">
        <v>9000</v>
      </c>
      <c r="AK11" s="2">
        <v>10000</v>
      </c>
      <c r="AL11" s="2">
        <v>15300</v>
      </c>
      <c r="AM11" s="2">
        <v>10000</v>
      </c>
      <c r="AO11" s="2" t="s">
        <v>36</v>
      </c>
      <c r="AP11" s="2">
        <v>10000</v>
      </c>
      <c r="AQ11" s="2">
        <v>8000</v>
      </c>
      <c r="AR11" s="2">
        <v>14000</v>
      </c>
      <c r="AS11" s="2">
        <v>18000</v>
      </c>
      <c r="AT11" s="2">
        <v>16000</v>
      </c>
      <c r="AU11" s="2">
        <v>18000</v>
      </c>
      <c r="AV11" s="2">
        <v>16000</v>
      </c>
      <c r="AW11" s="2">
        <v>12500</v>
      </c>
      <c r="AX11" s="2">
        <v>15000</v>
      </c>
    </row>
    <row r="12" spans="1:58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48000</v>
      </c>
      <c r="S12" s="2">
        <v>0</v>
      </c>
      <c r="T12" s="2">
        <v>0</v>
      </c>
      <c r="U12" s="2">
        <v>20600</v>
      </c>
      <c r="V12" s="2">
        <v>51600</v>
      </c>
      <c r="W12" s="2">
        <v>34500</v>
      </c>
      <c r="X12" s="2">
        <v>0</v>
      </c>
      <c r="Y12" s="2">
        <v>0</v>
      </c>
      <c r="Z12" s="2">
        <v>0</v>
      </c>
      <c r="AA12" s="2">
        <v>20000</v>
      </c>
      <c r="AB12" s="2">
        <v>0</v>
      </c>
      <c r="AC12" s="2">
        <v>0</v>
      </c>
      <c r="AD12" s="2">
        <v>0</v>
      </c>
      <c r="AE12" s="2">
        <v>0</v>
      </c>
      <c r="AF12" s="2">
        <v>46200</v>
      </c>
      <c r="AG12" s="2">
        <v>0</v>
      </c>
      <c r="AJ12" s="2">
        <v>0</v>
      </c>
      <c r="AK12" s="2">
        <v>0</v>
      </c>
      <c r="AL12" s="2">
        <v>0</v>
      </c>
      <c r="AM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4" spans="1:58" x14ac:dyDescent="0.25">
      <c r="A14" s="3" t="s">
        <v>8</v>
      </c>
      <c r="B14" s="4">
        <f>SUM(B15:B17)</f>
        <v>0</v>
      </c>
      <c r="C14" s="4">
        <f t="shared" ref="C14:D14" si="2">SUM(C15:C17)</f>
        <v>10.344333333333333</v>
      </c>
      <c r="D14" s="4">
        <f t="shared" si="2"/>
        <v>6.8001250000000004</v>
      </c>
      <c r="E14" s="4">
        <f t="shared" ref="E14" si="3">SUM(E15:E17)</f>
        <v>0</v>
      </c>
      <c r="F14" s="4">
        <f t="shared" ref="F14" si="4">SUM(F15:F17)</f>
        <v>22.852250000000002</v>
      </c>
      <c r="G14" s="4">
        <f t="shared" ref="G14" si="5">SUM(G15:G17)</f>
        <v>6.0359836065573766</v>
      </c>
      <c r="H14" s="4">
        <f t="shared" ref="H14" si="6">SUM(H15:H17)</f>
        <v>13.211411776629168</v>
      </c>
      <c r="I14" s="4">
        <f t="shared" ref="I14" si="7">SUM(I15:I17)</f>
        <v>3.6071249999999999</v>
      </c>
      <c r="J14" s="4">
        <f t="shared" ref="J14" si="8">SUM(J15:J17)</f>
        <v>29.58953968253968</v>
      </c>
      <c r="K14" s="4">
        <f t="shared" ref="K14" si="9">SUM(K15:K17)</f>
        <v>12.392742857142856</v>
      </c>
      <c r="L14" s="4">
        <f t="shared" ref="L14" si="10">SUM(L15:L17)</f>
        <v>2.7589999999999999</v>
      </c>
      <c r="M14" s="4">
        <f t="shared" ref="M14" si="11">SUM(M15:M17)</f>
        <v>11.509499999999999</v>
      </c>
      <c r="N14" s="4">
        <f t="shared" ref="N14" si="12">SUM(N15:N17)</f>
        <v>7.7726547619047617</v>
      </c>
      <c r="O14" s="4">
        <f t="shared" ref="O14" si="13">SUM(O15:O17)</f>
        <v>10.195812500000001</v>
      </c>
      <c r="P14" s="4">
        <f t="shared" ref="P14" si="14">SUM(P15:P17)</f>
        <v>25.494428571428571</v>
      </c>
      <c r="Q14" s="4">
        <f t="shared" ref="Q14" si="15">SUM(Q15:Q17)</f>
        <v>73.509124999999997</v>
      </c>
      <c r="R14" s="4">
        <f t="shared" ref="R14" si="16">SUM(R15:R17)</f>
        <v>14.380518867924529</v>
      </c>
      <c r="S14" s="4">
        <f t="shared" ref="S14" si="17">SUM(S15:S17)</f>
        <v>70.846055299539174</v>
      </c>
      <c r="T14" s="4">
        <f t="shared" ref="T14" si="18">SUM(T15:T17)</f>
        <v>12.472727272727273</v>
      </c>
      <c r="U14" s="4">
        <f t="shared" ref="U14" si="19">SUM(U15:U17)</f>
        <v>20.572305058763416</v>
      </c>
      <c r="V14" s="4">
        <f t="shared" ref="V14" si="20">SUM(V15:V17)</f>
        <v>47.177863636363639</v>
      </c>
      <c r="W14" s="4">
        <f t="shared" ref="W14" si="21">SUM(W15:W17)</f>
        <v>46.398598814229253</v>
      </c>
      <c r="X14" s="4">
        <f t="shared" ref="X14" si="22">SUM(X15:X17)</f>
        <v>10.981818181818182</v>
      </c>
      <c r="Y14" s="4">
        <f t="shared" ref="Y14" si="23">SUM(Y15:Y17)</f>
        <v>3.9689999999999999</v>
      </c>
      <c r="Z14" s="4">
        <f t="shared" ref="Z14" si="24">SUM(Z15:Z17)</f>
        <v>3.5096428571428571</v>
      </c>
      <c r="AA14" s="4">
        <f t="shared" ref="AA14" si="25">SUM(AA15:AA17)</f>
        <v>97.86484999999999</v>
      </c>
      <c r="AB14" s="4">
        <f t="shared" ref="AB14" si="26">SUM(AB15:AB17)</f>
        <v>2.6819999999999999</v>
      </c>
      <c r="AC14" s="4">
        <f t="shared" ref="AC14" si="27">SUM(AC15:AC17)</f>
        <v>6.1935129310344834</v>
      </c>
      <c r="AD14" s="4">
        <f t="shared" ref="AD14" si="28">SUM(AD15:AD17)</f>
        <v>12.027900000000001</v>
      </c>
      <c r="AE14" s="4">
        <f t="shared" ref="AE14" si="29">SUM(AE15:AE17)</f>
        <v>10.755573770491804</v>
      </c>
      <c r="AF14" s="4">
        <f t="shared" ref="AF14" si="30">SUM(AF15:AF17)</f>
        <v>50.018214537400581</v>
      </c>
      <c r="AG14" s="4">
        <f t="shared" ref="AG14" si="31">SUM(AG15:AG17)</f>
        <v>20.987055555555557</v>
      </c>
      <c r="AH14" s="4">
        <f t="shared" ref="AH14" si="32">SUM(AH15:AH17)</f>
        <v>0</v>
      </c>
      <c r="AI14" s="4">
        <f t="shared" ref="AI14" si="33">SUM(AI15:AI17)</f>
        <v>0</v>
      </c>
      <c r="AJ14" s="4">
        <f t="shared" ref="AJ14" si="34">SUM(AJ15:AJ17)</f>
        <v>7.4801111111111114</v>
      </c>
      <c r="AK14" s="4">
        <f t="shared" ref="AK14" si="35">SUM(AK15:AK17)</f>
        <v>3.9096000000000002</v>
      </c>
      <c r="AL14" s="4">
        <f t="shared" ref="AL14" si="36">SUM(AL15:AL17)</f>
        <v>5.364313725490196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10.466699999999999</v>
      </c>
      <c r="AQ14" s="4">
        <f t="shared" ref="AQ14" si="41">SUM(AQ15:AQ17)</f>
        <v>4.9032499999999999</v>
      </c>
      <c r="AR14" s="4">
        <f t="shared" ref="AR14" si="42">SUM(AR15:AR17)</f>
        <v>8</v>
      </c>
      <c r="AS14" s="4">
        <f t="shared" ref="AS14" si="43">SUM(AS15:AS17)</f>
        <v>12.784277777777778</v>
      </c>
      <c r="AT14" s="4">
        <f t="shared" ref="AT14" si="44">SUM(AT15:AT17)</f>
        <v>9.5333124999999992</v>
      </c>
      <c r="AU14" s="4">
        <f t="shared" ref="AU14" si="45">SUM(AU15:AU17)</f>
        <v>7</v>
      </c>
      <c r="AV14" s="4">
        <f t="shared" ref="AV14" si="46">SUM(AV15:AV17)</f>
        <v>8.0124999999999993</v>
      </c>
      <c r="AW14" s="4">
        <f t="shared" ref="AW14" si="47">SUM(AW15:AW17)</f>
        <v>4.9840799999999996</v>
      </c>
      <c r="AX14" s="4">
        <f t="shared" ref="AX14" si="48">SUM(AX15:AX17)</f>
        <v>2.0322666666666667</v>
      </c>
    </row>
    <row r="15" spans="1:58" x14ac:dyDescent="0.25">
      <c r="A15" s="1" t="s">
        <v>72</v>
      </c>
      <c r="B15" s="4">
        <f>IFERROR(B4/B10,0)</f>
        <v>0</v>
      </c>
      <c r="C15" s="4">
        <f t="shared" ref="C15:E15" si="49">IFERROR(C4/C10,0)</f>
        <v>1</v>
      </c>
      <c r="D15" s="4">
        <f t="shared" si="49"/>
        <v>1.133375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0</v>
      </c>
      <c r="H15" s="4">
        <f t="shared" si="50"/>
        <v>0</v>
      </c>
      <c r="I15" s="4">
        <f t="shared" si="50"/>
        <v>0</v>
      </c>
      <c r="J15" s="4">
        <f t="shared" si="50"/>
        <v>2.2121111111111111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0.96775</v>
      </c>
      <c r="O15" s="4">
        <f t="shared" si="51"/>
        <v>1</v>
      </c>
      <c r="P15" s="4">
        <f t="shared" si="51"/>
        <v>0</v>
      </c>
      <c r="Q15" s="4">
        <f t="shared" si="51"/>
        <v>0</v>
      </c>
      <c r="R15" s="4">
        <f t="shared" si="51"/>
        <v>0</v>
      </c>
      <c r="S15" s="4">
        <f t="shared" si="51"/>
        <v>7.0783410138248852</v>
      </c>
      <c r="T15" s="4">
        <f t="shared" si="51"/>
        <v>0</v>
      </c>
      <c r="U15" s="4">
        <f t="shared" si="51"/>
        <v>0</v>
      </c>
      <c r="V15" s="4">
        <f t="shared" si="51"/>
        <v>0</v>
      </c>
      <c r="W15" s="4">
        <f t="shared" si="51"/>
        <v>0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2.0226000000000002</v>
      </c>
      <c r="AB15" s="4">
        <f t="shared" si="51"/>
        <v>0</v>
      </c>
      <c r="AC15" s="4">
        <f t="shared" si="51"/>
        <v>1.6773750000000001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AX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1</v>
      </c>
      <c r="AS15" s="4">
        <f t="shared" si="52"/>
        <v>1</v>
      </c>
      <c r="AT15" s="4">
        <f t="shared" si="52"/>
        <v>1</v>
      </c>
      <c r="AU15" s="4">
        <f t="shared" si="52"/>
        <v>1</v>
      </c>
      <c r="AV15" s="4">
        <f t="shared" si="52"/>
        <v>1</v>
      </c>
      <c r="AW15" s="4">
        <f t="shared" si="52"/>
        <v>0</v>
      </c>
      <c r="AX15" s="4">
        <f t="shared" si="52"/>
        <v>0</v>
      </c>
    </row>
    <row r="16" spans="1:58" x14ac:dyDescent="0.25">
      <c r="A16" s="1" t="s">
        <v>73</v>
      </c>
      <c r="B16" s="4">
        <f t="shared" ref="B16:D16" si="53">IFERROR(B5/B11,0)</f>
        <v>0</v>
      </c>
      <c r="C16" s="4">
        <f t="shared" si="53"/>
        <v>9.3443333333333332</v>
      </c>
      <c r="D16" s="4">
        <f t="shared" si="53"/>
        <v>5.6667500000000004</v>
      </c>
      <c r="E16" s="4">
        <f t="shared" ref="E16:L16" si="54">IFERROR(E5/E11,0)</f>
        <v>0</v>
      </c>
      <c r="F16" s="4">
        <f t="shared" si="54"/>
        <v>22.852250000000002</v>
      </c>
      <c r="G16" s="4">
        <f t="shared" si="54"/>
        <v>6.0359836065573766</v>
      </c>
      <c r="H16" s="4">
        <f t="shared" si="54"/>
        <v>13.211411776629168</v>
      </c>
      <c r="I16" s="4">
        <f t="shared" si="54"/>
        <v>3.6071249999999999</v>
      </c>
      <c r="J16" s="4">
        <f t="shared" si="54"/>
        <v>27.37742857142857</v>
      </c>
      <c r="K16" s="4">
        <f t="shared" si="54"/>
        <v>11.392742857142856</v>
      </c>
      <c r="L16" s="4">
        <f t="shared" si="54"/>
        <v>2.7589999999999999</v>
      </c>
      <c r="M16" s="4">
        <f t="shared" ref="M16:AE16" si="55">IFERROR(M5/M11,0)</f>
        <v>10.509499999999999</v>
      </c>
      <c r="N16" s="4">
        <f t="shared" si="55"/>
        <v>6.804904761904762</v>
      </c>
      <c r="O16" s="4">
        <f t="shared" si="55"/>
        <v>9.1958125000000006</v>
      </c>
      <c r="P16" s="4">
        <f t="shared" si="55"/>
        <v>25.494428571428571</v>
      </c>
      <c r="Q16" s="4">
        <f t="shared" si="55"/>
        <v>64.772999999999996</v>
      </c>
      <c r="R16" s="4">
        <f t="shared" si="55"/>
        <v>13.380518867924529</v>
      </c>
      <c r="S16" s="4">
        <f t="shared" si="55"/>
        <v>63.767714285714284</v>
      </c>
      <c r="T16" s="4">
        <f t="shared" si="55"/>
        <v>12.472727272727273</v>
      </c>
      <c r="U16" s="4">
        <f t="shared" si="55"/>
        <v>18.014052631578949</v>
      </c>
      <c r="V16" s="4">
        <f t="shared" si="55"/>
        <v>46.177863636363639</v>
      </c>
      <c r="W16" s="4">
        <f t="shared" si="55"/>
        <v>40.578772727272728</v>
      </c>
      <c r="X16" s="4">
        <f t="shared" si="55"/>
        <v>10.981818181818182</v>
      </c>
      <c r="Y16" s="4">
        <f t="shared" si="55"/>
        <v>3.9689999999999999</v>
      </c>
      <c r="Z16" s="4">
        <f t="shared" si="55"/>
        <v>3.5096428571428571</v>
      </c>
      <c r="AA16" s="4">
        <f t="shared" si="55"/>
        <v>38.08305</v>
      </c>
      <c r="AB16" s="4">
        <f t="shared" si="55"/>
        <v>2.6819999999999999</v>
      </c>
      <c r="AC16" s="4">
        <f t="shared" si="55"/>
        <v>4.5161379310344829</v>
      </c>
      <c r="AD16" s="4">
        <f t="shared" si="55"/>
        <v>12.027900000000001</v>
      </c>
      <c r="AE16" s="4">
        <f t="shared" si="55"/>
        <v>10.755573770491804</v>
      </c>
      <c r="AF16" s="4">
        <f t="shared" ref="AF16:AX16" si="56">IFERROR(AF5/AF11,0)</f>
        <v>42.779534883720927</v>
      </c>
      <c r="AG16" s="4">
        <f t="shared" si="56"/>
        <v>20.987055555555557</v>
      </c>
      <c r="AH16" s="4">
        <f t="shared" si="56"/>
        <v>0</v>
      </c>
      <c r="AI16" s="4">
        <f t="shared" si="56"/>
        <v>0</v>
      </c>
      <c r="AJ16" s="4">
        <f t="shared" si="56"/>
        <v>7.4801111111111114</v>
      </c>
      <c r="AK16" s="4">
        <f t="shared" si="56"/>
        <v>3.9096000000000002</v>
      </c>
      <c r="AL16" s="4">
        <f t="shared" si="56"/>
        <v>5.364313725490196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10.466699999999999</v>
      </c>
      <c r="AQ16" s="4">
        <f t="shared" si="56"/>
        <v>4.9032499999999999</v>
      </c>
      <c r="AR16" s="4">
        <f t="shared" si="56"/>
        <v>7</v>
      </c>
      <c r="AS16" s="4">
        <f t="shared" si="56"/>
        <v>11.784277777777778</v>
      </c>
      <c r="AT16" s="4">
        <f t="shared" si="56"/>
        <v>8.5333124999999992</v>
      </c>
      <c r="AU16" s="4">
        <f t="shared" si="56"/>
        <v>6</v>
      </c>
      <c r="AV16" s="4">
        <f t="shared" si="56"/>
        <v>7.0125000000000002</v>
      </c>
      <c r="AW16" s="4">
        <f t="shared" si="56"/>
        <v>4.9840799999999996</v>
      </c>
      <c r="AX16" s="4">
        <f t="shared" si="56"/>
        <v>2.0322666666666667</v>
      </c>
    </row>
    <row r="17" spans="1:56" x14ac:dyDescent="0.25">
      <c r="A17" s="1" t="s">
        <v>74</v>
      </c>
      <c r="B17" s="4">
        <f t="shared" ref="B17:D17" si="57">IFERROR(B6/B12,0)</f>
        <v>0</v>
      </c>
      <c r="C17" s="4">
        <f t="shared" si="57"/>
        <v>0</v>
      </c>
      <c r="D17" s="4">
        <f t="shared" si="57"/>
        <v>0</v>
      </c>
      <c r="E17" s="4">
        <f t="shared" ref="E17:L17" si="58">IFERROR(E6/E12,0)</f>
        <v>0</v>
      </c>
      <c r="F17" s="4">
        <f t="shared" si="58"/>
        <v>0</v>
      </c>
      <c r="G17" s="4">
        <f t="shared" si="58"/>
        <v>0</v>
      </c>
      <c r="H17" s="4">
        <f t="shared" si="58"/>
        <v>0</v>
      </c>
      <c r="I17" s="4">
        <f t="shared" si="58"/>
        <v>0</v>
      </c>
      <c r="J17" s="4">
        <f t="shared" si="58"/>
        <v>0</v>
      </c>
      <c r="K17" s="4">
        <f t="shared" si="58"/>
        <v>0</v>
      </c>
      <c r="L17" s="4">
        <f t="shared" si="58"/>
        <v>0</v>
      </c>
      <c r="M17" s="4">
        <f t="shared" ref="M17:AE17" si="59">IFERROR(M6/M12,0)</f>
        <v>0</v>
      </c>
      <c r="N17" s="4">
        <f t="shared" si="59"/>
        <v>0</v>
      </c>
      <c r="O17" s="4">
        <f t="shared" si="59"/>
        <v>0</v>
      </c>
      <c r="P17" s="4">
        <f t="shared" si="59"/>
        <v>0</v>
      </c>
      <c r="Q17" s="4">
        <f t="shared" si="59"/>
        <v>8.7361249999999995</v>
      </c>
      <c r="R17" s="4">
        <f t="shared" si="59"/>
        <v>1</v>
      </c>
      <c r="S17" s="4">
        <f t="shared" si="59"/>
        <v>0</v>
      </c>
      <c r="T17" s="4">
        <f t="shared" si="59"/>
        <v>0</v>
      </c>
      <c r="U17" s="4">
        <f t="shared" si="59"/>
        <v>2.558252427184466</v>
      </c>
      <c r="V17" s="4">
        <f t="shared" si="59"/>
        <v>1</v>
      </c>
      <c r="W17" s="4">
        <f t="shared" si="59"/>
        <v>5.8198260869565219</v>
      </c>
      <c r="X17" s="4">
        <f t="shared" si="59"/>
        <v>0</v>
      </c>
      <c r="Y17" s="4">
        <f t="shared" si="59"/>
        <v>0</v>
      </c>
      <c r="Z17" s="4">
        <f t="shared" si="59"/>
        <v>0</v>
      </c>
      <c r="AA17" s="4">
        <f t="shared" si="59"/>
        <v>57.7592</v>
      </c>
      <c r="AB17" s="4">
        <f t="shared" si="59"/>
        <v>0</v>
      </c>
      <c r="AC17" s="4">
        <f t="shared" si="59"/>
        <v>0</v>
      </c>
      <c r="AD17" s="4">
        <f t="shared" si="59"/>
        <v>0</v>
      </c>
      <c r="AE17" s="4">
        <f t="shared" si="59"/>
        <v>0</v>
      </c>
      <c r="AF17" s="4">
        <f t="shared" ref="AF17:AX17" si="60">IFERROR(AF6/AF12,0)</f>
        <v>7.2386796536796538</v>
      </c>
      <c r="AG17" s="4">
        <f t="shared" si="60"/>
        <v>0</v>
      </c>
      <c r="AH17" s="4">
        <f t="shared" si="60"/>
        <v>0</v>
      </c>
      <c r="AI17" s="4">
        <f t="shared" si="60"/>
        <v>0</v>
      </c>
      <c r="AJ17" s="4">
        <f t="shared" si="60"/>
        <v>0</v>
      </c>
      <c r="AK17" s="4">
        <f t="shared" si="60"/>
        <v>0</v>
      </c>
      <c r="AL17" s="4">
        <f t="shared" si="60"/>
        <v>0</v>
      </c>
      <c r="AM17" s="4">
        <f t="shared" si="60"/>
        <v>0</v>
      </c>
      <c r="AN17" s="4">
        <f t="shared" si="60"/>
        <v>0</v>
      </c>
      <c r="AO17" s="4">
        <f t="shared" si="60"/>
        <v>0</v>
      </c>
      <c r="AP17" s="4">
        <f t="shared" si="60"/>
        <v>0</v>
      </c>
      <c r="AQ17" s="4">
        <f t="shared" si="60"/>
        <v>0</v>
      </c>
      <c r="AR17" s="4">
        <f t="shared" si="60"/>
        <v>0</v>
      </c>
      <c r="AS17" s="4">
        <f t="shared" si="60"/>
        <v>0</v>
      </c>
      <c r="AT17" s="4">
        <f t="shared" si="60"/>
        <v>0</v>
      </c>
      <c r="AU17" s="4">
        <f t="shared" si="60"/>
        <v>0</v>
      </c>
      <c r="AV17" s="4">
        <f t="shared" si="60"/>
        <v>0</v>
      </c>
      <c r="AW17" s="4">
        <f t="shared" si="60"/>
        <v>0</v>
      </c>
      <c r="AX17" s="4">
        <f t="shared" si="60"/>
        <v>0</v>
      </c>
    </row>
    <row r="18" spans="1:56" x14ac:dyDescent="0.25">
      <c r="BD18" s="12"/>
    </row>
    <row r="19" spans="1:56" x14ac:dyDescent="0.25">
      <c r="A19" s="3" t="s">
        <v>9</v>
      </c>
      <c r="BD19" s="13"/>
    </row>
    <row r="20" spans="1:56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2</v>
      </c>
      <c r="R20" s="2">
        <v>1</v>
      </c>
      <c r="S20" s="2">
        <v>7</v>
      </c>
      <c r="T20" s="2">
        <v>1</v>
      </c>
      <c r="U20" s="2">
        <v>1</v>
      </c>
      <c r="V20" s="2">
        <v>4</v>
      </c>
      <c r="W20" s="2">
        <v>2</v>
      </c>
      <c r="X20" s="2">
        <v>1</v>
      </c>
      <c r="Y20" s="2">
        <v>0</v>
      </c>
      <c r="Z20" s="2">
        <v>0</v>
      </c>
      <c r="AA20" s="2">
        <v>2</v>
      </c>
      <c r="AB20" s="2">
        <v>0</v>
      </c>
      <c r="AC20" s="2">
        <v>1</v>
      </c>
      <c r="AD20" s="2">
        <v>0</v>
      </c>
      <c r="AE20" s="2">
        <v>0</v>
      </c>
      <c r="AF20" s="2">
        <v>1</v>
      </c>
      <c r="AG20" s="2">
        <v>0</v>
      </c>
      <c r="AJ20" s="2">
        <v>0</v>
      </c>
      <c r="AK20" s="2">
        <v>0</v>
      </c>
      <c r="AL20" s="2">
        <v>0</v>
      </c>
      <c r="AM20" s="2">
        <v>0</v>
      </c>
      <c r="AO20" s="2">
        <v>3</v>
      </c>
      <c r="AP20" s="2">
        <v>0</v>
      </c>
      <c r="AQ20" s="2">
        <v>0</v>
      </c>
      <c r="AR20" s="2">
        <v>0</v>
      </c>
      <c r="AS20" s="2">
        <v>1</v>
      </c>
      <c r="AT20" s="2">
        <v>1</v>
      </c>
      <c r="AU20" s="2">
        <v>1</v>
      </c>
      <c r="AV20" s="2">
        <v>0</v>
      </c>
      <c r="AW20" s="2">
        <v>0</v>
      </c>
      <c r="AX20" s="2">
        <v>0</v>
      </c>
    </row>
    <row r="21" spans="1:56" x14ac:dyDescent="0.25">
      <c r="A21" s="1" t="s">
        <v>6</v>
      </c>
      <c r="B21" s="2">
        <v>44</v>
      </c>
      <c r="C21" s="2">
        <v>9</v>
      </c>
      <c r="D21" s="2">
        <v>5</v>
      </c>
      <c r="E21" s="2">
        <v>0</v>
      </c>
      <c r="F21" s="2">
        <v>20</v>
      </c>
      <c r="G21" s="2">
        <v>5</v>
      </c>
      <c r="H21" s="2">
        <v>14</v>
      </c>
      <c r="I21" s="2">
        <v>4</v>
      </c>
      <c r="J21" s="2">
        <v>23</v>
      </c>
      <c r="K21" s="2">
        <v>13</v>
      </c>
      <c r="L21" s="2">
        <v>2</v>
      </c>
      <c r="M21" s="2">
        <v>13</v>
      </c>
      <c r="N21" s="2">
        <v>7</v>
      </c>
      <c r="O21" s="2">
        <v>9</v>
      </c>
      <c r="P21" s="2">
        <v>26</v>
      </c>
      <c r="Q21" s="2">
        <v>62</v>
      </c>
      <c r="R21" s="2">
        <v>11</v>
      </c>
      <c r="S21" s="2">
        <v>47</v>
      </c>
      <c r="T21" s="2">
        <v>12</v>
      </c>
      <c r="U21" s="2">
        <v>22</v>
      </c>
      <c r="V21" s="2">
        <v>48</v>
      </c>
      <c r="W21" s="2">
        <v>43</v>
      </c>
      <c r="X21" s="2">
        <v>20</v>
      </c>
      <c r="Y21" s="2">
        <v>5</v>
      </c>
      <c r="Z21" s="2">
        <v>5</v>
      </c>
      <c r="AA21" s="2">
        <v>43</v>
      </c>
      <c r="AB21" s="2">
        <v>24</v>
      </c>
      <c r="AC21" s="2">
        <v>5</v>
      </c>
      <c r="AD21" s="2">
        <v>13</v>
      </c>
      <c r="AE21" s="2">
        <v>11</v>
      </c>
      <c r="AF21" s="2">
        <v>45</v>
      </c>
      <c r="AG21" s="2">
        <v>23</v>
      </c>
      <c r="AJ21" s="2">
        <v>7</v>
      </c>
      <c r="AK21" s="2">
        <v>5</v>
      </c>
      <c r="AL21" s="2">
        <v>5</v>
      </c>
      <c r="AM21" s="2">
        <v>1</v>
      </c>
      <c r="AO21" s="2">
        <v>55</v>
      </c>
      <c r="AP21" s="2">
        <v>8</v>
      </c>
      <c r="AQ21" s="2">
        <v>4</v>
      </c>
      <c r="AR21" s="2">
        <v>8</v>
      </c>
      <c r="AS21" s="2">
        <v>14</v>
      </c>
      <c r="AT21" s="2">
        <v>8</v>
      </c>
      <c r="AU21" s="2">
        <v>6</v>
      </c>
      <c r="AV21" s="2">
        <v>7</v>
      </c>
      <c r="AW21" s="2">
        <v>5</v>
      </c>
      <c r="AX21" s="2">
        <v>2</v>
      </c>
    </row>
    <row r="22" spans="1:56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1</v>
      </c>
      <c r="S22" s="2">
        <v>0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51</v>
      </c>
      <c r="AB22" s="2">
        <v>3</v>
      </c>
      <c r="AC22" s="2">
        <v>0</v>
      </c>
      <c r="AD22" s="2">
        <v>0</v>
      </c>
      <c r="AE22" s="2">
        <v>0</v>
      </c>
      <c r="AF22" s="2">
        <v>7</v>
      </c>
      <c r="AG22" s="2">
        <v>0</v>
      </c>
      <c r="AJ22" s="2">
        <v>0</v>
      </c>
      <c r="AK22" s="2">
        <v>0</v>
      </c>
      <c r="AL22" s="2">
        <v>0</v>
      </c>
      <c r="AM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257B-5D9F-45F9-8198-225E8807797C}">
  <dimension ref="A1:BG22"/>
  <sheetViews>
    <sheetView zoomScale="85" zoomScaleNormal="85" workbookViewId="0">
      <pane xSplit="1" ySplit="1" topLeftCell="AK12" activePane="bottomRight" state="frozen"/>
      <selection activeCell="A17" sqref="A17"/>
      <selection pane="topRight" activeCell="A17" sqref="A17"/>
      <selection pane="bottomLeft" activeCell="A17" sqref="A17"/>
      <selection pane="bottomRight" activeCell="AN19" sqref="AN19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5" width="9.140625" style="2"/>
    <col min="26" max="27" width="9.140625" style="2" customWidth="1"/>
    <col min="28" max="40" width="9.140625" style="2"/>
    <col min="41" max="41" width="9.5703125" style="2" bestFit="1" customWidth="1"/>
    <col min="42" max="46" width="9.140625" style="2"/>
    <col min="47" max="47" width="9.5703125" style="2" bestFit="1" customWidth="1"/>
    <col min="48" max="57" width="9.140625" style="2"/>
    <col min="58" max="59" width="9.7109375" style="2" bestFit="1" customWidth="1"/>
    <col min="60" max="60" width="9.140625" style="2"/>
    <col min="61" max="61" width="9.7109375" style="2" bestFit="1" customWidth="1"/>
    <col min="62" max="16384" width="9.140625" style="2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49</v>
      </c>
      <c r="S1" s="1" t="s">
        <v>31</v>
      </c>
      <c r="T1" s="1" t="s">
        <v>19</v>
      </c>
      <c r="U1" s="1" t="s">
        <v>29</v>
      </c>
      <c r="V1" s="1" t="s">
        <v>30</v>
      </c>
      <c r="W1" s="1" t="s">
        <v>26</v>
      </c>
      <c r="X1" s="1" t="s">
        <v>27</v>
      </c>
      <c r="Y1" s="22" t="s">
        <v>68</v>
      </c>
      <c r="Z1" s="1" t="s">
        <v>42</v>
      </c>
      <c r="AA1" s="1" t="s">
        <v>43</v>
      </c>
      <c r="AB1" s="22" t="s">
        <v>63</v>
      </c>
      <c r="AC1" s="22" t="s">
        <v>69</v>
      </c>
      <c r="AD1" s="1" t="s">
        <v>17</v>
      </c>
      <c r="AE1" s="22" t="s">
        <v>70</v>
      </c>
      <c r="AF1" s="1" t="s">
        <v>32</v>
      </c>
      <c r="AG1" s="22" t="s">
        <v>62</v>
      </c>
      <c r="AH1" s="1" t="s">
        <v>61</v>
      </c>
      <c r="AI1" s="1" t="s">
        <v>23</v>
      </c>
      <c r="AJ1" s="22" t="s">
        <v>64</v>
      </c>
      <c r="AK1" s="22" t="s">
        <v>71</v>
      </c>
      <c r="AL1" s="22" t="s">
        <v>66</v>
      </c>
      <c r="AM1" s="1" t="s">
        <v>24</v>
      </c>
      <c r="AN1" s="22" t="s">
        <v>67</v>
      </c>
      <c r="AO1" s="22" t="s">
        <v>65</v>
      </c>
      <c r="AP1" s="22" t="s">
        <v>25</v>
      </c>
      <c r="AQ1" s="1" t="s">
        <v>28</v>
      </c>
      <c r="AR1" s="1" t="s">
        <v>46</v>
      </c>
      <c r="AS1" s="1" t="s">
        <v>34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44</v>
      </c>
      <c r="AY1" s="1" t="s">
        <v>45</v>
      </c>
      <c r="AZ1" s="1" t="s">
        <v>47</v>
      </c>
      <c r="BA1" s="1" t="s">
        <v>48</v>
      </c>
      <c r="BB1" s="1" t="s">
        <v>50</v>
      </c>
    </row>
    <row r="2" spans="1:59" x14ac:dyDescent="0.25">
      <c r="A2" s="3" t="s">
        <v>0</v>
      </c>
    </row>
    <row r="4" spans="1:59" x14ac:dyDescent="0.25">
      <c r="A4" s="1" t="s">
        <v>1</v>
      </c>
      <c r="B4" s="2">
        <v>22165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27588</v>
      </c>
      <c r="K4" s="2">
        <v>7500</v>
      </c>
      <c r="L4" s="2">
        <v>0</v>
      </c>
      <c r="M4" s="2">
        <v>8000</v>
      </c>
      <c r="N4" s="2">
        <v>7613</v>
      </c>
      <c r="O4" s="2">
        <v>8500</v>
      </c>
      <c r="P4" s="2">
        <v>10452</v>
      </c>
      <c r="Q4" s="2">
        <f>44065/2</f>
        <v>22032.5</v>
      </c>
      <c r="R4" s="2">
        <v>6194</v>
      </c>
      <c r="S4" s="2">
        <v>11500</v>
      </c>
      <c r="T4" s="2">
        <v>26016</v>
      </c>
      <c r="U4" s="2">
        <v>8000</v>
      </c>
      <c r="V4" s="19">
        <v>5833</v>
      </c>
      <c r="W4" s="18">
        <v>19000</v>
      </c>
      <c r="X4" s="2">
        <v>10500</v>
      </c>
      <c r="Y4" s="2">
        <v>0</v>
      </c>
      <c r="Z4" s="2">
        <v>0</v>
      </c>
      <c r="AA4" s="2">
        <v>0</v>
      </c>
      <c r="AB4" s="2">
        <v>20532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  <c r="AH4" s="2">
        <v>0</v>
      </c>
      <c r="AK4" s="2">
        <v>0</v>
      </c>
      <c r="AL4" s="2">
        <v>0</v>
      </c>
      <c r="AM4" s="2">
        <v>0</v>
      </c>
      <c r="AN4" s="2">
        <v>0</v>
      </c>
      <c r="AP4" s="2">
        <v>0</v>
      </c>
      <c r="AQ4" s="2">
        <v>0</v>
      </c>
      <c r="AR4" s="2">
        <v>0</v>
      </c>
      <c r="AS4" s="2">
        <v>7226</v>
      </c>
      <c r="AT4" s="2">
        <v>8500</v>
      </c>
      <c r="AU4" s="2">
        <v>10396</v>
      </c>
      <c r="AV4" s="2">
        <v>7742</v>
      </c>
      <c r="AW4" s="2">
        <v>8258</v>
      </c>
      <c r="AX4" s="2">
        <v>0</v>
      </c>
      <c r="AY4" s="2">
        <v>0</v>
      </c>
      <c r="AZ4" s="2">
        <v>7742</v>
      </c>
      <c r="BA4" s="2">
        <v>4645</v>
      </c>
      <c r="BB4" s="2">
        <v>0</v>
      </c>
    </row>
    <row r="5" spans="1:59" x14ac:dyDescent="0.25">
      <c r="A5" s="1" t="s">
        <v>2</v>
      </c>
      <c r="B5" s="2">
        <f>582496+51000</f>
        <v>633496</v>
      </c>
      <c r="C5" s="2">
        <v>181565</v>
      </c>
      <c r="D5" s="2">
        <v>112412</v>
      </c>
      <c r="E5" s="2">
        <v>0</v>
      </c>
      <c r="F5" s="2">
        <v>0</v>
      </c>
      <c r="G5" s="2">
        <v>112323</v>
      </c>
      <c r="H5" s="2">
        <v>99258</v>
      </c>
      <c r="I5" s="2">
        <v>28857</v>
      </c>
      <c r="J5" s="2">
        <f>457742+15713</f>
        <v>473455</v>
      </c>
      <c r="K5" s="2">
        <v>227308</v>
      </c>
      <c r="L5" s="2">
        <v>47154</v>
      </c>
      <c r="M5" s="2">
        <v>174710</v>
      </c>
      <c r="N5" s="2">
        <v>142537</v>
      </c>
      <c r="O5" s="2">
        <v>154000</v>
      </c>
      <c r="P5" s="2">
        <f>464467+53612</f>
        <v>518079</v>
      </c>
      <c r="Q5" s="2">
        <f>1099163+133452+158951+44000</f>
        <v>1435566</v>
      </c>
      <c r="R5" s="2">
        <v>103354</v>
      </c>
      <c r="S5" s="2">
        <f>477658+7467+44400</f>
        <v>529525</v>
      </c>
      <c r="T5" s="2">
        <f>51896+56226+654510+365598</f>
        <v>1128230</v>
      </c>
      <c r="U5" s="2">
        <v>70800</v>
      </c>
      <c r="V5" s="10">
        <v>397382</v>
      </c>
      <c r="W5" s="2">
        <f>615169+198000+198000+9200+33000+800</f>
        <v>1054169</v>
      </c>
      <c r="X5" s="2">
        <v>333384</v>
      </c>
      <c r="Y5" s="2">
        <v>136274</v>
      </c>
      <c r="Z5" s="2">
        <v>52968</v>
      </c>
      <c r="AA5" s="2">
        <v>42581</v>
      </c>
      <c r="AB5" s="2">
        <v>784814</v>
      </c>
      <c r="AC5" s="2">
        <v>17433</v>
      </c>
      <c r="AD5" s="2">
        <f>88500+2630</f>
        <v>91130</v>
      </c>
      <c r="AE5" s="2">
        <v>116430</v>
      </c>
      <c r="AF5" s="2">
        <v>141413</v>
      </c>
      <c r="AG5" s="2">
        <f>293577+367250</f>
        <v>660827</v>
      </c>
      <c r="AH5" s="2">
        <v>148726</v>
      </c>
      <c r="AK5" s="2">
        <v>0</v>
      </c>
      <c r="AL5" s="2">
        <v>0</v>
      </c>
      <c r="AM5" s="2">
        <v>0</v>
      </c>
      <c r="AN5" s="2">
        <v>0</v>
      </c>
      <c r="AP5" s="2">
        <f>39000+56051+143330+932825</f>
        <v>1171206</v>
      </c>
      <c r="AQ5" s="2">
        <v>101613</v>
      </c>
      <c r="AR5" s="2">
        <f>52129+1032</f>
        <v>53161</v>
      </c>
      <c r="AS5" s="2">
        <v>101561</v>
      </c>
      <c r="AT5" s="2">
        <v>213532</v>
      </c>
      <c r="AU5" s="2">
        <v>110298</v>
      </c>
      <c r="AV5" s="2">
        <v>117677</v>
      </c>
      <c r="AW5" s="2">
        <v>117726</v>
      </c>
      <c r="AX5" s="2">
        <v>0</v>
      </c>
      <c r="AY5" s="2">
        <f>46161+1016</f>
        <v>47177</v>
      </c>
      <c r="AZ5" s="2">
        <v>89396</v>
      </c>
      <c r="BA5" s="2">
        <f>79573+1460</f>
        <v>81033</v>
      </c>
      <c r="BB5" s="2">
        <f>120327+13403</f>
        <v>133730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41226</v>
      </c>
      <c r="Q6" s="2">
        <v>107419</v>
      </c>
      <c r="R6" s="2">
        <v>0</v>
      </c>
      <c r="S6" s="2">
        <v>67541</v>
      </c>
      <c r="T6" s="2">
        <v>90500</v>
      </c>
      <c r="U6" s="2">
        <v>0</v>
      </c>
      <c r="V6" s="2">
        <v>400</v>
      </c>
      <c r="W6" s="2">
        <v>51600</v>
      </c>
      <c r="X6" s="2">
        <v>17000</v>
      </c>
      <c r="Y6" s="2">
        <v>0</v>
      </c>
      <c r="Z6" s="2">
        <v>0</v>
      </c>
      <c r="AA6" s="2">
        <v>0</v>
      </c>
      <c r="AB6" s="2">
        <f>594400+343113+505000</f>
        <v>1442513</v>
      </c>
      <c r="AC6" s="2">
        <f>52724+15000</f>
        <v>67724</v>
      </c>
      <c r="AD6" s="2">
        <v>0</v>
      </c>
      <c r="AE6" s="2">
        <v>0</v>
      </c>
      <c r="AF6" s="2">
        <v>0</v>
      </c>
      <c r="AG6" s="2">
        <f>81427+108000+145000</f>
        <v>334427</v>
      </c>
      <c r="AH6" s="2">
        <v>695048</v>
      </c>
      <c r="AK6" s="2">
        <v>0</v>
      </c>
      <c r="AL6" s="2">
        <v>0</v>
      </c>
      <c r="AM6" s="2">
        <v>0</v>
      </c>
      <c r="AN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9" x14ac:dyDescent="0.25">
      <c r="A7" s="5" t="s">
        <v>4</v>
      </c>
      <c r="B7" s="5">
        <f t="shared" ref="B7:AH7" si="0">SUM(B4:B6)</f>
        <v>655661</v>
      </c>
      <c r="C7" s="5">
        <f t="shared" si="0"/>
        <v>189565</v>
      </c>
      <c r="D7" s="5">
        <f t="shared" si="0"/>
        <v>121702</v>
      </c>
      <c r="E7" s="9">
        <f t="shared" si="0"/>
        <v>0</v>
      </c>
      <c r="F7" s="9">
        <f t="shared" si="0"/>
        <v>0</v>
      </c>
      <c r="G7" s="9">
        <f t="shared" si="0"/>
        <v>119323</v>
      </c>
      <c r="H7" s="9">
        <f t="shared" si="0"/>
        <v>99258</v>
      </c>
      <c r="I7" s="9">
        <f t="shared" si="0"/>
        <v>28857</v>
      </c>
      <c r="J7" s="5">
        <f t="shared" si="0"/>
        <v>501043</v>
      </c>
      <c r="K7" s="5">
        <f t="shared" si="0"/>
        <v>234808</v>
      </c>
      <c r="L7" s="5">
        <f t="shared" si="0"/>
        <v>47154</v>
      </c>
      <c r="M7" s="5">
        <f t="shared" si="0"/>
        <v>182710</v>
      </c>
      <c r="N7" s="5">
        <f t="shared" si="0"/>
        <v>150150</v>
      </c>
      <c r="O7" s="5">
        <f t="shared" si="0"/>
        <v>162500</v>
      </c>
      <c r="P7" s="5">
        <f t="shared" si="0"/>
        <v>569757</v>
      </c>
      <c r="Q7" s="5">
        <f t="shared" si="0"/>
        <v>1565017.5</v>
      </c>
      <c r="R7" s="5">
        <f t="shared" si="0"/>
        <v>109548</v>
      </c>
      <c r="S7" s="5">
        <f t="shared" si="0"/>
        <v>608566</v>
      </c>
      <c r="T7" s="5">
        <f t="shared" si="0"/>
        <v>1244746</v>
      </c>
      <c r="U7" s="5">
        <f t="shared" si="0"/>
        <v>78800</v>
      </c>
      <c r="V7" s="5">
        <f t="shared" si="0"/>
        <v>403615</v>
      </c>
      <c r="W7" s="5">
        <f t="shared" si="0"/>
        <v>1124769</v>
      </c>
      <c r="X7" s="5">
        <f t="shared" si="0"/>
        <v>360884</v>
      </c>
      <c r="Y7" s="5">
        <f t="shared" si="0"/>
        <v>136274</v>
      </c>
      <c r="Z7" s="5">
        <f t="shared" si="0"/>
        <v>52968</v>
      </c>
      <c r="AA7" s="5">
        <f t="shared" si="0"/>
        <v>42581</v>
      </c>
      <c r="AB7" s="5">
        <f t="shared" si="0"/>
        <v>2247859</v>
      </c>
      <c r="AC7" s="5">
        <f t="shared" si="0"/>
        <v>85157</v>
      </c>
      <c r="AD7" s="5">
        <f t="shared" si="0"/>
        <v>91130</v>
      </c>
      <c r="AE7" s="5">
        <f t="shared" si="0"/>
        <v>116430</v>
      </c>
      <c r="AF7" s="5">
        <f t="shared" si="0"/>
        <v>141413</v>
      </c>
      <c r="AG7" s="5">
        <f t="shared" si="0"/>
        <v>995254</v>
      </c>
      <c r="AH7" s="9">
        <f t="shared" si="0"/>
        <v>843774</v>
      </c>
      <c r="AK7" s="5">
        <f>SUM(AK4:AK6)</f>
        <v>0</v>
      </c>
      <c r="AL7" s="5">
        <f>SUM(AL4:AL6)</f>
        <v>0</v>
      </c>
      <c r="AM7" s="5">
        <f>SUM(AM4:AM6)</f>
        <v>0</v>
      </c>
      <c r="AN7" s="5">
        <f>SUM(AN4:AN6)</f>
        <v>0</v>
      </c>
      <c r="AP7" s="5">
        <f t="shared" ref="AP7:BB7" si="1">SUM(AP4:AP6)</f>
        <v>1171206</v>
      </c>
      <c r="AQ7" s="5">
        <f t="shared" si="1"/>
        <v>101613</v>
      </c>
      <c r="AR7" s="5">
        <f t="shared" si="1"/>
        <v>53161</v>
      </c>
      <c r="AS7" s="5">
        <f t="shared" si="1"/>
        <v>108787</v>
      </c>
      <c r="AT7" s="5">
        <f t="shared" si="1"/>
        <v>222032</v>
      </c>
      <c r="AU7" s="5">
        <f t="shared" si="1"/>
        <v>120694</v>
      </c>
      <c r="AV7" s="5">
        <f t="shared" si="1"/>
        <v>125419</v>
      </c>
      <c r="AW7" s="5">
        <f t="shared" si="1"/>
        <v>125984</v>
      </c>
      <c r="AX7" s="5">
        <f t="shared" si="1"/>
        <v>0</v>
      </c>
      <c r="AY7" s="5">
        <f t="shared" si="1"/>
        <v>47177</v>
      </c>
      <c r="AZ7" s="5">
        <f t="shared" si="1"/>
        <v>97138</v>
      </c>
      <c r="BA7" s="5">
        <f t="shared" si="1"/>
        <v>85678</v>
      </c>
      <c r="BB7" s="5">
        <f t="shared" si="1"/>
        <v>133730</v>
      </c>
      <c r="BG7" s="7"/>
    </row>
    <row r="8" spans="1:59" x14ac:dyDescent="0.25">
      <c r="A8" s="6"/>
      <c r="B8" s="6"/>
      <c r="C8" s="6"/>
      <c r="E8" s="6"/>
      <c r="F8" s="6"/>
      <c r="G8" s="6"/>
      <c r="J8" s="7"/>
      <c r="P8" s="2">
        <v>30000</v>
      </c>
      <c r="Q8" s="4"/>
      <c r="R8" s="4"/>
      <c r="X8" s="4"/>
      <c r="Y8" s="4"/>
      <c r="AB8" s="4"/>
      <c r="AQ8" s="4"/>
      <c r="AT8" s="11"/>
    </row>
    <row r="9" spans="1:59" x14ac:dyDescent="0.25">
      <c r="A9" s="3" t="s">
        <v>5</v>
      </c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10452</v>
      </c>
      <c r="Q10" s="2">
        <v>10000</v>
      </c>
      <c r="R10" s="2">
        <v>0</v>
      </c>
      <c r="S10" s="2">
        <v>2500</v>
      </c>
      <c r="T10" s="2">
        <v>13000</v>
      </c>
      <c r="U10" s="2">
        <v>10452</v>
      </c>
      <c r="V10" s="2">
        <v>10452</v>
      </c>
      <c r="W10" s="2">
        <v>10000</v>
      </c>
      <c r="X10" s="2">
        <v>0</v>
      </c>
      <c r="Y10" s="2">
        <v>0</v>
      </c>
      <c r="Z10" s="2">
        <v>0</v>
      </c>
      <c r="AA10" s="2">
        <v>0</v>
      </c>
      <c r="AB10" s="2">
        <v>10000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K10" s="2">
        <v>0</v>
      </c>
      <c r="AL10" s="2">
        <v>0</v>
      </c>
      <c r="AM10" s="2">
        <v>0</v>
      </c>
      <c r="AN10" s="2">
        <v>0</v>
      </c>
      <c r="AP10" s="2">
        <v>0</v>
      </c>
      <c r="AQ10" s="2">
        <v>0</v>
      </c>
      <c r="AR10" s="2">
        <v>0</v>
      </c>
      <c r="AS10" s="2">
        <v>7000</v>
      </c>
      <c r="AT10" s="2">
        <v>8500</v>
      </c>
      <c r="AU10" s="2">
        <v>11782</v>
      </c>
      <c r="AV10" s="2">
        <v>8000</v>
      </c>
      <c r="AW10" s="2">
        <v>8000</v>
      </c>
      <c r="AX10" s="2">
        <v>0</v>
      </c>
      <c r="AY10" s="2">
        <v>0</v>
      </c>
      <c r="AZ10" s="2">
        <v>7742</v>
      </c>
      <c r="BA10" s="2">
        <v>4645</v>
      </c>
      <c r="BB10" s="2">
        <v>0</v>
      </c>
    </row>
    <row r="11" spans="1:59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15500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21000</v>
      </c>
      <c r="S11" s="2">
        <v>22000</v>
      </c>
      <c r="T11" s="2">
        <v>17500</v>
      </c>
      <c r="U11" s="2">
        <v>22000</v>
      </c>
      <c r="V11" s="2">
        <v>19000</v>
      </c>
      <c r="W11" s="2">
        <v>22000</v>
      </c>
      <c r="X11" s="2">
        <v>20000</v>
      </c>
      <c r="Y11" s="2">
        <v>12000</v>
      </c>
      <c r="Z11" s="2">
        <v>8000</v>
      </c>
      <c r="AA11" s="2">
        <v>8000</v>
      </c>
      <c r="AB11" s="2">
        <v>20000</v>
      </c>
      <c r="AC11" s="2">
        <v>6500</v>
      </c>
      <c r="AD11" s="2">
        <v>14500</v>
      </c>
      <c r="AE11" s="2">
        <v>10000</v>
      </c>
      <c r="AF11" s="2">
        <v>12200</v>
      </c>
      <c r="AG11" s="2">
        <v>17200</v>
      </c>
      <c r="AH11" s="2">
        <v>19000</v>
      </c>
      <c r="AK11" s="2">
        <v>9000</v>
      </c>
      <c r="AL11" s="2">
        <v>10000</v>
      </c>
      <c r="AM11" s="2">
        <v>15300</v>
      </c>
      <c r="AN11" s="2">
        <v>10000</v>
      </c>
      <c r="AP11" s="2" t="s">
        <v>36</v>
      </c>
      <c r="AQ11" s="2">
        <v>10000</v>
      </c>
      <c r="AR11" s="2">
        <v>12000</v>
      </c>
      <c r="AS11" s="2">
        <v>14000</v>
      </c>
      <c r="AT11" s="2">
        <v>18000</v>
      </c>
      <c r="AU11" s="2">
        <v>16000</v>
      </c>
      <c r="AV11" s="2">
        <v>18000</v>
      </c>
      <c r="AW11" s="2">
        <v>16000</v>
      </c>
      <c r="AX11" s="2">
        <v>12500</v>
      </c>
      <c r="AY11" s="2">
        <v>15000</v>
      </c>
      <c r="AZ11" s="2">
        <v>18000</v>
      </c>
      <c r="BA11" s="2">
        <v>16500</v>
      </c>
      <c r="BB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24000</v>
      </c>
      <c r="S12" s="2">
        <v>48000</v>
      </c>
      <c r="T12" s="2">
        <v>24000</v>
      </c>
      <c r="U12" s="2">
        <v>0</v>
      </c>
      <c r="V12" s="2">
        <v>20600</v>
      </c>
      <c r="W12" s="2">
        <v>51600</v>
      </c>
      <c r="X12" s="2">
        <v>34500</v>
      </c>
      <c r="Y12" s="2">
        <v>0</v>
      </c>
      <c r="Z12" s="2">
        <v>0</v>
      </c>
      <c r="AA12" s="2">
        <v>0</v>
      </c>
      <c r="AB12" s="2">
        <v>56000</v>
      </c>
      <c r="AC12" s="2">
        <v>0</v>
      </c>
      <c r="AD12" s="2">
        <v>0</v>
      </c>
      <c r="AE12" s="2">
        <v>0</v>
      </c>
      <c r="AF12" s="2">
        <v>0</v>
      </c>
      <c r="AG12" s="2">
        <v>46200</v>
      </c>
      <c r="AH12" s="2">
        <v>0</v>
      </c>
      <c r="AK12" s="2">
        <v>0</v>
      </c>
      <c r="AL12" s="2">
        <v>0</v>
      </c>
      <c r="AM12" s="2">
        <v>0</v>
      </c>
      <c r="AN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</row>
    <row r="14" spans="1:59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8.1870000000000012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8.2466451612903224</v>
      </c>
      <c r="H14" s="4">
        <f t="shared" ref="H14" si="6">SUM(H15:H17)</f>
        <v>10.059592581331712</v>
      </c>
      <c r="I14" s="4">
        <f t="shared" ref="I14" si="7">SUM(I15:I17)</f>
        <v>3.6071249999999999</v>
      </c>
      <c r="J14" s="4">
        <f t="shared" ref="J14" si="8">SUM(J15:J17)</f>
        <v>36.883547619047619</v>
      </c>
      <c r="K14" s="4">
        <f t="shared" ref="K14" si="9">SUM(K15:K17)</f>
        <v>13.989028571428571</v>
      </c>
      <c r="L14" s="4">
        <f t="shared" ref="L14" si="10">SUM(L15:L17)</f>
        <v>5.8942500000000004</v>
      </c>
      <c r="M14" s="4">
        <f t="shared" ref="M14" si="11">SUM(M15:M17)</f>
        <v>10.706111111111111</v>
      </c>
      <c r="N14" s="4">
        <f t="shared" ref="N14" si="12">SUM(N15:N17)</f>
        <v>7.7391011904761902</v>
      </c>
      <c r="O14" s="4">
        <f t="shared" ref="O14" si="13">SUM(O15:O17)</f>
        <v>10.625</v>
      </c>
      <c r="P14" s="4">
        <f t="shared" ref="P14" si="14">SUM(P15:P17)</f>
        <v>25.670428571428573</v>
      </c>
      <c r="Q14" s="4">
        <f t="shared" ref="Q14" si="15">SUM(Q15:Q17)</f>
        <v>75.039327380952372</v>
      </c>
      <c r="R14" s="4">
        <f t="shared" ref="R14" si="16">SUM(R15:R17)</f>
        <v>4.921619047619048</v>
      </c>
      <c r="S14" s="4">
        <f t="shared" ref="S14" si="17">SUM(S15:S17)</f>
        <v>30.076422348484851</v>
      </c>
      <c r="T14" s="4">
        <f t="shared" ref="T14" si="18">SUM(T15:T17)</f>
        <v>70.24234981684981</v>
      </c>
      <c r="U14" s="4">
        <f t="shared" ref="U14" si="19">SUM(U15:U17)</f>
        <v>3.9835855686601955</v>
      </c>
      <c r="V14" s="4">
        <f t="shared" ref="V14" si="20">SUM(V15:V17)</f>
        <v>21.492334590558858</v>
      </c>
      <c r="W14" s="4">
        <f t="shared" ref="W14" si="21">SUM(W15:W17)</f>
        <v>50.816772727272728</v>
      </c>
      <c r="X14" s="4">
        <f t="shared" ref="X14" si="22">SUM(X15:X17)</f>
        <v>17.161953623188406</v>
      </c>
      <c r="Y14" s="4">
        <f t="shared" ref="Y14" si="23">SUM(Y15:Y17)</f>
        <v>11.356166666666667</v>
      </c>
      <c r="Z14" s="4">
        <f t="shared" ref="Z14" si="24">SUM(Z15:Z17)</f>
        <v>6.6210000000000004</v>
      </c>
      <c r="AA14" s="4">
        <f t="shared" ref="AA14" si="25">SUM(AA15:AA17)</f>
        <v>5.3226250000000004</v>
      </c>
      <c r="AB14" s="4">
        <f t="shared" ref="AB14" si="26">SUM(AB15:AB17)</f>
        <v>67.053060714285706</v>
      </c>
      <c r="AC14" s="4">
        <f t="shared" ref="AC14" si="27">SUM(AC15:AC17)</f>
        <v>2.6819999999999999</v>
      </c>
      <c r="AD14" s="4">
        <f t="shared" ref="AD14" si="28">SUM(AD15:AD17)</f>
        <v>6.2848275862068963</v>
      </c>
      <c r="AE14" s="4">
        <f t="shared" ref="AE14" si="29">SUM(AE15:AE17)</f>
        <v>11.643000000000001</v>
      </c>
      <c r="AF14" s="4">
        <f t="shared" ref="AF14" si="30">SUM(AF15:AF17)</f>
        <v>11.59122950819672</v>
      </c>
      <c r="AG14" s="4">
        <f t="shared" ref="AG14" si="31">SUM(AG15:AG17)</f>
        <v>45.658854072284306</v>
      </c>
      <c r="AH14" s="4">
        <f t="shared" ref="AH14" si="32">SUM(AH15:AH17)</f>
        <v>7.827684210526316</v>
      </c>
      <c r="AI14" s="4">
        <f t="shared" ref="AI14" si="33">SUM(AI15:AI17)</f>
        <v>0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10.161300000000001</v>
      </c>
      <c r="AR14" s="4">
        <f t="shared" ref="AR14" si="42">SUM(AR15:AR17)</f>
        <v>4.4300833333333332</v>
      </c>
      <c r="AS14" s="4">
        <f t="shared" ref="AS14" si="43">SUM(AS15:AS17)</f>
        <v>8.2866428571428568</v>
      </c>
      <c r="AT14" s="4">
        <f t="shared" ref="AT14" si="44">SUM(AT15:AT17)</f>
        <v>12.862888888888889</v>
      </c>
      <c r="AU14" s="4">
        <f t="shared" ref="AU14" si="45">SUM(AU15:AU17)</f>
        <v>7.7759879264980478</v>
      </c>
      <c r="AV14" s="4">
        <f t="shared" ref="AV14" si="46">SUM(AV15:AV17)</f>
        <v>7.5053611111111111</v>
      </c>
      <c r="AW14" s="4">
        <f t="shared" ref="AW14" si="47">SUM(AW15:AW17)</f>
        <v>8.3901249999999994</v>
      </c>
      <c r="AX14" s="4">
        <f t="shared" ref="AX14" si="48">SUM(AX15:AX17)</f>
        <v>0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49">IFERROR(C4/C10,0)</f>
        <v>1.0666666666666667</v>
      </c>
      <c r="D15" s="4">
        <f t="shared" si="49"/>
        <v>1.1612499999999999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1</v>
      </c>
      <c r="H15" s="4">
        <f t="shared" si="50"/>
        <v>0</v>
      </c>
      <c r="I15" s="4">
        <f t="shared" si="50"/>
        <v>0</v>
      </c>
      <c r="J15" s="4">
        <f t="shared" si="50"/>
        <v>3.0653333333333332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0.95162500000000005</v>
      </c>
      <c r="O15" s="4">
        <f t="shared" si="51"/>
        <v>1</v>
      </c>
      <c r="P15" s="4">
        <f t="shared" si="51"/>
        <v>1</v>
      </c>
      <c r="Q15" s="4">
        <f t="shared" si="51"/>
        <v>2.2032500000000002</v>
      </c>
      <c r="R15" s="4">
        <f t="shared" si="51"/>
        <v>0</v>
      </c>
      <c r="S15" s="4">
        <f t="shared" si="51"/>
        <v>4.5999999999999996</v>
      </c>
      <c r="T15" s="4">
        <f t="shared" si="51"/>
        <v>2.0012307692307694</v>
      </c>
      <c r="U15" s="4">
        <f t="shared" si="51"/>
        <v>0.76540375047837739</v>
      </c>
      <c r="V15" s="4">
        <f t="shared" si="51"/>
        <v>0.55807500956754685</v>
      </c>
      <c r="W15" s="4">
        <f t="shared" si="51"/>
        <v>1.9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0</v>
      </c>
      <c r="AB15" s="4">
        <f t="shared" si="51"/>
        <v>2.0531999999999999</v>
      </c>
      <c r="AC15" s="4">
        <f t="shared" si="51"/>
        <v>0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BB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0</v>
      </c>
      <c r="AS15" s="4">
        <f t="shared" si="52"/>
        <v>1.0322857142857143</v>
      </c>
      <c r="AT15" s="4">
        <f t="shared" si="52"/>
        <v>1</v>
      </c>
      <c r="AU15" s="4">
        <f t="shared" si="52"/>
        <v>0.88236292649804782</v>
      </c>
      <c r="AV15" s="4">
        <f t="shared" si="52"/>
        <v>0.96775</v>
      </c>
      <c r="AW15" s="4">
        <f t="shared" si="52"/>
        <v>1.0322499999999999</v>
      </c>
      <c r="AX15" s="4">
        <f t="shared" si="52"/>
        <v>0</v>
      </c>
      <c r="AY15" s="4">
        <f t="shared" si="52"/>
        <v>0</v>
      </c>
      <c r="AZ15" s="4">
        <f t="shared" si="52"/>
        <v>1</v>
      </c>
      <c r="BA15" s="4">
        <f t="shared" si="52"/>
        <v>1</v>
      </c>
      <c r="BB15" s="4">
        <f t="shared" si="52"/>
        <v>0</v>
      </c>
    </row>
    <row r="16" spans="1:59" x14ac:dyDescent="0.25">
      <c r="A16" s="1" t="s">
        <v>73</v>
      </c>
      <c r="B16" s="4">
        <f t="shared" ref="B16:D16" si="53">IFERROR(B5/B11,0)</f>
        <v>0</v>
      </c>
      <c r="C16" s="4">
        <f t="shared" si="53"/>
        <v>10.086944444444445</v>
      </c>
      <c r="D16" s="4">
        <f t="shared" si="53"/>
        <v>7.0257500000000004</v>
      </c>
      <c r="E16" s="4">
        <f t="shared" ref="E16:L16" si="54">IFERROR(E5/E11,0)</f>
        <v>0</v>
      </c>
      <c r="F16" s="4">
        <f t="shared" si="54"/>
        <v>0</v>
      </c>
      <c r="G16" s="4">
        <f t="shared" si="54"/>
        <v>7.2466451612903224</v>
      </c>
      <c r="H16" s="4">
        <f t="shared" si="54"/>
        <v>10.059592581331712</v>
      </c>
      <c r="I16" s="4">
        <f t="shared" si="54"/>
        <v>3.6071249999999999</v>
      </c>
      <c r="J16" s="4">
        <f t="shared" si="54"/>
        <v>33.818214285714284</v>
      </c>
      <c r="K16" s="4">
        <f t="shared" si="54"/>
        <v>12.989028571428571</v>
      </c>
      <c r="L16" s="4">
        <f t="shared" si="54"/>
        <v>5.8942500000000004</v>
      </c>
      <c r="M16" s="4">
        <f t="shared" ref="M16:AE16" si="55">IFERROR(M5/M11,0)</f>
        <v>9.7061111111111114</v>
      </c>
      <c r="N16" s="4">
        <f t="shared" si="55"/>
        <v>6.7874761904761902</v>
      </c>
      <c r="O16" s="4">
        <f t="shared" si="55"/>
        <v>9.625</v>
      </c>
      <c r="P16" s="4">
        <f t="shared" si="55"/>
        <v>24.670428571428573</v>
      </c>
      <c r="Q16" s="4">
        <f t="shared" si="55"/>
        <v>68.360285714285709</v>
      </c>
      <c r="R16" s="4">
        <f t="shared" si="55"/>
        <v>4.921619047619048</v>
      </c>
      <c r="S16" s="4">
        <f t="shared" si="55"/>
        <v>24.069318181818183</v>
      </c>
      <c r="T16" s="4">
        <f t="shared" si="55"/>
        <v>64.470285714285708</v>
      </c>
      <c r="U16" s="4">
        <f t="shared" si="55"/>
        <v>3.2181818181818183</v>
      </c>
      <c r="V16" s="4">
        <f t="shared" si="55"/>
        <v>20.914842105263158</v>
      </c>
      <c r="W16" s="4">
        <f t="shared" si="55"/>
        <v>47.916772727272729</v>
      </c>
      <c r="X16" s="4">
        <f t="shared" si="55"/>
        <v>16.6692</v>
      </c>
      <c r="Y16" s="4">
        <f t="shared" si="55"/>
        <v>11.356166666666667</v>
      </c>
      <c r="Z16" s="4">
        <f t="shared" si="55"/>
        <v>6.6210000000000004</v>
      </c>
      <c r="AA16" s="4">
        <f t="shared" si="55"/>
        <v>5.3226250000000004</v>
      </c>
      <c r="AB16" s="4">
        <f t="shared" si="55"/>
        <v>39.240699999999997</v>
      </c>
      <c r="AC16" s="4">
        <f t="shared" si="55"/>
        <v>2.6819999999999999</v>
      </c>
      <c r="AD16" s="4">
        <f t="shared" si="55"/>
        <v>6.2848275862068963</v>
      </c>
      <c r="AE16" s="4">
        <f t="shared" si="55"/>
        <v>11.643000000000001</v>
      </c>
      <c r="AF16" s="4">
        <f t="shared" ref="AF16:AY16" si="56">IFERROR(AF5/AF11,0)</f>
        <v>11.59122950819672</v>
      </c>
      <c r="AG16" s="4">
        <f t="shared" si="56"/>
        <v>38.420174418604653</v>
      </c>
      <c r="AH16" s="4">
        <f t="shared" si="56"/>
        <v>7.827684210526316</v>
      </c>
      <c r="AI16" s="4">
        <f t="shared" si="56"/>
        <v>0</v>
      </c>
      <c r="AJ16" s="4">
        <f t="shared" si="56"/>
        <v>0</v>
      </c>
      <c r="AK16" s="4">
        <f t="shared" si="56"/>
        <v>0</v>
      </c>
      <c r="AL16" s="4">
        <f t="shared" si="56"/>
        <v>0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0</v>
      </c>
      <c r="AQ16" s="4">
        <f t="shared" si="56"/>
        <v>10.161300000000001</v>
      </c>
      <c r="AR16" s="4">
        <f t="shared" si="56"/>
        <v>4.4300833333333332</v>
      </c>
      <c r="AS16" s="4">
        <f t="shared" si="56"/>
        <v>7.2543571428571427</v>
      </c>
      <c r="AT16" s="4">
        <f t="shared" si="56"/>
        <v>11.862888888888889</v>
      </c>
      <c r="AU16" s="4">
        <f t="shared" si="56"/>
        <v>6.8936250000000001</v>
      </c>
      <c r="AV16" s="4">
        <f t="shared" si="56"/>
        <v>6.5376111111111115</v>
      </c>
      <c r="AW16" s="4">
        <f t="shared" si="56"/>
        <v>7.3578749999999999</v>
      </c>
      <c r="AX16" s="4">
        <f t="shared" si="56"/>
        <v>0</v>
      </c>
      <c r="AY16" s="4">
        <f t="shared" si="56"/>
        <v>3.1451333333333333</v>
      </c>
      <c r="AZ16" s="4">
        <f t="shared" ref="AZ16:BB16" si="57">AZ5/AZ11</f>
        <v>4.9664444444444449</v>
      </c>
      <c r="BA16" s="4">
        <f t="shared" si="57"/>
        <v>4.911090909090909</v>
      </c>
      <c r="BB16" s="4">
        <f t="shared" si="57"/>
        <v>7.4294444444444441</v>
      </c>
    </row>
    <row r="17" spans="1:57" x14ac:dyDescent="0.25">
      <c r="A17" s="1" t="s">
        <v>74</v>
      </c>
      <c r="B17" s="4">
        <f t="shared" ref="B17:D17" si="58">IFERROR(B6/B12,0)</f>
        <v>0</v>
      </c>
      <c r="C17" s="4">
        <f t="shared" si="58"/>
        <v>0</v>
      </c>
      <c r="D17" s="4">
        <f t="shared" si="58"/>
        <v>0</v>
      </c>
      <c r="E17" s="4">
        <f t="shared" ref="E17:L17" si="59">IFERROR(E6/E12,0)</f>
        <v>0</v>
      </c>
      <c r="F17" s="4">
        <f t="shared" si="59"/>
        <v>0</v>
      </c>
      <c r="G17" s="4">
        <f t="shared" si="59"/>
        <v>0</v>
      </c>
      <c r="H17" s="4">
        <f t="shared" si="59"/>
        <v>0</v>
      </c>
      <c r="I17" s="4">
        <f t="shared" si="59"/>
        <v>0</v>
      </c>
      <c r="J17" s="4">
        <f t="shared" si="59"/>
        <v>0</v>
      </c>
      <c r="K17" s="4">
        <f t="shared" si="59"/>
        <v>0</v>
      </c>
      <c r="L17" s="4">
        <f t="shared" si="59"/>
        <v>0</v>
      </c>
      <c r="M17" s="4">
        <f t="shared" ref="M17:AE17" si="60">IFERROR(M6/M12,0)</f>
        <v>0</v>
      </c>
      <c r="N17" s="4">
        <f t="shared" si="60"/>
        <v>0</v>
      </c>
      <c r="O17" s="4">
        <f t="shared" si="60"/>
        <v>0</v>
      </c>
      <c r="P17" s="4">
        <f t="shared" si="60"/>
        <v>0</v>
      </c>
      <c r="Q17" s="4">
        <f t="shared" si="60"/>
        <v>4.4757916666666668</v>
      </c>
      <c r="R17" s="4">
        <f t="shared" si="60"/>
        <v>0</v>
      </c>
      <c r="S17" s="4">
        <f t="shared" si="60"/>
        <v>1.4071041666666666</v>
      </c>
      <c r="T17" s="4">
        <f t="shared" si="60"/>
        <v>3.7708333333333335</v>
      </c>
      <c r="U17" s="4">
        <f t="shared" si="60"/>
        <v>0</v>
      </c>
      <c r="V17" s="4">
        <f t="shared" si="60"/>
        <v>1.9417475728155338E-2</v>
      </c>
      <c r="W17" s="4">
        <f t="shared" si="60"/>
        <v>1</v>
      </c>
      <c r="X17" s="4">
        <f t="shared" si="60"/>
        <v>0.49275362318840582</v>
      </c>
      <c r="Y17" s="4">
        <f t="shared" si="60"/>
        <v>0</v>
      </c>
      <c r="Z17" s="4">
        <f t="shared" si="60"/>
        <v>0</v>
      </c>
      <c r="AA17" s="4">
        <f t="shared" si="60"/>
        <v>0</v>
      </c>
      <c r="AB17" s="4">
        <f t="shared" si="60"/>
        <v>25.759160714285713</v>
      </c>
      <c r="AC17" s="4">
        <f t="shared" si="60"/>
        <v>0</v>
      </c>
      <c r="AD17" s="4">
        <f t="shared" si="60"/>
        <v>0</v>
      </c>
      <c r="AE17" s="4">
        <f t="shared" si="60"/>
        <v>0</v>
      </c>
      <c r="AF17" s="4">
        <f t="shared" ref="AF17:BB17" si="61">IFERROR(AF6/AF12,0)</f>
        <v>0</v>
      </c>
      <c r="AG17" s="4">
        <f t="shared" si="61"/>
        <v>7.2386796536796538</v>
      </c>
      <c r="AH17" s="4">
        <f t="shared" si="61"/>
        <v>0</v>
      </c>
      <c r="AI17" s="4">
        <f t="shared" si="61"/>
        <v>0</v>
      </c>
      <c r="AJ17" s="4">
        <f t="shared" si="61"/>
        <v>0</v>
      </c>
      <c r="AK17" s="4">
        <f t="shared" si="61"/>
        <v>0</v>
      </c>
      <c r="AL17" s="4">
        <f t="shared" si="61"/>
        <v>0</v>
      </c>
      <c r="AM17" s="4">
        <f t="shared" si="61"/>
        <v>0</v>
      </c>
      <c r="AN17" s="4">
        <f t="shared" si="61"/>
        <v>0</v>
      </c>
      <c r="AO17" s="4">
        <f t="shared" si="61"/>
        <v>0</v>
      </c>
      <c r="AP17" s="4">
        <f t="shared" si="61"/>
        <v>0</v>
      </c>
      <c r="AQ17" s="4">
        <f t="shared" si="61"/>
        <v>0</v>
      </c>
      <c r="AR17" s="4">
        <f t="shared" si="61"/>
        <v>0</v>
      </c>
      <c r="AS17" s="4">
        <f t="shared" si="61"/>
        <v>0</v>
      </c>
      <c r="AT17" s="4">
        <f t="shared" si="61"/>
        <v>0</v>
      </c>
      <c r="AU17" s="4">
        <f t="shared" si="61"/>
        <v>0</v>
      </c>
      <c r="AV17" s="4">
        <f t="shared" si="61"/>
        <v>0</v>
      </c>
      <c r="AW17" s="4">
        <f t="shared" si="61"/>
        <v>0</v>
      </c>
      <c r="AX17" s="4">
        <f t="shared" si="61"/>
        <v>0</v>
      </c>
      <c r="AY17" s="4">
        <f t="shared" si="61"/>
        <v>0</v>
      </c>
      <c r="AZ17" s="4">
        <f t="shared" si="61"/>
        <v>0</v>
      </c>
      <c r="BA17" s="4">
        <f t="shared" si="61"/>
        <v>0</v>
      </c>
      <c r="BB17" s="4">
        <f t="shared" si="61"/>
        <v>0</v>
      </c>
    </row>
    <row r="18" spans="1:57" x14ac:dyDescent="0.25">
      <c r="BE18" s="12"/>
    </row>
    <row r="19" spans="1:57" x14ac:dyDescent="0.25">
      <c r="A19" s="3" t="s">
        <v>9</v>
      </c>
      <c r="BE19" s="13"/>
    </row>
    <row r="20" spans="1:57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2</v>
      </c>
      <c r="R20" s="2">
        <v>2</v>
      </c>
      <c r="S20" s="2">
        <v>1</v>
      </c>
      <c r="T20" s="2">
        <v>7</v>
      </c>
      <c r="U20" s="2">
        <v>1</v>
      </c>
      <c r="V20" s="2">
        <v>1</v>
      </c>
      <c r="W20" s="2">
        <v>4</v>
      </c>
      <c r="X20" s="2">
        <v>2</v>
      </c>
      <c r="Y20" s="2">
        <v>1</v>
      </c>
      <c r="Z20" s="2">
        <v>0</v>
      </c>
      <c r="AA20" s="2">
        <v>0</v>
      </c>
      <c r="AB20" s="2">
        <v>2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K20" s="2">
        <v>0</v>
      </c>
      <c r="AL20" s="2">
        <v>0</v>
      </c>
      <c r="AM20" s="2">
        <v>0</v>
      </c>
      <c r="AN20" s="2">
        <v>0</v>
      </c>
      <c r="AP20" s="2">
        <v>3</v>
      </c>
      <c r="AQ20" s="2">
        <v>0</v>
      </c>
      <c r="AR20" s="2">
        <v>0</v>
      </c>
      <c r="AS20" s="2">
        <v>0</v>
      </c>
      <c r="AT20" s="2">
        <v>1</v>
      </c>
      <c r="AU20" s="2">
        <v>1</v>
      </c>
      <c r="AV20" s="2">
        <v>1</v>
      </c>
      <c r="AW20" s="2">
        <v>0</v>
      </c>
      <c r="AX20" s="2">
        <v>0</v>
      </c>
      <c r="AY20" s="2">
        <v>0</v>
      </c>
      <c r="AZ20" s="2">
        <v>1</v>
      </c>
      <c r="BA20" s="2">
        <v>1</v>
      </c>
      <c r="BB20" s="2">
        <v>1</v>
      </c>
    </row>
    <row r="21" spans="1:57" x14ac:dyDescent="0.25">
      <c r="A21" s="1" t="s">
        <v>6</v>
      </c>
      <c r="B21" s="2">
        <v>38</v>
      </c>
      <c r="C21" s="2">
        <v>10</v>
      </c>
      <c r="D21" s="2">
        <v>7</v>
      </c>
      <c r="E21" s="2">
        <v>0</v>
      </c>
      <c r="F21" s="2">
        <v>20</v>
      </c>
      <c r="G21" s="2">
        <v>7</v>
      </c>
      <c r="H21" s="2">
        <v>11</v>
      </c>
      <c r="I21" s="2">
        <v>4</v>
      </c>
      <c r="J21" s="2">
        <v>33</v>
      </c>
      <c r="K21" s="2">
        <v>13</v>
      </c>
      <c r="L21" s="2">
        <v>5</v>
      </c>
      <c r="M21" s="2">
        <v>10</v>
      </c>
      <c r="N21" s="2">
        <v>7</v>
      </c>
      <c r="O21" s="2">
        <v>9</v>
      </c>
      <c r="P21" s="2">
        <v>26</v>
      </c>
      <c r="Q21" s="2">
        <v>62</v>
      </c>
      <c r="R21" s="2">
        <v>62</v>
      </c>
      <c r="S21" s="2">
        <v>15</v>
      </c>
      <c r="T21" s="2">
        <v>60</v>
      </c>
      <c r="U21" s="2">
        <v>15</v>
      </c>
      <c r="V21" s="2">
        <v>22</v>
      </c>
      <c r="W21" s="2">
        <v>47</v>
      </c>
      <c r="X21" s="2">
        <v>43</v>
      </c>
      <c r="Y21" s="2">
        <v>11</v>
      </c>
      <c r="Z21" s="2">
        <v>5</v>
      </c>
      <c r="AA21" s="2">
        <v>4</v>
      </c>
      <c r="AB21" s="2">
        <v>41</v>
      </c>
      <c r="AC21" s="2">
        <v>24</v>
      </c>
      <c r="AD21" s="2">
        <v>5</v>
      </c>
      <c r="AE21" s="2">
        <v>13</v>
      </c>
      <c r="AF21" s="2">
        <v>11</v>
      </c>
      <c r="AG21" s="2">
        <v>39</v>
      </c>
      <c r="AH21" s="2">
        <v>8</v>
      </c>
      <c r="AK21" s="2">
        <v>7</v>
      </c>
      <c r="AL21" s="2">
        <v>5</v>
      </c>
      <c r="AM21" s="2">
        <v>5</v>
      </c>
      <c r="AN21" s="2">
        <v>1</v>
      </c>
      <c r="AP21" s="2">
        <v>55</v>
      </c>
      <c r="AQ21" s="2">
        <v>10</v>
      </c>
      <c r="AR21" s="2">
        <v>4</v>
      </c>
      <c r="AS21" s="2">
        <v>8</v>
      </c>
      <c r="AT21" s="2">
        <v>13</v>
      </c>
      <c r="AU21" s="2">
        <v>8</v>
      </c>
      <c r="AV21" s="2">
        <v>6</v>
      </c>
      <c r="AW21" s="2">
        <v>7</v>
      </c>
      <c r="AX21" s="2">
        <v>5</v>
      </c>
      <c r="AY21" s="2">
        <v>3</v>
      </c>
      <c r="AZ21" s="2">
        <v>5</v>
      </c>
      <c r="BA21" s="2">
        <v>5</v>
      </c>
      <c r="BB21" s="2">
        <v>7</v>
      </c>
    </row>
    <row r="22" spans="1:57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9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26</v>
      </c>
      <c r="AC22" s="2">
        <v>3</v>
      </c>
      <c r="AD22" s="2">
        <v>0</v>
      </c>
      <c r="AE22" s="2">
        <v>0</v>
      </c>
      <c r="AF22" s="2">
        <v>0</v>
      </c>
      <c r="AG22" s="2">
        <v>7</v>
      </c>
      <c r="AH22" s="2">
        <v>0</v>
      </c>
      <c r="AK22" s="2">
        <v>0</v>
      </c>
      <c r="AL22" s="2">
        <v>0</v>
      </c>
      <c r="AM22" s="2">
        <v>0</v>
      </c>
      <c r="AN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17D3-A70E-4807-ADF9-07D727623830}">
  <dimension ref="A1:BH22"/>
  <sheetViews>
    <sheetView zoomScale="85" zoomScaleNormal="85" workbookViewId="0">
      <pane xSplit="1" ySplit="1" topLeftCell="AL2" activePane="bottomRight" state="frozen"/>
      <selection activeCell="A17" sqref="A17"/>
      <selection pane="topRight" activeCell="A17" sqref="A17"/>
      <selection pane="bottomLeft" activeCell="A17" sqref="A17"/>
      <selection pane="bottomRight" activeCell="A6" sqref="A6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6" width="9.140625" style="2"/>
    <col min="27" max="28" width="9.140625" style="2" customWidth="1"/>
    <col min="29" max="29" width="9.140625" style="2"/>
    <col min="30" max="30" width="14" style="2" customWidth="1"/>
    <col min="31" max="41" width="9.140625" style="2"/>
    <col min="42" max="42" width="9.5703125" style="2" bestFit="1" customWidth="1"/>
    <col min="43" max="47" width="9.140625" style="2"/>
    <col min="48" max="48" width="9.5703125" style="2" bestFit="1" customWidth="1"/>
    <col min="49" max="58" width="9.140625" style="2"/>
    <col min="59" max="60" width="9.7109375" style="2" bestFit="1" customWidth="1"/>
    <col min="61" max="61" width="9.140625" style="2"/>
    <col min="62" max="62" width="9.7109375" style="2" bestFit="1" customWidth="1"/>
    <col min="63" max="16384" width="9.140625" style="2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15</v>
      </c>
      <c r="M1" s="22" t="s">
        <v>35</v>
      </c>
      <c r="N1" s="16" t="s">
        <v>16</v>
      </c>
      <c r="O1" s="1" t="s">
        <v>59</v>
      </c>
      <c r="P1" s="1" t="s">
        <v>18</v>
      </c>
      <c r="Q1" s="1" t="s">
        <v>20</v>
      </c>
      <c r="R1" s="1" t="s">
        <v>21</v>
      </c>
      <c r="S1" s="1" t="s">
        <v>49</v>
      </c>
      <c r="T1" s="1" t="s">
        <v>31</v>
      </c>
      <c r="U1" s="1" t="s">
        <v>19</v>
      </c>
      <c r="V1" s="1" t="s">
        <v>29</v>
      </c>
      <c r="W1" s="1" t="s">
        <v>30</v>
      </c>
      <c r="X1" s="1" t="s">
        <v>26</v>
      </c>
      <c r="Y1" s="1" t="s">
        <v>27</v>
      </c>
      <c r="Z1" s="22" t="s">
        <v>68</v>
      </c>
      <c r="AA1" s="1" t="s">
        <v>42</v>
      </c>
      <c r="AB1" s="1" t="s">
        <v>43</v>
      </c>
      <c r="AC1" s="1" t="s">
        <v>22</v>
      </c>
      <c r="AD1" s="22" t="s">
        <v>69</v>
      </c>
      <c r="AE1" s="1" t="s">
        <v>17</v>
      </c>
      <c r="AF1" s="22" t="s">
        <v>70</v>
      </c>
      <c r="AG1" s="1" t="s">
        <v>32</v>
      </c>
      <c r="AH1" s="22" t="s">
        <v>62</v>
      </c>
      <c r="AI1" s="1" t="s">
        <v>61</v>
      </c>
      <c r="AJ1" s="1" t="s">
        <v>23</v>
      </c>
      <c r="AK1" s="22" t="s">
        <v>64</v>
      </c>
      <c r="AL1" s="22" t="s">
        <v>71</v>
      </c>
      <c r="AM1" s="22" t="s">
        <v>66</v>
      </c>
      <c r="AN1" s="1" t="s">
        <v>24</v>
      </c>
      <c r="AO1" s="22" t="s">
        <v>67</v>
      </c>
      <c r="AP1" s="22" t="s">
        <v>65</v>
      </c>
      <c r="AQ1" s="1" t="s">
        <v>25</v>
      </c>
      <c r="AR1" s="1" t="s">
        <v>28</v>
      </c>
      <c r="AS1" s="1" t="s">
        <v>46</v>
      </c>
      <c r="AT1" s="1" t="s">
        <v>34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44</v>
      </c>
      <c r="AZ1" s="1" t="s">
        <v>45</v>
      </c>
      <c r="BA1" s="1" t="s">
        <v>47</v>
      </c>
      <c r="BB1" s="1" t="s">
        <v>48</v>
      </c>
      <c r="BC1" s="1" t="s">
        <v>50</v>
      </c>
    </row>
    <row r="2" spans="1:60" x14ac:dyDescent="0.25">
      <c r="A2" s="3" t="s">
        <v>0</v>
      </c>
    </row>
    <row r="4" spans="1:60" x14ac:dyDescent="0.25">
      <c r="A4" s="1" t="s">
        <v>1</v>
      </c>
      <c r="B4" s="2">
        <v>0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27588</v>
      </c>
      <c r="L4" s="2">
        <v>7500</v>
      </c>
      <c r="M4" s="2">
        <v>0</v>
      </c>
      <c r="N4" s="2">
        <v>8000</v>
      </c>
      <c r="O4" s="2">
        <v>7613</v>
      </c>
      <c r="P4" s="2">
        <v>8500</v>
      </c>
      <c r="Q4" s="2">
        <v>10452</v>
      </c>
      <c r="R4" s="2">
        <f>44065/2</f>
        <v>22032.5</v>
      </c>
      <c r="S4" s="2">
        <v>11500</v>
      </c>
      <c r="T4" s="2">
        <v>2500</v>
      </c>
      <c r="U4" s="2">
        <v>8000</v>
      </c>
      <c r="V4" s="19">
        <v>5833</v>
      </c>
      <c r="W4" s="18">
        <v>10452</v>
      </c>
      <c r="X4" s="2">
        <v>10500</v>
      </c>
      <c r="Y4" s="2">
        <v>20000</v>
      </c>
      <c r="Z4" s="2">
        <v>0</v>
      </c>
      <c r="AA4" s="2">
        <v>0</v>
      </c>
      <c r="AB4" s="2">
        <v>0</v>
      </c>
      <c r="AC4" s="2">
        <v>20532</v>
      </c>
      <c r="AD4" s="2">
        <v>0</v>
      </c>
      <c r="AE4" s="2">
        <v>0</v>
      </c>
      <c r="AF4" s="2">
        <v>0</v>
      </c>
      <c r="AG4" s="2">
        <v>0</v>
      </c>
      <c r="AH4" s="10">
        <v>0</v>
      </c>
      <c r="AI4" s="2">
        <v>0</v>
      </c>
      <c r="AL4" s="2">
        <v>0</v>
      </c>
      <c r="AM4" s="2">
        <v>0</v>
      </c>
      <c r="AN4" s="2">
        <v>0</v>
      </c>
      <c r="AO4" s="2">
        <v>0</v>
      </c>
      <c r="AQ4" s="2">
        <v>28839</v>
      </c>
      <c r="AR4" s="2">
        <v>0</v>
      </c>
      <c r="AS4" s="2">
        <v>0</v>
      </c>
      <c r="AT4" s="2">
        <v>7226</v>
      </c>
      <c r="AU4" s="2">
        <v>8500</v>
      </c>
      <c r="AV4" s="2">
        <v>10396</v>
      </c>
      <c r="AW4" s="2">
        <v>7742</v>
      </c>
      <c r="AX4" s="2">
        <v>8258</v>
      </c>
      <c r="AY4" s="2">
        <v>0</v>
      </c>
      <c r="AZ4" s="2">
        <v>0</v>
      </c>
      <c r="BA4" s="2">
        <v>7742</v>
      </c>
      <c r="BB4" s="2">
        <v>8000</v>
      </c>
      <c r="BC4" s="2">
        <v>8000</v>
      </c>
    </row>
    <row r="5" spans="1:60" x14ac:dyDescent="0.25">
      <c r="A5" s="1" t="s">
        <v>2</v>
      </c>
      <c r="B5" s="2">
        <f>576972+65250</f>
        <v>642222</v>
      </c>
      <c r="C5" s="2">
        <v>181565</v>
      </c>
      <c r="D5" s="2">
        <v>89600</v>
      </c>
      <c r="E5" s="2">
        <v>0</v>
      </c>
      <c r="F5" s="2">
        <v>0</v>
      </c>
      <c r="G5" s="2">
        <v>115560</v>
      </c>
      <c r="H5" s="2">
        <v>73600</v>
      </c>
      <c r="I5" s="2">
        <v>12823</v>
      </c>
      <c r="J5" s="2">
        <v>19040</v>
      </c>
      <c r="K5" s="2">
        <f>(387500/25)*30</f>
        <v>465000</v>
      </c>
      <c r="L5" s="2">
        <f>(223722/25)*30</f>
        <v>268466.39999999997</v>
      </c>
      <c r="M5" s="2">
        <f>(33888/25)*30</f>
        <v>40665.599999999999</v>
      </c>
      <c r="N5" s="2">
        <f>(136067/25)*30</f>
        <v>163280.40000000002</v>
      </c>
      <c r="O5" s="2">
        <f>(128033/25)*30</f>
        <v>153639.59999999998</v>
      </c>
      <c r="P5" s="2">
        <f>(131000/25)*30</f>
        <v>157200</v>
      </c>
      <c r="Q5" s="2">
        <v>550725</v>
      </c>
      <c r="R5" s="2">
        <v>1441298</v>
      </c>
      <c r="S5" s="2">
        <f>477658+7467+44400</f>
        <v>529525</v>
      </c>
      <c r="T5" s="2">
        <v>350922</v>
      </c>
      <c r="U5" s="2">
        <v>70800</v>
      </c>
      <c r="V5" s="10">
        <v>318278</v>
      </c>
      <c r="W5" s="2">
        <v>340420</v>
      </c>
      <c r="X5" s="2">
        <v>333384</v>
      </c>
      <c r="Y5" s="2">
        <v>850100</v>
      </c>
      <c r="Z5" s="2">
        <v>122338</v>
      </c>
      <c r="AA5" s="2">
        <f>(36933/25)*30</f>
        <v>44319.6</v>
      </c>
      <c r="AB5" s="2">
        <f>(44600/25)*30</f>
        <v>53520</v>
      </c>
      <c r="AC5" s="2">
        <v>773040</v>
      </c>
      <c r="AD5" s="2">
        <f>(35122/25/2)*30</f>
        <v>21073.200000000001</v>
      </c>
      <c r="AE5" s="2">
        <f>(73750/25)*30</f>
        <v>88500</v>
      </c>
      <c r="AF5" s="2">
        <f>(84840/25)*30</f>
        <v>101808</v>
      </c>
      <c r="AG5" s="2">
        <f>(106148/25)*30</f>
        <v>127377.60000000001</v>
      </c>
      <c r="AH5" s="2">
        <f>287077+404400</f>
        <v>691477</v>
      </c>
      <c r="AI5" s="2">
        <v>124200</v>
      </c>
      <c r="AL5" s="2">
        <v>0</v>
      </c>
      <c r="AM5" s="2">
        <v>0</v>
      </c>
      <c r="AN5" s="2">
        <v>0</v>
      </c>
      <c r="AO5" s="2">
        <v>0</v>
      </c>
      <c r="AQ5" s="2">
        <f>594581+327249</f>
        <v>921830</v>
      </c>
      <c r="AR5" s="2">
        <v>108399</v>
      </c>
      <c r="AS5" s="2">
        <v>64000</v>
      </c>
      <c r="AT5" s="2">
        <v>100600</v>
      </c>
      <c r="AU5" s="2">
        <v>241340</v>
      </c>
      <c r="AV5" s="2">
        <v>156576</v>
      </c>
      <c r="AW5" s="2">
        <f>(108663/25)*30</f>
        <v>130395.6</v>
      </c>
      <c r="AX5" s="2">
        <v>110360</v>
      </c>
      <c r="AY5" s="2">
        <v>0</v>
      </c>
      <c r="AZ5" s="2">
        <v>46100</v>
      </c>
      <c r="BA5" s="2">
        <v>101600</v>
      </c>
      <c r="BB5" s="2">
        <v>87120</v>
      </c>
      <c r="BC5" s="2">
        <v>126000</v>
      </c>
    </row>
    <row r="6" spans="1:60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41226</v>
      </c>
      <c r="R6" s="2">
        <v>107419</v>
      </c>
      <c r="S6" s="2">
        <v>67541</v>
      </c>
      <c r="T6" s="2">
        <v>90500</v>
      </c>
      <c r="U6" s="2">
        <v>0</v>
      </c>
      <c r="V6" s="2">
        <v>19603</v>
      </c>
      <c r="W6" s="2">
        <v>54440</v>
      </c>
      <c r="X6" s="2">
        <v>17000</v>
      </c>
      <c r="Y6" s="14">
        <v>139272</v>
      </c>
      <c r="Z6" s="2">
        <v>0</v>
      </c>
      <c r="AA6" s="2">
        <v>0</v>
      </c>
      <c r="AB6" s="2">
        <v>0</v>
      </c>
      <c r="AC6" s="2">
        <f>594400+325880+485000</f>
        <v>1405280</v>
      </c>
      <c r="AD6" s="2">
        <v>22000</v>
      </c>
      <c r="AE6" s="2">
        <v>0</v>
      </c>
      <c r="AF6" s="2">
        <v>0</v>
      </c>
      <c r="AG6" s="2">
        <v>0</v>
      </c>
      <c r="AH6" s="2">
        <f>98000+102000+124000+15000</f>
        <v>339000</v>
      </c>
      <c r="AI6" s="2">
        <v>695048</v>
      </c>
      <c r="AL6" s="2">
        <v>0</v>
      </c>
      <c r="AM6" s="2">
        <v>0</v>
      </c>
      <c r="AN6" s="2">
        <v>0</v>
      </c>
      <c r="AO6" s="2">
        <v>0</v>
      </c>
      <c r="AQ6" s="2">
        <v>121891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60" x14ac:dyDescent="0.25">
      <c r="A7" s="5" t="s">
        <v>4</v>
      </c>
      <c r="B7" s="5">
        <f t="shared" ref="B7:AI7" si="0">SUM(B4:B6)</f>
        <v>642222</v>
      </c>
      <c r="C7" s="5">
        <f t="shared" si="0"/>
        <v>189565</v>
      </c>
      <c r="D7" s="5">
        <f t="shared" si="0"/>
        <v>98890</v>
      </c>
      <c r="E7" s="9">
        <f t="shared" si="0"/>
        <v>0</v>
      </c>
      <c r="F7" s="9">
        <f t="shared" si="0"/>
        <v>0</v>
      </c>
      <c r="G7" s="9">
        <f t="shared" si="0"/>
        <v>122560</v>
      </c>
      <c r="H7" s="9">
        <f t="shared" si="0"/>
        <v>73600</v>
      </c>
      <c r="I7" s="9">
        <f t="shared" si="0"/>
        <v>12823</v>
      </c>
      <c r="J7" s="9">
        <f t="shared" si="0"/>
        <v>19040</v>
      </c>
      <c r="K7" s="5">
        <f t="shared" si="0"/>
        <v>492588</v>
      </c>
      <c r="L7" s="5">
        <f t="shared" si="0"/>
        <v>275966.39999999997</v>
      </c>
      <c r="M7" s="5">
        <f t="shared" si="0"/>
        <v>40665.599999999999</v>
      </c>
      <c r="N7" s="5">
        <f t="shared" si="0"/>
        <v>171280.40000000002</v>
      </c>
      <c r="O7" s="5">
        <f t="shared" si="0"/>
        <v>161252.59999999998</v>
      </c>
      <c r="P7" s="5">
        <f t="shared" si="0"/>
        <v>165700</v>
      </c>
      <c r="Q7" s="5">
        <f t="shared" si="0"/>
        <v>602403</v>
      </c>
      <c r="R7" s="5">
        <f t="shared" si="0"/>
        <v>1570749.5</v>
      </c>
      <c r="S7" s="5">
        <f t="shared" si="0"/>
        <v>608566</v>
      </c>
      <c r="T7" s="5">
        <f t="shared" si="0"/>
        <v>443922</v>
      </c>
      <c r="U7" s="5">
        <f t="shared" si="0"/>
        <v>78800</v>
      </c>
      <c r="V7" s="5">
        <f t="shared" si="0"/>
        <v>343714</v>
      </c>
      <c r="W7" s="5">
        <f t="shared" si="0"/>
        <v>405312</v>
      </c>
      <c r="X7" s="5">
        <f t="shared" si="0"/>
        <v>360884</v>
      </c>
      <c r="Y7" s="5">
        <f t="shared" si="0"/>
        <v>1009372</v>
      </c>
      <c r="Z7" s="5">
        <f t="shared" si="0"/>
        <v>122338</v>
      </c>
      <c r="AA7" s="5">
        <f t="shared" si="0"/>
        <v>44319.6</v>
      </c>
      <c r="AB7" s="5">
        <f t="shared" si="0"/>
        <v>53520</v>
      </c>
      <c r="AC7" s="5">
        <f t="shared" si="0"/>
        <v>2198852</v>
      </c>
      <c r="AD7" s="5">
        <f t="shared" si="0"/>
        <v>43073.2</v>
      </c>
      <c r="AE7" s="5">
        <f t="shared" si="0"/>
        <v>88500</v>
      </c>
      <c r="AF7" s="5">
        <f t="shared" si="0"/>
        <v>101808</v>
      </c>
      <c r="AG7" s="5">
        <f t="shared" si="0"/>
        <v>127377.60000000001</v>
      </c>
      <c r="AH7" s="5">
        <f t="shared" si="0"/>
        <v>1030477</v>
      </c>
      <c r="AI7" s="9">
        <f t="shared" si="0"/>
        <v>819248</v>
      </c>
      <c r="AL7" s="5">
        <f>SUM(AL4:AL6)</f>
        <v>0</v>
      </c>
      <c r="AM7" s="5">
        <f>SUM(AM4:AM6)</f>
        <v>0</v>
      </c>
      <c r="AN7" s="5">
        <f>SUM(AN4:AN6)</f>
        <v>0</v>
      </c>
      <c r="AO7" s="5">
        <f>SUM(AO4:AO6)</f>
        <v>0</v>
      </c>
      <c r="AQ7" s="5">
        <f t="shared" ref="AQ7:BC7" si="1">SUM(AQ4:AQ6)</f>
        <v>1072560</v>
      </c>
      <c r="AR7" s="5">
        <f t="shared" si="1"/>
        <v>108399</v>
      </c>
      <c r="AS7" s="5">
        <f t="shared" si="1"/>
        <v>64000</v>
      </c>
      <c r="AT7" s="5">
        <f t="shared" si="1"/>
        <v>107826</v>
      </c>
      <c r="AU7" s="5">
        <f t="shared" si="1"/>
        <v>249840</v>
      </c>
      <c r="AV7" s="5">
        <f t="shared" si="1"/>
        <v>166972</v>
      </c>
      <c r="AW7" s="5">
        <f t="shared" si="1"/>
        <v>138137.60000000001</v>
      </c>
      <c r="AX7" s="5">
        <f t="shared" si="1"/>
        <v>118618</v>
      </c>
      <c r="AY7" s="5">
        <f t="shared" si="1"/>
        <v>0</v>
      </c>
      <c r="AZ7" s="5">
        <f t="shared" si="1"/>
        <v>46100</v>
      </c>
      <c r="BA7" s="5">
        <f t="shared" si="1"/>
        <v>109342</v>
      </c>
      <c r="BB7" s="5">
        <f t="shared" si="1"/>
        <v>95120</v>
      </c>
      <c r="BC7" s="5">
        <f t="shared" si="1"/>
        <v>134000</v>
      </c>
      <c r="BD7" s="4"/>
      <c r="BH7" s="7"/>
    </row>
    <row r="8" spans="1:60" x14ac:dyDescent="0.25">
      <c r="A8" s="6"/>
      <c r="B8" s="6"/>
      <c r="C8" s="6"/>
      <c r="E8" s="6"/>
      <c r="F8" s="6"/>
      <c r="G8" s="6"/>
      <c r="K8" s="15"/>
      <c r="R8" s="4"/>
      <c r="S8" s="4"/>
      <c r="Y8" s="4"/>
      <c r="Z8" s="4"/>
      <c r="AC8" s="4"/>
      <c r="AR8" s="4"/>
      <c r="AU8" s="11"/>
    </row>
    <row r="9" spans="1:60" x14ac:dyDescent="0.25">
      <c r="A9" s="3" t="s">
        <v>5</v>
      </c>
    </row>
    <row r="10" spans="1:60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7500</v>
      </c>
      <c r="M10" s="2">
        <v>0</v>
      </c>
      <c r="N10" s="2">
        <v>8000</v>
      </c>
      <c r="O10" s="2">
        <v>8000</v>
      </c>
      <c r="P10" s="2">
        <v>8500</v>
      </c>
      <c r="Q10" s="2">
        <v>10452</v>
      </c>
      <c r="R10" s="2">
        <v>10000</v>
      </c>
      <c r="S10" s="2">
        <v>8000</v>
      </c>
      <c r="T10" s="2">
        <v>2500</v>
      </c>
      <c r="U10" s="2">
        <v>13000</v>
      </c>
      <c r="V10" s="2">
        <v>10452</v>
      </c>
      <c r="W10" s="2">
        <v>10452</v>
      </c>
      <c r="X10" s="2">
        <v>10000</v>
      </c>
      <c r="Y10" s="2">
        <v>0</v>
      </c>
      <c r="Z10" s="2">
        <v>0</v>
      </c>
      <c r="AA10" s="2">
        <v>0</v>
      </c>
      <c r="AB10" s="2">
        <v>0</v>
      </c>
      <c r="AC10" s="2">
        <v>10000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L10" s="2">
        <v>0</v>
      </c>
      <c r="AM10" s="2">
        <v>0</v>
      </c>
      <c r="AN10" s="2">
        <v>0</v>
      </c>
      <c r="AO10" s="2">
        <v>0</v>
      </c>
      <c r="AQ10" s="2">
        <v>10000</v>
      </c>
      <c r="AR10" s="2">
        <v>0</v>
      </c>
      <c r="AS10" s="2">
        <v>0</v>
      </c>
      <c r="AT10" s="2">
        <v>7000</v>
      </c>
      <c r="AU10" s="2">
        <v>8500</v>
      </c>
      <c r="AV10" s="2">
        <v>11782</v>
      </c>
      <c r="AW10" s="2">
        <v>8000</v>
      </c>
      <c r="AX10" s="2">
        <v>8000</v>
      </c>
      <c r="AY10" s="2">
        <v>0</v>
      </c>
      <c r="AZ10" s="2">
        <v>0</v>
      </c>
      <c r="BA10" s="2">
        <v>7742</v>
      </c>
      <c r="BB10" s="2">
        <v>4645</v>
      </c>
      <c r="BC10" s="2">
        <v>0</v>
      </c>
    </row>
    <row r="11" spans="1:60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17500</v>
      </c>
      <c r="M11" s="2">
        <v>8000</v>
      </c>
      <c r="N11" s="2">
        <v>18000</v>
      </c>
      <c r="O11" s="2">
        <v>21000</v>
      </c>
      <c r="P11" s="2">
        <v>16000</v>
      </c>
      <c r="Q11" s="2">
        <v>21000</v>
      </c>
      <c r="R11" s="2">
        <v>21000</v>
      </c>
      <c r="S11" s="2">
        <v>21000</v>
      </c>
      <c r="T11" s="2">
        <v>22000</v>
      </c>
      <c r="U11" s="2">
        <v>17500</v>
      </c>
      <c r="V11" s="2">
        <v>22000</v>
      </c>
      <c r="W11" s="2">
        <v>19000</v>
      </c>
      <c r="X11" s="2">
        <v>22000</v>
      </c>
      <c r="Y11" s="2">
        <v>20000</v>
      </c>
      <c r="Z11" s="2">
        <v>12000</v>
      </c>
      <c r="AA11" s="2">
        <v>8000</v>
      </c>
      <c r="AB11" s="2">
        <v>8000</v>
      </c>
      <c r="AC11" s="2">
        <v>20000</v>
      </c>
      <c r="AD11" s="2">
        <v>6500</v>
      </c>
      <c r="AE11" s="2">
        <v>14500</v>
      </c>
      <c r="AF11" s="2">
        <v>10000</v>
      </c>
      <c r="AG11" s="2">
        <v>12200</v>
      </c>
      <c r="AH11" s="2">
        <v>17200</v>
      </c>
      <c r="AI11" s="2">
        <v>15000</v>
      </c>
      <c r="AL11" s="2">
        <v>0</v>
      </c>
      <c r="AM11" s="2">
        <v>0</v>
      </c>
      <c r="AN11" s="2">
        <v>0</v>
      </c>
      <c r="AO11" s="2">
        <v>0</v>
      </c>
      <c r="AQ11" s="2">
        <v>20000</v>
      </c>
      <c r="AR11" s="2">
        <v>10000</v>
      </c>
      <c r="AS11" s="2">
        <v>12000</v>
      </c>
      <c r="AT11" s="2">
        <v>14000</v>
      </c>
      <c r="AU11" s="2">
        <v>18000</v>
      </c>
      <c r="AV11" s="2">
        <v>16000</v>
      </c>
      <c r="AW11" s="2">
        <v>18000</v>
      </c>
      <c r="AX11" s="2">
        <v>16000</v>
      </c>
      <c r="AY11" s="2">
        <v>12500</v>
      </c>
      <c r="AZ11" s="2">
        <v>15000</v>
      </c>
      <c r="BA11" s="2">
        <v>18000</v>
      </c>
      <c r="BB11" s="2">
        <v>16500</v>
      </c>
      <c r="BC11" s="2">
        <v>18000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41226</v>
      </c>
      <c r="R12" s="2">
        <v>24000</v>
      </c>
      <c r="S12" s="2">
        <v>24000</v>
      </c>
      <c r="T12" s="2">
        <v>48000</v>
      </c>
      <c r="U12" s="2">
        <v>24000</v>
      </c>
      <c r="V12" s="2">
        <v>19603</v>
      </c>
      <c r="W12" s="2">
        <v>20600</v>
      </c>
      <c r="X12" s="2">
        <v>51600</v>
      </c>
      <c r="Y12" s="2">
        <v>50000</v>
      </c>
      <c r="Z12" s="2">
        <v>0</v>
      </c>
      <c r="AA12" s="2">
        <v>0</v>
      </c>
      <c r="AB12" s="2">
        <v>0</v>
      </c>
      <c r="AC12" s="2">
        <v>56000</v>
      </c>
      <c r="AD12" s="2">
        <v>0</v>
      </c>
      <c r="AE12" s="2">
        <v>0</v>
      </c>
      <c r="AF12" s="2">
        <v>0</v>
      </c>
      <c r="AG12" s="2">
        <v>0</v>
      </c>
      <c r="AH12" s="2">
        <v>46200</v>
      </c>
      <c r="AI12" s="2">
        <v>0</v>
      </c>
      <c r="AL12" s="2">
        <v>0</v>
      </c>
      <c r="AM12" s="2">
        <v>0</v>
      </c>
      <c r="AN12" s="2">
        <v>0</v>
      </c>
      <c r="AO12" s="2">
        <v>0</v>
      </c>
      <c r="AQ12" s="2">
        <v>40000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4" spans="1:60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6.7612499999999995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8.4554838709677416</v>
      </c>
      <c r="H14" s="4">
        <f t="shared" ref="H14" si="6">SUM(H15:H17)</f>
        <v>7.4592074592074589</v>
      </c>
      <c r="I14" s="4">
        <f t="shared" ref="I14" si="7">SUM(I15:I17)</f>
        <v>1.602875</v>
      </c>
      <c r="J14" s="4">
        <f t="shared" ref="J14" si="8">SUM(J15:J17)</f>
        <v>1.9039999999999999</v>
      </c>
      <c r="K14" s="4">
        <f t="shared" ref="K14" si="9">SUM(K15:K17)</f>
        <v>34.065333333333335</v>
      </c>
      <c r="L14" s="4">
        <f t="shared" ref="L14" si="10">SUM(L15:L17)</f>
        <v>16.340937142857143</v>
      </c>
      <c r="M14" s="4">
        <f t="shared" ref="M14" si="11">SUM(M15:M17)</f>
        <v>5.0831999999999997</v>
      </c>
      <c r="N14" s="4">
        <f t="shared" ref="N14" si="12">SUM(N15:N17)</f>
        <v>10.071133333333334</v>
      </c>
      <c r="O14" s="4">
        <f t="shared" ref="O14" si="13">SUM(O15:O17)</f>
        <v>8.2677964285714278</v>
      </c>
      <c r="P14" s="4">
        <f t="shared" ref="P14" si="14">SUM(P15:P17)</f>
        <v>10.824999999999999</v>
      </c>
      <c r="Q14" s="4">
        <f t="shared" ref="Q14" si="15">SUM(Q15:Q17)</f>
        <v>28.225000000000001</v>
      </c>
      <c r="R14" s="4">
        <f t="shared" ref="R14" si="16">SUM(R15:R17)</f>
        <v>75.312279761904762</v>
      </c>
      <c r="S14" s="4">
        <f t="shared" ref="S14" si="17">SUM(S15:S17)</f>
        <v>29.467184523809525</v>
      </c>
      <c r="T14" s="4">
        <f t="shared" ref="T14" si="18">SUM(T15:T17)</f>
        <v>18.836416666666668</v>
      </c>
      <c r="U14" s="4">
        <f t="shared" ref="U14" si="19">SUM(U15:U17)</f>
        <v>4.6610989010989012</v>
      </c>
      <c r="V14" s="4">
        <f t="shared" ref="V14" si="20">SUM(V15:V17)</f>
        <v>16.025256827749367</v>
      </c>
      <c r="W14" s="4">
        <f t="shared" ref="W14" si="21">SUM(W15:W17)</f>
        <v>21.559560551865097</v>
      </c>
      <c r="X14" s="4">
        <f t="shared" ref="X14" si="22">SUM(X15:X17)</f>
        <v>16.533275546159267</v>
      </c>
      <c r="Y14" s="4">
        <f t="shared" ref="Y14" si="23">SUM(Y15:Y17)</f>
        <v>45.290440000000004</v>
      </c>
      <c r="Z14" s="4">
        <f t="shared" ref="Z14" si="24">SUM(Z15:Z17)</f>
        <v>10.194833333333333</v>
      </c>
      <c r="AA14" s="4">
        <f t="shared" ref="AA14" si="25">SUM(AA15:AA17)</f>
        <v>5.5399500000000002</v>
      </c>
      <c r="AB14" s="4">
        <f t="shared" ref="AB14" si="26">SUM(AB15:AB17)</f>
        <v>6.69</v>
      </c>
      <c r="AC14" s="4">
        <f t="shared" ref="AC14" si="27">SUM(AC15:AC17)</f>
        <v>65.799485714285709</v>
      </c>
      <c r="AD14" s="4">
        <f t="shared" ref="AD14" si="28">SUM(AD15:AD17)</f>
        <v>3.2420307692307695</v>
      </c>
      <c r="AE14" s="4">
        <f t="shared" ref="AE14" si="29">SUM(AE15:AE17)</f>
        <v>6.1034482758620694</v>
      </c>
      <c r="AF14" s="4">
        <f t="shared" ref="AF14" si="30">SUM(AF15:AF17)</f>
        <v>10.1808</v>
      </c>
      <c r="AG14" s="4">
        <f t="shared" ref="AG14" si="31">SUM(AG15:AG17)</f>
        <v>10.440786885245902</v>
      </c>
      <c r="AH14" s="4">
        <f t="shared" ref="AH14" si="32">SUM(AH15:AH17)</f>
        <v>47.539813500453036</v>
      </c>
      <c r="AI14" s="4">
        <f t="shared" ref="AI14" si="33">SUM(AI15:AI17)</f>
        <v>8.2799999999999994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52.022675</v>
      </c>
      <c r="AR14" s="4">
        <f t="shared" ref="AR14" si="42">SUM(AR15:AR17)</f>
        <v>10.8399</v>
      </c>
      <c r="AS14" s="4">
        <f t="shared" ref="AS14" si="43">SUM(AS15:AS17)</f>
        <v>5.333333333333333</v>
      </c>
      <c r="AT14" s="4">
        <f t="shared" ref="AT14" si="44">SUM(AT15:AT17)</f>
        <v>8.218</v>
      </c>
      <c r="AU14" s="4">
        <f t="shared" ref="AU14" si="45">SUM(AU15:AU17)</f>
        <v>14.407777777777778</v>
      </c>
      <c r="AV14" s="4">
        <f t="shared" ref="AV14" si="46">SUM(AV15:AV17)</f>
        <v>10.668362926498048</v>
      </c>
      <c r="AW14" s="4">
        <f t="shared" ref="AW14" si="47">SUM(AW15:AW17)</f>
        <v>8.2119499999999999</v>
      </c>
      <c r="AX14" s="4">
        <f t="shared" ref="AX14" si="48">SUM(AX15:AX17)</f>
        <v>7.9297500000000003</v>
      </c>
      <c r="AY14" s="4">
        <f t="shared" ref="AY14" si="49">SUM(AY15:AY17)</f>
        <v>0</v>
      </c>
      <c r="AZ14" s="4">
        <f t="shared" ref="AZ14" si="50">SUM(AZ15:AZ17)</f>
        <v>3.0733333333333333</v>
      </c>
      <c r="BA14" s="4">
        <f t="shared" ref="BA14" si="51">SUM(BA15:BA17)</f>
        <v>6.6444444444444448</v>
      </c>
      <c r="BB14" s="4">
        <f t="shared" ref="BB14" si="52">SUM(BB15:BB17)</f>
        <v>7.0022820236813779</v>
      </c>
      <c r="BC14" s="4">
        <f t="shared" ref="BC14" si="53">SUM(BC15:BC17)</f>
        <v>7</v>
      </c>
    </row>
    <row r="15" spans="1:60" x14ac:dyDescent="0.25">
      <c r="A15" s="1" t="s">
        <v>72</v>
      </c>
      <c r="B15" s="4">
        <f>IFERROR(B4/B10,0)</f>
        <v>0</v>
      </c>
      <c r="C15" s="4">
        <f t="shared" ref="C15:E15" si="54">IFERROR(C4/C10,0)</f>
        <v>1.0666666666666667</v>
      </c>
      <c r="D15" s="4">
        <f t="shared" si="54"/>
        <v>1.1612499999999999</v>
      </c>
      <c r="E15" s="4">
        <f t="shared" si="54"/>
        <v>0</v>
      </c>
      <c r="F15" s="4">
        <f t="shared" ref="F15:M15" si="55">IFERROR(F4/F10,0)</f>
        <v>0</v>
      </c>
      <c r="G15" s="4">
        <f t="shared" si="55"/>
        <v>1</v>
      </c>
      <c r="H15" s="4">
        <f t="shared" si="55"/>
        <v>0</v>
      </c>
      <c r="I15" s="4">
        <f t="shared" si="55"/>
        <v>0</v>
      </c>
      <c r="J15" s="4">
        <f t="shared" si="55"/>
        <v>0</v>
      </c>
      <c r="K15" s="4">
        <f t="shared" si="55"/>
        <v>3.0653333333333332</v>
      </c>
      <c r="L15" s="4">
        <f t="shared" si="55"/>
        <v>1</v>
      </c>
      <c r="M15" s="4">
        <f t="shared" si="55"/>
        <v>0</v>
      </c>
      <c r="N15" s="4">
        <f t="shared" ref="N15:AF15" si="56">IFERROR(N4/N10,0)</f>
        <v>1</v>
      </c>
      <c r="O15" s="4">
        <f t="shared" si="56"/>
        <v>0.95162500000000005</v>
      </c>
      <c r="P15" s="4">
        <f t="shared" si="56"/>
        <v>1</v>
      </c>
      <c r="Q15" s="4">
        <f t="shared" si="56"/>
        <v>1</v>
      </c>
      <c r="R15" s="4">
        <f t="shared" si="56"/>
        <v>2.2032500000000002</v>
      </c>
      <c r="S15" s="4">
        <f t="shared" si="56"/>
        <v>1.4375</v>
      </c>
      <c r="T15" s="4">
        <f t="shared" si="56"/>
        <v>1</v>
      </c>
      <c r="U15" s="4">
        <f t="shared" si="56"/>
        <v>0.61538461538461542</v>
      </c>
      <c r="V15" s="4">
        <f t="shared" si="56"/>
        <v>0.55807500956754685</v>
      </c>
      <c r="W15" s="4">
        <f t="shared" si="56"/>
        <v>1</v>
      </c>
      <c r="X15" s="4">
        <f t="shared" si="56"/>
        <v>1.05</v>
      </c>
      <c r="Y15" s="4">
        <f t="shared" si="56"/>
        <v>0</v>
      </c>
      <c r="Z15" s="4">
        <f t="shared" si="56"/>
        <v>0</v>
      </c>
      <c r="AA15" s="4">
        <f t="shared" si="56"/>
        <v>0</v>
      </c>
      <c r="AB15" s="4">
        <f t="shared" si="56"/>
        <v>0</v>
      </c>
      <c r="AC15" s="4">
        <f t="shared" si="56"/>
        <v>2.0531999999999999</v>
      </c>
      <c r="AD15" s="4">
        <f t="shared" si="56"/>
        <v>0</v>
      </c>
      <c r="AE15" s="4">
        <f t="shared" si="56"/>
        <v>0</v>
      </c>
      <c r="AF15" s="4">
        <f t="shared" si="56"/>
        <v>0</v>
      </c>
      <c r="AG15" s="4">
        <f t="shared" ref="AG15:BC15" si="57">IFERROR(AG4/AG10,0)</f>
        <v>0</v>
      </c>
      <c r="AH15" s="4">
        <f t="shared" si="57"/>
        <v>0</v>
      </c>
      <c r="AI15" s="4">
        <f t="shared" si="57"/>
        <v>0</v>
      </c>
      <c r="AJ15" s="4">
        <f t="shared" si="57"/>
        <v>0</v>
      </c>
      <c r="AK15" s="4">
        <f t="shared" si="57"/>
        <v>0</v>
      </c>
      <c r="AL15" s="4">
        <f t="shared" si="57"/>
        <v>0</v>
      </c>
      <c r="AM15" s="4">
        <f t="shared" si="57"/>
        <v>0</v>
      </c>
      <c r="AN15" s="4">
        <f t="shared" si="57"/>
        <v>0</v>
      </c>
      <c r="AO15" s="4">
        <f t="shared" si="57"/>
        <v>0</v>
      </c>
      <c r="AP15" s="4">
        <f t="shared" si="57"/>
        <v>0</v>
      </c>
      <c r="AQ15" s="4">
        <f t="shared" si="57"/>
        <v>2.8839000000000001</v>
      </c>
      <c r="AR15" s="4">
        <f t="shared" si="57"/>
        <v>0</v>
      </c>
      <c r="AS15" s="4">
        <f t="shared" si="57"/>
        <v>0</v>
      </c>
      <c r="AT15" s="4">
        <f t="shared" si="57"/>
        <v>1.0322857142857143</v>
      </c>
      <c r="AU15" s="4">
        <f t="shared" si="57"/>
        <v>1</v>
      </c>
      <c r="AV15" s="4">
        <f t="shared" si="57"/>
        <v>0.88236292649804782</v>
      </c>
      <c r="AW15" s="4">
        <f t="shared" si="57"/>
        <v>0.96775</v>
      </c>
      <c r="AX15" s="4">
        <f t="shared" si="57"/>
        <v>1.0322499999999999</v>
      </c>
      <c r="AY15" s="4">
        <f t="shared" si="57"/>
        <v>0</v>
      </c>
      <c r="AZ15" s="4">
        <f t="shared" si="57"/>
        <v>0</v>
      </c>
      <c r="BA15" s="4">
        <f t="shared" si="57"/>
        <v>1</v>
      </c>
      <c r="BB15" s="4">
        <f t="shared" si="57"/>
        <v>1.7222820236813778</v>
      </c>
      <c r="BC15" s="4">
        <f t="shared" si="57"/>
        <v>0</v>
      </c>
    </row>
    <row r="16" spans="1:60" x14ac:dyDescent="0.25">
      <c r="A16" s="1" t="s">
        <v>73</v>
      </c>
      <c r="B16" s="4">
        <f t="shared" ref="B16:D16" si="58">IFERROR(B5/B11,0)</f>
        <v>0</v>
      </c>
      <c r="C16" s="4">
        <f t="shared" si="58"/>
        <v>10.086944444444445</v>
      </c>
      <c r="D16" s="4">
        <f t="shared" si="58"/>
        <v>5.6</v>
      </c>
      <c r="E16" s="4">
        <f t="shared" ref="E16:L16" si="59">IFERROR(E5/E11,0)</f>
        <v>0</v>
      </c>
      <c r="F16" s="4">
        <f t="shared" si="59"/>
        <v>0</v>
      </c>
      <c r="G16" s="4">
        <f t="shared" si="59"/>
        <v>7.4554838709677416</v>
      </c>
      <c r="H16" s="4">
        <f t="shared" si="59"/>
        <v>7.4592074592074589</v>
      </c>
      <c r="I16" s="4">
        <f t="shared" si="59"/>
        <v>1.602875</v>
      </c>
      <c r="J16" s="4">
        <f t="shared" si="59"/>
        <v>1.9039999999999999</v>
      </c>
      <c r="K16" s="4">
        <f t="shared" si="59"/>
        <v>31</v>
      </c>
      <c r="L16" s="4">
        <f t="shared" si="59"/>
        <v>15.340937142857141</v>
      </c>
      <c r="M16" s="4">
        <f t="shared" ref="M16:AE16" si="60">IFERROR(M5/M11,0)</f>
        <v>5.0831999999999997</v>
      </c>
      <c r="N16" s="4">
        <f t="shared" si="60"/>
        <v>9.0711333333333339</v>
      </c>
      <c r="O16" s="4">
        <f t="shared" si="60"/>
        <v>7.3161714285714279</v>
      </c>
      <c r="P16" s="4">
        <f t="shared" si="60"/>
        <v>9.8249999999999993</v>
      </c>
      <c r="Q16" s="4">
        <f t="shared" si="60"/>
        <v>26.225000000000001</v>
      </c>
      <c r="R16" s="4">
        <f t="shared" si="60"/>
        <v>68.633238095238099</v>
      </c>
      <c r="S16" s="4">
        <f t="shared" si="60"/>
        <v>25.215476190476192</v>
      </c>
      <c r="T16" s="4">
        <f t="shared" si="60"/>
        <v>15.951000000000001</v>
      </c>
      <c r="U16" s="4">
        <f t="shared" si="60"/>
        <v>4.0457142857142854</v>
      </c>
      <c r="V16" s="4">
        <f t="shared" si="60"/>
        <v>14.467181818181817</v>
      </c>
      <c r="W16" s="4">
        <f t="shared" si="60"/>
        <v>17.916842105263157</v>
      </c>
      <c r="X16" s="4">
        <f t="shared" si="60"/>
        <v>15.153818181818181</v>
      </c>
      <c r="Y16" s="4">
        <f t="shared" si="60"/>
        <v>42.505000000000003</v>
      </c>
      <c r="Z16" s="4">
        <f t="shared" si="60"/>
        <v>10.194833333333333</v>
      </c>
      <c r="AA16" s="4">
        <f t="shared" si="60"/>
        <v>5.5399500000000002</v>
      </c>
      <c r="AB16" s="4">
        <f t="shared" si="60"/>
        <v>6.69</v>
      </c>
      <c r="AC16" s="4">
        <f t="shared" si="60"/>
        <v>38.652000000000001</v>
      </c>
      <c r="AD16" s="4">
        <f t="shared" si="60"/>
        <v>3.2420307692307695</v>
      </c>
      <c r="AE16" s="4">
        <f t="shared" si="60"/>
        <v>6.1034482758620694</v>
      </c>
      <c r="AF16" s="4">
        <f t="shared" ref="AF16:BC16" si="61">IFERROR(AF5/AF11,0)</f>
        <v>10.1808</v>
      </c>
      <c r="AG16" s="4">
        <f t="shared" si="61"/>
        <v>10.440786885245902</v>
      </c>
      <c r="AH16" s="4">
        <f t="shared" si="61"/>
        <v>40.202151162790699</v>
      </c>
      <c r="AI16" s="4">
        <f t="shared" si="61"/>
        <v>8.2799999999999994</v>
      </c>
      <c r="AJ16" s="4">
        <f t="shared" si="61"/>
        <v>0</v>
      </c>
      <c r="AK16" s="4">
        <f t="shared" si="61"/>
        <v>0</v>
      </c>
      <c r="AL16" s="4">
        <f t="shared" si="61"/>
        <v>0</v>
      </c>
      <c r="AM16" s="4">
        <f t="shared" si="61"/>
        <v>0</v>
      </c>
      <c r="AN16" s="4">
        <f t="shared" si="61"/>
        <v>0</v>
      </c>
      <c r="AO16" s="4">
        <f t="shared" si="61"/>
        <v>0</v>
      </c>
      <c r="AP16" s="4">
        <f t="shared" si="61"/>
        <v>0</v>
      </c>
      <c r="AQ16" s="4">
        <f t="shared" si="61"/>
        <v>46.091500000000003</v>
      </c>
      <c r="AR16" s="4">
        <f t="shared" si="61"/>
        <v>10.8399</v>
      </c>
      <c r="AS16" s="4">
        <f t="shared" si="61"/>
        <v>5.333333333333333</v>
      </c>
      <c r="AT16" s="4">
        <f t="shared" si="61"/>
        <v>7.1857142857142859</v>
      </c>
      <c r="AU16" s="4">
        <f t="shared" si="61"/>
        <v>13.407777777777778</v>
      </c>
      <c r="AV16" s="4">
        <f t="shared" si="61"/>
        <v>9.7859999999999996</v>
      </c>
      <c r="AW16" s="4">
        <f t="shared" si="61"/>
        <v>7.2442000000000002</v>
      </c>
      <c r="AX16" s="4">
        <f t="shared" si="61"/>
        <v>6.8975</v>
      </c>
      <c r="AY16" s="4">
        <f t="shared" si="61"/>
        <v>0</v>
      </c>
      <c r="AZ16" s="4">
        <f t="shared" si="61"/>
        <v>3.0733333333333333</v>
      </c>
      <c r="BA16" s="4">
        <f t="shared" si="61"/>
        <v>5.6444444444444448</v>
      </c>
      <c r="BB16" s="4">
        <f t="shared" si="61"/>
        <v>5.28</v>
      </c>
      <c r="BC16" s="4">
        <f t="shared" si="61"/>
        <v>7</v>
      </c>
    </row>
    <row r="17" spans="1:58" x14ac:dyDescent="0.25">
      <c r="A17" s="1" t="s">
        <v>74</v>
      </c>
      <c r="B17" s="4">
        <f t="shared" ref="B17:D17" si="62">IFERROR(B6/B12,0)</f>
        <v>0</v>
      </c>
      <c r="C17" s="4">
        <f t="shared" si="62"/>
        <v>0</v>
      </c>
      <c r="D17" s="4">
        <f t="shared" si="62"/>
        <v>0</v>
      </c>
      <c r="E17" s="4">
        <f t="shared" ref="E17:L17" si="63">IFERROR(E6/E12,0)</f>
        <v>0</v>
      </c>
      <c r="F17" s="4">
        <f t="shared" si="63"/>
        <v>0</v>
      </c>
      <c r="G17" s="4">
        <f t="shared" si="63"/>
        <v>0</v>
      </c>
      <c r="H17" s="4">
        <f t="shared" si="63"/>
        <v>0</v>
      </c>
      <c r="I17" s="4">
        <f t="shared" si="63"/>
        <v>0</v>
      </c>
      <c r="J17" s="4">
        <f t="shared" si="63"/>
        <v>0</v>
      </c>
      <c r="K17" s="4">
        <f t="shared" si="63"/>
        <v>0</v>
      </c>
      <c r="L17" s="4">
        <f t="shared" si="63"/>
        <v>0</v>
      </c>
      <c r="M17" s="4">
        <f t="shared" ref="M17:AE17" si="64">IFERROR(M6/M12,0)</f>
        <v>0</v>
      </c>
      <c r="N17" s="4">
        <f t="shared" si="64"/>
        <v>0</v>
      </c>
      <c r="O17" s="4">
        <f t="shared" si="64"/>
        <v>0</v>
      </c>
      <c r="P17" s="4">
        <f t="shared" si="64"/>
        <v>0</v>
      </c>
      <c r="Q17" s="4">
        <f t="shared" si="64"/>
        <v>1</v>
      </c>
      <c r="R17" s="4">
        <f t="shared" si="64"/>
        <v>4.4757916666666668</v>
      </c>
      <c r="S17" s="4">
        <f t="shared" si="64"/>
        <v>2.8142083333333332</v>
      </c>
      <c r="T17" s="4">
        <f t="shared" si="64"/>
        <v>1.8854166666666667</v>
      </c>
      <c r="U17" s="4">
        <f t="shared" si="64"/>
        <v>0</v>
      </c>
      <c r="V17" s="4">
        <f t="shared" si="64"/>
        <v>1</v>
      </c>
      <c r="W17" s="4">
        <f t="shared" si="64"/>
        <v>2.6427184466019416</v>
      </c>
      <c r="X17" s="4">
        <f t="shared" si="64"/>
        <v>0.32945736434108525</v>
      </c>
      <c r="Y17" s="4">
        <f t="shared" si="64"/>
        <v>2.7854399999999999</v>
      </c>
      <c r="Z17" s="4">
        <f t="shared" si="64"/>
        <v>0</v>
      </c>
      <c r="AA17" s="4">
        <f t="shared" si="64"/>
        <v>0</v>
      </c>
      <c r="AB17" s="4">
        <f t="shared" si="64"/>
        <v>0</v>
      </c>
      <c r="AC17" s="4">
        <f t="shared" si="64"/>
        <v>25.094285714285714</v>
      </c>
      <c r="AD17" s="4">
        <f t="shared" si="64"/>
        <v>0</v>
      </c>
      <c r="AE17" s="4">
        <f t="shared" si="64"/>
        <v>0</v>
      </c>
      <c r="AF17" s="4">
        <f t="shared" ref="AF17:BC17" si="65">IFERROR(AF6/AF12,0)</f>
        <v>0</v>
      </c>
      <c r="AG17" s="4">
        <f t="shared" si="65"/>
        <v>0</v>
      </c>
      <c r="AH17" s="4">
        <f t="shared" si="65"/>
        <v>7.337662337662338</v>
      </c>
      <c r="AI17" s="4">
        <f t="shared" si="65"/>
        <v>0</v>
      </c>
      <c r="AJ17" s="4">
        <f t="shared" si="65"/>
        <v>0</v>
      </c>
      <c r="AK17" s="4">
        <f t="shared" si="65"/>
        <v>0</v>
      </c>
      <c r="AL17" s="4">
        <f t="shared" si="65"/>
        <v>0</v>
      </c>
      <c r="AM17" s="4">
        <f t="shared" si="65"/>
        <v>0</v>
      </c>
      <c r="AN17" s="4">
        <f t="shared" si="65"/>
        <v>0</v>
      </c>
      <c r="AO17" s="4">
        <f t="shared" si="65"/>
        <v>0</v>
      </c>
      <c r="AP17" s="4">
        <f t="shared" si="65"/>
        <v>0</v>
      </c>
      <c r="AQ17" s="4">
        <f t="shared" si="65"/>
        <v>3.047275</v>
      </c>
      <c r="AR17" s="4">
        <f t="shared" si="65"/>
        <v>0</v>
      </c>
      <c r="AS17" s="4">
        <f t="shared" si="65"/>
        <v>0</v>
      </c>
      <c r="AT17" s="4">
        <f t="shared" si="65"/>
        <v>0</v>
      </c>
      <c r="AU17" s="4">
        <f t="shared" si="65"/>
        <v>0</v>
      </c>
      <c r="AV17" s="4">
        <f t="shared" si="65"/>
        <v>0</v>
      </c>
      <c r="AW17" s="4">
        <f t="shared" si="65"/>
        <v>0</v>
      </c>
      <c r="AX17" s="4">
        <f t="shared" si="65"/>
        <v>0</v>
      </c>
      <c r="AY17" s="4">
        <f t="shared" si="65"/>
        <v>0</v>
      </c>
      <c r="AZ17" s="4">
        <f t="shared" si="65"/>
        <v>0</v>
      </c>
      <c r="BA17" s="4">
        <f t="shared" si="65"/>
        <v>0</v>
      </c>
      <c r="BB17" s="4">
        <f t="shared" si="65"/>
        <v>0</v>
      </c>
      <c r="BC17" s="4">
        <f t="shared" si="65"/>
        <v>0</v>
      </c>
    </row>
    <row r="18" spans="1:58" x14ac:dyDescent="0.25">
      <c r="BF18" s="12"/>
    </row>
    <row r="19" spans="1:58" x14ac:dyDescent="0.25">
      <c r="A19" s="3" t="s">
        <v>9</v>
      </c>
      <c r="BF19" s="13"/>
    </row>
    <row r="20" spans="1:58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2</v>
      </c>
      <c r="S20" s="2">
        <v>1</v>
      </c>
      <c r="T20" s="2">
        <v>1</v>
      </c>
      <c r="U20" s="2">
        <v>7</v>
      </c>
      <c r="V20" s="2">
        <v>1</v>
      </c>
      <c r="W20" s="2">
        <v>1</v>
      </c>
      <c r="X20" s="2">
        <v>4</v>
      </c>
      <c r="Y20" s="2">
        <v>2</v>
      </c>
      <c r="Z20" s="2">
        <v>1</v>
      </c>
      <c r="AA20" s="2">
        <v>0</v>
      </c>
      <c r="AB20" s="2">
        <v>0</v>
      </c>
      <c r="AC20" s="2">
        <v>2</v>
      </c>
      <c r="AD20" s="2">
        <v>0</v>
      </c>
      <c r="AE20" s="2">
        <v>1</v>
      </c>
      <c r="AF20" s="2">
        <v>0</v>
      </c>
      <c r="AG20" s="2">
        <v>0</v>
      </c>
      <c r="AH20" s="2">
        <v>1</v>
      </c>
      <c r="AI20" s="2">
        <v>0</v>
      </c>
      <c r="AL20" s="2">
        <v>0</v>
      </c>
      <c r="AM20" s="2">
        <v>0</v>
      </c>
      <c r="AN20" s="2">
        <v>0</v>
      </c>
      <c r="AO20" s="2">
        <v>0</v>
      </c>
      <c r="AQ20" s="2">
        <v>3</v>
      </c>
      <c r="AR20" s="2">
        <v>0</v>
      </c>
      <c r="AS20" s="2">
        <v>0</v>
      </c>
      <c r="AT20" s="2">
        <v>0</v>
      </c>
      <c r="AU20" s="2">
        <v>1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1</v>
      </c>
      <c r="BB20" s="2">
        <v>1</v>
      </c>
      <c r="BC20" s="2">
        <v>1</v>
      </c>
    </row>
    <row r="21" spans="1:58" x14ac:dyDescent="0.25">
      <c r="A21" s="1" t="s">
        <v>6</v>
      </c>
      <c r="B21" s="2">
        <v>38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4</v>
      </c>
      <c r="J21" s="2">
        <v>2</v>
      </c>
      <c r="K21" s="2">
        <v>33</v>
      </c>
      <c r="L21" s="2">
        <v>13</v>
      </c>
      <c r="M21" s="2">
        <v>5</v>
      </c>
      <c r="N21" s="2">
        <v>10</v>
      </c>
      <c r="O21" s="2">
        <v>7</v>
      </c>
      <c r="P21" s="2">
        <v>9</v>
      </c>
      <c r="Q21" s="2">
        <v>26</v>
      </c>
      <c r="R21" s="2">
        <v>62</v>
      </c>
      <c r="S21" s="2">
        <v>4</v>
      </c>
      <c r="T21" s="2">
        <v>15</v>
      </c>
      <c r="U21" s="2">
        <v>62</v>
      </c>
      <c r="V21" s="2">
        <v>15</v>
      </c>
      <c r="W21" s="2">
        <v>19</v>
      </c>
      <c r="X21" s="2">
        <v>48</v>
      </c>
      <c r="Y21" s="2">
        <v>44</v>
      </c>
      <c r="Z21" s="2">
        <v>11</v>
      </c>
      <c r="AA21" s="2">
        <v>5</v>
      </c>
      <c r="AB21" s="2">
        <v>4</v>
      </c>
      <c r="AC21" s="2">
        <v>41</v>
      </c>
      <c r="AD21" s="2">
        <v>24</v>
      </c>
      <c r="AE21" s="2">
        <v>5</v>
      </c>
      <c r="AF21" s="2">
        <v>13</v>
      </c>
      <c r="AG21" s="2">
        <v>11</v>
      </c>
      <c r="AH21" s="2">
        <v>34</v>
      </c>
      <c r="AI21" s="2">
        <v>8</v>
      </c>
      <c r="AL21" s="2">
        <v>7</v>
      </c>
      <c r="AM21" s="2">
        <v>5</v>
      </c>
      <c r="AN21" s="2">
        <v>5</v>
      </c>
      <c r="AO21" s="2">
        <v>1</v>
      </c>
      <c r="AQ21" s="2">
        <v>45</v>
      </c>
      <c r="AR21" s="2">
        <v>10</v>
      </c>
      <c r="AS21" s="2">
        <v>5</v>
      </c>
      <c r="AT21" s="2">
        <v>8</v>
      </c>
      <c r="AU21" s="2">
        <v>13</v>
      </c>
      <c r="AV21" s="2">
        <v>8</v>
      </c>
      <c r="AW21" s="2">
        <v>6</v>
      </c>
      <c r="AX21" s="2">
        <v>7</v>
      </c>
      <c r="AY21" s="2">
        <v>5</v>
      </c>
      <c r="AZ21" s="2">
        <v>3</v>
      </c>
      <c r="BA21" s="2">
        <v>6</v>
      </c>
      <c r="BB21" s="2">
        <v>5</v>
      </c>
      <c r="BC21" s="2">
        <v>7</v>
      </c>
    </row>
    <row r="22" spans="1:58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4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1</v>
      </c>
      <c r="Y22" s="2">
        <v>3</v>
      </c>
      <c r="Z22" s="2">
        <v>0</v>
      </c>
      <c r="AA22" s="2">
        <v>0</v>
      </c>
      <c r="AB22" s="2">
        <v>0</v>
      </c>
      <c r="AC22" s="2">
        <v>26</v>
      </c>
      <c r="AD22" s="2">
        <v>3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L22" s="2">
        <v>0</v>
      </c>
      <c r="AM22" s="2">
        <v>0</v>
      </c>
      <c r="AN22" s="2">
        <v>0</v>
      </c>
      <c r="AO22" s="2">
        <v>0</v>
      </c>
      <c r="AQ22" s="2">
        <v>3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972-B927-4A7C-BC80-B5C68662EBB7}">
  <dimension ref="A1:BG22"/>
  <sheetViews>
    <sheetView zoomScale="85" zoomScaleNormal="85" workbookViewId="0">
      <selection activeCell="K13" sqref="K13"/>
    </sheetView>
  </sheetViews>
  <sheetFormatPr defaultRowHeight="15" x14ac:dyDescent="0.25"/>
  <cols>
    <col min="1" max="1" width="19.140625" bestFit="1" customWidth="1"/>
    <col min="15" max="15" width="10.140625" bestFit="1" customWidth="1"/>
    <col min="22" max="22" width="9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49</v>
      </c>
      <c r="V1" s="1" t="s">
        <v>31</v>
      </c>
      <c r="W1" s="1" t="s">
        <v>19</v>
      </c>
      <c r="X1" s="1" t="s">
        <v>29</v>
      </c>
      <c r="Y1" s="1" t="s">
        <v>30</v>
      </c>
      <c r="Z1" s="1" t="s">
        <v>26</v>
      </c>
      <c r="AA1" s="1" t="s">
        <v>27</v>
      </c>
      <c r="AB1" s="22" t="s">
        <v>68</v>
      </c>
      <c r="AC1" s="1" t="s">
        <v>42</v>
      </c>
      <c r="AD1" s="1" t="s">
        <v>43</v>
      </c>
      <c r="AE1" s="1" t="s">
        <v>52</v>
      </c>
      <c r="AF1" s="22" t="s">
        <v>63</v>
      </c>
      <c r="AG1" s="22" t="s">
        <v>69</v>
      </c>
      <c r="AH1" s="1" t="s">
        <v>17</v>
      </c>
      <c r="AI1" s="22" t="s">
        <v>70</v>
      </c>
      <c r="AJ1" s="1" t="s">
        <v>32</v>
      </c>
      <c r="AK1" s="22" t="s">
        <v>62</v>
      </c>
      <c r="AL1" s="1" t="s">
        <v>61</v>
      </c>
      <c r="AM1" s="1" t="s">
        <v>23</v>
      </c>
      <c r="AN1" s="22" t="s">
        <v>64</v>
      </c>
      <c r="AO1" s="22" t="s">
        <v>71</v>
      </c>
      <c r="AP1" s="22" t="s">
        <v>66</v>
      </c>
      <c r="AQ1" s="1" t="s">
        <v>24</v>
      </c>
      <c r="AR1" s="22" t="s">
        <v>67</v>
      </c>
      <c r="AS1" s="22" t="s">
        <v>65</v>
      </c>
      <c r="AT1" s="1" t="s">
        <v>25</v>
      </c>
      <c r="AU1" s="1" t="s">
        <v>28</v>
      </c>
      <c r="AV1" s="1" t="s">
        <v>46</v>
      </c>
      <c r="AW1" s="1" t="s">
        <v>55</v>
      </c>
      <c r="AX1" s="1" t="s">
        <v>34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8000</v>
      </c>
      <c r="D4" s="2">
        <v>9333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9196</v>
      </c>
      <c r="L4" s="2">
        <v>9196</v>
      </c>
      <c r="M4" s="2">
        <v>9196</v>
      </c>
      <c r="N4" s="2">
        <v>8750</v>
      </c>
      <c r="O4" s="2">
        <v>0</v>
      </c>
      <c r="P4" s="2">
        <v>10667</v>
      </c>
      <c r="Q4" s="2">
        <v>8000</v>
      </c>
      <c r="R4" s="2">
        <v>8500</v>
      </c>
      <c r="S4" s="2">
        <v>11500</v>
      </c>
      <c r="T4" s="2">
        <v>23917</v>
      </c>
      <c r="U4" s="2">
        <v>8000</v>
      </c>
      <c r="V4" s="20">
        <v>5833</v>
      </c>
      <c r="W4" s="18">
        <v>28000</v>
      </c>
      <c r="X4" s="2">
        <v>10500</v>
      </c>
      <c r="Y4" s="2"/>
      <c r="Z4" s="2">
        <v>19500</v>
      </c>
      <c r="AA4" s="2">
        <v>20000</v>
      </c>
      <c r="AB4" s="2">
        <v>0</v>
      </c>
      <c r="AC4" s="2">
        <v>0</v>
      </c>
      <c r="AD4" s="2">
        <v>0</v>
      </c>
      <c r="AE4" s="2">
        <v>0</v>
      </c>
      <c r="AF4" s="2">
        <v>20583</v>
      </c>
      <c r="AG4" s="2">
        <v>0</v>
      </c>
      <c r="AH4" s="2">
        <v>0</v>
      </c>
      <c r="AI4" s="2">
        <v>0</v>
      </c>
      <c r="AJ4" s="2">
        <v>0</v>
      </c>
      <c r="AK4" s="10"/>
      <c r="AL4" s="2">
        <v>0</v>
      </c>
      <c r="AM4" s="2"/>
      <c r="AN4" s="2"/>
      <c r="AO4" s="2"/>
      <c r="AP4" s="2"/>
      <c r="AQ4" s="2"/>
      <c r="AR4" s="2"/>
      <c r="AS4" s="2"/>
      <c r="AT4" s="14">
        <v>30202</v>
      </c>
      <c r="AU4" s="2">
        <v>0</v>
      </c>
      <c r="AV4" s="2">
        <v>0</v>
      </c>
      <c r="AW4" s="2">
        <v>0</v>
      </c>
      <c r="AX4" s="2">
        <v>7000</v>
      </c>
      <c r="AY4" s="2">
        <v>8000</v>
      </c>
      <c r="AZ4" s="2">
        <v>10369</v>
      </c>
      <c r="BA4" s="2">
        <v>8000</v>
      </c>
      <c r="BB4" s="2">
        <v>8000</v>
      </c>
      <c r="BC4" s="2">
        <v>0</v>
      </c>
      <c r="BD4" s="2">
        <v>0</v>
      </c>
      <c r="BE4" s="2">
        <v>8000</v>
      </c>
      <c r="BF4" s="2">
        <v>8000</v>
      </c>
      <c r="BG4" s="2">
        <v>8000</v>
      </c>
    </row>
    <row r="5" spans="1:59" x14ac:dyDescent="0.25">
      <c r="A5" s="1" t="s">
        <v>2</v>
      </c>
      <c r="B5" s="2">
        <v>434124</v>
      </c>
      <c r="C5" s="2">
        <v>180433</v>
      </c>
      <c r="D5" s="2">
        <v>82500</v>
      </c>
      <c r="E5" s="2">
        <v>0</v>
      </c>
      <c r="F5" s="2">
        <v>0</v>
      </c>
      <c r="G5" s="2">
        <v>96300</v>
      </c>
      <c r="H5" s="2">
        <v>129333.33333333299</v>
      </c>
      <c r="I5" s="2">
        <v>50000</v>
      </c>
      <c r="J5" s="2">
        <v>30000</v>
      </c>
      <c r="K5" s="2">
        <v>195000</v>
      </c>
      <c r="L5" s="2">
        <v>149500</v>
      </c>
      <c r="M5" s="2">
        <v>132500</v>
      </c>
      <c r="N5" s="2">
        <v>227089</v>
      </c>
      <c r="O5" s="14">
        <v>38420</v>
      </c>
      <c r="P5" s="2">
        <v>165900</v>
      </c>
      <c r="Q5" s="2">
        <v>154700</v>
      </c>
      <c r="R5" s="2">
        <v>155450</v>
      </c>
      <c r="S5" s="2">
        <f>477658+7467+44400</f>
        <v>529525</v>
      </c>
      <c r="T5" s="2">
        <f>1237866+187600+75266+53000</f>
        <v>1553732</v>
      </c>
      <c r="U5" s="2">
        <v>70800</v>
      </c>
      <c r="V5" s="10">
        <v>331036</v>
      </c>
      <c r="W5" s="2">
        <f>161784+797864+306159</f>
        <v>1265807</v>
      </c>
      <c r="X5" s="2">
        <v>333384</v>
      </c>
      <c r="Y5" s="4"/>
      <c r="Z5" s="2">
        <f>610342+457524</f>
        <v>1067866</v>
      </c>
      <c r="AA5" s="2">
        <v>635397</v>
      </c>
      <c r="AB5" s="2">
        <f>139277+22968</f>
        <v>162245</v>
      </c>
      <c r="AC5" s="2">
        <v>42000</v>
      </c>
      <c r="AD5" s="2">
        <f>333+46433</f>
        <v>46766</v>
      </c>
      <c r="AE5" s="2">
        <v>8167</v>
      </c>
      <c r="AF5" s="2">
        <v>762300</v>
      </c>
      <c r="AG5" s="2">
        <v>27966</v>
      </c>
      <c r="AH5" s="2">
        <v>88500</v>
      </c>
      <c r="AI5" s="2">
        <v>113689</v>
      </c>
      <c r="AJ5" s="14">
        <v>136171</v>
      </c>
      <c r="AK5" s="2">
        <f>285519+431200</f>
        <v>716719</v>
      </c>
      <c r="AL5" s="2">
        <v>114000</v>
      </c>
      <c r="AM5" s="2"/>
      <c r="AN5" s="2"/>
      <c r="AO5" s="2"/>
      <c r="AP5" s="2"/>
      <c r="AQ5" s="2"/>
      <c r="AR5" s="2"/>
      <c r="AS5" s="2"/>
      <c r="AT5" s="4">
        <v>937467</v>
      </c>
      <c r="AU5" s="2">
        <v>98667</v>
      </c>
      <c r="AV5" s="2">
        <v>40000</v>
      </c>
      <c r="AW5" s="2">
        <v>30667</v>
      </c>
      <c r="AX5" s="2">
        <v>100600</v>
      </c>
      <c r="AY5" s="2">
        <v>228200</v>
      </c>
      <c r="AZ5" s="2">
        <v>129400</v>
      </c>
      <c r="BA5" s="2">
        <v>126333</v>
      </c>
      <c r="BB5" s="2">
        <v>109933</v>
      </c>
      <c r="BC5" s="2">
        <v>0</v>
      </c>
      <c r="BD5" s="2">
        <v>47200</v>
      </c>
      <c r="BE5" s="2">
        <v>115200</v>
      </c>
      <c r="BF5" s="2">
        <v>101750</v>
      </c>
      <c r="BG5" s="2">
        <v>121000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0</v>
      </c>
      <c r="V6" s="2">
        <v>58500</v>
      </c>
      <c r="W6" s="2">
        <v>0</v>
      </c>
      <c r="X6" s="2">
        <v>17000</v>
      </c>
      <c r="Y6" s="2"/>
      <c r="Z6" s="2">
        <f>48000</f>
        <v>48000</v>
      </c>
      <c r="AA6" s="14">
        <f>99000</f>
        <v>99000</v>
      </c>
      <c r="AB6" s="2">
        <v>0</v>
      </c>
      <c r="AC6" s="2">
        <v>0</v>
      </c>
      <c r="AD6" s="2">
        <v>0</v>
      </c>
      <c r="AE6" s="2">
        <v>0</v>
      </c>
      <c r="AF6" s="2">
        <f>594400+357583+435000</f>
        <v>1386983</v>
      </c>
      <c r="AG6" s="2">
        <v>0</v>
      </c>
      <c r="AH6" s="2">
        <v>0</v>
      </c>
      <c r="AI6" s="2">
        <v>0</v>
      </c>
      <c r="AJ6" s="2">
        <v>0</v>
      </c>
      <c r="AK6" s="2">
        <f>98000+102000+124000+15000</f>
        <v>339000</v>
      </c>
      <c r="AL6" s="2">
        <v>0</v>
      </c>
      <c r="AM6" s="2"/>
      <c r="AN6" s="2"/>
      <c r="AO6" s="2"/>
      <c r="AP6" s="2"/>
      <c r="AQ6" s="2"/>
      <c r="AR6" s="2"/>
      <c r="AS6" s="2"/>
      <c r="AT6" s="2">
        <v>103815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L7" si="0">SUM(B4:B6)</f>
        <v>434124</v>
      </c>
      <c r="C7" s="5">
        <f t="shared" si="0"/>
        <v>188433</v>
      </c>
      <c r="D7" s="5">
        <f t="shared" si="0"/>
        <v>91833</v>
      </c>
      <c r="E7" s="9">
        <f t="shared" si="0"/>
        <v>0</v>
      </c>
      <c r="F7" s="9">
        <f t="shared" si="0"/>
        <v>0</v>
      </c>
      <c r="G7" s="5">
        <f t="shared" si="0"/>
        <v>103300</v>
      </c>
      <c r="H7" s="9">
        <f t="shared" si="0"/>
        <v>129333.33333333299</v>
      </c>
      <c r="I7" s="9">
        <f t="shared" si="0"/>
        <v>50000</v>
      </c>
      <c r="J7" s="9">
        <f t="shared" si="0"/>
        <v>30000</v>
      </c>
      <c r="K7" s="5">
        <f t="shared" si="0"/>
        <v>204196</v>
      </c>
      <c r="L7" s="5">
        <f t="shared" si="0"/>
        <v>158696</v>
      </c>
      <c r="M7" s="5">
        <f t="shared" si="0"/>
        <v>141696</v>
      </c>
      <c r="N7" s="5">
        <f t="shared" si="0"/>
        <v>235839</v>
      </c>
      <c r="O7" s="5">
        <f t="shared" si="0"/>
        <v>38420</v>
      </c>
      <c r="P7" s="5">
        <f t="shared" si="0"/>
        <v>176567</v>
      </c>
      <c r="Q7" s="5">
        <f t="shared" si="0"/>
        <v>162700</v>
      </c>
      <c r="R7" s="5">
        <f t="shared" si="0"/>
        <v>163950</v>
      </c>
      <c r="S7" s="5">
        <f t="shared" si="0"/>
        <v>608566</v>
      </c>
      <c r="T7" s="5">
        <f t="shared" si="0"/>
        <v>1668149</v>
      </c>
      <c r="U7" s="5">
        <f t="shared" si="0"/>
        <v>78800</v>
      </c>
      <c r="V7" s="5">
        <f t="shared" si="0"/>
        <v>395369</v>
      </c>
      <c r="W7" s="5">
        <f t="shared" si="0"/>
        <v>1293807</v>
      </c>
      <c r="X7" s="5">
        <f t="shared" si="0"/>
        <v>360884</v>
      </c>
      <c r="Y7" s="5">
        <f t="shared" si="0"/>
        <v>0</v>
      </c>
      <c r="Z7" s="5">
        <f t="shared" si="0"/>
        <v>1135366</v>
      </c>
      <c r="AA7" s="5">
        <f t="shared" si="0"/>
        <v>754397</v>
      </c>
      <c r="AB7" s="5">
        <f t="shared" si="0"/>
        <v>162245</v>
      </c>
      <c r="AC7" s="5">
        <f t="shared" si="0"/>
        <v>42000</v>
      </c>
      <c r="AD7" s="5">
        <f t="shared" si="0"/>
        <v>46766</v>
      </c>
      <c r="AE7" s="5">
        <f t="shared" si="0"/>
        <v>8167</v>
      </c>
      <c r="AF7" s="5">
        <f t="shared" si="0"/>
        <v>2169866</v>
      </c>
      <c r="AG7" s="5">
        <f t="shared" si="0"/>
        <v>27966</v>
      </c>
      <c r="AH7" s="5">
        <f t="shared" si="0"/>
        <v>88500</v>
      </c>
      <c r="AI7" s="5">
        <f t="shared" si="0"/>
        <v>113689</v>
      </c>
      <c r="AJ7" s="5">
        <f t="shared" si="0"/>
        <v>136171</v>
      </c>
      <c r="AK7" s="5">
        <f t="shared" si="0"/>
        <v>1055719</v>
      </c>
      <c r="AL7" s="9">
        <f t="shared" si="0"/>
        <v>114000</v>
      </c>
      <c r="AM7" s="2"/>
      <c r="AN7" s="2"/>
      <c r="AO7" s="5">
        <f>SUM(AO4:AO6)</f>
        <v>0</v>
      </c>
      <c r="AP7" s="5">
        <f>SUM(AP4:AP6)</f>
        <v>0</v>
      </c>
      <c r="AQ7" s="5">
        <f>SUM(AQ4:AQ6)</f>
        <v>0</v>
      </c>
      <c r="AR7" s="5">
        <f>SUM(AR4:AR6)</f>
        <v>0</v>
      </c>
      <c r="AS7" s="2"/>
      <c r="AT7" s="5">
        <f t="shared" ref="AT7:BG7" si="1">SUM(AT4:AT6)</f>
        <v>1071484</v>
      </c>
      <c r="AU7" s="5">
        <f>SUM(AU5:AU6)</f>
        <v>98667</v>
      </c>
      <c r="AV7" s="5">
        <f t="shared" si="1"/>
        <v>40000</v>
      </c>
      <c r="AW7" s="5">
        <f t="shared" si="1"/>
        <v>30667</v>
      </c>
      <c r="AX7" s="5">
        <f t="shared" si="1"/>
        <v>107600</v>
      </c>
      <c r="AY7" s="5">
        <f t="shared" si="1"/>
        <v>236200</v>
      </c>
      <c r="AZ7" s="5">
        <f t="shared" si="1"/>
        <v>139769</v>
      </c>
      <c r="BA7" s="5">
        <f t="shared" si="1"/>
        <v>134333</v>
      </c>
      <c r="BB7" s="5">
        <f t="shared" si="1"/>
        <v>117933</v>
      </c>
      <c r="BC7" s="5">
        <f t="shared" si="1"/>
        <v>0</v>
      </c>
      <c r="BD7" s="5">
        <f t="shared" si="1"/>
        <v>47200</v>
      </c>
      <c r="BE7" s="5">
        <f t="shared" si="1"/>
        <v>123200</v>
      </c>
      <c r="BF7" s="5">
        <f t="shared" si="1"/>
        <v>109750</v>
      </c>
      <c r="BG7" s="5">
        <f t="shared" si="1"/>
        <v>129000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4"/>
      <c r="V8" s="2"/>
      <c r="W8" s="2"/>
      <c r="X8" s="2"/>
      <c r="Y8" s="4"/>
      <c r="Z8" s="2"/>
      <c r="AA8" s="4"/>
      <c r="AB8" s="4"/>
      <c r="AC8" s="4"/>
      <c r="AD8" s="2"/>
      <c r="AE8" s="4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4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2"/>
      <c r="AA9" s="14"/>
      <c r="AB9" s="17"/>
      <c r="AC9" s="21"/>
      <c r="AD9" s="21"/>
      <c r="AE9" s="17"/>
      <c r="AF9" s="17"/>
      <c r="AG9" s="17"/>
      <c r="AH9" s="17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8000</v>
      </c>
      <c r="D10" s="2">
        <v>9333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10667</v>
      </c>
      <c r="Q10" s="2">
        <v>8000</v>
      </c>
      <c r="R10" s="2">
        <v>8500</v>
      </c>
      <c r="S10" s="2">
        <v>10452</v>
      </c>
      <c r="T10" s="2">
        <v>10000</v>
      </c>
      <c r="U10" s="2">
        <v>8000</v>
      </c>
      <c r="V10" s="2">
        <v>2500</v>
      </c>
      <c r="W10" s="2">
        <v>13000</v>
      </c>
      <c r="X10" s="2">
        <v>10452</v>
      </c>
      <c r="Y10" s="2">
        <v>10452</v>
      </c>
      <c r="Z10" s="2">
        <v>10000</v>
      </c>
      <c r="AA10" s="2">
        <v>10000</v>
      </c>
      <c r="AB10" s="2">
        <v>0</v>
      </c>
      <c r="AC10" s="2">
        <v>0</v>
      </c>
      <c r="AD10" s="2">
        <v>0</v>
      </c>
      <c r="AE10" s="2">
        <v>0</v>
      </c>
      <c r="AF10" s="2">
        <v>10000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/>
      <c r="AN10" s="2"/>
      <c r="AO10" s="2">
        <v>0</v>
      </c>
      <c r="AP10" s="2">
        <v>0</v>
      </c>
      <c r="AQ10" s="2">
        <v>0</v>
      </c>
      <c r="AR10" s="2">
        <v>0</v>
      </c>
      <c r="AS10" s="2"/>
      <c r="AT10" s="2">
        <v>10000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8000</v>
      </c>
      <c r="BG10" s="2">
        <v>0</v>
      </c>
    </row>
    <row r="11" spans="1:59" x14ac:dyDescent="0.25">
      <c r="A11" s="1" t="s">
        <v>6</v>
      </c>
      <c r="B11" s="2">
        <v>16700</v>
      </c>
      <c r="C11" s="2">
        <v>18000</v>
      </c>
      <c r="D11" s="2">
        <v>16000</v>
      </c>
      <c r="E11" s="2">
        <v>0</v>
      </c>
      <c r="F11" s="2">
        <v>0</v>
      </c>
      <c r="G11" s="2">
        <v>16000</v>
      </c>
      <c r="H11" s="2">
        <v>9867</v>
      </c>
      <c r="I11" s="2">
        <v>8400</v>
      </c>
      <c r="J11" s="2">
        <v>10000</v>
      </c>
      <c r="K11" s="2">
        <v>15000</v>
      </c>
      <c r="L11" s="2">
        <v>15000</v>
      </c>
      <c r="M11" s="2">
        <v>14700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21000</v>
      </c>
      <c r="V11" s="2">
        <v>22000</v>
      </c>
      <c r="W11" s="2">
        <v>17500</v>
      </c>
      <c r="X11" s="2">
        <v>22000</v>
      </c>
      <c r="Y11" s="2">
        <v>19000</v>
      </c>
      <c r="Z11" s="2">
        <v>22000</v>
      </c>
      <c r="AA11" s="2">
        <v>18500</v>
      </c>
      <c r="AB11" s="2">
        <v>12000</v>
      </c>
      <c r="AC11" s="2">
        <v>9600</v>
      </c>
      <c r="AD11" s="2">
        <v>8667</v>
      </c>
      <c r="AE11" s="2">
        <v>5000</v>
      </c>
      <c r="AF11" s="2">
        <v>20000</v>
      </c>
      <c r="AG11" s="2">
        <v>6500</v>
      </c>
      <c r="AH11" s="2">
        <v>14500</v>
      </c>
      <c r="AI11" s="2">
        <v>10000</v>
      </c>
      <c r="AJ11" s="2">
        <v>12200</v>
      </c>
      <c r="AK11" s="2">
        <v>17200</v>
      </c>
      <c r="AL11" s="2">
        <v>16000</v>
      </c>
      <c r="AM11" s="2"/>
      <c r="AN11" s="2"/>
      <c r="AO11" s="2">
        <v>0</v>
      </c>
      <c r="AP11" s="2">
        <v>0</v>
      </c>
      <c r="AQ11" s="2">
        <v>0</v>
      </c>
      <c r="AR11" s="2">
        <v>0</v>
      </c>
      <c r="AS11" s="2"/>
      <c r="AT11" s="2">
        <v>19000</v>
      </c>
      <c r="AU11" s="2">
        <v>10000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24000</v>
      </c>
      <c r="V12" s="2">
        <v>48000</v>
      </c>
      <c r="W12" s="2">
        <v>24000</v>
      </c>
      <c r="X12" s="2">
        <v>19603</v>
      </c>
      <c r="Y12" s="2">
        <v>20600</v>
      </c>
      <c r="Z12" s="2">
        <v>51600</v>
      </c>
      <c r="AA12" s="2">
        <v>50000</v>
      </c>
      <c r="AB12" s="2">
        <v>0</v>
      </c>
      <c r="AC12" s="2">
        <v>0</v>
      </c>
      <c r="AD12" s="2">
        <v>0</v>
      </c>
      <c r="AE12" s="2">
        <v>0</v>
      </c>
      <c r="AF12" s="2">
        <v>56000</v>
      </c>
      <c r="AG12" s="2">
        <v>0</v>
      </c>
      <c r="AH12" s="2">
        <v>0</v>
      </c>
      <c r="AI12" s="2">
        <v>0</v>
      </c>
      <c r="AJ12" s="2">
        <v>0</v>
      </c>
      <c r="AK12" s="2">
        <v>46200</v>
      </c>
      <c r="AL12" s="2">
        <v>0</v>
      </c>
      <c r="AM12" s="2"/>
      <c r="AN12" s="2"/>
      <c r="AO12" s="2">
        <v>0</v>
      </c>
      <c r="AP12" s="2">
        <v>0</v>
      </c>
      <c r="AQ12" s="2">
        <v>0</v>
      </c>
      <c r="AR12" s="2">
        <v>0</v>
      </c>
      <c r="AS12" s="2"/>
      <c r="AT12" s="2">
        <v>40000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25.995449101796407</v>
      </c>
      <c r="C14" s="4">
        <f t="shared" ref="C14:D14" si="2">SUM(C15:C17)</f>
        <v>11.024055555555556</v>
      </c>
      <c r="D14" s="4">
        <f t="shared" si="2"/>
        <v>6.15625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7.0187499999999998</v>
      </c>
      <c r="H14" s="4">
        <f t="shared" ref="H14" si="6">SUM(H15:H17)</f>
        <v>13.10766528157829</v>
      </c>
      <c r="I14" s="4">
        <f t="shared" ref="I14" si="7">SUM(I15:I17)</f>
        <v>5.9523809523809526</v>
      </c>
      <c r="J14" s="4">
        <f t="shared" ref="J14" si="8">SUM(J15:J17)</f>
        <v>3</v>
      </c>
      <c r="K14" s="4">
        <f t="shared" ref="K14" si="9">SUM(K15:K17)</f>
        <v>14.021777777777778</v>
      </c>
      <c r="L14" s="4">
        <f t="shared" ref="L14" si="10">SUM(L15:L17)</f>
        <v>10.988444444444445</v>
      </c>
      <c r="M14" s="4">
        <f t="shared" ref="M14" si="11">SUM(M15:M17)</f>
        <v>10.03538321995465</v>
      </c>
      <c r="N14" s="4">
        <f t="shared" ref="N14" si="12">SUM(N15:N17)</f>
        <v>14.143180952380952</v>
      </c>
      <c r="O14" s="4">
        <f t="shared" ref="O14" si="13">SUM(O15:O17)</f>
        <v>4.8025000000000002</v>
      </c>
      <c r="P14" s="4">
        <f t="shared" ref="P14" si="14">SUM(P15:P17)</f>
        <v>10.216666666666667</v>
      </c>
      <c r="Q14" s="4">
        <f t="shared" ref="Q14" si="15">SUM(Q15:Q17)</f>
        <v>8.3666666666666671</v>
      </c>
      <c r="R14" s="4">
        <f t="shared" ref="R14" si="16">SUM(R15:R17)</f>
        <v>10.715624999999999</v>
      </c>
      <c r="S14" s="4">
        <f t="shared" ref="S14" si="17">SUM(S15:S17)</f>
        <v>27.954054856542658</v>
      </c>
      <c r="T14" s="4">
        <f t="shared" ref="T14" si="18">SUM(T15:T17)</f>
        <v>80.149771428571427</v>
      </c>
      <c r="U14" s="4">
        <f t="shared" ref="U14" si="19">SUM(U15:U17)</f>
        <v>4.3714285714285719</v>
      </c>
      <c r="V14" s="4">
        <f t="shared" ref="V14" si="20">SUM(V15:V17)</f>
        <v>18.59904090909091</v>
      </c>
      <c r="W14" s="4">
        <f t="shared" ref="W14" si="21">SUM(W15:W17)</f>
        <v>74.485674725274734</v>
      </c>
      <c r="X14" s="4">
        <f t="shared" ref="X14" si="22">SUM(X15:X17)</f>
        <v>17.025624806228922</v>
      </c>
      <c r="Y14" s="4">
        <f t="shared" ref="Y14" si="23">SUM(Y15:Y17)</f>
        <v>0</v>
      </c>
      <c r="Z14" s="4">
        <f t="shared" ref="Z14" si="24">SUM(Z15:Z17)</f>
        <v>51.419596194503178</v>
      </c>
      <c r="AA14" s="4">
        <f t="shared" ref="AA14" si="25">SUM(AA15:AA17)</f>
        <v>38.325783783783784</v>
      </c>
      <c r="AB14" s="4">
        <f t="shared" ref="AB14" si="26">SUM(AB15:AB17)</f>
        <v>13.520416666666666</v>
      </c>
      <c r="AC14" s="4">
        <f t="shared" ref="AC14" si="27">SUM(AC15:AC17)</f>
        <v>4.375</v>
      </c>
      <c r="AD14" s="4">
        <f t="shared" ref="AD14" si="28">SUM(AD15:AD17)</f>
        <v>5.3958693896388601</v>
      </c>
      <c r="AE14" s="4">
        <f t="shared" ref="AE14" si="29">SUM(AE15:AE17)</f>
        <v>1.6334</v>
      </c>
      <c r="AF14" s="4">
        <f t="shared" ref="AF14" si="30">SUM(AF15:AF17)</f>
        <v>64.940853571428576</v>
      </c>
      <c r="AG14" s="4">
        <f t="shared" ref="AG14" si="31">SUM(AG15:AG17)</f>
        <v>4.3024615384615386</v>
      </c>
      <c r="AH14" s="4">
        <f t="shared" ref="AH14" si="32">SUM(AH15:AH17)</f>
        <v>6.1034482758620694</v>
      </c>
      <c r="AI14" s="4">
        <f t="shared" ref="AI14" si="33">SUM(AI15:AI17)</f>
        <v>11.3689</v>
      </c>
      <c r="AJ14" s="4">
        <f t="shared" ref="AJ14" si="34">SUM(AJ15:AJ17)</f>
        <v>11.16155737704918</v>
      </c>
      <c r="AK14" s="4">
        <f t="shared" ref="AK14" si="35">SUM(AK15:AK17)</f>
        <v>49.007371639987916</v>
      </c>
      <c r="AL14" s="4">
        <f t="shared" ref="AL14" si="36">SUM(AL15:AL17)</f>
        <v>7.125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0</v>
      </c>
      <c r="AR14" s="4">
        <f t="shared" ref="AR14" si="42">SUM(AR15:AR17)</f>
        <v>0</v>
      </c>
      <c r="AS14" s="4">
        <f t="shared" ref="AS14" si="43">SUM(AS15:AS17)</f>
        <v>0</v>
      </c>
      <c r="AT14" s="4">
        <f t="shared" ref="AT14" si="44">SUM(AT15:AT17)</f>
        <v>54.955943421052631</v>
      </c>
      <c r="AU14" s="4">
        <f t="shared" ref="AU14" si="45">SUM(AU15:AU17)</f>
        <v>9.8666999999999998</v>
      </c>
      <c r="AV14" s="4">
        <f t="shared" ref="AV14" si="46">SUM(AV15:AV17)</f>
        <v>5</v>
      </c>
      <c r="AW14" s="4">
        <f t="shared" ref="AW14" si="47">SUM(AW15:AW17)</f>
        <v>3.8333750000000002</v>
      </c>
      <c r="AX14" s="4">
        <f t="shared" ref="AX14" si="48">SUM(AX15:AX17)</f>
        <v>8.1857142857142868</v>
      </c>
      <c r="AY14" s="4">
        <f t="shared" ref="AY14" si="49">SUM(AY15:AY17)</f>
        <v>13.618954248366013</v>
      </c>
      <c r="AZ14" s="4">
        <f t="shared" ref="AZ14" si="50">SUM(AZ15:AZ17)</f>
        <v>8.9675712951960627</v>
      </c>
      <c r="BA14" s="4">
        <f t="shared" ref="BA14" si="51">SUM(BA15:BA17)</f>
        <v>8.0184999999999995</v>
      </c>
      <c r="BB14" s="4">
        <f t="shared" ref="BB14" si="52">SUM(BB15:BB17)</f>
        <v>7.8708125000000004</v>
      </c>
      <c r="BC14" s="4">
        <f t="shared" ref="BC14" si="53">SUM(BC15:BC17)</f>
        <v>0</v>
      </c>
      <c r="BD14" s="4">
        <f t="shared" ref="BD14" si="54">SUM(BD15:BD17)</f>
        <v>3.1466666666666665</v>
      </c>
      <c r="BE14" s="4">
        <f t="shared" ref="BE14" si="55">SUM(BE15:BE17)</f>
        <v>7.4333247222939818</v>
      </c>
      <c r="BF14" s="4">
        <f t="shared" ref="BF14" si="56">SUM(BF15:BF17)</f>
        <v>7.166666666666667</v>
      </c>
      <c r="BG14" s="4">
        <f t="shared" ref="BG14" si="57">SUM(BG15:BG17)</f>
        <v>6.7222222222222223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8">IFERROR(C4/C10,0)</f>
        <v>1</v>
      </c>
      <c r="D15" s="4">
        <f t="shared" si="58"/>
        <v>1</v>
      </c>
      <c r="E15" s="4">
        <f t="shared" si="58"/>
        <v>0</v>
      </c>
      <c r="F15" s="4">
        <f t="shared" ref="F15:M15" si="59">IFERROR(F4/F10,0)</f>
        <v>0</v>
      </c>
      <c r="G15" s="4">
        <f t="shared" si="59"/>
        <v>1</v>
      </c>
      <c r="H15" s="4">
        <f t="shared" si="59"/>
        <v>0</v>
      </c>
      <c r="I15" s="4">
        <f t="shared" si="59"/>
        <v>0</v>
      </c>
      <c r="J15" s="4">
        <f t="shared" si="59"/>
        <v>0</v>
      </c>
      <c r="K15" s="4">
        <f t="shared" si="59"/>
        <v>1.0217777777777777</v>
      </c>
      <c r="L15" s="4">
        <f t="shared" si="59"/>
        <v>1.0217777777777777</v>
      </c>
      <c r="M15" s="4">
        <f t="shared" si="59"/>
        <v>1.0217777777777777</v>
      </c>
      <c r="N15" s="4">
        <f t="shared" ref="N15:AF15" si="60">IFERROR(N4/N10,0)</f>
        <v>1.1666666666666667</v>
      </c>
      <c r="O15" s="4">
        <f t="shared" si="60"/>
        <v>0</v>
      </c>
      <c r="P15" s="4">
        <f t="shared" si="60"/>
        <v>1</v>
      </c>
      <c r="Q15" s="4">
        <f t="shared" si="60"/>
        <v>1</v>
      </c>
      <c r="R15" s="4">
        <f t="shared" si="60"/>
        <v>1</v>
      </c>
      <c r="S15" s="4">
        <f t="shared" si="60"/>
        <v>1.1002678913126673</v>
      </c>
      <c r="T15" s="4">
        <f t="shared" si="60"/>
        <v>2.3917000000000002</v>
      </c>
      <c r="U15" s="4">
        <f t="shared" si="60"/>
        <v>1</v>
      </c>
      <c r="V15" s="4">
        <f t="shared" si="60"/>
        <v>2.3332000000000002</v>
      </c>
      <c r="W15" s="4">
        <f t="shared" si="60"/>
        <v>2.1538461538461537</v>
      </c>
      <c r="X15" s="4">
        <f t="shared" si="60"/>
        <v>1.0045924225028702</v>
      </c>
      <c r="Y15" s="4">
        <f t="shared" si="60"/>
        <v>0</v>
      </c>
      <c r="Z15" s="4">
        <f t="shared" si="60"/>
        <v>1.95</v>
      </c>
      <c r="AA15" s="4">
        <f t="shared" si="60"/>
        <v>2</v>
      </c>
      <c r="AB15" s="4">
        <f t="shared" si="60"/>
        <v>0</v>
      </c>
      <c r="AC15" s="4">
        <f t="shared" si="60"/>
        <v>0</v>
      </c>
      <c r="AD15" s="4">
        <f t="shared" si="60"/>
        <v>0</v>
      </c>
      <c r="AE15" s="4">
        <f t="shared" si="60"/>
        <v>0</v>
      </c>
      <c r="AF15" s="4">
        <f t="shared" si="60"/>
        <v>2.0583</v>
      </c>
      <c r="AG15" s="4">
        <f t="shared" ref="AG15:BG15" si="61">IFERROR(AG4/AG10,0)</f>
        <v>0</v>
      </c>
      <c r="AH15" s="4">
        <f t="shared" si="61"/>
        <v>0</v>
      </c>
      <c r="AI15" s="4">
        <f t="shared" si="61"/>
        <v>0</v>
      </c>
      <c r="AJ15" s="4">
        <f t="shared" si="61"/>
        <v>0</v>
      </c>
      <c r="AK15" s="4">
        <f t="shared" si="61"/>
        <v>0</v>
      </c>
      <c r="AL15" s="4">
        <f t="shared" si="61"/>
        <v>0</v>
      </c>
      <c r="AM15" s="4">
        <f t="shared" si="61"/>
        <v>0</v>
      </c>
      <c r="AN15" s="4">
        <f t="shared" si="61"/>
        <v>0</v>
      </c>
      <c r="AO15" s="4">
        <f t="shared" si="61"/>
        <v>0</v>
      </c>
      <c r="AP15" s="4">
        <f t="shared" si="61"/>
        <v>0</v>
      </c>
      <c r="AQ15" s="4">
        <f t="shared" si="61"/>
        <v>0</v>
      </c>
      <c r="AR15" s="4">
        <f t="shared" si="61"/>
        <v>0</v>
      </c>
      <c r="AS15" s="4">
        <f t="shared" si="61"/>
        <v>0</v>
      </c>
      <c r="AT15" s="4">
        <f t="shared" si="61"/>
        <v>3.0202</v>
      </c>
      <c r="AU15" s="4">
        <f t="shared" si="61"/>
        <v>0</v>
      </c>
      <c r="AV15" s="4">
        <f t="shared" si="61"/>
        <v>0</v>
      </c>
      <c r="AW15" s="4">
        <f t="shared" si="61"/>
        <v>0</v>
      </c>
      <c r="AX15" s="4">
        <f t="shared" si="61"/>
        <v>1</v>
      </c>
      <c r="AY15" s="4">
        <f t="shared" si="61"/>
        <v>0.94117647058823528</v>
      </c>
      <c r="AZ15" s="4">
        <f t="shared" si="61"/>
        <v>0.88007129519606175</v>
      </c>
      <c r="BA15" s="4">
        <f t="shared" si="61"/>
        <v>1</v>
      </c>
      <c r="BB15" s="4">
        <f t="shared" si="61"/>
        <v>1</v>
      </c>
      <c r="BC15" s="4">
        <f t="shared" si="61"/>
        <v>0</v>
      </c>
      <c r="BD15" s="4">
        <f t="shared" si="61"/>
        <v>0</v>
      </c>
      <c r="BE15" s="4">
        <f t="shared" si="61"/>
        <v>1.033324722293981</v>
      </c>
      <c r="BF15" s="4">
        <f t="shared" si="61"/>
        <v>1</v>
      </c>
      <c r="BG15" s="4">
        <f t="shared" si="61"/>
        <v>0</v>
      </c>
    </row>
    <row r="16" spans="1:59" x14ac:dyDescent="0.25">
      <c r="A16" s="1" t="s">
        <v>73</v>
      </c>
      <c r="B16" s="4">
        <f t="shared" ref="B16:D16" si="62">IFERROR(B5/B11,0)</f>
        <v>25.995449101796407</v>
      </c>
      <c r="C16" s="4">
        <f t="shared" si="62"/>
        <v>10.024055555555556</v>
      </c>
      <c r="D16" s="4">
        <f t="shared" si="62"/>
        <v>5.15625</v>
      </c>
      <c r="E16" s="4">
        <f t="shared" ref="E16:L16" si="63">IFERROR(E5/E11,0)</f>
        <v>0</v>
      </c>
      <c r="F16" s="4">
        <f t="shared" si="63"/>
        <v>0</v>
      </c>
      <c r="G16" s="4">
        <f t="shared" si="63"/>
        <v>6.0187499999999998</v>
      </c>
      <c r="H16" s="4">
        <f t="shared" si="63"/>
        <v>13.10766528157829</v>
      </c>
      <c r="I16" s="4">
        <f t="shared" si="63"/>
        <v>5.9523809523809526</v>
      </c>
      <c r="J16" s="4">
        <f t="shared" si="63"/>
        <v>3</v>
      </c>
      <c r="K16" s="4">
        <f t="shared" si="63"/>
        <v>13</v>
      </c>
      <c r="L16" s="4">
        <f t="shared" si="63"/>
        <v>9.9666666666666668</v>
      </c>
      <c r="M16" s="4">
        <f t="shared" ref="M16:AE16" si="64">IFERROR(M5/M11,0)</f>
        <v>9.0136054421768712</v>
      </c>
      <c r="N16" s="4">
        <f t="shared" si="64"/>
        <v>12.976514285714286</v>
      </c>
      <c r="O16" s="4">
        <f t="shared" si="64"/>
        <v>4.8025000000000002</v>
      </c>
      <c r="P16" s="4">
        <f t="shared" si="64"/>
        <v>9.2166666666666668</v>
      </c>
      <c r="Q16" s="4">
        <f t="shared" si="64"/>
        <v>7.3666666666666663</v>
      </c>
      <c r="R16" s="4">
        <f t="shared" si="64"/>
        <v>9.7156249999999993</v>
      </c>
      <c r="S16" s="4">
        <f t="shared" si="64"/>
        <v>25.215476190476192</v>
      </c>
      <c r="T16" s="4">
        <f t="shared" si="64"/>
        <v>73.987238095238098</v>
      </c>
      <c r="U16" s="4">
        <f t="shared" si="64"/>
        <v>3.3714285714285714</v>
      </c>
      <c r="V16" s="4">
        <f t="shared" si="64"/>
        <v>15.04709090909091</v>
      </c>
      <c r="W16" s="4">
        <f t="shared" si="64"/>
        <v>72.331828571428574</v>
      </c>
      <c r="X16" s="4">
        <f t="shared" si="64"/>
        <v>15.153818181818181</v>
      </c>
      <c r="Y16" s="4">
        <f t="shared" si="64"/>
        <v>0</v>
      </c>
      <c r="Z16" s="4">
        <f t="shared" si="64"/>
        <v>48.539363636363639</v>
      </c>
      <c r="AA16" s="4">
        <f t="shared" si="64"/>
        <v>34.345783783783787</v>
      </c>
      <c r="AB16" s="4">
        <f t="shared" si="64"/>
        <v>13.520416666666666</v>
      </c>
      <c r="AC16" s="4">
        <f t="shared" si="64"/>
        <v>4.375</v>
      </c>
      <c r="AD16" s="4">
        <f t="shared" si="64"/>
        <v>5.3958693896388601</v>
      </c>
      <c r="AE16" s="4">
        <f t="shared" si="64"/>
        <v>1.6334</v>
      </c>
      <c r="AF16" s="4">
        <f t="shared" ref="AF16:BG16" si="65">IFERROR(AF5/AF11,0)</f>
        <v>38.115000000000002</v>
      </c>
      <c r="AG16" s="4">
        <f t="shared" si="65"/>
        <v>4.3024615384615386</v>
      </c>
      <c r="AH16" s="4">
        <f t="shared" si="65"/>
        <v>6.1034482758620694</v>
      </c>
      <c r="AI16" s="4">
        <f t="shared" si="65"/>
        <v>11.3689</v>
      </c>
      <c r="AJ16" s="4">
        <f t="shared" si="65"/>
        <v>11.16155737704918</v>
      </c>
      <c r="AK16" s="4">
        <f t="shared" si="65"/>
        <v>41.669709302325579</v>
      </c>
      <c r="AL16" s="4">
        <f t="shared" si="65"/>
        <v>7.125</v>
      </c>
      <c r="AM16" s="4">
        <f t="shared" si="65"/>
        <v>0</v>
      </c>
      <c r="AN16" s="4">
        <f t="shared" si="65"/>
        <v>0</v>
      </c>
      <c r="AO16" s="4">
        <f t="shared" si="65"/>
        <v>0</v>
      </c>
      <c r="AP16" s="4">
        <f t="shared" si="65"/>
        <v>0</v>
      </c>
      <c r="AQ16" s="4">
        <f t="shared" si="65"/>
        <v>0</v>
      </c>
      <c r="AR16" s="4">
        <f t="shared" si="65"/>
        <v>0</v>
      </c>
      <c r="AS16" s="4">
        <f t="shared" si="65"/>
        <v>0</v>
      </c>
      <c r="AT16" s="4">
        <f t="shared" si="65"/>
        <v>49.340368421052631</v>
      </c>
      <c r="AU16" s="4">
        <f t="shared" si="65"/>
        <v>9.8666999999999998</v>
      </c>
      <c r="AV16" s="4">
        <f t="shared" si="65"/>
        <v>5</v>
      </c>
      <c r="AW16" s="4">
        <f t="shared" si="65"/>
        <v>3.8333750000000002</v>
      </c>
      <c r="AX16" s="4">
        <f t="shared" si="65"/>
        <v>7.1857142857142859</v>
      </c>
      <c r="AY16" s="4">
        <f t="shared" si="65"/>
        <v>12.677777777777777</v>
      </c>
      <c r="AZ16" s="4">
        <f t="shared" si="65"/>
        <v>8.0875000000000004</v>
      </c>
      <c r="BA16" s="4">
        <f t="shared" si="65"/>
        <v>7.0185000000000004</v>
      </c>
      <c r="BB16" s="4">
        <f t="shared" si="65"/>
        <v>6.8708125000000004</v>
      </c>
      <c r="BC16" s="4">
        <f t="shared" si="65"/>
        <v>0</v>
      </c>
      <c r="BD16" s="4">
        <f t="shared" si="65"/>
        <v>3.1466666666666665</v>
      </c>
      <c r="BE16" s="4">
        <f t="shared" si="65"/>
        <v>6.4</v>
      </c>
      <c r="BF16" s="4">
        <f t="shared" si="65"/>
        <v>6.166666666666667</v>
      </c>
      <c r="BG16" s="4">
        <f t="shared" si="65"/>
        <v>6.7222222222222223</v>
      </c>
    </row>
    <row r="17" spans="1:59" x14ac:dyDescent="0.25">
      <c r="A17" s="1" t="s">
        <v>74</v>
      </c>
      <c r="B17" s="4">
        <f t="shared" ref="B17:D17" si="66">IFERROR(B6/B12,0)</f>
        <v>0</v>
      </c>
      <c r="C17" s="4">
        <f t="shared" si="66"/>
        <v>0</v>
      </c>
      <c r="D17" s="4">
        <f t="shared" si="66"/>
        <v>0</v>
      </c>
      <c r="E17" s="4">
        <f t="shared" ref="E17:L17" si="67">IFERROR(E6/E12,0)</f>
        <v>0</v>
      </c>
      <c r="F17" s="4">
        <f t="shared" si="67"/>
        <v>0</v>
      </c>
      <c r="G17" s="4">
        <f t="shared" si="67"/>
        <v>0</v>
      </c>
      <c r="H17" s="4">
        <f t="shared" si="67"/>
        <v>0</v>
      </c>
      <c r="I17" s="4">
        <f t="shared" si="67"/>
        <v>0</v>
      </c>
      <c r="J17" s="4">
        <f t="shared" si="67"/>
        <v>0</v>
      </c>
      <c r="K17" s="4">
        <f t="shared" si="67"/>
        <v>0</v>
      </c>
      <c r="L17" s="4">
        <f t="shared" si="67"/>
        <v>0</v>
      </c>
      <c r="M17" s="4">
        <f t="shared" ref="M17:AE17" si="68">IFERROR(M6/M12,0)</f>
        <v>0</v>
      </c>
      <c r="N17" s="4">
        <f t="shared" si="68"/>
        <v>0</v>
      </c>
      <c r="O17" s="4">
        <f t="shared" si="68"/>
        <v>0</v>
      </c>
      <c r="P17" s="4">
        <f t="shared" si="68"/>
        <v>0</v>
      </c>
      <c r="Q17" s="4">
        <f t="shared" si="68"/>
        <v>0</v>
      </c>
      <c r="R17" s="4">
        <f t="shared" si="68"/>
        <v>0</v>
      </c>
      <c r="S17" s="4">
        <f t="shared" si="68"/>
        <v>1.6383107747537962</v>
      </c>
      <c r="T17" s="4">
        <f t="shared" si="68"/>
        <v>3.7708333333333335</v>
      </c>
      <c r="U17" s="4">
        <f t="shared" si="68"/>
        <v>0</v>
      </c>
      <c r="V17" s="4">
        <f t="shared" si="68"/>
        <v>1.21875</v>
      </c>
      <c r="W17" s="4">
        <f t="shared" si="68"/>
        <v>0</v>
      </c>
      <c r="X17" s="4">
        <f t="shared" si="68"/>
        <v>0.86721420190787124</v>
      </c>
      <c r="Y17" s="4">
        <f t="shared" si="68"/>
        <v>0</v>
      </c>
      <c r="Z17" s="4">
        <f t="shared" si="68"/>
        <v>0.93023255813953487</v>
      </c>
      <c r="AA17" s="4">
        <f t="shared" si="68"/>
        <v>1.98</v>
      </c>
      <c r="AB17" s="4">
        <f t="shared" si="68"/>
        <v>0</v>
      </c>
      <c r="AC17" s="4">
        <f t="shared" si="68"/>
        <v>0</v>
      </c>
      <c r="AD17" s="4">
        <f t="shared" si="68"/>
        <v>0</v>
      </c>
      <c r="AE17" s="4">
        <f t="shared" si="68"/>
        <v>0</v>
      </c>
      <c r="AF17" s="4">
        <f t="shared" ref="AF17:BG17" si="69">IFERROR(AF6/AF12,0)</f>
        <v>24.767553571428572</v>
      </c>
      <c r="AG17" s="4">
        <f t="shared" si="69"/>
        <v>0</v>
      </c>
      <c r="AH17" s="4">
        <f t="shared" si="69"/>
        <v>0</v>
      </c>
      <c r="AI17" s="4">
        <f t="shared" si="69"/>
        <v>0</v>
      </c>
      <c r="AJ17" s="4">
        <f t="shared" si="69"/>
        <v>0</v>
      </c>
      <c r="AK17" s="4">
        <f t="shared" si="69"/>
        <v>7.337662337662338</v>
      </c>
      <c r="AL17" s="4">
        <f t="shared" si="69"/>
        <v>0</v>
      </c>
      <c r="AM17" s="4">
        <f t="shared" si="69"/>
        <v>0</v>
      </c>
      <c r="AN17" s="4">
        <f t="shared" si="69"/>
        <v>0</v>
      </c>
      <c r="AO17" s="4">
        <f t="shared" si="69"/>
        <v>0</v>
      </c>
      <c r="AP17" s="4">
        <f t="shared" si="69"/>
        <v>0</v>
      </c>
      <c r="AQ17" s="4">
        <f t="shared" si="69"/>
        <v>0</v>
      </c>
      <c r="AR17" s="4">
        <f t="shared" si="69"/>
        <v>0</v>
      </c>
      <c r="AS17" s="4">
        <f t="shared" si="69"/>
        <v>0</v>
      </c>
      <c r="AT17" s="4">
        <f t="shared" si="69"/>
        <v>2.5953750000000002</v>
      </c>
      <c r="AU17" s="4">
        <f t="shared" si="69"/>
        <v>0</v>
      </c>
      <c r="AV17" s="4">
        <f t="shared" si="69"/>
        <v>0</v>
      </c>
      <c r="AW17" s="4">
        <f t="shared" si="69"/>
        <v>0</v>
      </c>
      <c r="AX17" s="4">
        <f t="shared" si="69"/>
        <v>0</v>
      </c>
      <c r="AY17" s="4">
        <f t="shared" si="69"/>
        <v>0</v>
      </c>
      <c r="AZ17" s="4">
        <f t="shared" si="69"/>
        <v>0</v>
      </c>
      <c r="BA17" s="4">
        <f t="shared" si="69"/>
        <v>0</v>
      </c>
      <c r="BB17" s="4">
        <f t="shared" si="69"/>
        <v>0</v>
      </c>
      <c r="BC17" s="4">
        <f t="shared" si="69"/>
        <v>0</v>
      </c>
      <c r="BD17" s="4">
        <f t="shared" si="69"/>
        <v>0</v>
      </c>
      <c r="BE17" s="4">
        <f t="shared" si="69"/>
        <v>0</v>
      </c>
      <c r="BF17" s="4">
        <f t="shared" si="69"/>
        <v>0</v>
      </c>
      <c r="BG17" s="4">
        <f t="shared" si="69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4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1</v>
      </c>
      <c r="W20" s="2">
        <v>7</v>
      </c>
      <c r="X20" s="2">
        <v>1</v>
      </c>
      <c r="Y20" s="2">
        <v>1</v>
      </c>
      <c r="Z20" s="2">
        <v>4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0</v>
      </c>
      <c r="AM20" s="2"/>
      <c r="AN20" s="2"/>
      <c r="AO20" s="2">
        <v>0</v>
      </c>
      <c r="AP20" s="2">
        <v>0</v>
      </c>
      <c r="AQ20" s="2">
        <v>0</v>
      </c>
      <c r="AR20" s="2">
        <v>0</v>
      </c>
      <c r="AS20" s="2"/>
      <c r="AT20" s="2">
        <v>3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</row>
    <row r="21" spans="1:59" x14ac:dyDescent="0.25">
      <c r="A21" s="1" t="s">
        <v>6</v>
      </c>
      <c r="B21" s="2">
        <v>27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6</v>
      </c>
      <c r="J21" s="2">
        <v>2</v>
      </c>
      <c r="K21" s="2">
        <v>13</v>
      </c>
      <c r="L21" s="2">
        <v>10</v>
      </c>
      <c r="M21" s="2">
        <v>9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4</v>
      </c>
      <c r="V21" s="2">
        <v>15</v>
      </c>
      <c r="W21" s="2">
        <v>62</v>
      </c>
      <c r="X21" s="2">
        <v>15</v>
      </c>
      <c r="Y21" s="2">
        <v>19</v>
      </c>
      <c r="Z21" s="2">
        <v>48</v>
      </c>
      <c r="AA21" s="2">
        <v>32</v>
      </c>
      <c r="AB21" s="2">
        <v>13</v>
      </c>
      <c r="AC21" s="2">
        <v>5</v>
      </c>
      <c r="AD21" s="2">
        <v>5</v>
      </c>
      <c r="AE21" s="2">
        <v>2</v>
      </c>
      <c r="AF21" s="2">
        <v>41</v>
      </c>
      <c r="AG21" s="2">
        <v>4</v>
      </c>
      <c r="AH21" s="2">
        <v>5</v>
      </c>
      <c r="AI21" s="2">
        <v>12</v>
      </c>
      <c r="AJ21" s="2">
        <v>11</v>
      </c>
      <c r="AK21" s="2">
        <v>39</v>
      </c>
      <c r="AL21" s="2">
        <v>7</v>
      </c>
      <c r="AM21" s="2"/>
      <c r="AN21" s="2"/>
      <c r="AO21" s="2">
        <v>7</v>
      </c>
      <c r="AP21" s="2">
        <v>5</v>
      </c>
      <c r="AQ21" s="2">
        <v>5</v>
      </c>
      <c r="AR21" s="2">
        <v>1</v>
      </c>
      <c r="AS21" s="2"/>
      <c r="AT21" s="2">
        <v>45</v>
      </c>
      <c r="AU21" s="2">
        <v>10</v>
      </c>
      <c r="AV21" s="2">
        <v>5</v>
      </c>
      <c r="AW21" s="2">
        <v>4</v>
      </c>
      <c r="AX21" s="2">
        <v>7</v>
      </c>
      <c r="AY21" s="2">
        <v>13</v>
      </c>
      <c r="AZ21" s="2">
        <v>8</v>
      </c>
      <c r="BA21" s="2">
        <v>7</v>
      </c>
      <c r="BB21" s="2">
        <v>7</v>
      </c>
      <c r="BC21" s="2">
        <v>5</v>
      </c>
      <c r="BD21" s="2">
        <v>3</v>
      </c>
      <c r="BE21" s="2">
        <v>6</v>
      </c>
      <c r="BF21" s="2">
        <v>6</v>
      </c>
      <c r="BG21" s="2">
        <v>7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0</v>
      </c>
      <c r="V22" s="2">
        <v>1</v>
      </c>
      <c r="W22" s="2">
        <v>0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26</v>
      </c>
      <c r="AG22" s="2">
        <v>0</v>
      </c>
      <c r="AH22" s="2">
        <v>0</v>
      </c>
      <c r="AI22" s="2">
        <v>0</v>
      </c>
      <c r="AJ22" s="2">
        <v>0</v>
      </c>
      <c r="AK22" s="2">
        <v>7</v>
      </c>
      <c r="AL22" s="2">
        <v>0</v>
      </c>
      <c r="AM22" s="2"/>
      <c r="AN22" s="2"/>
      <c r="AO22" s="2">
        <v>0</v>
      </c>
      <c r="AP22" s="2">
        <v>0</v>
      </c>
      <c r="AQ22" s="2">
        <v>0</v>
      </c>
      <c r="AR22" s="2">
        <v>0</v>
      </c>
      <c r="AS22" s="2"/>
      <c r="AT22" s="2">
        <v>3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FB87-AFCA-4A2C-ACCA-62730CC811F9}">
  <dimension ref="A1:BG22"/>
  <sheetViews>
    <sheetView zoomScaleNormal="100" workbookViewId="0">
      <selection sqref="A1:A1048576"/>
    </sheetView>
  </sheetViews>
  <sheetFormatPr defaultRowHeight="15" x14ac:dyDescent="0.25"/>
  <cols>
    <col min="1" max="1" width="19.140625" bestFit="1" customWidth="1"/>
    <col min="2" max="2" width="10" bestFit="1" customWidth="1"/>
    <col min="3" max="5" width="7.7109375" bestFit="1" customWidth="1"/>
    <col min="6" max="6" width="8.7109375" bestFit="1" customWidth="1"/>
    <col min="7" max="8" width="7.7109375" bestFit="1" customWidth="1"/>
    <col min="9" max="9" width="12" bestFit="1" customWidth="1"/>
    <col min="10" max="10" width="7.7109375" bestFit="1" customWidth="1"/>
    <col min="11" max="11" width="13.1406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8.140625" bestFit="1" customWidth="1"/>
    <col min="16" max="16" width="7.7109375" bestFit="1" customWidth="1"/>
    <col min="17" max="17" width="11.7109375" bestFit="1" customWidth="1"/>
    <col min="18" max="18" width="7.7109375" bestFit="1" customWidth="1"/>
    <col min="19" max="19" width="7" bestFit="1" customWidth="1"/>
    <col min="20" max="20" width="8" bestFit="1" customWidth="1"/>
    <col min="21" max="21" width="7" bestFit="1" customWidth="1"/>
    <col min="22" max="22" width="8" bestFit="1" customWidth="1"/>
    <col min="23" max="23" width="14.42578125" bestFit="1" customWidth="1"/>
    <col min="24" max="24" width="14.140625" bestFit="1" customWidth="1"/>
    <col min="25" max="25" width="8" bestFit="1" customWidth="1"/>
    <col min="26" max="26" width="7.5703125" bestFit="1" customWidth="1"/>
    <col min="27" max="27" width="11" bestFit="1" customWidth="1"/>
    <col min="28" max="28" width="9" bestFit="1" customWidth="1"/>
    <col min="29" max="29" width="9.42578125" bestFit="1" customWidth="1"/>
    <col min="30" max="30" width="7.7109375" bestFit="1" customWidth="1"/>
    <col min="31" max="31" width="8.5703125" bestFit="1" customWidth="1"/>
    <col min="32" max="32" width="7.7109375" bestFit="1" customWidth="1"/>
    <col min="33" max="33" width="8" bestFit="1" customWidth="1"/>
    <col min="34" max="34" width="7.7109375" bestFit="1" customWidth="1"/>
    <col min="35" max="35" width="8.140625" bestFit="1" customWidth="1"/>
    <col min="36" max="36" width="8.28515625" bestFit="1" customWidth="1"/>
    <col min="37" max="37" width="7.7109375" bestFit="1" customWidth="1"/>
    <col min="38" max="38" width="10" bestFit="1" customWidth="1"/>
    <col min="39" max="39" width="10.42578125" bestFit="1" customWidth="1"/>
    <col min="40" max="44" width="7.7109375" bestFit="1" customWidth="1"/>
    <col min="45" max="45" width="8" bestFit="1" customWidth="1"/>
    <col min="46" max="46" width="11.7109375" bestFit="1" customWidth="1"/>
    <col min="47" max="47" width="8.85546875" bestFit="1" customWidth="1"/>
    <col min="48" max="48" width="7.7109375" bestFit="1" customWidth="1"/>
    <col min="50" max="50" width="7.7109375" bestFit="1" customWidth="1"/>
    <col min="51" max="51" width="9.5703125" bestFit="1" customWidth="1"/>
    <col min="52" max="52" width="7.7109375" bestFit="1" customWidth="1"/>
    <col min="53" max="53" width="8.5703125" bestFit="1" customWidth="1"/>
    <col min="54" max="55" width="7.7109375" bestFit="1" customWidth="1"/>
    <col min="56" max="56" width="11.5703125" bestFit="1" customWidth="1"/>
    <col min="57" max="59" width="7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1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2" t="s">
        <v>68</v>
      </c>
      <c r="AB1" s="1" t="s">
        <v>42</v>
      </c>
      <c r="AC1" s="1" t="s">
        <v>43</v>
      </c>
      <c r="AD1" s="1" t="s">
        <v>52</v>
      </c>
      <c r="AE1" s="22" t="s">
        <v>63</v>
      </c>
      <c r="AF1" s="22" t="s">
        <v>69</v>
      </c>
      <c r="AG1" s="1" t="s">
        <v>17</v>
      </c>
      <c r="AH1" s="22" t="s">
        <v>70</v>
      </c>
      <c r="AI1" s="1" t="s">
        <v>32</v>
      </c>
      <c r="AJ1" s="22" t="s">
        <v>62</v>
      </c>
      <c r="AK1" s="1" t="s">
        <v>61</v>
      </c>
      <c r="AL1" s="1" t="s">
        <v>23</v>
      </c>
      <c r="AM1" s="22" t="s">
        <v>64</v>
      </c>
      <c r="AN1" s="22" t="s">
        <v>71</v>
      </c>
      <c r="AO1" s="22" t="s">
        <v>66</v>
      </c>
      <c r="AP1" s="1" t="s">
        <v>24</v>
      </c>
      <c r="AQ1" s="22" t="s">
        <v>67</v>
      </c>
      <c r="AR1" s="22" t="s">
        <v>65</v>
      </c>
      <c r="AS1" s="22" t="s">
        <v>25</v>
      </c>
      <c r="AT1" s="1" t="s">
        <v>28</v>
      </c>
      <c r="AU1" s="1" t="s">
        <v>46</v>
      </c>
      <c r="AV1" s="1" t="s">
        <v>55</v>
      </c>
      <c r="AW1" s="22" t="s">
        <v>34</v>
      </c>
      <c r="AX1" s="1" t="s">
        <v>37</v>
      </c>
      <c r="AY1" s="1" t="s">
        <v>38</v>
      </c>
      <c r="AZ1" s="1" t="s">
        <v>39</v>
      </c>
      <c r="BA1" s="22" t="s">
        <v>40</v>
      </c>
      <c r="BB1" s="1" t="s">
        <v>44</v>
      </c>
      <c r="BC1" s="1" t="s">
        <v>45</v>
      </c>
      <c r="BD1" s="1" t="s">
        <v>47</v>
      </c>
      <c r="BE1" s="1" t="s">
        <v>48</v>
      </c>
      <c r="BF1" s="1" t="s">
        <v>50</v>
      </c>
      <c r="BG1" s="1" t="s">
        <v>60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5419</v>
      </c>
      <c r="D4" s="2">
        <v>9032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9012</v>
      </c>
      <c r="L4" s="2">
        <v>9616</v>
      </c>
      <c r="M4" s="2">
        <v>8960</v>
      </c>
      <c r="N4" s="2">
        <v>8000</v>
      </c>
      <c r="O4" s="2">
        <v>0</v>
      </c>
      <c r="P4" s="2">
        <v>8516</v>
      </c>
      <c r="Q4" s="2">
        <v>8258</v>
      </c>
      <c r="R4" s="2">
        <v>9000</v>
      </c>
      <c r="S4" s="2">
        <v>11500</v>
      </c>
      <c r="T4" s="2">
        <v>31917</v>
      </c>
      <c r="U4" s="20">
        <v>5833</v>
      </c>
      <c r="V4" s="18">
        <v>28000</v>
      </c>
      <c r="W4" s="2">
        <v>10452</v>
      </c>
      <c r="X4" s="2">
        <v>2903</v>
      </c>
      <c r="Y4" s="2">
        <v>20129</v>
      </c>
      <c r="Z4" s="2">
        <v>20000</v>
      </c>
      <c r="AA4" s="2">
        <v>0</v>
      </c>
      <c r="AB4" s="2">
        <v>0</v>
      </c>
      <c r="AC4" s="2">
        <v>0</v>
      </c>
      <c r="AD4" s="2">
        <v>0</v>
      </c>
      <c r="AE4" s="2">
        <v>20226</v>
      </c>
      <c r="AF4" s="2">
        <v>0</v>
      </c>
      <c r="AG4" s="2">
        <v>0</v>
      </c>
      <c r="AH4" s="2">
        <v>0</v>
      </c>
      <c r="AI4" s="2">
        <v>0</v>
      </c>
      <c r="AJ4" s="10">
        <v>0</v>
      </c>
      <c r="AK4" s="2">
        <v>0</v>
      </c>
      <c r="AL4" s="2"/>
      <c r="AM4" s="2"/>
      <c r="AN4" s="2"/>
      <c r="AO4" s="2"/>
      <c r="AP4" s="2"/>
      <c r="AQ4" s="2"/>
      <c r="AR4" s="2"/>
      <c r="AS4" s="14">
        <v>30202</v>
      </c>
      <c r="AT4" s="2">
        <v>0</v>
      </c>
      <c r="AU4" s="2">
        <v>0</v>
      </c>
      <c r="AV4" s="2">
        <v>0</v>
      </c>
      <c r="AW4" s="2">
        <v>7677</v>
      </c>
      <c r="AX4" s="2">
        <v>10839</v>
      </c>
      <c r="AY4" s="2">
        <v>10396</v>
      </c>
      <c r="AZ4" s="2">
        <v>10208</v>
      </c>
      <c r="BA4" s="2">
        <v>8774</v>
      </c>
      <c r="BB4" s="2">
        <v>0</v>
      </c>
      <c r="BC4" s="2">
        <v>0</v>
      </c>
      <c r="BD4" s="2">
        <v>8000</v>
      </c>
      <c r="BE4" s="2">
        <v>8129</v>
      </c>
      <c r="BF4" s="2">
        <v>8000</v>
      </c>
      <c r="BG4" s="2">
        <v>0</v>
      </c>
    </row>
    <row r="5" spans="1:59" x14ac:dyDescent="0.25">
      <c r="A5" s="1" t="s">
        <v>2</v>
      </c>
      <c r="B5" s="2">
        <v>622872</v>
      </c>
      <c r="C5" s="2">
        <v>154984</v>
      </c>
      <c r="D5" s="2">
        <v>63871</v>
      </c>
      <c r="E5" s="2">
        <v>0</v>
      </c>
      <c r="F5" s="2">
        <v>0</v>
      </c>
      <c r="G5" s="2">
        <f>110000+12500</f>
        <v>122500</v>
      </c>
      <c r="H5" s="2">
        <v>124194</v>
      </c>
      <c r="I5" s="2">
        <v>0</v>
      </c>
      <c r="J5" s="2">
        <v>16129</v>
      </c>
      <c r="K5" s="2">
        <v>205161</v>
      </c>
      <c r="L5" s="2">
        <v>159677</v>
      </c>
      <c r="M5" s="2">
        <v>139354</v>
      </c>
      <c r="N5" s="2">
        <v>234736</v>
      </c>
      <c r="O5" s="2">
        <v>32553</v>
      </c>
      <c r="P5" s="2">
        <v>186032</v>
      </c>
      <c r="Q5" s="2">
        <v>143258</v>
      </c>
      <c r="R5" s="2">
        <v>142500</v>
      </c>
      <c r="S5" s="2">
        <v>509762</v>
      </c>
      <c r="T5" s="2">
        <f>1766326-T4-T6</f>
        <v>1643909</v>
      </c>
      <c r="U5" s="2">
        <v>311000</v>
      </c>
      <c r="V5" s="2">
        <v>1340331</v>
      </c>
      <c r="W5" s="2">
        <v>361976</v>
      </c>
      <c r="X5" s="2">
        <f>446267+32104</f>
        <v>478371</v>
      </c>
      <c r="Y5" s="2">
        <f>606294+473644+44000-33000</f>
        <v>1090938</v>
      </c>
      <c r="Z5" s="2">
        <v>646655</v>
      </c>
      <c r="AA5" s="2">
        <v>142677</v>
      </c>
      <c r="AB5" s="2">
        <v>30904</v>
      </c>
      <c r="AC5" s="2">
        <v>24222</v>
      </c>
      <c r="AD5" s="2">
        <v>13903</v>
      </c>
      <c r="AE5" s="2">
        <v>753056</v>
      </c>
      <c r="AF5" s="2">
        <v>20431</v>
      </c>
      <c r="AG5" s="2">
        <v>75871</v>
      </c>
      <c r="AH5" s="2">
        <v>75099</v>
      </c>
      <c r="AI5" s="2">
        <v>124911</v>
      </c>
      <c r="AJ5" s="2">
        <f>261500+462700</f>
        <v>724200</v>
      </c>
      <c r="AK5" s="8">
        <v>0</v>
      </c>
      <c r="AL5" s="2"/>
      <c r="AM5" s="2"/>
      <c r="AN5" s="2"/>
      <c r="AO5" s="2"/>
      <c r="AP5" s="2"/>
      <c r="AQ5" s="2"/>
      <c r="AR5" s="2"/>
      <c r="AS5" s="4">
        <v>937467</v>
      </c>
      <c r="AT5" s="2">
        <v>121968</v>
      </c>
      <c r="AU5" s="2">
        <v>40000</v>
      </c>
      <c r="AV5" s="2">
        <v>32000</v>
      </c>
      <c r="AW5" s="2">
        <v>110335</v>
      </c>
      <c r="AX5" s="2">
        <v>223484</v>
      </c>
      <c r="AY5" s="2">
        <v>124516</v>
      </c>
      <c r="AZ5" s="2">
        <v>126451</v>
      </c>
      <c r="BA5" s="2">
        <v>121742</v>
      </c>
      <c r="BB5" s="2">
        <v>0</v>
      </c>
      <c r="BC5" s="2">
        <v>48774</v>
      </c>
      <c r="BD5" s="2">
        <v>134709</v>
      </c>
      <c r="BE5" s="2">
        <v>104153</v>
      </c>
      <c r="BF5" s="2">
        <v>121000</v>
      </c>
      <c r="BG5" s="2">
        <v>8258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58500</v>
      </c>
      <c r="V6" s="2">
        <v>0</v>
      </c>
      <c r="W6" s="2">
        <f>17484+13850</f>
        <v>31334</v>
      </c>
      <c r="X6" s="2">
        <f>84581+6623</f>
        <v>91204</v>
      </c>
      <c r="Y6" s="2">
        <v>0</v>
      </c>
      <c r="Z6" s="14">
        <f>89000+35734-51500</f>
        <v>73234</v>
      </c>
      <c r="AA6" s="2">
        <v>0</v>
      </c>
      <c r="AB6" s="2">
        <v>0</v>
      </c>
      <c r="AC6" s="2">
        <v>0</v>
      </c>
      <c r="AD6" s="2">
        <v>0</v>
      </c>
      <c r="AE6" s="2">
        <f>594400+349097+440000</f>
        <v>1383497</v>
      </c>
      <c r="AF6" s="2">
        <v>0</v>
      </c>
      <c r="AG6" s="2">
        <v>0</v>
      </c>
      <c r="AH6" s="2">
        <v>0</v>
      </c>
      <c r="AI6" s="2">
        <v>0</v>
      </c>
      <c r="AJ6" s="2">
        <f>98000+102000+124000+15000+7273</f>
        <v>346273</v>
      </c>
      <c r="AK6" s="2">
        <v>0</v>
      </c>
      <c r="AL6" s="2"/>
      <c r="AM6" s="2"/>
      <c r="AN6" s="2"/>
      <c r="AO6" s="2"/>
      <c r="AP6" s="2"/>
      <c r="AQ6" s="2"/>
      <c r="AR6" s="2"/>
      <c r="AS6" s="2">
        <v>103815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K7" si="0">SUM(B4:B6)</f>
        <v>622872</v>
      </c>
      <c r="C7" s="5">
        <f t="shared" si="0"/>
        <v>160403</v>
      </c>
      <c r="D7" s="5">
        <f t="shared" si="0"/>
        <v>72903</v>
      </c>
      <c r="E7" s="9">
        <f t="shared" si="0"/>
        <v>0</v>
      </c>
      <c r="F7" s="9">
        <f t="shared" si="0"/>
        <v>0</v>
      </c>
      <c r="G7" s="9">
        <f t="shared" si="0"/>
        <v>129500</v>
      </c>
      <c r="H7" s="9">
        <f t="shared" si="0"/>
        <v>124194</v>
      </c>
      <c r="I7" s="9">
        <f t="shared" si="0"/>
        <v>0</v>
      </c>
      <c r="J7" s="9">
        <f t="shared" si="0"/>
        <v>16129</v>
      </c>
      <c r="K7" s="5">
        <f t="shared" si="0"/>
        <v>214173</v>
      </c>
      <c r="L7" s="5">
        <f t="shared" si="0"/>
        <v>169293</v>
      </c>
      <c r="M7" s="5">
        <f t="shared" si="0"/>
        <v>148314</v>
      </c>
      <c r="N7" s="5">
        <f t="shared" si="0"/>
        <v>242736</v>
      </c>
      <c r="O7" s="5">
        <f t="shared" si="0"/>
        <v>32553</v>
      </c>
      <c r="P7" s="5">
        <f t="shared" si="0"/>
        <v>194548</v>
      </c>
      <c r="Q7" s="5">
        <f t="shared" si="0"/>
        <v>151516</v>
      </c>
      <c r="R7" s="5">
        <f t="shared" si="0"/>
        <v>151500</v>
      </c>
      <c r="S7" s="5">
        <f t="shared" si="0"/>
        <v>588803</v>
      </c>
      <c r="T7" s="5">
        <f t="shared" si="0"/>
        <v>1766326</v>
      </c>
      <c r="U7" s="5">
        <f t="shared" si="0"/>
        <v>375333</v>
      </c>
      <c r="V7" s="5">
        <f t="shared" si="0"/>
        <v>1368331</v>
      </c>
      <c r="W7" s="5">
        <f t="shared" si="0"/>
        <v>403762</v>
      </c>
      <c r="X7" s="5">
        <f t="shared" si="0"/>
        <v>572478</v>
      </c>
      <c r="Y7" s="5">
        <f t="shared" si="0"/>
        <v>1111067</v>
      </c>
      <c r="Z7" s="5">
        <f t="shared" si="0"/>
        <v>739889</v>
      </c>
      <c r="AA7" s="5">
        <f t="shared" ref="AA7:AD7" si="1">SUM(AA5:AA6)</f>
        <v>142677</v>
      </c>
      <c r="AB7" s="5">
        <f t="shared" si="1"/>
        <v>30904</v>
      </c>
      <c r="AC7" s="5">
        <f t="shared" si="1"/>
        <v>24222</v>
      </c>
      <c r="AD7" s="5">
        <f t="shared" si="1"/>
        <v>13903</v>
      </c>
      <c r="AE7" s="5">
        <f>SUM(AE4:AE6)</f>
        <v>2156779</v>
      </c>
      <c r="AF7" s="5">
        <f t="shared" si="0"/>
        <v>20431</v>
      </c>
      <c r="AG7" s="5">
        <f t="shared" si="0"/>
        <v>75871</v>
      </c>
      <c r="AH7" s="5">
        <f t="shared" si="0"/>
        <v>75099</v>
      </c>
      <c r="AI7" s="5">
        <f t="shared" si="0"/>
        <v>124911</v>
      </c>
      <c r="AJ7" s="5">
        <f t="shared" si="0"/>
        <v>1070473</v>
      </c>
      <c r="AK7" s="9">
        <f t="shared" si="0"/>
        <v>0</v>
      </c>
      <c r="AL7" s="2"/>
      <c r="AM7" s="2"/>
      <c r="AN7" s="5">
        <f>SUM(AN4:AN6)</f>
        <v>0</v>
      </c>
      <c r="AO7" s="5">
        <f>SUM(AO4:AO6)</f>
        <v>0</v>
      </c>
      <c r="AP7" s="5">
        <f>SUM(AP4:AP6)</f>
        <v>0</v>
      </c>
      <c r="AQ7" s="5">
        <f>SUM(AQ4:AQ6)</f>
        <v>0</v>
      </c>
      <c r="AR7" s="2"/>
      <c r="AS7" s="5">
        <f t="shared" ref="AS7:BG7" si="2">SUM(AS4:AS6)</f>
        <v>1071484</v>
      </c>
      <c r="AT7" s="5">
        <f>SUM(AT4:AT6)</f>
        <v>121968</v>
      </c>
      <c r="AU7" s="5">
        <f t="shared" si="2"/>
        <v>40000</v>
      </c>
      <c r="AV7" s="5">
        <f t="shared" si="2"/>
        <v>32000</v>
      </c>
      <c r="AW7" s="5">
        <f t="shared" si="2"/>
        <v>118012</v>
      </c>
      <c r="AX7" s="5">
        <f t="shared" si="2"/>
        <v>234323</v>
      </c>
      <c r="AY7" s="5">
        <f t="shared" si="2"/>
        <v>134912</v>
      </c>
      <c r="AZ7" s="5">
        <f t="shared" si="2"/>
        <v>136659</v>
      </c>
      <c r="BA7" s="5">
        <f t="shared" si="2"/>
        <v>130516</v>
      </c>
      <c r="BB7" s="5">
        <f t="shared" si="2"/>
        <v>0</v>
      </c>
      <c r="BC7" s="5">
        <f t="shared" si="2"/>
        <v>48774</v>
      </c>
      <c r="BD7" s="5">
        <f t="shared" si="2"/>
        <v>142709</v>
      </c>
      <c r="BE7" s="5">
        <f t="shared" si="2"/>
        <v>112282</v>
      </c>
      <c r="BF7" s="5">
        <f t="shared" si="2"/>
        <v>129000</v>
      </c>
      <c r="BG7" s="5">
        <f t="shared" si="2"/>
        <v>8258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/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11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/>
      <c r="AM10" s="2"/>
      <c r="AN10" s="2">
        <v>0</v>
      </c>
      <c r="AO10" s="2">
        <v>0</v>
      </c>
      <c r="AP10" s="2">
        <v>0</v>
      </c>
      <c r="AQ10" s="2">
        <v>0</v>
      </c>
      <c r="AR10" s="2"/>
      <c r="AS10" s="2">
        <v>10000</v>
      </c>
      <c r="AT10" s="2">
        <v>0</v>
      </c>
      <c r="AU10" s="2">
        <v>0</v>
      </c>
      <c r="AV10" s="2">
        <v>0</v>
      </c>
      <c r="AW10" s="2">
        <v>7000</v>
      </c>
      <c r="AX10" s="2">
        <v>8500</v>
      </c>
      <c r="AY10" s="2">
        <v>11782</v>
      </c>
      <c r="AZ10" s="2">
        <v>8000</v>
      </c>
      <c r="BA10" s="2">
        <v>8000</v>
      </c>
      <c r="BB10" s="2">
        <v>0</v>
      </c>
      <c r="BC10" s="2">
        <v>0</v>
      </c>
      <c r="BD10" s="2">
        <v>7742</v>
      </c>
      <c r="BE10" s="2">
        <v>4645</v>
      </c>
      <c r="BF10" s="2">
        <v>0</v>
      </c>
      <c r="BG10" s="2">
        <v>0</v>
      </c>
    </row>
    <row r="11" spans="1:59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19000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17200</v>
      </c>
      <c r="AK11" s="2">
        <v>19000</v>
      </c>
      <c r="AL11" s="2"/>
      <c r="AM11" s="2"/>
      <c r="AN11" s="2">
        <v>0</v>
      </c>
      <c r="AO11" s="2">
        <v>0</v>
      </c>
      <c r="AP11" s="2">
        <v>0</v>
      </c>
      <c r="AQ11" s="2">
        <v>0</v>
      </c>
      <c r="AR11" s="2"/>
      <c r="AS11" s="2">
        <v>20000</v>
      </c>
      <c r="AT11" s="2">
        <v>10000</v>
      </c>
      <c r="AU11" s="2">
        <v>12000</v>
      </c>
      <c r="AV11" s="2">
        <v>8000</v>
      </c>
      <c r="AW11" s="2">
        <v>14000</v>
      </c>
      <c r="AX11" s="2">
        <v>18000</v>
      </c>
      <c r="AY11" s="2">
        <v>16000</v>
      </c>
      <c r="AZ11" s="2">
        <v>18000</v>
      </c>
      <c r="BA11" s="2">
        <v>16000</v>
      </c>
      <c r="BB11" s="2">
        <v>12500</v>
      </c>
      <c r="BC11" s="2">
        <v>15000</v>
      </c>
      <c r="BD11" s="2">
        <v>18000</v>
      </c>
      <c r="BE11" s="2">
        <v>16500</v>
      </c>
      <c r="BF11" s="2">
        <v>18000</v>
      </c>
      <c r="BG11" s="2">
        <v>16000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2"/>
      <c r="AM12" s="2"/>
      <c r="AN12" s="2">
        <v>0</v>
      </c>
      <c r="AO12" s="2">
        <v>0</v>
      </c>
      <c r="AP12" s="2">
        <v>0</v>
      </c>
      <c r="AQ12" s="2">
        <v>0</v>
      </c>
      <c r="AR12" s="2"/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34.603999999999999</v>
      </c>
      <c r="C14" s="4">
        <f t="shared" ref="C14:D14" si="3">SUM(C15:C17)</f>
        <v>9.3327555555555559</v>
      </c>
      <c r="D14" s="4">
        <f t="shared" si="3"/>
        <v>6.9354545454545455</v>
      </c>
      <c r="E14" s="4">
        <f t="shared" ref="E14" si="4">SUM(E15:E17)</f>
        <v>0</v>
      </c>
      <c r="F14" s="4">
        <f t="shared" ref="F14" si="5">SUM(F15:F17)</f>
        <v>0</v>
      </c>
      <c r="G14" s="4">
        <f t="shared" ref="G14" si="6">SUM(G15:G17)</f>
        <v>8.9032258064516121</v>
      </c>
      <c r="H14" s="4">
        <f t="shared" ref="H14" si="7">SUM(H15:H17)</f>
        <v>12.586804499847979</v>
      </c>
      <c r="I14" s="4">
        <f t="shared" ref="I14" si="8">SUM(I15:I17)</f>
        <v>0</v>
      </c>
      <c r="J14" s="4">
        <f t="shared" ref="J14" si="9">SUM(J15:J17)</f>
        <v>1.6129</v>
      </c>
      <c r="K14" s="4">
        <f t="shared" ref="K14" si="10">SUM(K15:K17)</f>
        <v>14.678733333333334</v>
      </c>
      <c r="L14" s="4">
        <f t="shared" ref="L14" si="11">SUM(L15:L17)</f>
        <v>11.713577777777779</v>
      </c>
      <c r="M14" s="4">
        <f t="shared" ref="M14" si="12">SUM(M15:M17)</f>
        <v>10.285822222222221</v>
      </c>
      <c r="N14" s="4">
        <f t="shared" ref="N14" si="13">SUM(N15:N17)</f>
        <v>14.480152380952381</v>
      </c>
      <c r="O14" s="4">
        <f t="shared" ref="O14" si="14">SUM(O15:O17)</f>
        <v>4.0691249999999997</v>
      </c>
      <c r="P14" s="4">
        <f t="shared" ref="P14" si="15">SUM(P15:P17)</f>
        <v>11.399611111111112</v>
      </c>
      <c r="Q14" s="4">
        <f t="shared" ref="Q14" si="16">SUM(Q15:Q17)</f>
        <v>7.8540595238095232</v>
      </c>
      <c r="R14" s="4">
        <f t="shared" ref="R14" si="17">SUM(R15:R17)</f>
        <v>9.9650735294117645</v>
      </c>
      <c r="S14" s="4">
        <f t="shared" ref="S14" si="18">SUM(S15:S17)</f>
        <v>27.012959618447418</v>
      </c>
      <c r="T14" s="4">
        <f t="shared" ref="T14" si="19">SUM(T15:T17)</f>
        <v>85.243914285714283</v>
      </c>
      <c r="U14" s="4">
        <f t="shared" ref="U14" si="20">SUM(U15:U17)</f>
        <v>17.688313636363638</v>
      </c>
      <c r="V14" s="4">
        <f t="shared" ref="V14" si="21">SUM(V15:V17)</f>
        <v>78.744189010989018</v>
      </c>
      <c r="W14" s="4">
        <f t="shared" ref="W14" si="22">SUM(W15:W17)</f>
        <v>19.051883357371089</v>
      </c>
      <c r="X14" s="4">
        <f t="shared" ref="X14" si="23">SUM(X15:X17)</f>
        <v>29.882545579363118</v>
      </c>
      <c r="Y14" s="4">
        <f t="shared" ref="Y14" si="24">SUM(Y15:Y17)</f>
        <v>53.962328571428571</v>
      </c>
      <c r="Z14" s="4">
        <f t="shared" ref="Z14" si="25">SUM(Z15:Z17)</f>
        <v>35.797429999999999</v>
      </c>
      <c r="AA14" s="4">
        <f t="shared" ref="AA14" si="26">SUM(AA15:AA17)</f>
        <v>11.323571428571428</v>
      </c>
      <c r="AB14" s="4">
        <f t="shared" ref="AB14" si="27">SUM(AB15:AB17)</f>
        <v>4.2626206896551722</v>
      </c>
      <c r="AC14" s="4">
        <f t="shared" ref="AC14" si="28">SUM(AC15:AC17)</f>
        <v>3.7264615384615385</v>
      </c>
      <c r="AD14" s="4">
        <f t="shared" ref="AD14" si="29">SUM(AD15:AD17)</f>
        <v>2.7806000000000002</v>
      </c>
      <c r="AE14" s="4">
        <f t="shared" ref="AE14" si="30">SUM(AE15:AE17)</f>
        <v>64.380703571428569</v>
      </c>
      <c r="AF14" s="4">
        <f t="shared" ref="AF14" si="31">SUM(AF15:AF17)</f>
        <v>3.1432307692307693</v>
      </c>
      <c r="AG14" s="4">
        <f t="shared" ref="AG14" si="32">SUM(AG15:AG17)</f>
        <v>5.2324827586206899</v>
      </c>
      <c r="AH14" s="4">
        <f t="shared" ref="AH14" si="33">SUM(AH15:AH17)</f>
        <v>7.5099</v>
      </c>
      <c r="AI14" s="4">
        <f t="shared" ref="AI14" si="34">SUM(AI15:AI17)</f>
        <v>10.238606557377048</v>
      </c>
      <c r="AJ14" s="4">
        <f t="shared" ref="AJ14" si="35">SUM(AJ15:AJ17)</f>
        <v>49.599737742877274</v>
      </c>
      <c r="AK14" s="4">
        <f t="shared" ref="AK14" si="36">SUM(AK15:AK17)</f>
        <v>0</v>
      </c>
      <c r="AL14" s="4">
        <f t="shared" ref="AL14" si="37">SUM(AL15:AL17)</f>
        <v>0</v>
      </c>
      <c r="AM14" s="4">
        <f t="shared" ref="AM14" si="38">SUM(AM15:AM17)</f>
        <v>0</v>
      </c>
      <c r="AN14" s="4">
        <f t="shared" ref="AN14" si="39">SUM(AN15:AN17)</f>
        <v>0</v>
      </c>
      <c r="AO14" s="4">
        <f t="shared" ref="AO14" si="40">SUM(AO15:AO17)</f>
        <v>0</v>
      </c>
      <c r="AP14" s="4">
        <f t="shared" ref="AP14" si="41">SUM(AP15:AP17)</f>
        <v>0</v>
      </c>
      <c r="AQ14" s="4">
        <f t="shared" ref="AQ14" si="42">SUM(AQ15:AQ17)</f>
        <v>0</v>
      </c>
      <c r="AR14" s="4">
        <f t="shared" ref="AR14" si="43">SUM(AR15:AR17)</f>
        <v>0</v>
      </c>
      <c r="AS14" s="4">
        <f t="shared" ref="AS14" si="44">SUM(AS15:AS17)</f>
        <v>52.488925000000002</v>
      </c>
      <c r="AT14" s="4">
        <f t="shared" ref="AT14" si="45">SUM(AT15:AT17)</f>
        <v>12.1968</v>
      </c>
      <c r="AU14" s="4">
        <f t="shared" ref="AU14" si="46">SUM(AU15:AU17)</f>
        <v>3.3333333333333335</v>
      </c>
      <c r="AV14" s="4">
        <f t="shared" ref="AV14" si="47">SUM(AV15:AV17)</f>
        <v>4</v>
      </c>
      <c r="AW14" s="4">
        <f t="shared" ref="AW14" si="48">SUM(AW15:AW17)</f>
        <v>8.977785714285714</v>
      </c>
      <c r="AX14" s="4">
        <f t="shared" ref="AX14" si="49">SUM(AX15:AX17)</f>
        <v>13.690954248366014</v>
      </c>
      <c r="AY14" s="4">
        <f t="shared" ref="AY14" si="50">SUM(AY15:AY17)</f>
        <v>8.664612926498048</v>
      </c>
      <c r="AZ14" s="4">
        <f t="shared" ref="AZ14" si="51">SUM(AZ15:AZ17)</f>
        <v>8.3010555555555552</v>
      </c>
      <c r="BA14" s="4">
        <f t="shared" ref="BA14" si="52">SUM(BA15:BA17)</f>
        <v>8.7056249999999995</v>
      </c>
      <c r="BB14" s="4">
        <f t="shared" ref="BB14" si="53">SUM(BB15:BB17)</f>
        <v>0</v>
      </c>
      <c r="BC14" s="4">
        <f t="shared" ref="BC14" si="54">SUM(BC15:BC17)</f>
        <v>3.2515999999999998</v>
      </c>
      <c r="BD14" s="4">
        <f t="shared" ref="BD14" si="55">SUM(BD15:BD17)</f>
        <v>8.5171580556273145</v>
      </c>
      <c r="BE14" s="4">
        <f t="shared" ref="BE14" si="56">SUM(BE15:BE17)</f>
        <v>8.0623568516162702</v>
      </c>
      <c r="BF14" s="4">
        <f t="shared" ref="BF14" si="57">SUM(BF15:BF17)</f>
        <v>6.7222222222222223</v>
      </c>
      <c r="BG14" s="4">
        <f t="shared" ref="BG14" si="58">SUM(BG15:BG17)</f>
        <v>0.51612499999999994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9">IFERROR(C4/C10,0)</f>
        <v>0.72253333333333336</v>
      </c>
      <c r="D15" s="4">
        <f t="shared" si="59"/>
        <v>1.129</v>
      </c>
      <c r="E15" s="4">
        <f t="shared" si="59"/>
        <v>0</v>
      </c>
      <c r="F15" s="4">
        <f t="shared" ref="F15:M15" si="60">IFERROR(F4/F10,0)</f>
        <v>0</v>
      </c>
      <c r="G15" s="4">
        <f t="shared" si="60"/>
        <v>1</v>
      </c>
      <c r="H15" s="4">
        <f t="shared" si="60"/>
        <v>0</v>
      </c>
      <c r="I15" s="4">
        <f t="shared" si="60"/>
        <v>0</v>
      </c>
      <c r="J15" s="4">
        <f t="shared" si="60"/>
        <v>0</v>
      </c>
      <c r="K15" s="4">
        <f t="shared" si="60"/>
        <v>1.0013333333333334</v>
      </c>
      <c r="L15" s="4">
        <f t="shared" si="60"/>
        <v>1.0684444444444445</v>
      </c>
      <c r="M15" s="4">
        <f t="shared" si="60"/>
        <v>0.99555555555555553</v>
      </c>
      <c r="N15" s="4">
        <f t="shared" ref="N15:AF15" si="61">IFERROR(N4/N10,0)</f>
        <v>1.0666666666666667</v>
      </c>
      <c r="O15" s="4">
        <f t="shared" si="61"/>
        <v>0</v>
      </c>
      <c r="P15" s="4">
        <f t="shared" si="61"/>
        <v>1.0645</v>
      </c>
      <c r="Q15" s="4">
        <f t="shared" si="61"/>
        <v>1.0322499999999999</v>
      </c>
      <c r="R15" s="4">
        <f t="shared" si="61"/>
        <v>1.0588235294117647</v>
      </c>
      <c r="S15" s="4">
        <f t="shared" si="61"/>
        <v>1.1002678913126673</v>
      </c>
      <c r="T15" s="4">
        <f t="shared" si="61"/>
        <v>3.1917</v>
      </c>
      <c r="U15" s="4">
        <f t="shared" si="61"/>
        <v>2.3332000000000002</v>
      </c>
      <c r="V15" s="4">
        <f t="shared" si="61"/>
        <v>2.1538461538461537</v>
      </c>
      <c r="W15" s="4">
        <f t="shared" si="61"/>
        <v>1</v>
      </c>
      <c r="X15" s="4">
        <f t="shared" si="61"/>
        <v>0.27774588595484118</v>
      </c>
      <c r="Y15" s="4">
        <f t="shared" si="61"/>
        <v>2.0129000000000001</v>
      </c>
      <c r="Z15" s="4">
        <f t="shared" si="61"/>
        <v>2</v>
      </c>
      <c r="AA15" s="4">
        <f t="shared" si="61"/>
        <v>0</v>
      </c>
      <c r="AB15" s="4">
        <f t="shared" si="61"/>
        <v>0</v>
      </c>
      <c r="AC15" s="4">
        <f t="shared" si="61"/>
        <v>0</v>
      </c>
      <c r="AD15" s="4">
        <f t="shared" si="61"/>
        <v>0</v>
      </c>
      <c r="AE15" s="4">
        <f t="shared" si="61"/>
        <v>2.0226000000000002</v>
      </c>
      <c r="AF15" s="4">
        <f t="shared" si="61"/>
        <v>0</v>
      </c>
      <c r="AG15" s="4">
        <f t="shared" ref="AG15:BG15" si="62">IFERROR(AG4/AG10,0)</f>
        <v>0</v>
      </c>
      <c r="AH15" s="4">
        <f t="shared" si="62"/>
        <v>0</v>
      </c>
      <c r="AI15" s="4">
        <f t="shared" si="62"/>
        <v>0</v>
      </c>
      <c r="AJ15" s="4">
        <f t="shared" si="62"/>
        <v>0</v>
      </c>
      <c r="AK15" s="4">
        <f t="shared" si="62"/>
        <v>0</v>
      </c>
      <c r="AL15" s="4">
        <f t="shared" si="62"/>
        <v>0</v>
      </c>
      <c r="AM15" s="4">
        <f t="shared" si="62"/>
        <v>0</v>
      </c>
      <c r="AN15" s="4">
        <f t="shared" si="62"/>
        <v>0</v>
      </c>
      <c r="AO15" s="4">
        <f t="shared" si="62"/>
        <v>0</v>
      </c>
      <c r="AP15" s="4">
        <f t="shared" si="62"/>
        <v>0</v>
      </c>
      <c r="AQ15" s="4">
        <f t="shared" si="62"/>
        <v>0</v>
      </c>
      <c r="AR15" s="4">
        <f t="shared" si="62"/>
        <v>0</v>
      </c>
      <c r="AS15" s="4">
        <f t="shared" si="62"/>
        <v>3.0202</v>
      </c>
      <c r="AT15" s="4">
        <f t="shared" si="62"/>
        <v>0</v>
      </c>
      <c r="AU15" s="4">
        <f t="shared" si="62"/>
        <v>0</v>
      </c>
      <c r="AV15" s="4">
        <f t="shared" si="62"/>
        <v>0</v>
      </c>
      <c r="AW15" s="4">
        <f t="shared" si="62"/>
        <v>1.0967142857142858</v>
      </c>
      <c r="AX15" s="4">
        <f t="shared" si="62"/>
        <v>1.2751764705882354</v>
      </c>
      <c r="AY15" s="4">
        <f t="shared" si="62"/>
        <v>0.88236292649804782</v>
      </c>
      <c r="AZ15" s="4">
        <f t="shared" si="62"/>
        <v>1.276</v>
      </c>
      <c r="BA15" s="4">
        <f t="shared" si="62"/>
        <v>1.0967499999999999</v>
      </c>
      <c r="BB15" s="4">
        <f t="shared" si="62"/>
        <v>0</v>
      </c>
      <c r="BC15" s="4">
        <f t="shared" si="62"/>
        <v>0</v>
      </c>
      <c r="BD15" s="4">
        <f t="shared" si="62"/>
        <v>1.033324722293981</v>
      </c>
      <c r="BE15" s="4">
        <f t="shared" si="62"/>
        <v>1.7500538213132399</v>
      </c>
      <c r="BF15" s="4">
        <f t="shared" si="62"/>
        <v>0</v>
      </c>
      <c r="BG15" s="4">
        <f t="shared" si="62"/>
        <v>0</v>
      </c>
    </row>
    <row r="16" spans="1:59" x14ac:dyDescent="0.25">
      <c r="A16" s="1" t="s">
        <v>73</v>
      </c>
      <c r="B16" s="4">
        <f t="shared" ref="B16:D16" si="63">IFERROR(B5/B11,0)</f>
        <v>34.603999999999999</v>
      </c>
      <c r="C16" s="4">
        <f t="shared" si="63"/>
        <v>8.6102222222222231</v>
      </c>
      <c r="D16" s="4">
        <f t="shared" si="63"/>
        <v>5.8064545454545451</v>
      </c>
      <c r="E16" s="4">
        <f t="shared" ref="E16:L16" si="64">IFERROR(E5/E11,0)</f>
        <v>0</v>
      </c>
      <c r="F16" s="4">
        <f t="shared" si="64"/>
        <v>0</v>
      </c>
      <c r="G16" s="4">
        <f t="shared" si="64"/>
        <v>7.903225806451613</v>
      </c>
      <c r="H16" s="4">
        <f t="shared" si="64"/>
        <v>12.586804499847979</v>
      </c>
      <c r="I16" s="4">
        <f t="shared" si="64"/>
        <v>0</v>
      </c>
      <c r="J16" s="4">
        <f t="shared" si="64"/>
        <v>1.6129</v>
      </c>
      <c r="K16" s="4">
        <f t="shared" si="64"/>
        <v>13.6774</v>
      </c>
      <c r="L16" s="4">
        <f t="shared" si="64"/>
        <v>10.645133333333334</v>
      </c>
      <c r="M16" s="4">
        <f t="shared" ref="M16:AE16" si="65">IFERROR(M5/M11,0)</f>
        <v>9.2902666666666658</v>
      </c>
      <c r="N16" s="4">
        <f t="shared" si="65"/>
        <v>13.413485714285715</v>
      </c>
      <c r="O16" s="4">
        <f t="shared" si="65"/>
        <v>4.0691249999999997</v>
      </c>
      <c r="P16" s="4">
        <f t="shared" si="65"/>
        <v>10.335111111111111</v>
      </c>
      <c r="Q16" s="4">
        <f t="shared" si="65"/>
        <v>6.8218095238095238</v>
      </c>
      <c r="R16" s="4">
        <f t="shared" si="65"/>
        <v>8.90625</v>
      </c>
      <c r="S16" s="4">
        <f t="shared" si="65"/>
        <v>24.274380952380952</v>
      </c>
      <c r="T16" s="4">
        <f t="shared" si="65"/>
        <v>78.281380952380957</v>
      </c>
      <c r="U16" s="4">
        <f t="shared" si="65"/>
        <v>14.136363636363637</v>
      </c>
      <c r="V16" s="4">
        <f t="shared" si="65"/>
        <v>76.590342857142858</v>
      </c>
      <c r="W16" s="4">
        <f t="shared" si="65"/>
        <v>16.453454545454544</v>
      </c>
      <c r="X16" s="4">
        <f t="shared" si="65"/>
        <v>25.17742105263158</v>
      </c>
      <c r="Y16" s="4">
        <f t="shared" si="65"/>
        <v>51.94942857142857</v>
      </c>
      <c r="Z16" s="4">
        <f t="shared" si="65"/>
        <v>32.332749999999997</v>
      </c>
      <c r="AA16" s="4">
        <f t="shared" si="65"/>
        <v>11.323571428571428</v>
      </c>
      <c r="AB16" s="4">
        <f t="shared" si="65"/>
        <v>4.2626206896551722</v>
      </c>
      <c r="AC16" s="4">
        <f t="shared" si="65"/>
        <v>3.7264615384615385</v>
      </c>
      <c r="AD16" s="4">
        <f t="shared" si="65"/>
        <v>2.7806000000000002</v>
      </c>
      <c r="AE16" s="4">
        <f t="shared" si="65"/>
        <v>37.652799999999999</v>
      </c>
      <c r="AF16" s="4">
        <f t="shared" ref="AF16:BG16" si="66">IFERROR(AF5/AF11,0)</f>
        <v>3.1432307692307693</v>
      </c>
      <c r="AG16" s="4">
        <f t="shared" si="66"/>
        <v>5.2324827586206899</v>
      </c>
      <c r="AH16" s="4">
        <f t="shared" si="66"/>
        <v>7.5099</v>
      </c>
      <c r="AI16" s="4">
        <f t="shared" si="66"/>
        <v>10.238606557377048</v>
      </c>
      <c r="AJ16" s="4">
        <f t="shared" si="66"/>
        <v>42.104651162790695</v>
      </c>
      <c r="AK16" s="4">
        <f t="shared" si="66"/>
        <v>0</v>
      </c>
      <c r="AL16" s="4">
        <f t="shared" si="66"/>
        <v>0</v>
      </c>
      <c r="AM16" s="4">
        <f t="shared" si="66"/>
        <v>0</v>
      </c>
      <c r="AN16" s="4">
        <f t="shared" si="66"/>
        <v>0</v>
      </c>
      <c r="AO16" s="4">
        <f t="shared" si="66"/>
        <v>0</v>
      </c>
      <c r="AP16" s="4">
        <f t="shared" si="66"/>
        <v>0</v>
      </c>
      <c r="AQ16" s="4">
        <f t="shared" si="66"/>
        <v>0</v>
      </c>
      <c r="AR16" s="4">
        <f t="shared" si="66"/>
        <v>0</v>
      </c>
      <c r="AS16" s="4">
        <f t="shared" si="66"/>
        <v>46.873350000000002</v>
      </c>
      <c r="AT16" s="4">
        <f t="shared" si="66"/>
        <v>12.1968</v>
      </c>
      <c r="AU16" s="4">
        <f t="shared" si="66"/>
        <v>3.3333333333333335</v>
      </c>
      <c r="AV16" s="4">
        <f t="shared" si="66"/>
        <v>4</v>
      </c>
      <c r="AW16" s="4">
        <f t="shared" si="66"/>
        <v>7.8810714285714285</v>
      </c>
      <c r="AX16" s="4">
        <f t="shared" si="66"/>
        <v>12.415777777777778</v>
      </c>
      <c r="AY16" s="4">
        <f t="shared" si="66"/>
        <v>7.7822500000000003</v>
      </c>
      <c r="AZ16" s="4">
        <f t="shared" si="66"/>
        <v>7.0250555555555554</v>
      </c>
      <c r="BA16" s="4">
        <f t="shared" si="66"/>
        <v>7.6088750000000003</v>
      </c>
      <c r="BB16" s="4">
        <f t="shared" si="66"/>
        <v>0</v>
      </c>
      <c r="BC16" s="4">
        <f t="shared" si="66"/>
        <v>3.2515999999999998</v>
      </c>
      <c r="BD16" s="4">
        <f t="shared" si="66"/>
        <v>7.4838333333333331</v>
      </c>
      <c r="BE16" s="4">
        <f t="shared" si="66"/>
        <v>6.3123030303030303</v>
      </c>
      <c r="BF16" s="4">
        <f t="shared" si="66"/>
        <v>6.7222222222222223</v>
      </c>
      <c r="BG16" s="4">
        <f t="shared" si="66"/>
        <v>0.51612499999999994</v>
      </c>
    </row>
    <row r="17" spans="1:59" x14ac:dyDescent="0.25">
      <c r="A17" s="1" t="s">
        <v>74</v>
      </c>
      <c r="B17" s="4">
        <f t="shared" ref="B17:D17" si="67">IFERROR(B6/B12,0)</f>
        <v>0</v>
      </c>
      <c r="C17" s="4">
        <f t="shared" si="67"/>
        <v>0</v>
      </c>
      <c r="D17" s="4">
        <f t="shared" si="67"/>
        <v>0</v>
      </c>
      <c r="E17" s="4">
        <f t="shared" ref="E17:L17" si="68">IFERROR(E6/E12,0)</f>
        <v>0</v>
      </c>
      <c r="F17" s="4">
        <f t="shared" si="68"/>
        <v>0</v>
      </c>
      <c r="G17" s="4">
        <f t="shared" si="68"/>
        <v>0</v>
      </c>
      <c r="H17" s="4">
        <f t="shared" si="68"/>
        <v>0</v>
      </c>
      <c r="I17" s="4">
        <f t="shared" si="68"/>
        <v>0</v>
      </c>
      <c r="J17" s="4">
        <f t="shared" si="68"/>
        <v>0</v>
      </c>
      <c r="K17" s="4">
        <f t="shared" si="68"/>
        <v>0</v>
      </c>
      <c r="L17" s="4">
        <f t="shared" si="68"/>
        <v>0</v>
      </c>
      <c r="M17" s="4">
        <f t="shared" ref="M17:AE17" si="69">IFERROR(M6/M12,0)</f>
        <v>0</v>
      </c>
      <c r="N17" s="4">
        <f t="shared" si="69"/>
        <v>0</v>
      </c>
      <c r="O17" s="4">
        <f t="shared" si="69"/>
        <v>0</v>
      </c>
      <c r="P17" s="4">
        <f t="shared" si="69"/>
        <v>0</v>
      </c>
      <c r="Q17" s="4">
        <f t="shared" si="69"/>
        <v>0</v>
      </c>
      <c r="R17" s="4">
        <f t="shared" si="69"/>
        <v>0</v>
      </c>
      <c r="S17" s="4">
        <f t="shared" si="69"/>
        <v>1.6383107747537962</v>
      </c>
      <c r="T17" s="4">
        <f t="shared" si="69"/>
        <v>3.7708333333333335</v>
      </c>
      <c r="U17" s="4">
        <f t="shared" si="69"/>
        <v>1.21875</v>
      </c>
      <c r="V17" s="4">
        <f t="shared" si="69"/>
        <v>0</v>
      </c>
      <c r="W17" s="4">
        <f t="shared" si="69"/>
        <v>1.5984288119165433</v>
      </c>
      <c r="X17" s="4">
        <f t="shared" si="69"/>
        <v>4.4273786407766993</v>
      </c>
      <c r="Y17" s="4">
        <f t="shared" si="69"/>
        <v>0</v>
      </c>
      <c r="Z17" s="4">
        <f t="shared" si="69"/>
        <v>1.46468</v>
      </c>
      <c r="AA17" s="4">
        <f t="shared" si="69"/>
        <v>0</v>
      </c>
      <c r="AB17" s="4">
        <f t="shared" si="69"/>
        <v>0</v>
      </c>
      <c r="AC17" s="4">
        <f t="shared" si="69"/>
        <v>0</v>
      </c>
      <c r="AD17" s="4">
        <f t="shared" si="69"/>
        <v>0</v>
      </c>
      <c r="AE17" s="4">
        <f t="shared" si="69"/>
        <v>24.705303571428573</v>
      </c>
      <c r="AF17" s="4">
        <f t="shared" ref="AF17:BG17" si="70">IFERROR(AF6/AF12,0)</f>
        <v>0</v>
      </c>
      <c r="AG17" s="4">
        <f t="shared" si="70"/>
        <v>0</v>
      </c>
      <c r="AH17" s="4">
        <f t="shared" si="70"/>
        <v>0</v>
      </c>
      <c r="AI17" s="4">
        <f t="shared" si="70"/>
        <v>0</v>
      </c>
      <c r="AJ17" s="4">
        <f t="shared" si="70"/>
        <v>7.4950865800865802</v>
      </c>
      <c r="AK17" s="4">
        <f t="shared" si="70"/>
        <v>0</v>
      </c>
      <c r="AL17" s="4">
        <f t="shared" si="70"/>
        <v>0</v>
      </c>
      <c r="AM17" s="4">
        <f t="shared" si="70"/>
        <v>0</v>
      </c>
      <c r="AN17" s="4">
        <f t="shared" si="70"/>
        <v>0</v>
      </c>
      <c r="AO17" s="4">
        <f t="shared" si="70"/>
        <v>0</v>
      </c>
      <c r="AP17" s="4">
        <f t="shared" si="70"/>
        <v>0</v>
      </c>
      <c r="AQ17" s="4">
        <f t="shared" si="70"/>
        <v>0</v>
      </c>
      <c r="AR17" s="4">
        <f t="shared" si="70"/>
        <v>0</v>
      </c>
      <c r="AS17" s="4">
        <f t="shared" si="70"/>
        <v>2.5953750000000002</v>
      </c>
      <c r="AT17" s="4">
        <f t="shared" si="70"/>
        <v>0</v>
      </c>
      <c r="AU17" s="4">
        <f t="shared" si="70"/>
        <v>0</v>
      </c>
      <c r="AV17" s="4">
        <f t="shared" si="70"/>
        <v>0</v>
      </c>
      <c r="AW17" s="4">
        <f t="shared" si="70"/>
        <v>0</v>
      </c>
      <c r="AX17" s="4">
        <f t="shared" si="70"/>
        <v>0</v>
      </c>
      <c r="AY17" s="4">
        <f t="shared" si="70"/>
        <v>0</v>
      </c>
      <c r="AZ17" s="4">
        <f t="shared" si="70"/>
        <v>0</v>
      </c>
      <c r="BA17" s="4">
        <f t="shared" si="70"/>
        <v>0</v>
      </c>
      <c r="BB17" s="4">
        <f t="shared" si="70"/>
        <v>0</v>
      </c>
      <c r="BC17" s="4">
        <f t="shared" si="70"/>
        <v>0</v>
      </c>
      <c r="BD17" s="4">
        <f t="shared" si="70"/>
        <v>0</v>
      </c>
      <c r="BE17" s="4">
        <f t="shared" si="70"/>
        <v>0</v>
      </c>
      <c r="BF17" s="4">
        <f t="shared" si="70"/>
        <v>0</v>
      </c>
      <c r="BG17" s="4">
        <f t="shared" si="70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1</v>
      </c>
      <c r="BF20" s="2">
        <v>1</v>
      </c>
      <c r="BG20" s="2">
        <v>0</v>
      </c>
    </row>
    <row r="21" spans="1:59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13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8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8</v>
      </c>
      <c r="AX21" s="2">
        <v>13</v>
      </c>
      <c r="AY21" s="2">
        <v>8</v>
      </c>
      <c r="AZ21" s="2">
        <v>6</v>
      </c>
      <c r="BA21" s="2">
        <v>7</v>
      </c>
      <c r="BB21" s="2">
        <v>5</v>
      </c>
      <c r="BC21" s="2">
        <v>3</v>
      </c>
      <c r="BD21" s="2">
        <v>6</v>
      </c>
      <c r="BE21" s="2">
        <v>5</v>
      </c>
      <c r="BF21" s="2">
        <v>7</v>
      </c>
      <c r="BG21" s="2">
        <v>5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1284-26D8-42E7-851D-2706F4D7BD5B}">
  <dimension ref="A1:BH22"/>
  <sheetViews>
    <sheetView tabSelected="1" topLeftCell="A7" workbookViewId="0">
      <selection activeCell="A27" sqref="A27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9.5703125" bestFit="1" customWidth="1"/>
    <col min="4" max="4" width="9.28515625" bestFit="1" customWidth="1"/>
    <col min="6" max="8" width="9.5703125" bestFit="1" customWidth="1"/>
    <col min="11" max="11" width="10.85546875" customWidth="1"/>
    <col min="12" max="12" width="9.5703125" bestFit="1" customWidth="1"/>
    <col min="13" max="13" width="9.28515625" bestFit="1" customWidth="1"/>
    <col min="14" max="14" width="11.140625" customWidth="1"/>
    <col min="15" max="15" width="9.28515625" bestFit="1" customWidth="1"/>
    <col min="16" max="18" width="9.5703125" bestFit="1" customWidth="1"/>
    <col min="19" max="19" width="10.7109375" bestFit="1" customWidth="1"/>
    <col min="20" max="20" width="11.7109375" bestFit="1" customWidth="1"/>
    <col min="21" max="22" width="10.7109375" bestFit="1" customWidth="1"/>
    <col min="25" max="25" width="9.5703125" bestFit="1" customWidth="1"/>
    <col min="26" max="26" width="10.5703125" customWidth="1"/>
    <col min="27" max="27" width="9.5703125" bestFit="1" customWidth="1"/>
    <col min="28" max="30" width="9.28515625" bestFit="1" customWidth="1"/>
    <col min="32" max="32" width="11.7109375" customWidth="1"/>
    <col min="33" max="33" width="9.28515625" bestFit="1" customWidth="1"/>
    <col min="34" max="36" width="9.5703125" bestFit="1" customWidth="1"/>
    <col min="44" max="44" width="9.5703125" bestFit="1" customWidth="1"/>
    <col min="45" max="45" width="11.42578125" customWidth="1"/>
    <col min="46" max="46" width="9.5703125" bestFit="1" customWidth="1"/>
    <col min="47" max="49" width="9.28515625" bestFit="1" customWidth="1"/>
    <col min="50" max="50" width="9.5703125" bestFit="1" customWidth="1"/>
    <col min="51" max="51" width="10.85546875" bestFit="1" customWidth="1"/>
    <col min="52" max="52" width="9.7109375" bestFit="1" customWidth="1"/>
    <col min="53" max="53" width="9.5703125" bestFit="1" customWidth="1"/>
    <col min="54" max="54" width="10.85546875" bestFit="1" customWidth="1"/>
    <col min="56" max="56" width="9.28515625" bestFit="1" customWidth="1"/>
    <col min="57" max="58" width="9.5703125" bestFit="1" customWidth="1"/>
    <col min="60" max="60" width="9.28515625" bestFit="1" customWidth="1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15</v>
      </c>
      <c r="O1" s="23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2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3" t="s">
        <v>68</v>
      </c>
      <c r="AB1" s="1" t="s">
        <v>42</v>
      </c>
      <c r="AC1" s="1" t="s">
        <v>43</v>
      </c>
      <c r="AD1" s="1" t="s">
        <v>52</v>
      </c>
      <c r="AE1" s="23" t="s">
        <v>63</v>
      </c>
      <c r="AF1" s="23" t="s">
        <v>69</v>
      </c>
      <c r="AG1" s="1" t="s">
        <v>17</v>
      </c>
      <c r="AH1" s="23" t="s">
        <v>70</v>
      </c>
      <c r="AI1" s="1" t="s">
        <v>32</v>
      </c>
      <c r="AJ1" s="24" t="s">
        <v>62</v>
      </c>
      <c r="AK1" s="1" t="s">
        <v>61</v>
      </c>
      <c r="AL1" s="1" t="s">
        <v>23</v>
      </c>
      <c r="AM1" s="23" t="s">
        <v>64</v>
      </c>
      <c r="AN1" s="23" t="s">
        <v>71</v>
      </c>
      <c r="AO1" s="23" t="s">
        <v>66</v>
      </c>
      <c r="AP1" s="1" t="s">
        <v>24</v>
      </c>
      <c r="AQ1" s="23" t="s">
        <v>67</v>
      </c>
      <c r="AR1" s="23" t="s">
        <v>65</v>
      </c>
      <c r="AS1" s="23" t="s">
        <v>25</v>
      </c>
      <c r="AT1" s="1" t="s">
        <v>28</v>
      </c>
      <c r="AU1" s="1" t="s">
        <v>46</v>
      </c>
      <c r="AV1" s="1" t="s">
        <v>55</v>
      </c>
      <c r="AW1" s="25" t="s">
        <v>75</v>
      </c>
      <c r="AX1" s="23" t="s">
        <v>34</v>
      </c>
      <c r="AY1" s="1" t="s">
        <v>37</v>
      </c>
      <c r="AZ1" s="1" t="s">
        <v>38</v>
      </c>
      <c r="BA1" s="1" t="s">
        <v>39</v>
      </c>
      <c r="BB1" s="23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  <c r="BH1" s="1" t="s">
        <v>60</v>
      </c>
    </row>
    <row r="2" spans="1:60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6"/>
      <c r="AA3" s="26"/>
      <c r="AB3" s="26"/>
      <c r="AC3" s="26"/>
      <c r="AD3" s="26"/>
      <c r="AE3" s="26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1" t="s">
        <v>1</v>
      </c>
      <c r="B4" s="4">
        <v>12500</v>
      </c>
      <c r="C4" s="4">
        <v>8000</v>
      </c>
      <c r="D4" s="4">
        <v>9290</v>
      </c>
      <c r="E4" s="4">
        <v>0</v>
      </c>
      <c r="F4" s="4">
        <v>6968</v>
      </c>
      <c r="G4" s="4">
        <v>7000</v>
      </c>
      <c r="H4" s="4">
        <v>3210</v>
      </c>
      <c r="I4" s="4">
        <v>0</v>
      </c>
      <c r="J4" s="4">
        <v>0</v>
      </c>
      <c r="K4" s="4">
        <v>9012</v>
      </c>
      <c r="L4" s="4">
        <v>9616</v>
      </c>
      <c r="M4" s="4">
        <v>8959</v>
      </c>
      <c r="N4" s="4">
        <v>8000</v>
      </c>
      <c r="O4" s="4">
        <v>0</v>
      </c>
      <c r="P4" s="4">
        <v>8258</v>
      </c>
      <c r="Q4" s="4">
        <v>8000</v>
      </c>
      <c r="R4" s="4">
        <v>9000</v>
      </c>
      <c r="S4" s="4">
        <v>10451.5</v>
      </c>
      <c r="T4" s="4">
        <v>21306.5</v>
      </c>
      <c r="U4" s="4">
        <v>2500</v>
      </c>
      <c r="V4" s="4">
        <v>20661.5</v>
      </c>
      <c r="W4" s="4">
        <v>10451.5</v>
      </c>
      <c r="X4" s="4">
        <v>18871</v>
      </c>
      <c r="Y4" s="4">
        <v>19500</v>
      </c>
      <c r="Z4" s="4">
        <v>20645</v>
      </c>
      <c r="AA4" s="4">
        <v>0</v>
      </c>
      <c r="AB4" s="4">
        <v>0</v>
      </c>
      <c r="AC4" s="4">
        <v>0</v>
      </c>
      <c r="AD4" s="4">
        <v>0</v>
      </c>
      <c r="AE4" s="4">
        <v>20532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30202</v>
      </c>
      <c r="AT4" s="4">
        <v>9000</v>
      </c>
      <c r="AU4" s="4">
        <v>0</v>
      </c>
      <c r="AV4" s="4">
        <v>0</v>
      </c>
      <c r="AW4" s="4">
        <v>0</v>
      </c>
      <c r="AX4" s="4">
        <v>7677</v>
      </c>
      <c r="AY4" s="4">
        <v>8000</v>
      </c>
      <c r="AZ4" s="4">
        <v>10396</v>
      </c>
      <c r="BA4" s="4">
        <v>8000</v>
      </c>
      <c r="BB4" s="4">
        <v>8516</v>
      </c>
      <c r="BC4" s="4">
        <v>0</v>
      </c>
      <c r="BD4" s="4">
        <v>0</v>
      </c>
      <c r="BE4" s="4">
        <v>8000</v>
      </c>
      <c r="BF4" s="4">
        <v>8000</v>
      </c>
      <c r="BG4" s="4">
        <v>8000</v>
      </c>
      <c r="BH4" s="4">
        <v>0</v>
      </c>
    </row>
    <row r="5" spans="1:60" x14ac:dyDescent="0.25">
      <c r="A5" s="1" t="s">
        <v>2</v>
      </c>
      <c r="B5" s="4">
        <v>594600</v>
      </c>
      <c r="C5" s="4">
        <v>180113</v>
      </c>
      <c r="D5" s="4">
        <v>63871</v>
      </c>
      <c r="E5" s="4">
        <v>0</v>
      </c>
      <c r="F5" s="4">
        <v>167935</v>
      </c>
      <c r="G5" s="4">
        <v>106484</v>
      </c>
      <c r="H5" s="4">
        <f>46444+113587</f>
        <v>160031</v>
      </c>
      <c r="I5" s="4">
        <v>0</v>
      </c>
      <c r="J5" s="4">
        <v>0</v>
      </c>
      <c r="K5" s="4">
        <v>189677</v>
      </c>
      <c r="L5" s="4">
        <v>159677</v>
      </c>
      <c r="M5" s="4">
        <v>139355</v>
      </c>
      <c r="N5" s="4">
        <v>229698</v>
      </c>
      <c r="O5" s="4">
        <v>41877</v>
      </c>
      <c r="P5" s="4">
        <v>198290</v>
      </c>
      <c r="Q5" s="4">
        <v>171903</v>
      </c>
      <c r="R5" s="4">
        <v>140903</v>
      </c>
      <c r="S5" s="4">
        <f>495751+51387</f>
        <v>547138</v>
      </c>
      <c r="T5" s="4">
        <f>1296469+205759+68225+47871+49000</f>
        <v>1667324</v>
      </c>
      <c r="U5" s="4">
        <v>365580</v>
      </c>
      <c r="V5" s="4">
        <f>63000+49000</f>
        <v>112000</v>
      </c>
      <c r="W5" s="4">
        <v>382854</v>
      </c>
      <c r="X5" s="4">
        <f>420832+33136</f>
        <v>453968</v>
      </c>
      <c r="Y5" s="4">
        <v>606815</v>
      </c>
      <c r="Z5" s="4">
        <v>619524</v>
      </c>
      <c r="AA5" s="4">
        <v>142957</v>
      </c>
      <c r="AB5" s="4">
        <v>30326</v>
      </c>
      <c r="AC5" s="4">
        <v>30303</v>
      </c>
      <c r="AD5" s="4">
        <v>13726</v>
      </c>
      <c r="AE5" s="4">
        <v>765016</v>
      </c>
      <c r="AF5" s="4">
        <v>33340</v>
      </c>
      <c r="AG5" s="4">
        <v>72871</v>
      </c>
      <c r="AH5" s="4">
        <v>85225</v>
      </c>
      <c r="AI5" s="4">
        <v>153118</v>
      </c>
      <c r="AJ5" s="4">
        <f>417900+214635</f>
        <v>632535</v>
      </c>
      <c r="AK5" s="4">
        <v>99500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970161</v>
      </c>
      <c r="AT5" s="4">
        <f>131887+49633</f>
        <v>181520</v>
      </c>
      <c r="AU5" s="4">
        <f>61000+21000</f>
        <v>82000</v>
      </c>
      <c r="AV5" s="4">
        <f>53000+21000</f>
        <v>74000</v>
      </c>
      <c r="AW5" s="4">
        <v>26839</v>
      </c>
      <c r="AX5" s="4">
        <v>110310</v>
      </c>
      <c r="AY5" s="4">
        <v>180726</v>
      </c>
      <c r="AZ5" s="4">
        <v>115000</v>
      </c>
      <c r="BA5" s="4">
        <v>123129</v>
      </c>
      <c r="BB5" s="4">
        <v>118161</v>
      </c>
      <c r="BC5" s="4">
        <v>0</v>
      </c>
      <c r="BD5" s="4">
        <v>48000</v>
      </c>
      <c r="BE5" s="4">
        <v>144000</v>
      </c>
      <c r="BF5" s="4">
        <v>103000</v>
      </c>
      <c r="BG5" s="4">
        <v>118370</v>
      </c>
      <c r="BH5" s="4">
        <v>77935</v>
      </c>
    </row>
    <row r="6" spans="1:60" x14ac:dyDescent="0.25">
      <c r="A6" s="1" t="s">
        <v>3</v>
      </c>
      <c r="B6" s="4">
        <v>60680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27">
        <v>32350</v>
      </c>
      <c r="T6" s="28">
        <v>91645</v>
      </c>
      <c r="U6" s="28">
        <v>10452</v>
      </c>
      <c r="V6" s="29">
        <v>47600</v>
      </c>
      <c r="W6" s="28">
        <f>64300+7150</f>
        <v>71450</v>
      </c>
      <c r="X6" s="28">
        <f>90635+8292</f>
        <v>98927</v>
      </c>
      <c r="Y6" s="4">
        <v>0</v>
      </c>
      <c r="Z6" s="30">
        <v>0</v>
      </c>
      <c r="AA6" s="4">
        <v>0</v>
      </c>
      <c r="AB6" s="4">
        <v>0</v>
      </c>
      <c r="AC6" s="4">
        <v>0</v>
      </c>
      <c r="AD6" s="4">
        <v>0</v>
      </c>
      <c r="AE6" s="4">
        <f>594400+440000+355726</f>
        <v>1390126</v>
      </c>
      <c r="AF6" s="4">
        <v>0</v>
      </c>
      <c r="AG6" s="4">
        <v>0</v>
      </c>
      <c r="AH6" s="4">
        <v>0</v>
      </c>
      <c r="AI6" s="4">
        <v>0</v>
      </c>
      <c r="AJ6" s="30">
        <f>150583</f>
        <v>150583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30">
        <v>132991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</row>
    <row r="7" spans="1:60" x14ac:dyDescent="0.25">
      <c r="A7" s="5" t="s">
        <v>4</v>
      </c>
      <c r="B7" s="5">
        <f>SUM(B4:B6)</f>
        <v>667780</v>
      </c>
      <c r="C7" s="5">
        <f t="shared" ref="C7:BH7" si="0">SUM(C4:C6)</f>
        <v>188113</v>
      </c>
      <c r="D7" s="5">
        <f t="shared" si="0"/>
        <v>73161</v>
      </c>
      <c r="E7" s="5">
        <f t="shared" si="0"/>
        <v>0</v>
      </c>
      <c r="F7" s="5">
        <f t="shared" si="0"/>
        <v>174903</v>
      </c>
      <c r="G7" s="5">
        <f t="shared" si="0"/>
        <v>113484</v>
      </c>
      <c r="H7" s="5">
        <f t="shared" si="0"/>
        <v>163241</v>
      </c>
      <c r="I7" s="5">
        <f t="shared" si="0"/>
        <v>0</v>
      </c>
      <c r="J7" s="5">
        <f t="shared" si="0"/>
        <v>0</v>
      </c>
      <c r="K7" s="5">
        <f t="shared" si="0"/>
        <v>198689</v>
      </c>
      <c r="L7" s="5">
        <f t="shared" si="0"/>
        <v>169293</v>
      </c>
      <c r="M7" s="5">
        <f t="shared" si="0"/>
        <v>148314</v>
      </c>
      <c r="N7" s="5">
        <f t="shared" si="0"/>
        <v>237698</v>
      </c>
      <c r="O7" s="5">
        <f t="shared" si="0"/>
        <v>41877</v>
      </c>
      <c r="P7" s="5">
        <f t="shared" si="0"/>
        <v>206548</v>
      </c>
      <c r="Q7" s="5">
        <f t="shared" si="0"/>
        <v>179903</v>
      </c>
      <c r="R7" s="5">
        <f t="shared" si="0"/>
        <v>149903</v>
      </c>
      <c r="S7" s="5">
        <f t="shared" si="0"/>
        <v>589939.5</v>
      </c>
      <c r="T7" s="5">
        <f t="shared" si="0"/>
        <v>1780275.5</v>
      </c>
      <c r="U7" s="5">
        <f t="shared" si="0"/>
        <v>378532</v>
      </c>
      <c r="V7" s="5">
        <f t="shared" si="0"/>
        <v>180261.5</v>
      </c>
      <c r="W7" s="5">
        <f t="shared" si="0"/>
        <v>464755.5</v>
      </c>
      <c r="X7" s="5">
        <f t="shared" si="0"/>
        <v>571766</v>
      </c>
      <c r="Y7" s="5">
        <f t="shared" si="0"/>
        <v>626315</v>
      </c>
      <c r="Z7" s="5">
        <f t="shared" si="0"/>
        <v>640169</v>
      </c>
      <c r="AA7" s="5">
        <f t="shared" si="0"/>
        <v>142957</v>
      </c>
      <c r="AB7" s="5">
        <f t="shared" si="0"/>
        <v>30326</v>
      </c>
      <c r="AC7" s="5">
        <f t="shared" si="0"/>
        <v>30303</v>
      </c>
      <c r="AD7" s="5">
        <f t="shared" si="0"/>
        <v>13726</v>
      </c>
      <c r="AE7" s="5">
        <f t="shared" si="0"/>
        <v>2175674</v>
      </c>
      <c r="AF7" s="5">
        <f t="shared" si="0"/>
        <v>33340</v>
      </c>
      <c r="AG7" s="5">
        <f t="shared" si="0"/>
        <v>72871</v>
      </c>
      <c r="AH7" s="5">
        <f t="shared" si="0"/>
        <v>85225</v>
      </c>
      <c r="AI7" s="5">
        <f t="shared" si="0"/>
        <v>153118</v>
      </c>
      <c r="AJ7" s="5">
        <f t="shared" si="0"/>
        <v>783118</v>
      </c>
      <c r="AK7" s="5">
        <f t="shared" si="0"/>
        <v>99500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1133354</v>
      </c>
      <c r="AT7" s="5">
        <f t="shared" si="0"/>
        <v>190520</v>
      </c>
      <c r="AU7" s="5">
        <f t="shared" si="0"/>
        <v>82000</v>
      </c>
      <c r="AV7" s="5">
        <f t="shared" si="0"/>
        <v>74000</v>
      </c>
      <c r="AW7" s="5">
        <f t="shared" si="0"/>
        <v>26839</v>
      </c>
      <c r="AX7" s="5">
        <f t="shared" si="0"/>
        <v>117987</v>
      </c>
      <c r="AY7" s="5">
        <f t="shared" si="0"/>
        <v>188726</v>
      </c>
      <c r="AZ7" s="5">
        <f t="shared" si="0"/>
        <v>125396</v>
      </c>
      <c r="BA7" s="5">
        <f t="shared" si="0"/>
        <v>131129</v>
      </c>
      <c r="BB7" s="5">
        <f t="shared" si="0"/>
        <v>126677</v>
      </c>
      <c r="BC7" s="5">
        <f t="shared" si="0"/>
        <v>0</v>
      </c>
      <c r="BD7" s="5">
        <f t="shared" si="0"/>
        <v>48000</v>
      </c>
      <c r="BE7" s="5">
        <f t="shared" si="0"/>
        <v>152000</v>
      </c>
      <c r="BF7" s="5">
        <f t="shared" si="0"/>
        <v>111000</v>
      </c>
      <c r="BG7" s="5">
        <f t="shared" si="0"/>
        <v>126370</v>
      </c>
      <c r="BH7" s="5">
        <f t="shared" si="0"/>
        <v>77935</v>
      </c>
    </row>
    <row r="8" spans="1:60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 t="s">
        <v>76</v>
      </c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4">
        <v>0</v>
      </c>
      <c r="AM10" s="4">
        <v>0</v>
      </c>
      <c r="AN10" s="2">
        <v>0</v>
      </c>
      <c r="AO10" s="2">
        <v>0</v>
      </c>
      <c r="AP10" s="2">
        <v>0</v>
      </c>
      <c r="AQ10" s="2">
        <v>0</v>
      </c>
      <c r="AR10" s="4">
        <v>0</v>
      </c>
      <c r="AS10" s="2">
        <v>10000</v>
      </c>
      <c r="AT10" s="2">
        <v>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4645</v>
      </c>
      <c r="BG10" s="2">
        <v>0</v>
      </c>
      <c r="BH10" s="2">
        <v>0</v>
      </c>
    </row>
    <row r="11" spans="1:60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20500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22000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18200</v>
      </c>
      <c r="AK11" s="2">
        <v>15000</v>
      </c>
      <c r="AL11" s="4">
        <v>0</v>
      </c>
      <c r="AM11" s="4">
        <v>0</v>
      </c>
      <c r="AN11" s="2">
        <v>0</v>
      </c>
      <c r="AO11" s="2">
        <v>0</v>
      </c>
      <c r="AP11" s="2">
        <v>0</v>
      </c>
      <c r="AQ11" s="2">
        <v>0</v>
      </c>
      <c r="AR11" s="4">
        <v>0</v>
      </c>
      <c r="AS11" s="2">
        <v>20000</v>
      </c>
      <c r="AT11" s="2">
        <v>10000</v>
      </c>
      <c r="AU11" s="2">
        <v>12000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  <c r="BH11" s="2">
        <v>16000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4">
        <v>0</v>
      </c>
      <c r="AM12" s="4">
        <v>0</v>
      </c>
      <c r="AN12" s="2">
        <v>0</v>
      </c>
      <c r="AO12" s="2">
        <v>0</v>
      </c>
      <c r="AP12" s="2">
        <v>0</v>
      </c>
      <c r="AQ12" s="2">
        <v>0</v>
      </c>
      <c r="AR12" s="4">
        <v>0</v>
      </c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</row>
    <row r="13" spans="1:6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A15" s="1" t="s">
        <v>72</v>
      </c>
      <c r="B15" s="4">
        <f>IFERROR(B4/B10,0)</f>
        <v>1</v>
      </c>
      <c r="C15" s="4">
        <f t="shared" ref="C15:BH15" si="1">IFERROR(C4/C10,0)</f>
        <v>1.0666666666666667</v>
      </c>
      <c r="D15" s="4">
        <f t="shared" si="1"/>
        <v>1.1612499999999999</v>
      </c>
      <c r="E15" s="4">
        <f t="shared" si="1"/>
        <v>0</v>
      </c>
      <c r="F15" s="4">
        <f t="shared" si="1"/>
        <v>1</v>
      </c>
      <c r="G15" s="4">
        <f t="shared" si="1"/>
        <v>1</v>
      </c>
      <c r="H15" s="4">
        <f t="shared" si="1"/>
        <v>0.53500000000000003</v>
      </c>
      <c r="I15" s="4">
        <f t="shared" si="1"/>
        <v>0</v>
      </c>
      <c r="J15" s="4">
        <f t="shared" si="1"/>
        <v>0</v>
      </c>
      <c r="K15" s="4">
        <f t="shared" si="1"/>
        <v>1.0013333333333334</v>
      </c>
      <c r="L15" s="4">
        <f t="shared" si="1"/>
        <v>1.0684444444444445</v>
      </c>
      <c r="M15" s="4">
        <f t="shared" si="1"/>
        <v>0.99544444444444447</v>
      </c>
      <c r="N15" s="4">
        <f t="shared" si="1"/>
        <v>1.0666666666666667</v>
      </c>
      <c r="O15" s="4">
        <f t="shared" si="1"/>
        <v>0</v>
      </c>
      <c r="P15" s="4">
        <f t="shared" si="1"/>
        <v>1.0322499999999999</v>
      </c>
      <c r="Q15" s="4">
        <f t="shared" si="1"/>
        <v>1</v>
      </c>
      <c r="R15" s="4">
        <f t="shared" si="1"/>
        <v>1.0588235294117647</v>
      </c>
      <c r="S15" s="4">
        <f t="shared" si="1"/>
        <v>0.99995216226559513</v>
      </c>
      <c r="T15" s="4">
        <f t="shared" si="1"/>
        <v>2.1306500000000002</v>
      </c>
      <c r="U15" s="4">
        <f t="shared" si="1"/>
        <v>1</v>
      </c>
      <c r="V15" s="4">
        <f t="shared" si="1"/>
        <v>1.5893461538461537</v>
      </c>
      <c r="W15" s="4">
        <f t="shared" si="1"/>
        <v>0.99995216226559513</v>
      </c>
      <c r="X15" s="4">
        <f t="shared" si="1"/>
        <v>1.8054917719096824</v>
      </c>
      <c r="Y15" s="4">
        <f t="shared" si="1"/>
        <v>1.95</v>
      </c>
      <c r="Z15" s="4">
        <f t="shared" si="1"/>
        <v>2.0644999999999998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2.0531999999999999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3.0202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4">
        <f t="shared" si="1"/>
        <v>0</v>
      </c>
      <c r="AX15" s="4">
        <f t="shared" si="1"/>
        <v>1.0967142857142858</v>
      </c>
      <c r="AY15" s="4">
        <f t="shared" si="1"/>
        <v>0.94117647058823528</v>
      </c>
      <c r="AZ15" s="4">
        <f t="shared" si="1"/>
        <v>0.88236292649804782</v>
      </c>
      <c r="BA15" s="4">
        <f t="shared" si="1"/>
        <v>1</v>
      </c>
      <c r="BB15" s="4">
        <f t="shared" si="1"/>
        <v>1.0645</v>
      </c>
      <c r="BC15" s="4">
        <f t="shared" si="1"/>
        <v>0</v>
      </c>
      <c r="BD15" s="4">
        <f t="shared" si="1"/>
        <v>0</v>
      </c>
      <c r="BE15" s="4">
        <f t="shared" si="1"/>
        <v>1.033324722293981</v>
      </c>
      <c r="BF15" s="4">
        <f t="shared" si="1"/>
        <v>1.7222820236813778</v>
      </c>
      <c r="BG15" s="4">
        <f t="shared" si="1"/>
        <v>0</v>
      </c>
      <c r="BH15" s="4">
        <f t="shared" si="1"/>
        <v>0</v>
      </c>
    </row>
    <row r="16" spans="1:60" x14ac:dyDescent="0.25">
      <c r="A16" s="1" t="s">
        <v>73</v>
      </c>
      <c r="B16" s="4">
        <f t="shared" ref="B16:BH16" si="2">IFERROR(B5/B11,0)</f>
        <v>33.033333333333331</v>
      </c>
      <c r="C16" s="4">
        <f t="shared" si="2"/>
        <v>10.006277777777777</v>
      </c>
      <c r="D16" s="4">
        <f t="shared" si="2"/>
        <v>5.8064545454545451</v>
      </c>
      <c r="E16" s="4">
        <f t="shared" si="2"/>
        <v>0</v>
      </c>
      <c r="F16" s="4">
        <f t="shared" si="2"/>
        <v>8.1919512195121946</v>
      </c>
      <c r="G16" s="4">
        <f t="shared" si="2"/>
        <v>6.8699354838709681</v>
      </c>
      <c r="H16" s="4">
        <f t="shared" si="2"/>
        <v>10.0019375</v>
      </c>
      <c r="I16" s="4">
        <f t="shared" si="2"/>
        <v>0</v>
      </c>
      <c r="J16" s="4">
        <f t="shared" si="2"/>
        <v>0</v>
      </c>
      <c r="K16" s="4">
        <f t="shared" si="2"/>
        <v>12.645133333333334</v>
      </c>
      <c r="L16" s="4">
        <f t="shared" si="2"/>
        <v>10.645133333333334</v>
      </c>
      <c r="M16" s="4">
        <f t="shared" si="2"/>
        <v>9.2903333333333329</v>
      </c>
      <c r="N16" s="4">
        <f t="shared" si="2"/>
        <v>13.1256</v>
      </c>
      <c r="O16" s="4">
        <f t="shared" si="2"/>
        <v>5.2346250000000003</v>
      </c>
      <c r="P16" s="4">
        <f t="shared" si="2"/>
        <v>11.016111111111112</v>
      </c>
      <c r="Q16" s="4">
        <f t="shared" si="2"/>
        <v>8.1858571428571434</v>
      </c>
      <c r="R16" s="4">
        <f t="shared" si="2"/>
        <v>8.8064374999999995</v>
      </c>
      <c r="S16" s="4">
        <f t="shared" si="2"/>
        <v>26.054190476190477</v>
      </c>
      <c r="T16" s="4">
        <f t="shared" si="2"/>
        <v>79.396380952380952</v>
      </c>
      <c r="U16" s="4">
        <f t="shared" si="2"/>
        <v>16.617272727272727</v>
      </c>
      <c r="V16" s="4">
        <f t="shared" si="2"/>
        <v>6.4</v>
      </c>
      <c r="W16" s="4">
        <f t="shared" si="2"/>
        <v>17.402454545454546</v>
      </c>
      <c r="X16" s="4">
        <f t="shared" si="2"/>
        <v>20.63490909090909</v>
      </c>
      <c r="Y16" s="4">
        <f t="shared" si="2"/>
        <v>28.89595238095238</v>
      </c>
      <c r="Z16" s="4">
        <f t="shared" si="2"/>
        <v>30.976199999999999</v>
      </c>
      <c r="AA16" s="4">
        <f t="shared" si="2"/>
        <v>11.345793650793651</v>
      </c>
      <c r="AB16" s="4">
        <f t="shared" si="2"/>
        <v>4.1828965517241379</v>
      </c>
      <c r="AC16" s="4">
        <f t="shared" si="2"/>
        <v>4.6619999999999999</v>
      </c>
      <c r="AD16" s="4">
        <f t="shared" si="2"/>
        <v>2.7452000000000001</v>
      </c>
      <c r="AE16" s="4">
        <f t="shared" si="2"/>
        <v>38.250799999999998</v>
      </c>
      <c r="AF16" s="4">
        <f t="shared" si="2"/>
        <v>5.1292307692307695</v>
      </c>
      <c r="AG16" s="4">
        <f t="shared" si="2"/>
        <v>5.025586206896552</v>
      </c>
      <c r="AH16" s="4">
        <f t="shared" si="2"/>
        <v>8.5225000000000009</v>
      </c>
      <c r="AI16" s="4">
        <f t="shared" si="2"/>
        <v>12.550655737704918</v>
      </c>
      <c r="AJ16" s="4">
        <f t="shared" si="2"/>
        <v>34.754670329670333</v>
      </c>
      <c r="AK16" s="4">
        <f t="shared" si="2"/>
        <v>6.6333333333333337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48.508049999999997</v>
      </c>
      <c r="AT16" s="4">
        <f t="shared" si="2"/>
        <v>18.152000000000001</v>
      </c>
      <c r="AU16" s="4">
        <f t="shared" si="2"/>
        <v>6.833333333333333</v>
      </c>
      <c r="AV16" s="4">
        <f t="shared" si="2"/>
        <v>9.25</v>
      </c>
      <c r="AW16" s="4">
        <f t="shared" si="2"/>
        <v>3.3548749999999998</v>
      </c>
      <c r="AX16" s="4">
        <f t="shared" si="2"/>
        <v>7.8792857142857144</v>
      </c>
      <c r="AY16" s="4">
        <f t="shared" si="2"/>
        <v>10.040333333333333</v>
      </c>
      <c r="AZ16" s="4">
        <f t="shared" si="2"/>
        <v>7.1875</v>
      </c>
      <c r="BA16" s="4">
        <f t="shared" si="2"/>
        <v>6.8404999999999996</v>
      </c>
      <c r="BB16" s="4">
        <f t="shared" si="2"/>
        <v>7.3850625000000001</v>
      </c>
      <c r="BC16" s="4">
        <f t="shared" si="2"/>
        <v>0</v>
      </c>
      <c r="BD16" s="4">
        <f t="shared" si="2"/>
        <v>3.2</v>
      </c>
      <c r="BE16" s="4">
        <f t="shared" si="2"/>
        <v>8</v>
      </c>
      <c r="BF16" s="4">
        <f t="shared" si="2"/>
        <v>6.2424242424242422</v>
      </c>
      <c r="BG16" s="4">
        <f t="shared" si="2"/>
        <v>6.5761111111111115</v>
      </c>
      <c r="BH16" s="4">
        <f t="shared" si="2"/>
        <v>4.8709375000000001</v>
      </c>
    </row>
    <row r="17" spans="1:60" x14ac:dyDescent="0.25">
      <c r="A17" s="1" t="s">
        <v>74</v>
      </c>
      <c r="B17" s="4">
        <f t="shared" ref="B17:BH17" si="3">IFERROR(B6/B12,0)</f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0.78469897637413288</v>
      </c>
      <c r="T17" s="4">
        <f t="shared" si="3"/>
        <v>3.8185416666666665</v>
      </c>
      <c r="U17" s="4">
        <f t="shared" si="3"/>
        <v>0.21775</v>
      </c>
      <c r="V17" s="4">
        <f t="shared" si="3"/>
        <v>1.9833333333333334</v>
      </c>
      <c r="W17" s="4">
        <f t="shared" si="3"/>
        <v>3.6448502780186707</v>
      </c>
      <c r="X17" s="4">
        <f t="shared" si="3"/>
        <v>4.8022815533980578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24.823678571428573</v>
      </c>
      <c r="AF17" s="4">
        <f t="shared" si="3"/>
        <v>0</v>
      </c>
      <c r="AG17" s="4">
        <f t="shared" si="3"/>
        <v>0</v>
      </c>
      <c r="AH17" s="4">
        <f t="shared" si="3"/>
        <v>0</v>
      </c>
      <c r="AI17" s="4">
        <f t="shared" si="3"/>
        <v>0</v>
      </c>
      <c r="AJ17" s="4">
        <f t="shared" si="3"/>
        <v>3.2593722943722945</v>
      </c>
      <c r="AK17" s="4">
        <f t="shared" si="3"/>
        <v>0</v>
      </c>
      <c r="AL17" s="4">
        <f t="shared" si="3"/>
        <v>0</v>
      </c>
      <c r="AM17" s="4">
        <f t="shared" si="3"/>
        <v>0</v>
      </c>
      <c r="AN17" s="4">
        <f t="shared" si="3"/>
        <v>0</v>
      </c>
      <c r="AO17" s="4">
        <f t="shared" si="3"/>
        <v>0</v>
      </c>
      <c r="AP17" s="4">
        <f t="shared" si="3"/>
        <v>0</v>
      </c>
      <c r="AQ17" s="4">
        <f t="shared" si="3"/>
        <v>0</v>
      </c>
      <c r="AR17" s="4">
        <f t="shared" si="3"/>
        <v>0</v>
      </c>
      <c r="AS17" s="4">
        <f t="shared" si="3"/>
        <v>3.3247749999999998</v>
      </c>
      <c r="AT17" s="4">
        <f t="shared" si="3"/>
        <v>0</v>
      </c>
      <c r="AU17" s="4">
        <f t="shared" si="3"/>
        <v>0</v>
      </c>
      <c r="AV17" s="4">
        <f t="shared" si="3"/>
        <v>0</v>
      </c>
      <c r="AW17" s="4">
        <f t="shared" si="3"/>
        <v>0</v>
      </c>
      <c r="AX17" s="4">
        <f t="shared" si="3"/>
        <v>0</v>
      </c>
      <c r="AY17" s="4">
        <f t="shared" si="3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</row>
    <row r="18" spans="1:6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  <c r="BH20" s="2">
        <v>0</v>
      </c>
    </row>
    <row r="21" spans="1:60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12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7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4</v>
      </c>
      <c r="AX21" s="2">
        <v>8</v>
      </c>
      <c r="AY21" s="2">
        <v>10</v>
      </c>
      <c r="AZ21" s="2">
        <v>7</v>
      </c>
      <c r="BA21" s="2">
        <v>6</v>
      </c>
      <c r="BB21" s="2">
        <v>7</v>
      </c>
      <c r="BC21" s="2">
        <v>5</v>
      </c>
      <c r="BD21" s="2">
        <v>3</v>
      </c>
      <c r="BE21" s="2">
        <v>6</v>
      </c>
      <c r="BF21" s="2">
        <v>5</v>
      </c>
      <c r="BG21" s="2">
        <v>7</v>
      </c>
      <c r="BH21" s="2">
        <v>5</v>
      </c>
    </row>
    <row r="22" spans="1:60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22</vt:lpstr>
      <vt:lpstr>May 22</vt:lpstr>
      <vt:lpstr>June 22</vt:lpstr>
      <vt:lpstr>July 22</vt:lpstr>
      <vt:lpstr>August 22</vt:lpstr>
      <vt:lpstr>September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Shah</dc:creator>
  <cp:lastModifiedBy>Rakesh Panigrahy</cp:lastModifiedBy>
  <dcterms:created xsi:type="dcterms:W3CDTF">2022-02-05T08:31:46Z</dcterms:created>
  <dcterms:modified xsi:type="dcterms:W3CDTF">2022-12-02T10:24:06Z</dcterms:modified>
</cp:coreProperties>
</file>