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5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6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7.xml" ContentType="application/vnd.openxmlformats-officedocument.drawing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8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Autoimmune QCR\1.Autoimmune QCR Data\"/>
    </mc:Choice>
  </mc:AlternateContent>
  <xr:revisionPtr revIDLastSave="0" documentId="13_ncr:1_{42CCDD89-A55A-4D54-83EB-FB1E6D6B23DF}" xr6:coauthVersionLast="47" xr6:coauthVersionMax="47" xr10:uidLastSave="{00000000-0000-0000-0000-000000000000}"/>
  <bookViews>
    <workbookView xWindow="-120" yWindow="-120" windowWidth="20730" windowHeight="11310" firstSheet="1" activeTab="4" xr2:uid="{00000000-000D-0000-FFFF-FFFF00000000}"/>
  </bookViews>
  <sheets>
    <sheet name="Sheet1" sheetId="1" r:id="rId1"/>
    <sheet name="Inprocess" sheetId="2" r:id="rId2"/>
    <sheet name="FP" sheetId="3" r:id="rId3"/>
    <sheet name="AS" sheetId="4" r:id="rId4"/>
    <sheet name="In-use stability" sheetId="5" r:id="rId5"/>
    <sheet name="On-board" sheetId="6" r:id="rId6"/>
    <sheet name="Shipping stability" sheetId="7" r:id="rId7"/>
    <sheet name="Sheet3" sheetId="9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W26" i="5" l="1"/>
  <c r="M26" i="5"/>
  <c r="AQ19" i="5"/>
  <c r="AQ20" i="5"/>
  <c r="AQ21" i="5"/>
  <c r="AQ22" i="5"/>
  <c r="AQ23" i="5"/>
  <c r="AQ24" i="5"/>
  <c r="AQ26" i="5"/>
  <c r="AQ27" i="5"/>
  <c r="AQ28" i="5"/>
  <c r="AQ29" i="5"/>
  <c r="AQ30" i="5"/>
  <c r="AQ31" i="5"/>
  <c r="AQ32" i="5"/>
  <c r="AQ33" i="5"/>
  <c r="AQ34" i="5"/>
  <c r="AB19" i="5"/>
  <c r="AB20" i="5"/>
  <c r="AB21" i="5"/>
  <c r="AB22" i="5"/>
  <c r="AB23" i="5"/>
  <c r="AB24" i="5"/>
  <c r="AB26" i="5"/>
  <c r="AB27" i="5"/>
  <c r="AB28" i="5"/>
  <c r="AB29" i="5"/>
  <c r="AB30" i="5"/>
  <c r="AB31" i="5"/>
  <c r="AB32" i="5"/>
  <c r="AB33" i="5"/>
  <c r="AB34" i="5"/>
  <c r="M19" i="5"/>
  <c r="M20" i="5"/>
  <c r="M21" i="5"/>
  <c r="M22" i="5"/>
  <c r="M23" i="5"/>
  <c r="M24" i="5"/>
  <c r="M27" i="5"/>
  <c r="M28" i="5"/>
  <c r="M29" i="5"/>
  <c r="M30" i="5"/>
  <c r="M31" i="5"/>
  <c r="M32" i="5"/>
  <c r="M33" i="5"/>
  <c r="M34" i="5"/>
  <c r="L19" i="5"/>
  <c r="N19" i="5"/>
  <c r="BG26" i="5"/>
  <c r="BG27" i="5"/>
  <c r="BG28" i="5"/>
  <c r="BG29" i="5"/>
  <c r="BG30" i="5"/>
  <c r="BG31" i="5"/>
  <c r="BG32" i="5"/>
  <c r="BG33" i="5"/>
  <c r="BG34" i="5"/>
  <c r="BU26" i="5"/>
  <c r="BU27" i="5"/>
  <c r="BU28" i="5"/>
  <c r="BU29" i="5"/>
  <c r="BU30" i="5"/>
  <c r="BU31" i="5"/>
  <c r="BU32" i="5"/>
  <c r="BU33" i="5"/>
  <c r="BU34" i="5"/>
  <c r="BU19" i="5"/>
  <c r="BU20" i="5"/>
  <c r="BU21" i="5"/>
  <c r="BU22" i="5"/>
  <c r="BU23" i="5"/>
  <c r="BU24" i="5"/>
  <c r="BU18" i="5"/>
  <c r="BT19" i="5"/>
  <c r="BT20" i="5"/>
  <c r="BT21" i="5"/>
  <c r="BT22" i="5"/>
  <c r="BT23" i="5"/>
  <c r="BT24" i="5"/>
  <c r="BT18" i="5"/>
  <c r="N22" i="5"/>
  <c r="N23" i="5" s="1"/>
  <c r="BG19" i="5"/>
  <c r="BG20" i="5"/>
  <c r="BG21" i="5"/>
  <c r="BG22" i="5"/>
  <c r="BG23" i="5"/>
  <c r="BG24" i="5"/>
  <c r="BG18" i="5"/>
  <c r="BF19" i="5"/>
  <c r="BF20" i="5"/>
  <c r="BF21" i="5"/>
  <c r="BF22" i="5"/>
  <c r="BF23" i="5"/>
  <c r="BF24" i="5"/>
  <c r="BF18" i="5"/>
  <c r="BE22" i="5"/>
  <c r="BE19" i="5"/>
  <c r="AQ18" i="5"/>
  <c r="AP19" i="5"/>
  <c r="AP20" i="5"/>
  <c r="AP21" i="5"/>
  <c r="AP22" i="5"/>
  <c r="AP23" i="5"/>
  <c r="AP24" i="5"/>
  <c r="AP18" i="5"/>
  <c r="AB18" i="5"/>
  <c r="AA19" i="5"/>
  <c r="AA20" i="5"/>
  <c r="AA21" i="5"/>
  <c r="AA22" i="5"/>
  <c r="AA23" i="5"/>
  <c r="AA24" i="5"/>
  <c r="AA18" i="5"/>
  <c r="AO22" i="5"/>
  <c r="AO19" i="5"/>
  <c r="BH33" i="9"/>
  <c r="AT33" i="9"/>
  <c r="AD33" i="9"/>
  <c r="O33" i="9"/>
  <c r="BH32" i="9"/>
  <c r="AT32" i="9"/>
  <c r="AD32" i="9"/>
  <c r="O32" i="9"/>
  <c r="BH31" i="9"/>
  <c r="AT31" i="9"/>
  <c r="AD31" i="9"/>
  <c r="O31" i="9"/>
  <c r="BK30" i="9"/>
  <c r="BJ30" i="9"/>
  <c r="BH30" i="9"/>
  <c r="AT30" i="9"/>
  <c r="AD30" i="9"/>
  <c r="O30" i="9"/>
  <c r="BK29" i="9"/>
  <c r="BJ29" i="9"/>
  <c r="BH29" i="9"/>
  <c r="AT29" i="9"/>
  <c r="AD29" i="9"/>
  <c r="O29" i="9"/>
  <c r="BK28" i="9"/>
  <c r="BJ28" i="9"/>
  <c r="BH28" i="9"/>
  <c r="AT28" i="9"/>
  <c r="AD28" i="9"/>
  <c r="O28" i="9"/>
  <c r="BK27" i="9"/>
  <c r="BJ27" i="9"/>
  <c r="BH27" i="9"/>
  <c r="AT27" i="9"/>
  <c r="AD27" i="9"/>
  <c r="O27" i="9"/>
  <c r="BK26" i="9"/>
  <c r="BJ26" i="9"/>
  <c r="BH26" i="9"/>
  <c r="AT26" i="9"/>
  <c r="AD26" i="9"/>
  <c r="O26" i="9"/>
  <c r="BK25" i="9"/>
  <c r="BJ25" i="9"/>
  <c r="BH25" i="9"/>
  <c r="AT25" i="9"/>
  <c r="AD25" i="9"/>
  <c r="O25" i="9"/>
  <c r="AT24" i="9"/>
  <c r="BH23" i="9"/>
  <c r="BG23" i="9"/>
  <c r="AS23" i="9"/>
  <c r="AT23" i="9" s="1"/>
  <c r="AD23" i="9"/>
  <c r="AC23" i="9"/>
  <c r="N23" i="9"/>
  <c r="O23" i="9" s="1"/>
  <c r="BH22" i="9"/>
  <c r="BG22" i="9"/>
  <c r="AS22" i="9"/>
  <c r="AT22" i="9" s="1"/>
  <c r="AD22" i="9"/>
  <c r="AC22" i="9"/>
  <c r="N22" i="9"/>
  <c r="O22" i="9" s="1"/>
  <c r="B22" i="9"/>
  <c r="BG21" i="9"/>
  <c r="BH21" i="9" s="1"/>
  <c r="BF21" i="9"/>
  <c r="AT21" i="9"/>
  <c r="AS21" i="9"/>
  <c r="AR21" i="9"/>
  <c r="AC21" i="9"/>
  <c r="AD21" i="9" s="1"/>
  <c r="AB21" i="9"/>
  <c r="N21" i="9"/>
  <c r="O21" i="9" s="1"/>
  <c r="M21" i="9"/>
  <c r="BG20" i="9"/>
  <c r="BH20" i="9" s="1"/>
  <c r="AS20" i="9"/>
  <c r="AT20" i="9" s="1"/>
  <c r="AC20" i="9"/>
  <c r="AD20" i="9" s="1"/>
  <c r="N20" i="9"/>
  <c r="O20" i="9" s="1"/>
  <c r="BG19" i="9"/>
  <c r="BH19" i="9" s="1"/>
  <c r="AS19" i="9"/>
  <c r="AT19" i="9" s="1"/>
  <c r="AC19" i="9"/>
  <c r="AD19" i="9" s="1"/>
  <c r="N19" i="9"/>
  <c r="O19" i="9" s="1"/>
  <c r="B19" i="9"/>
  <c r="BG18" i="9"/>
  <c r="BH18" i="9" s="1"/>
  <c r="BF18" i="9"/>
  <c r="AS18" i="9"/>
  <c r="AT18" i="9" s="1"/>
  <c r="AR18" i="9"/>
  <c r="AD18" i="9"/>
  <c r="AC18" i="9"/>
  <c r="AB18" i="9"/>
  <c r="N18" i="9"/>
  <c r="O18" i="9" s="1"/>
  <c r="M18" i="9"/>
  <c r="BG17" i="9"/>
  <c r="BH17" i="9" s="1"/>
  <c r="AT17" i="9"/>
  <c r="AS17" i="9"/>
  <c r="AC17" i="9"/>
  <c r="AD17" i="9" s="1"/>
  <c r="O17" i="9"/>
  <c r="N17" i="9"/>
  <c r="L20" i="5"/>
  <c r="L21" i="5"/>
  <c r="L22" i="5"/>
  <c r="L23" i="5"/>
  <c r="L24" i="5"/>
  <c r="L18" i="5"/>
  <c r="M18" i="5" s="1"/>
  <c r="O122" i="3" l="1"/>
  <c r="O119" i="3"/>
  <c r="N123" i="3"/>
  <c r="N120" i="3"/>
  <c r="N124" i="3"/>
  <c r="N122" i="3"/>
  <c r="N118" i="3"/>
  <c r="O71" i="3"/>
  <c r="O68" i="3"/>
  <c r="O95" i="2"/>
  <c r="O92" i="2"/>
  <c r="P57" i="2"/>
  <c r="P54" i="2"/>
  <c r="O15" i="3"/>
  <c r="O12" i="3"/>
  <c r="P16" i="2"/>
  <c r="P13" i="2"/>
  <c r="M16" i="2"/>
  <c r="M13" i="2"/>
  <c r="O13" i="2"/>
  <c r="O143" i="3"/>
  <c r="O144" i="3"/>
  <c r="O142" i="3"/>
  <c r="O141" i="3"/>
  <c r="O140" i="3"/>
  <c r="O139" i="3"/>
  <c r="O138" i="3"/>
  <c r="O137" i="3"/>
  <c r="O90" i="3"/>
  <c r="O91" i="3"/>
  <c r="O92" i="3"/>
  <c r="O93" i="3"/>
  <c r="O89" i="3"/>
  <c r="O88" i="3"/>
  <c r="O87" i="3"/>
  <c r="O86" i="3"/>
  <c r="O30" i="3"/>
  <c r="O31" i="3"/>
  <c r="O32" i="3"/>
  <c r="O33" i="3"/>
  <c r="O34" i="3"/>
  <c r="O35" i="3"/>
  <c r="O28" i="3"/>
  <c r="O29" i="3"/>
  <c r="S48" i="3"/>
  <c r="S47" i="3"/>
  <c r="S46" i="3"/>
  <c r="S45" i="3"/>
  <c r="S44" i="3"/>
  <c r="S43" i="3"/>
  <c r="S42" i="3"/>
  <c r="S41" i="3"/>
  <c r="R49" i="3" s="1"/>
  <c r="S40" i="3"/>
  <c r="S39" i="3"/>
  <c r="O43" i="3"/>
  <c r="O44" i="3"/>
  <c r="O45" i="3"/>
  <c r="O46" i="3"/>
  <c r="O47" i="3"/>
  <c r="O48" i="3"/>
  <c r="O42" i="3"/>
  <c r="O41" i="3"/>
  <c r="O40" i="3"/>
  <c r="O39" i="3"/>
  <c r="N50" i="3" s="1"/>
  <c r="T104" i="3"/>
  <c r="T103" i="3"/>
  <c r="T102" i="3"/>
  <c r="T101" i="3"/>
  <c r="T100" i="3"/>
  <c r="T99" i="3"/>
  <c r="T98" i="3"/>
  <c r="T97" i="3"/>
  <c r="T96" i="3"/>
  <c r="T95" i="3"/>
  <c r="R50" i="3" l="1"/>
  <c r="R51" i="3" s="1"/>
  <c r="N49" i="3"/>
  <c r="N51" i="3" s="1"/>
  <c r="S105" i="3"/>
  <c r="S106" i="3"/>
  <c r="P99" i="3"/>
  <c r="P100" i="3"/>
  <c r="P101" i="3"/>
  <c r="P102" i="3"/>
  <c r="P103" i="3"/>
  <c r="P104" i="3"/>
  <c r="P98" i="3"/>
  <c r="P97" i="3"/>
  <c r="P96" i="3"/>
  <c r="P95" i="3"/>
  <c r="T155" i="3"/>
  <c r="T154" i="3"/>
  <c r="T153" i="3"/>
  <c r="T152" i="3"/>
  <c r="T151" i="3"/>
  <c r="T150" i="3"/>
  <c r="T149" i="3"/>
  <c r="T148" i="3"/>
  <c r="T147" i="3"/>
  <c r="T146" i="3"/>
  <c r="P150" i="3"/>
  <c r="P151" i="3"/>
  <c r="P152" i="3"/>
  <c r="P153" i="3"/>
  <c r="P154" i="3"/>
  <c r="P155" i="3"/>
  <c r="P149" i="3"/>
  <c r="P148" i="3"/>
  <c r="P147" i="3"/>
  <c r="P146" i="3"/>
  <c r="AR26" i="7"/>
  <c r="AR27" i="7"/>
  <c r="AR28" i="7"/>
  <c r="AR29" i="7"/>
  <c r="AR30" i="7"/>
  <c r="AR31" i="7"/>
  <c r="AR32" i="7"/>
  <c r="AR33" i="7"/>
  <c r="AR25" i="7"/>
  <c r="N24" i="7"/>
  <c r="AD26" i="7"/>
  <c r="AD27" i="7"/>
  <c r="AD28" i="7"/>
  <c r="AD29" i="7"/>
  <c r="AD30" i="7"/>
  <c r="AD31" i="7"/>
  <c r="AD32" i="7"/>
  <c r="AD33" i="7"/>
  <c r="AD25" i="7"/>
  <c r="AR17" i="7"/>
  <c r="N25" i="7"/>
  <c r="N26" i="7"/>
  <c r="N27" i="7"/>
  <c r="N28" i="7"/>
  <c r="N29" i="7"/>
  <c r="N30" i="7"/>
  <c r="N31" i="7"/>
  <c r="N32" i="7"/>
  <c r="AR18" i="7"/>
  <c r="AR19" i="7"/>
  <c r="AR22" i="7"/>
  <c r="AR23" i="7"/>
  <c r="AQ18" i="7"/>
  <c r="AQ19" i="7"/>
  <c r="AQ20" i="7"/>
  <c r="AR20" i="7" s="1"/>
  <c r="AQ21" i="7"/>
  <c r="AR21" i="7" s="1"/>
  <c r="AQ22" i="7"/>
  <c r="AQ23" i="7"/>
  <c r="AQ17" i="7"/>
  <c r="AP21" i="7"/>
  <c r="AP18" i="7"/>
  <c r="AD20" i="7"/>
  <c r="AD23" i="7"/>
  <c r="AD17" i="7"/>
  <c r="AC17" i="7"/>
  <c r="AC23" i="7"/>
  <c r="AC22" i="7"/>
  <c r="AD22" i="7" s="1"/>
  <c r="AC21" i="7"/>
  <c r="AD21" i="7" s="1"/>
  <c r="AB21" i="7"/>
  <c r="AC20" i="7"/>
  <c r="AC19" i="7"/>
  <c r="AD19" i="7" s="1"/>
  <c r="AC18" i="7"/>
  <c r="AD18" i="7" s="1"/>
  <c r="AB18" i="7"/>
  <c r="AA96" i="6"/>
  <c r="Y102" i="6"/>
  <c r="Y101" i="6"/>
  <c r="Y100" i="6"/>
  <c r="Y99" i="6"/>
  <c r="Y98" i="6"/>
  <c r="Y97" i="6"/>
  <c r="Y96" i="6"/>
  <c r="W102" i="6"/>
  <c r="W101" i="6"/>
  <c r="W100" i="6"/>
  <c r="W99" i="6"/>
  <c r="W98" i="6"/>
  <c r="W97" i="6"/>
  <c r="W96" i="6"/>
  <c r="U102" i="6"/>
  <c r="U101" i="6"/>
  <c r="U100" i="6"/>
  <c r="U99" i="6"/>
  <c r="U98" i="6"/>
  <c r="U97" i="6"/>
  <c r="U96" i="6"/>
  <c r="S102" i="6"/>
  <c r="S101" i="6"/>
  <c r="S100" i="6"/>
  <c r="S99" i="6"/>
  <c r="S98" i="6"/>
  <c r="S97" i="6"/>
  <c r="S96" i="6"/>
  <c r="Q102" i="6"/>
  <c r="Q101" i="6"/>
  <c r="Q100" i="6"/>
  <c r="Q99" i="6"/>
  <c r="Q98" i="6"/>
  <c r="Q97" i="6"/>
  <c r="Q96" i="6"/>
  <c r="O102" i="6"/>
  <c r="O101" i="6"/>
  <c r="O100" i="6"/>
  <c r="O99" i="6"/>
  <c r="O98" i="6"/>
  <c r="O97" i="6"/>
  <c r="O96" i="6"/>
  <c r="M102" i="6"/>
  <c r="M101" i="6"/>
  <c r="M100" i="6"/>
  <c r="M99" i="6"/>
  <c r="M98" i="6"/>
  <c r="M97" i="6"/>
  <c r="M96" i="6"/>
  <c r="K97" i="6"/>
  <c r="K98" i="6"/>
  <c r="K99" i="6"/>
  <c r="K100" i="6"/>
  <c r="K101" i="6"/>
  <c r="K102" i="6"/>
  <c r="K96" i="6"/>
  <c r="N87" i="6"/>
  <c r="N88" i="6"/>
  <c r="N89" i="6"/>
  <c r="N90" i="6"/>
  <c r="N91" i="6"/>
  <c r="N92" i="6"/>
  <c r="N86" i="6"/>
  <c r="AB99" i="6"/>
  <c r="AA99" i="6"/>
  <c r="AB98" i="6"/>
  <c r="AA98" i="6"/>
  <c r="AB97" i="6"/>
  <c r="AA97" i="6"/>
  <c r="AB96" i="6"/>
  <c r="Y65" i="6"/>
  <c r="Y64" i="6"/>
  <c r="Y63" i="6"/>
  <c r="Y62" i="6"/>
  <c r="Y61" i="6"/>
  <c r="Y60" i="6"/>
  <c r="Y59" i="6"/>
  <c r="W65" i="6"/>
  <c r="W64" i="6"/>
  <c r="W63" i="6"/>
  <c r="W62" i="6"/>
  <c r="W61" i="6"/>
  <c r="W60" i="6"/>
  <c r="W59" i="6"/>
  <c r="U65" i="6"/>
  <c r="U64" i="6"/>
  <c r="U63" i="6"/>
  <c r="U62" i="6"/>
  <c r="U61" i="6"/>
  <c r="U60" i="6"/>
  <c r="U59" i="6"/>
  <c r="S65" i="6"/>
  <c r="S64" i="6"/>
  <c r="S63" i="6"/>
  <c r="S62" i="6"/>
  <c r="S61" i="6"/>
  <c r="S60" i="6"/>
  <c r="S59" i="6"/>
  <c r="Q65" i="6"/>
  <c r="Q64" i="6"/>
  <c r="Q63" i="6"/>
  <c r="Q62" i="6"/>
  <c r="Q61" i="6"/>
  <c r="Q60" i="6"/>
  <c r="Q59" i="6"/>
  <c r="O65" i="6"/>
  <c r="O64" i="6"/>
  <c r="O63" i="6"/>
  <c r="O62" i="6"/>
  <c r="O61" i="6"/>
  <c r="O60" i="6"/>
  <c r="O59" i="6"/>
  <c r="M65" i="6"/>
  <c r="M64" i="6"/>
  <c r="M63" i="6"/>
  <c r="M62" i="6"/>
  <c r="M61" i="6"/>
  <c r="M60" i="6"/>
  <c r="M59" i="6"/>
  <c r="K60" i="6"/>
  <c r="K61" i="6"/>
  <c r="K62" i="6"/>
  <c r="K63" i="6"/>
  <c r="K64" i="6"/>
  <c r="K65" i="6"/>
  <c r="K59" i="6"/>
  <c r="AB62" i="6"/>
  <c r="AA62" i="6"/>
  <c r="AB61" i="6"/>
  <c r="AA61" i="6"/>
  <c r="AB60" i="6"/>
  <c r="AA60" i="6"/>
  <c r="AB59" i="6"/>
  <c r="AA59" i="6"/>
  <c r="AB26" i="6"/>
  <c r="AB27" i="6"/>
  <c r="AB28" i="6"/>
  <c r="AA26" i="6"/>
  <c r="AA27" i="6"/>
  <c r="AA28" i="6"/>
  <c r="AA25" i="6"/>
  <c r="AB25" i="6"/>
  <c r="Y31" i="6"/>
  <c r="Y30" i="6"/>
  <c r="Y29" i="6"/>
  <c r="Y28" i="6"/>
  <c r="Y27" i="6"/>
  <c r="Y26" i="6"/>
  <c r="Y25" i="6"/>
  <c r="W31" i="6"/>
  <c r="W30" i="6"/>
  <c r="W29" i="6"/>
  <c r="W28" i="6"/>
  <c r="W27" i="6"/>
  <c r="W26" i="6"/>
  <c r="W25" i="6"/>
  <c r="U31" i="6"/>
  <c r="U30" i="6"/>
  <c r="U29" i="6"/>
  <c r="U28" i="6"/>
  <c r="U27" i="6"/>
  <c r="U26" i="6"/>
  <c r="U25" i="6"/>
  <c r="S31" i="6"/>
  <c r="S30" i="6"/>
  <c r="S29" i="6"/>
  <c r="S28" i="6"/>
  <c r="S27" i="6"/>
  <c r="S26" i="6"/>
  <c r="S25" i="6"/>
  <c r="Q31" i="6"/>
  <c r="Q30" i="6"/>
  <c r="Q29" i="6"/>
  <c r="Q28" i="6"/>
  <c r="Q27" i="6"/>
  <c r="Q26" i="6"/>
  <c r="Q25" i="6"/>
  <c r="O31" i="6"/>
  <c r="O30" i="6"/>
  <c r="O29" i="6"/>
  <c r="O28" i="6"/>
  <c r="O27" i="6"/>
  <c r="O26" i="6"/>
  <c r="O25" i="6"/>
  <c r="M31" i="6"/>
  <c r="M30" i="6"/>
  <c r="M29" i="6"/>
  <c r="M28" i="6"/>
  <c r="M27" i="6"/>
  <c r="M26" i="6"/>
  <c r="M25" i="6"/>
  <c r="K30" i="6"/>
  <c r="K31" i="6"/>
  <c r="K29" i="6"/>
  <c r="K28" i="6"/>
  <c r="K27" i="6"/>
  <c r="K26" i="6"/>
  <c r="K25" i="6"/>
  <c r="BU99" i="5"/>
  <c r="BU100" i="5"/>
  <c r="BU101" i="5"/>
  <c r="BU102" i="5"/>
  <c r="BU103" i="5"/>
  <c r="BU104" i="5"/>
  <c r="BU105" i="5"/>
  <c r="BU106" i="5"/>
  <c r="BU98" i="5"/>
  <c r="BG98" i="5"/>
  <c r="BG99" i="5"/>
  <c r="BG100" i="5"/>
  <c r="BG101" i="5"/>
  <c r="BG102" i="5"/>
  <c r="BG103" i="5"/>
  <c r="BG104" i="5"/>
  <c r="BG105" i="5"/>
  <c r="BG97" i="5"/>
  <c r="AR98" i="5"/>
  <c r="AR99" i="5"/>
  <c r="AR100" i="5"/>
  <c r="AR101" i="5"/>
  <c r="AR102" i="5"/>
  <c r="AR103" i="5"/>
  <c r="AR104" i="5"/>
  <c r="AR105" i="5"/>
  <c r="AR97" i="5"/>
  <c r="BW99" i="5"/>
  <c r="BW100" i="5"/>
  <c r="BW101" i="5"/>
  <c r="BW102" i="5"/>
  <c r="BW103" i="5"/>
  <c r="BV99" i="5"/>
  <c r="BV100" i="5"/>
  <c r="BV101" i="5"/>
  <c r="BV102" i="5"/>
  <c r="BV103" i="5"/>
  <c r="BW98" i="5"/>
  <c r="BV98" i="5"/>
  <c r="AC108" i="5"/>
  <c r="AC107" i="5"/>
  <c r="AC106" i="5"/>
  <c r="AC101" i="5"/>
  <c r="AC102" i="5"/>
  <c r="AC103" i="5"/>
  <c r="AC104" i="5"/>
  <c r="AC105" i="5"/>
  <c r="AC100" i="5"/>
  <c r="M102" i="5"/>
  <c r="M103" i="5"/>
  <c r="M104" i="5"/>
  <c r="M105" i="5"/>
  <c r="M101" i="5"/>
  <c r="M100" i="5"/>
  <c r="M99" i="5"/>
  <c r="M98" i="5"/>
  <c r="M97" i="5"/>
  <c r="BU61" i="5"/>
  <c r="BU62" i="5"/>
  <c r="BU63" i="5"/>
  <c r="BU64" i="5"/>
  <c r="BU65" i="5"/>
  <c r="BU66" i="5"/>
  <c r="BU67" i="5"/>
  <c r="BU68" i="5"/>
  <c r="BU60" i="5"/>
  <c r="BG62" i="5"/>
  <c r="BG63" i="5"/>
  <c r="BG64" i="5"/>
  <c r="BG65" i="5"/>
  <c r="BG66" i="5"/>
  <c r="BG67" i="5"/>
  <c r="BG68" i="5"/>
  <c r="BG69" i="5"/>
  <c r="BG61" i="5"/>
  <c r="AQ62" i="5"/>
  <c r="AQ63" i="5"/>
  <c r="AQ64" i="5"/>
  <c r="AQ65" i="5"/>
  <c r="AQ66" i="5"/>
  <c r="AQ67" i="5"/>
  <c r="AQ68" i="5"/>
  <c r="AQ69" i="5"/>
  <c r="AQ61" i="5"/>
  <c r="AC66" i="5"/>
  <c r="M65" i="5"/>
  <c r="AC62" i="5"/>
  <c r="AC63" i="5"/>
  <c r="AC64" i="5"/>
  <c r="AC65" i="5"/>
  <c r="AC67" i="5"/>
  <c r="AC68" i="5"/>
  <c r="AC69" i="5"/>
  <c r="AC61" i="5"/>
  <c r="BW61" i="5"/>
  <c r="BW62" i="5"/>
  <c r="BW63" i="5"/>
  <c r="BW64" i="5"/>
  <c r="BW65" i="5"/>
  <c r="BW60" i="5"/>
  <c r="BV61" i="5"/>
  <c r="BV62" i="5"/>
  <c r="BV63" i="5"/>
  <c r="BV64" i="5"/>
  <c r="BV65" i="5"/>
  <c r="BV60" i="5"/>
  <c r="M67" i="5"/>
  <c r="M68" i="5"/>
  <c r="M66" i="5"/>
  <c r="M64" i="5"/>
  <c r="M63" i="5"/>
  <c r="M62" i="5"/>
  <c r="M61" i="5"/>
  <c r="M60" i="5"/>
  <c r="BW27" i="5"/>
  <c r="BW28" i="5"/>
  <c r="BW29" i="5"/>
  <c r="BW30" i="5"/>
  <c r="BW31" i="5"/>
  <c r="BX27" i="5"/>
  <c r="BX28" i="5"/>
  <c r="BX29" i="5"/>
  <c r="BX30" i="5"/>
  <c r="BX31" i="5"/>
  <c r="BX26" i="5"/>
  <c r="O105" i="4"/>
  <c r="P110" i="4"/>
  <c r="O110" i="4"/>
  <c r="P109" i="4"/>
  <c r="O109" i="4"/>
  <c r="P108" i="4"/>
  <c r="O108" i="4"/>
  <c r="P107" i="4"/>
  <c r="O107" i="4"/>
  <c r="P106" i="4"/>
  <c r="O106" i="4"/>
  <c r="P105" i="4"/>
  <c r="J106" i="4"/>
  <c r="J107" i="4"/>
  <c r="J108" i="4"/>
  <c r="J109" i="4"/>
  <c r="J110" i="4"/>
  <c r="J111" i="4"/>
  <c r="J112" i="4"/>
  <c r="J113" i="4"/>
  <c r="J105" i="4"/>
  <c r="G106" i="4"/>
  <c r="G107" i="4"/>
  <c r="G108" i="4"/>
  <c r="G109" i="4"/>
  <c r="G110" i="4"/>
  <c r="G111" i="4"/>
  <c r="G112" i="4"/>
  <c r="G113" i="4"/>
  <c r="G105" i="4"/>
  <c r="AB91" i="4"/>
  <c r="AB92" i="4"/>
  <c r="AB93" i="4"/>
  <c r="AB94" i="4"/>
  <c r="AB95" i="4"/>
  <c r="AB96" i="4"/>
  <c r="AB90" i="4"/>
  <c r="M106" i="4"/>
  <c r="M107" i="4"/>
  <c r="M108" i="4"/>
  <c r="M109" i="4"/>
  <c r="M110" i="4"/>
  <c r="M111" i="4"/>
  <c r="M112" i="4"/>
  <c r="M113" i="4"/>
  <c r="D111" i="4"/>
  <c r="D112" i="4"/>
  <c r="D113" i="4"/>
  <c r="G68" i="4"/>
  <c r="P69" i="4"/>
  <c r="P70" i="4"/>
  <c r="P71" i="4"/>
  <c r="P72" i="4"/>
  <c r="P73" i="4"/>
  <c r="O69" i="4"/>
  <c r="O70" i="4"/>
  <c r="O71" i="4"/>
  <c r="O72" i="4"/>
  <c r="O73" i="4"/>
  <c r="P68" i="4"/>
  <c r="O68" i="4"/>
  <c r="M74" i="4"/>
  <c r="M75" i="4"/>
  <c r="M76" i="4"/>
  <c r="J74" i="4"/>
  <c r="J75" i="4"/>
  <c r="J76" i="4"/>
  <c r="G74" i="4"/>
  <c r="G75" i="4"/>
  <c r="G76" i="4"/>
  <c r="D74" i="4"/>
  <c r="D75" i="4"/>
  <c r="D76" i="4"/>
  <c r="M33" i="4"/>
  <c r="M34" i="4"/>
  <c r="M35" i="4"/>
  <c r="M27" i="4"/>
  <c r="J35" i="4"/>
  <c r="J34" i="4"/>
  <c r="J33" i="4"/>
  <c r="P28" i="4"/>
  <c r="P29" i="4"/>
  <c r="P30" i="4"/>
  <c r="P31" i="4"/>
  <c r="P32" i="4"/>
  <c r="P27" i="4"/>
  <c r="O28" i="4"/>
  <c r="O29" i="4"/>
  <c r="O30" i="4"/>
  <c r="O31" i="4"/>
  <c r="O32" i="4"/>
  <c r="O27" i="4"/>
  <c r="G28" i="4"/>
  <c r="G29" i="4"/>
  <c r="G30" i="4"/>
  <c r="G31" i="4"/>
  <c r="G32" i="4"/>
  <c r="G33" i="4"/>
  <c r="G34" i="4"/>
  <c r="G35" i="4"/>
  <c r="D33" i="4"/>
  <c r="D34" i="4"/>
  <c r="D35" i="4"/>
  <c r="O156" i="3" l="1"/>
  <c r="S107" i="3"/>
  <c r="O106" i="3"/>
  <c r="O105" i="3"/>
  <c r="S157" i="3"/>
  <c r="S156" i="3"/>
  <c r="O157" i="3"/>
  <c r="K153" i="3"/>
  <c r="K154" i="3"/>
  <c r="K155" i="3"/>
  <c r="K156" i="3"/>
  <c r="K157" i="3"/>
  <c r="K158" i="3"/>
  <c r="K159" i="3"/>
  <c r="K160" i="3"/>
  <c r="K161" i="3"/>
  <c r="K162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9" i="3"/>
  <c r="K100" i="3"/>
  <c r="K101" i="3"/>
  <c r="K102" i="3"/>
  <c r="K103" i="3"/>
  <c r="K104" i="3"/>
  <c r="K105" i="3"/>
  <c r="K106" i="3"/>
  <c r="K107" i="3"/>
  <c r="K108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1" i="3"/>
  <c r="K42" i="3"/>
  <c r="K43" i="3"/>
  <c r="K44" i="3"/>
  <c r="K45" i="3"/>
  <c r="K46" i="3"/>
  <c r="K47" i="3"/>
  <c r="K48" i="3"/>
  <c r="K49" i="3"/>
  <c r="K50" i="3"/>
  <c r="K102" i="2"/>
  <c r="K103" i="2"/>
  <c r="K104" i="2"/>
  <c r="K105" i="2"/>
  <c r="K106" i="2"/>
  <c r="K107" i="2"/>
  <c r="K108" i="2"/>
  <c r="K109" i="2"/>
  <c r="K110" i="2"/>
  <c r="K111" i="2"/>
  <c r="K113" i="2"/>
  <c r="K114" i="2"/>
  <c r="K115" i="2"/>
  <c r="K116" i="2"/>
  <c r="K117" i="2"/>
  <c r="K118" i="2"/>
  <c r="K119" i="2"/>
  <c r="K120" i="2"/>
  <c r="K121" i="2"/>
  <c r="L62" i="2"/>
  <c r="L63" i="2"/>
  <c r="L64" i="2"/>
  <c r="L65" i="2"/>
  <c r="L66" i="2"/>
  <c r="L67" i="2"/>
  <c r="L68" i="2"/>
  <c r="L69" i="2"/>
  <c r="L70" i="2"/>
  <c r="L71" i="2"/>
  <c r="L73" i="2"/>
  <c r="L74" i="2"/>
  <c r="L75" i="2"/>
  <c r="L76" i="2"/>
  <c r="L77" i="2"/>
  <c r="L78" i="2"/>
  <c r="L79" i="2"/>
  <c r="L80" i="2"/>
  <c r="L81" i="2"/>
  <c r="L33" i="2"/>
  <c r="L34" i="2"/>
  <c r="L35" i="2"/>
  <c r="L36" i="2"/>
  <c r="L37" i="2"/>
  <c r="L38" i="2"/>
  <c r="L39" i="2"/>
  <c r="L40" i="2"/>
  <c r="L41" i="2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31" i="3"/>
  <c r="M16" i="7"/>
  <c r="N16" i="7" s="1"/>
  <c r="M86" i="6"/>
  <c r="M49" i="6"/>
  <c r="N49" i="6" s="1"/>
  <c r="N15" i="6"/>
  <c r="M15" i="6"/>
  <c r="L89" i="5"/>
  <c r="M89" i="5" s="1"/>
  <c r="AB92" i="5"/>
  <c r="AC92" i="5" s="1"/>
  <c r="AQ89" i="5"/>
  <c r="AR89" i="5" s="1"/>
  <c r="BF89" i="5"/>
  <c r="BG89" i="5" s="1"/>
  <c r="BF52" i="5"/>
  <c r="AP54" i="5"/>
  <c r="AQ54" i="5" s="1"/>
  <c r="AP53" i="5"/>
  <c r="AQ53" i="5" s="1"/>
  <c r="AB53" i="5"/>
  <c r="AC53" i="5" s="1"/>
  <c r="M52" i="5"/>
  <c r="L52" i="5"/>
  <c r="BF90" i="4"/>
  <c r="BG90" i="4" s="1"/>
  <c r="AA91" i="4"/>
  <c r="AA92" i="4"/>
  <c r="AA93" i="4"/>
  <c r="AA94" i="4"/>
  <c r="AA95" i="4"/>
  <c r="AA96" i="4"/>
  <c r="AA90" i="4"/>
  <c r="L90" i="4"/>
  <c r="AA53" i="4"/>
  <c r="AB53" i="4" s="1"/>
  <c r="BF53" i="4"/>
  <c r="N19" i="7"/>
  <c r="N20" i="7"/>
  <c r="M17" i="7"/>
  <c r="N17" i="7" s="1"/>
  <c r="M18" i="7"/>
  <c r="N18" i="7" s="1"/>
  <c r="M19" i="7"/>
  <c r="M20" i="7"/>
  <c r="M21" i="7"/>
  <c r="N21" i="7" s="1"/>
  <c r="M22" i="7"/>
  <c r="N22" i="7" s="1"/>
  <c r="L20" i="7"/>
  <c r="L17" i="7"/>
  <c r="M87" i="6"/>
  <c r="M88" i="6"/>
  <c r="M89" i="6"/>
  <c r="M90" i="6"/>
  <c r="M91" i="6"/>
  <c r="M92" i="6"/>
  <c r="N50" i="6"/>
  <c r="N54" i="6"/>
  <c r="M50" i="6"/>
  <c r="M51" i="6"/>
  <c r="N51" i="6" s="1"/>
  <c r="M52" i="6"/>
  <c r="N52" i="6" s="1"/>
  <c r="M53" i="6"/>
  <c r="N53" i="6" s="1"/>
  <c r="M54" i="6"/>
  <c r="M55" i="6"/>
  <c r="N55" i="6" s="1"/>
  <c r="N16" i="6"/>
  <c r="N20" i="6"/>
  <c r="M16" i="6"/>
  <c r="M17" i="6"/>
  <c r="N17" i="6" s="1"/>
  <c r="M18" i="6"/>
  <c r="N18" i="6" s="1"/>
  <c r="M19" i="6"/>
  <c r="N19" i="6" s="1"/>
  <c r="M20" i="6"/>
  <c r="M21" i="6"/>
  <c r="N21" i="6" s="1"/>
  <c r="L90" i="6"/>
  <c r="L87" i="6"/>
  <c r="L53" i="6"/>
  <c r="L50" i="6"/>
  <c r="L19" i="6"/>
  <c r="L16" i="6"/>
  <c r="O158" i="3" l="1"/>
  <c r="O107" i="3"/>
  <c r="S158" i="3"/>
  <c r="BT90" i="5"/>
  <c r="BU90" i="5" s="1"/>
  <c r="BT91" i="5"/>
  <c r="BU91" i="5" s="1"/>
  <c r="BT92" i="5"/>
  <c r="BU92" i="5" s="1"/>
  <c r="BT93" i="5"/>
  <c r="BU93" i="5" s="1"/>
  <c r="BT94" i="5"/>
  <c r="BU94" i="5" s="1"/>
  <c r="BT95" i="5"/>
  <c r="BU95" i="5" s="1"/>
  <c r="BT89" i="5"/>
  <c r="BU89" i="5" s="1"/>
  <c r="BG95" i="5"/>
  <c r="BF90" i="5"/>
  <c r="BG90" i="5" s="1"/>
  <c r="BF91" i="5"/>
  <c r="BG91" i="5" s="1"/>
  <c r="BF92" i="5"/>
  <c r="BG92" i="5" s="1"/>
  <c r="BF93" i="5"/>
  <c r="BG93" i="5" s="1"/>
  <c r="BF94" i="5"/>
  <c r="BG94" i="5" s="1"/>
  <c r="BF95" i="5"/>
  <c r="AR93" i="5"/>
  <c r="AQ90" i="5"/>
  <c r="AR90" i="5" s="1"/>
  <c r="AQ91" i="5"/>
  <c r="AR91" i="5" s="1"/>
  <c r="AQ92" i="5"/>
  <c r="AR92" i="5" s="1"/>
  <c r="AQ93" i="5"/>
  <c r="AQ94" i="5"/>
  <c r="AR94" i="5" s="1"/>
  <c r="AQ95" i="5"/>
  <c r="AR95" i="5" s="1"/>
  <c r="AP90" i="5"/>
  <c r="AP93" i="5"/>
  <c r="AB93" i="5"/>
  <c r="AC93" i="5" s="1"/>
  <c r="AB94" i="5"/>
  <c r="AC94" i="5" s="1"/>
  <c r="AB95" i="5"/>
  <c r="AC95" i="5" s="1"/>
  <c r="AB96" i="5"/>
  <c r="AC96" i="5" s="1"/>
  <c r="AB97" i="5"/>
  <c r="AC97" i="5" s="1"/>
  <c r="AB98" i="5"/>
  <c r="AC98" i="5" s="1"/>
  <c r="L53" i="5"/>
  <c r="M53" i="5" s="1"/>
  <c r="L54" i="5"/>
  <c r="M54" i="5" s="1"/>
  <c r="L55" i="5"/>
  <c r="M55" i="5" s="1"/>
  <c r="L56" i="5"/>
  <c r="M56" i="5" s="1"/>
  <c r="L57" i="5"/>
  <c r="M57" i="5" s="1"/>
  <c r="L58" i="5"/>
  <c r="M58" i="5" s="1"/>
  <c r="N52" i="5"/>
  <c r="AP59" i="5"/>
  <c r="AQ59" i="5" s="1"/>
  <c r="AB59" i="5"/>
  <c r="AC59" i="5" s="1"/>
  <c r="L95" i="5"/>
  <c r="O95" i="5" s="1"/>
  <c r="AP58" i="5"/>
  <c r="AQ58" i="5" s="1"/>
  <c r="AB58" i="5"/>
  <c r="AC58" i="5" s="1"/>
  <c r="L94" i="5"/>
  <c r="O94" i="5" s="1"/>
  <c r="BS93" i="5"/>
  <c r="BE93" i="5"/>
  <c r="AP57" i="5"/>
  <c r="AQ57" i="5" s="1"/>
  <c r="AO57" i="5"/>
  <c r="AB57" i="5"/>
  <c r="AC57" i="5" s="1"/>
  <c r="AA57" i="5"/>
  <c r="L93" i="5"/>
  <c r="O93" i="5" s="1"/>
  <c r="K93" i="5"/>
  <c r="AP56" i="5"/>
  <c r="AQ56" i="5" s="1"/>
  <c r="AB56" i="5"/>
  <c r="AC56" i="5" s="1"/>
  <c r="L92" i="5"/>
  <c r="O92" i="5" s="1"/>
  <c r="AP55" i="5"/>
  <c r="AQ55" i="5" s="1"/>
  <c r="AB55" i="5"/>
  <c r="AC55" i="5" s="1"/>
  <c r="L91" i="5"/>
  <c r="O91" i="5" s="1"/>
  <c r="BS90" i="5"/>
  <c r="BE90" i="5"/>
  <c r="AO54" i="5"/>
  <c r="AB54" i="5"/>
  <c r="AC54" i="5" s="1"/>
  <c r="AA54" i="5"/>
  <c r="L90" i="5"/>
  <c r="O90" i="5" s="1"/>
  <c r="K90" i="5"/>
  <c r="N89" i="5"/>
  <c r="BT53" i="5"/>
  <c r="BU53" i="5" s="1"/>
  <c r="BT54" i="5"/>
  <c r="BU54" i="5" s="1"/>
  <c r="BT55" i="5"/>
  <c r="BU55" i="5" s="1"/>
  <c r="BT56" i="5"/>
  <c r="BU56" i="5" s="1"/>
  <c r="BT57" i="5"/>
  <c r="BU57" i="5" s="1"/>
  <c r="BT58" i="5"/>
  <c r="BU58" i="5" s="1"/>
  <c r="BT52" i="5"/>
  <c r="BU52" i="5" s="1"/>
  <c r="BF53" i="5"/>
  <c r="BG53" i="5" s="1"/>
  <c r="BF54" i="5"/>
  <c r="BG54" i="5" s="1"/>
  <c r="BF55" i="5"/>
  <c r="BG55" i="5" s="1"/>
  <c r="BF56" i="5"/>
  <c r="BG56" i="5" s="1"/>
  <c r="BF57" i="5"/>
  <c r="BG57" i="5" s="1"/>
  <c r="BF58" i="5"/>
  <c r="BG58" i="5" s="1"/>
  <c r="BG52" i="5"/>
  <c r="O55" i="5"/>
  <c r="BS56" i="5"/>
  <c r="BE56" i="5"/>
  <c r="AA96" i="5"/>
  <c r="K56" i="5"/>
  <c r="BS53" i="5"/>
  <c r="BE53" i="5"/>
  <c r="AA93" i="5"/>
  <c r="O53" i="5"/>
  <c r="K53" i="5"/>
  <c r="BS22" i="5"/>
  <c r="BS19" i="5"/>
  <c r="Z22" i="5"/>
  <c r="K22" i="5"/>
  <c r="Z19" i="5"/>
  <c r="K19" i="5"/>
  <c r="O90" i="4"/>
  <c r="N90" i="4"/>
  <c r="L53" i="4"/>
  <c r="N53" i="4" s="1"/>
  <c r="N20" i="5" l="1"/>
  <c r="O53" i="4"/>
  <c r="O52" i="5"/>
  <c r="O89" i="5"/>
  <c r="M90" i="5"/>
  <c r="N90" i="5"/>
  <c r="M92" i="5"/>
  <c r="N91" i="5"/>
  <c r="N92" i="5"/>
  <c r="N57" i="5"/>
  <c r="M91" i="5"/>
  <c r="N58" i="5"/>
  <c r="O54" i="5"/>
  <c r="N93" i="5"/>
  <c r="N94" i="5"/>
  <c r="N95" i="5"/>
  <c r="M93" i="5"/>
  <c r="M94" i="5"/>
  <c r="M95" i="5"/>
  <c r="N56" i="5"/>
  <c r="O56" i="5"/>
  <c r="O57" i="5"/>
  <c r="O58" i="5"/>
  <c r="N53" i="5"/>
  <c r="N54" i="5"/>
  <c r="N55" i="5"/>
  <c r="O23" i="5" l="1"/>
  <c r="O20" i="5"/>
  <c r="M105" i="4"/>
  <c r="D106" i="4"/>
  <c r="D107" i="4"/>
  <c r="D108" i="4"/>
  <c r="D109" i="4"/>
  <c r="D110" i="4"/>
  <c r="D105" i="4"/>
  <c r="BF91" i="4"/>
  <c r="BG91" i="4" s="1"/>
  <c r="BF92" i="4"/>
  <c r="BG92" i="4" s="1"/>
  <c r="BF93" i="4"/>
  <c r="BG93" i="4" s="1"/>
  <c r="BF94" i="4"/>
  <c r="BG94" i="4" s="1"/>
  <c r="BF95" i="4"/>
  <c r="BG95" i="4" s="1"/>
  <c r="BF96" i="4"/>
  <c r="BG96" i="4" s="1"/>
  <c r="AP91" i="4"/>
  <c r="AQ91" i="4" s="1"/>
  <c r="AP92" i="4"/>
  <c r="AQ92" i="4" s="1"/>
  <c r="AP93" i="4"/>
  <c r="AQ93" i="4" s="1"/>
  <c r="AP94" i="4"/>
  <c r="AQ94" i="4" s="1"/>
  <c r="AP95" i="4"/>
  <c r="AQ95" i="4" s="1"/>
  <c r="AP96" i="4"/>
  <c r="AQ96" i="4" s="1"/>
  <c r="AP90" i="4"/>
  <c r="AQ90" i="4" s="1"/>
  <c r="M92" i="4"/>
  <c r="M94" i="4"/>
  <c r="M90" i="4"/>
  <c r="L91" i="4"/>
  <c r="M91" i="4" s="1"/>
  <c r="L92" i="4"/>
  <c r="L93" i="4"/>
  <c r="L94" i="4"/>
  <c r="L95" i="4"/>
  <c r="M95" i="4" s="1"/>
  <c r="L96" i="4"/>
  <c r="M96" i="4" s="1"/>
  <c r="BE94" i="4"/>
  <c r="AO94" i="4"/>
  <c r="Z94" i="4"/>
  <c r="K94" i="4"/>
  <c r="BE91" i="4"/>
  <c r="AO91" i="4"/>
  <c r="Z91" i="4"/>
  <c r="K91" i="4"/>
  <c r="J68" i="4"/>
  <c r="J69" i="4"/>
  <c r="J70" i="4"/>
  <c r="J71" i="4"/>
  <c r="J72" i="4"/>
  <c r="J73" i="4"/>
  <c r="M71" i="4"/>
  <c r="M69" i="4"/>
  <c r="M70" i="4"/>
  <c r="M72" i="4"/>
  <c r="M73" i="4"/>
  <c r="M68" i="4"/>
  <c r="G69" i="4"/>
  <c r="G70" i="4"/>
  <c r="G71" i="4"/>
  <c r="G72" i="4"/>
  <c r="G73" i="4"/>
  <c r="D69" i="4"/>
  <c r="D70" i="4"/>
  <c r="D71" i="4"/>
  <c r="D72" i="4"/>
  <c r="D73" i="4"/>
  <c r="D68" i="4"/>
  <c r="BF54" i="4"/>
  <c r="BG54" i="4" s="1"/>
  <c r="BF55" i="4"/>
  <c r="BG55" i="4" s="1"/>
  <c r="BF56" i="4"/>
  <c r="BG56" i="4" s="1"/>
  <c r="BF57" i="4"/>
  <c r="BG57" i="4" s="1"/>
  <c r="BF58" i="4"/>
  <c r="BG58" i="4" s="1"/>
  <c r="BF59" i="4"/>
  <c r="BG59" i="4" s="1"/>
  <c r="BG53" i="4"/>
  <c r="AP54" i="4"/>
  <c r="AQ54" i="4" s="1"/>
  <c r="AP55" i="4"/>
  <c r="AQ55" i="4" s="1"/>
  <c r="AP56" i="4"/>
  <c r="AQ56" i="4" s="1"/>
  <c r="AP57" i="4"/>
  <c r="AQ57" i="4" s="1"/>
  <c r="AP58" i="4"/>
  <c r="AQ58" i="4" s="1"/>
  <c r="AP59" i="4"/>
  <c r="AQ59" i="4" s="1"/>
  <c r="AP53" i="4"/>
  <c r="AQ53" i="4" s="1"/>
  <c r="AA54" i="4"/>
  <c r="AA55" i="4"/>
  <c r="AB55" i="4" s="1"/>
  <c r="AA56" i="4"/>
  <c r="AB56" i="4" s="1"/>
  <c r="AA57" i="4"/>
  <c r="AB57" i="4" s="1"/>
  <c r="AA58" i="4"/>
  <c r="AB58" i="4" s="1"/>
  <c r="AA59" i="4"/>
  <c r="AB59" i="4" s="1"/>
  <c r="M54" i="4"/>
  <c r="L54" i="4"/>
  <c r="L55" i="4"/>
  <c r="L56" i="4"/>
  <c r="L57" i="4"/>
  <c r="L58" i="4"/>
  <c r="M58" i="4" s="1"/>
  <c r="L59" i="4"/>
  <c r="M53" i="4"/>
  <c r="BE57" i="4"/>
  <c r="AO57" i="4"/>
  <c r="Z57" i="4"/>
  <c r="K57" i="4"/>
  <c r="BE54" i="4"/>
  <c r="AO54" i="4"/>
  <c r="AB54" i="4"/>
  <c r="Z54" i="4"/>
  <c r="K54" i="4"/>
  <c r="M28" i="4"/>
  <c r="M29" i="4"/>
  <c r="M30" i="4"/>
  <c r="M31" i="4"/>
  <c r="M32" i="4"/>
  <c r="J28" i="4"/>
  <c r="J29" i="4"/>
  <c r="J30" i="4"/>
  <c r="J31" i="4"/>
  <c r="J32" i="4"/>
  <c r="J27" i="4"/>
  <c r="G27" i="4"/>
  <c r="D28" i="4"/>
  <c r="D29" i="4"/>
  <c r="D30" i="4"/>
  <c r="D31" i="4"/>
  <c r="D32" i="4"/>
  <c r="D27" i="4"/>
  <c r="BF13" i="4"/>
  <c r="BG13" i="4" s="1"/>
  <c r="BF14" i="4"/>
  <c r="BG14" i="4" s="1"/>
  <c r="BF15" i="4"/>
  <c r="BG15" i="4" s="1"/>
  <c r="BF16" i="4"/>
  <c r="BG16" i="4" s="1"/>
  <c r="BF17" i="4"/>
  <c r="BG17" i="4" s="1"/>
  <c r="BF18" i="4"/>
  <c r="BG18" i="4" s="1"/>
  <c r="BF12" i="4"/>
  <c r="BG12" i="4" s="1"/>
  <c r="AP13" i="4"/>
  <c r="AQ13" i="4" s="1"/>
  <c r="AP14" i="4"/>
  <c r="AQ14" i="4" s="1"/>
  <c r="AP15" i="4"/>
  <c r="AQ15" i="4" s="1"/>
  <c r="AP16" i="4"/>
  <c r="AQ16" i="4" s="1"/>
  <c r="AP17" i="4"/>
  <c r="AQ17" i="4" s="1"/>
  <c r="AP18" i="4"/>
  <c r="AQ18" i="4" s="1"/>
  <c r="AP12" i="4"/>
  <c r="AQ12" i="4" s="1"/>
  <c r="AA13" i="4"/>
  <c r="AB13" i="4" s="1"/>
  <c r="AA14" i="4"/>
  <c r="AB14" i="4" s="1"/>
  <c r="AA15" i="4"/>
  <c r="AB15" i="4" s="1"/>
  <c r="AA16" i="4"/>
  <c r="AB16" i="4" s="1"/>
  <c r="AA17" i="4"/>
  <c r="AB17" i="4" s="1"/>
  <c r="AA18" i="4"/>
  <c r="AB18" i="4" s="1"/>
  <c r="AA12" i="4"/>
  <c r="AB12" i="4" s="1"/>
  <c r="L13" i="4"/>
  <c r="L14" i="4"/>
  <c r="L15" i="4"/>
  <c r="L16" i="4"/>
  <c r="L17" i="4"/>
  <c r="L18" i="4"/>
  <c r="L12" i="4"/>
  <c r="M18" i="4" l="1"/>
  <c r="N18" i="4"/>
  <c r="O18" i="4"/>
  <c r="M16" i="4"/>
  <c r="N16" i="4"/>
  <c r="O16" i="4"/>
  <c r="N57" i="4"/>
  <c r="O57" i="4"/>
  <c r="N93" i="4"/>
  <c r="O93" i="4"/>
  <c r="M12" i="4"/>
  <c r="N12" i="4"/>
  <c r="O12" i="4"/>
  <c r="M15" i="4"/>
  <c r="O15" i="4"/>
  <c r="N15" i="4"/>
  <c r="M56" i="4"/>
  <c r="N56" i="4"/>
  <c r="O56" i="4"/>
  <c r="M57" i="4"/>
  <c r="O96" i="4"/>
  <c r="N96" i="4"/>
  <c r="O92" i="4"/>
  <c r="N92" i="4"/>
  <c r="M59" i="4"/>
  <c r="O59" i="4"/>
  <c r="N59" i="4"/>
  <c r="M55" i="4"/>
  <c r="O55" i="4"/>
  <c r="N55" i="4"/>
  <c r="N95" i="4"/>
  <c r="O95" i="4"/>
  <c r="O91" i="4"/>
  <c r="N91" i="4"/>
  <c r="M14" i="4"/>
  <c r="N14" i="4"/>
  <c r="O14" i="4"/>
  <c r="N58" i="4"/>
  <c r="O58" i="4"/>
  <c r="N54" i="4"/>
  <c r="O54" i="4"/>
  <c r="O94" i="4"/>
  <c r="N94" i="4"/>
  <c r="M93" i="4"/>
  <c r="M17" i="4"/>
  <c r="O17" i="4"/>
  <c r="N17" i="4"/>
  <c r="M13" i="4"/>
  <c r="O13" i="4"/>
  <c r="N13" i="4"/>
  <c r="AO16" i="4"/>
  <c r="BE16" i="4"/>
  <c r="BE13" i="4"/>
  <c r="AO13" i="4"/>
  <c r="Z13" i="4"/>
  <c r="Z16" i="4"/>
  <c r="K13" i="4"/>
  <c r="K16" i="4"/>
  <c r="L23" i="2" l="1"/>
  <c r="L24" i="2"/>
  <c r="L25" i="2"/>
  <c r="L26" i="2"/>
  <c r="L27" i="2"/>
  <c r="L28" i="2"/>
  <c r="L29" i="2"/>
  <c r="L30" i="2"/>
  <c r="L31" i="2"/>
  <c r="L22" i="2"/>
  <c r="O53" i="2"/>
  <c r="O54" i="2"/>
  <c r="O55" i="2"/>
  <c r="O56" i="2"/>
  <c r="O57" i="2"/>
  <c r="O58" i="2"/>
  <c r="O59" i="2"/>
  <c r="O14" i="2"/>
  <c r="O15" i="2"/>
  <c r="O16" i="2"/>
  <c r="O17" i="2"/>
  <c r="O18" i="2"/>
  <c r="O12" i="2"/>
  <c r="N91" i="2"/>
  <c r="L68" i="3" l="1"/>
  <c r="M118" i="3"/>
  <c r="M119" i="3"/>
  <c r="N119" i="3" s="1"/>
  <c r="M120" i="3"/>
  <c r="M121" i="3"/>
  <c r="N121" i="3" s="1"/>
  <c r="M122" i="3"/>
  <c r="M123" i="3"/>
  <c r="M124" i="3"/>
  <c r="L122" i="3"/>
  <c r="L119" i="3"/>
  <c r="M68" i="3"/>
  <c r="N68" i="3" s="1"/>
  <c r="M69" i="3"/>
  <c r="N69" i="3" s="1"/>
  <c r="M70" i="3"/>
  <c r="N70" i="3" s="1"/>
  <c r="M71" i="3"/>
  <c r="N71" i="3" s="1"/>
  <c r="M72" i="3"/>
  <c r="N72" i="3" s="1"/>
  <c r="M73" i="3"/>
  <c r="N73" i="3" s="1"/>
  <c r="M67" i="3"/>
  <c r="N67" i="3" s="1"/>
  <c r="L71" i="3"/>
  <c r="M11" i="3"/>
  <c r="N11" i="3" s="1"/>
  <c r="M15" i="3"/>
  <c r="N15" i="3" s="1"/>
  <c r="M12" i="3"/>
  <c r="N12" i="3" s="1"/>
  <c r="M13" i="3"/>
  <c r="N13" i="3" s="1"/>
  <c r="M14" i="3"/>
  <c r="N14" i="3" s="1"/>
  <c r="M16" i="3"/>
  <c r="N16" i="3" s="1"/>
  <c r="M17" i="3"/>
  <c r="N17" i="3" s="1"/>
  <c r="L12" i="3"/>
  <c r="L15" i="3"/>
  <c r="L95" i="2"/>
  <c r="L92" i="2"/>
  <c r="M92" i="2"/>
  <c r="N92" i="2" s="1"/>
  <c r="M93" i="2"/>
  <c r="N93" i="2" s="1"/>
  <c r="M94" i="2"/>
  <c r="N94" i="2" s="1"/>
  <c r="M95" i="2"/>
  <c r="N95" i="2" s="1"/>
  <c r="M96" i="2"/>
  <c r="N96" i="2" s="1"/>
  <c r="M97" i="2"/>
  <c r="N97" i="2" s="1"/>
  <c r="M91" i="2"/>
  <c r="N58" i="2"/>
  <c r="N54" i="2"/>
  <c r="N55" i="2"/>
  <c r="N56" i="2"/>
  <c r="N57" i="2"/>
  <c r="N59" i="2"/>
  <c r="N53" i="2"/>
  <c r="M57" i="2"/>
  <c r="M54" i="2"/>
  <c r="N13" i="2"/>
  <c r="N14" i="2"/>
  <c r="N15" i="2"/>
  <c r="N16" i="2"/>
  <c r="N17" i="2"/>
  <c r="N18" i="2"/>
  <c r="N12" i="2"/>
  <c r="M57" i="1"/>
  <c r="M56" i="1"/>
  <c r="M55" i="1"/>
  <c r="L55" i="1"/>
  <c r="M54" i="1"/>
  <c r="M53" i="1"/>
  <c r="M52" i="1"/>
  <c r="L52" i="1"/>
  <c r="M51" i="1"/>
  <c r="M37" i="1"/>
  <c r="M36" i="1"/>
  <c r="M35" i="1"/>
  <c r="L35" i="1"/>
  <c r="M34" i="1"/>
  <c r="M33" i="1"/>
  <c r="M32" i="1"/>
  <c r="L32" i="1"/>
  <c r="M31" i="1"/>
  <c r="M15" i="1"/>
  <c r="M14" i="1"/>
  <c r="M13" i="1"/>
  <c r="L13" i="1"/>
  <c r="M12" i="1"/>
  <c r="M11" i="1"/>
  <c r="M10" i="1"/>
  <c r="L10" i="1"/>
  <c r="M9" i="1"/>
</calcChain>
</file>

<file path=xl/sharedStrings.xml><?xml version="1.0" encoding="utf-8"?>
<sst xmlns="http://schemas.openxmlformats.org/spreadsheetml/2006/main" count="697" uniqueCount="81">
  <si>
    <t>Lot 1</t>
  </si>
  <si>
    <t>Lot 2</t>
  </si>
  <si>
    <t>Lot 3</t>
  </si>
  <si>
    <t>NOR-</t>
  </si>
  <si>
    <t>WP-01</t>
  </si>
  <si>
    <t>MP-01</t>
  </si>
  <si>
    <t>SP-01</t>
  </si>
  <si>
    <t>P1</t>
  </si>
  <si>
    <t>P2</t>
  </si>
  <si>
    <t>P3</t>
  </si>
  <si>
    <t>P4</t>
  </si>
  <si>
    <t>P5</t>
  </si>
  <si>
    <t>P6</t>
  </si>
  <si>
    <t>Nor</t>
  </si>
  <si>
    <t>wp-01</t>
  </si>
  <si>
    <t>mp-0</t>
  </si>
  <si>
    <t>sp-01</t>
  </si>
  <si>
    <t>p1</t>
  </si>
  <si>
    <t>p2</t>
  </si>
  <si>
    <t>p3</t>
  </si>
  <si>
    <t>p4</t>
  </si>
  <si>
    <t>p5</t>
  </si>
  <si>
    <t>p6</t>
  </si>
  <si>
    <t>p7</t>
  </si>
  <si>
    <t xml:space="preserve">Control </t>
  </si>
  <si>
    <t>3rd</t>
  </si>
  <si>
    <t>LOT 1</t>
  </si>
  <si>
    <t>CONTROL</t>
  </si>
  <si>
    <t>3RD</t>
  </si>
  <si>
    <t>7TH</t>
  </si>
  <si>
    <t>14TH</t>
  </si>
  <si>
    <t>LOT 2</t>
  </si>
  <si>
    <t>LOT 3</t>
  </si>
  <si>
    <t xml:space="preserve">lot 1 </t>
  </si>
  <si>
    <t>Control</t>
  </si>
  <si>
    <t>2 week</t>
  </si>
  <si>
    <t>4 week</t>
  </si>
  <si>
    <t>6 week</t>
  </si>
  <si>
    <t>8 week</t>
  </si>
  <si>
    <t>WP-02</t>
  </si>
  <si>
    <t>WP-03</t>
  </si>
  <si>
    <t>MP-02</t>
  </si>
  <si>
    <t>MP-03</t>
  </si>
  <si>
    <t>NOR</t>
  </si>
  <si>
    <t>Acceptance Range</t>
  </si>
  <si>
    <t>Acceptance range</t>
  </si>
  <si>
    <t>N-</t>
  </si>
  <si>
    <t>Week 2</t>
  </si>
  <si>
    <t xml:space="preserve">Shipped </t>
  </si>
  <si>
    <t>Week 4</t>
  </si>
  <si>
    <t>N1</t>
  </si>
  <si>
    <t>N2</t>
  </si>
  <si>
    <t>N3</t>
  </si>
  <si>
    <t>week 2</t>
  </si>
  <si>
    <t>week 4</t>
  </si>
  <si>
    <t>L1</t>
  </si>
  <si>
    <t>L2</t>
  </si>
  <si>
    <t>L3</t>
  </si>
  <si>
    <t>L4</t>
  </si>
  <si>
    <t>Nor-</t>
  </si>
  <si>
    <t>Nor-21</t>
  </si>
  <si>
    <t>Nor-22</t>
  </si>
  <si>
    <t>Nor-23</t>
  </si>
  <si>
    <t>Nor-24</t>
  </si>
  <si>
    <t>Nor-25</t>
  </si>
  <si>
    <t>Nor-26</t>
  </si>
  <si>
    <t>Nor-27</t>
  </si>
  <si>
    <t>Nor-28</t>
  </si>
  <si>
    <t>Nor-29</t>
  </si>
  <si>
    <t>Nor-30</t>
  </si>
  <si>
    <t>Nor-31</t>
  </si>
  <si>
    <t>Nor-32</t>
  </si>
  <si>
    <t>Nor-33</t>
  </si>
  <si>
    <t>Nor-34</t>
  </si>
  <si>
    <t>Nor-35</t>
  </si>
  <si>
    <t>Nor-36</t>
  </si>
  <si>
    <t>Nor-37</t>
  </si>
  <si>
    <t>Nor-38</t>
  </si>
  <si>
    <t>Nor-39</t>
  </si>
  <si>
    <t>Nor-40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</si>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</sst>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 Light"/>
      <family val="2"/>
      <scheme val="major"/>
    </font>
    <font>
      <sz val="10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70">
    <xf numFmtId="0" fontId="0" fillId="0" borderId="0" xfId="0"/>
    <xf numFmtId="3" fontId="0" fillId="0" borderId="0" xfId="0" applyNumberFormat="1"/>
    <xf numFmtId="2" fontId="0" fillId="0" borderId="0" xfId="0" applyNumberFormat="1"/>
    <xf numFmtId="3" fontId="1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4" fillId="0" borderId="0" xfId="0" applyFon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1" fontId="0" fillId="0" borderId="1" xfId="0" applyNumberFormat="1" applyBorder="1"/>
    <xf numFmtId="3" fontId="0" fillId="0" borderId="1" xfId="0" applyNumberFormat="1" applyBorder="1"/>
    <xf numFmtId="2" fontId="0" fillId="0" borderId="1" xfId="0" applyNumberFormat="1" applyBorder="1"/>
    <xf numFmtId="3" fontId="0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1" xfId="0" applyFill="1" applyBorder="1" applyAlignment="1">
      <alignment horizontal="center"/>
    </xf>
    <xf numFmtId="1" fontId="0" fillId="0" borderId="0" xfId="0" applyNumberFormat="1" applyBorder="1"/>
    <xf numFmtId="0" fontId="0" fillId="0" borderId="0" xfId="0" applyBorder="1"/>
    <xf numFmtId="0" fontId="0" fillId="0" borderId="1" xfId="0" applyFill="1" applyBorder="1"/>
    <xf numFmtId="0" fontId="0" fillId="0" borderId="6" xfId="0" applyBorder="1" applyAlignment="1">
      <alignment horizontal="center"/>
    </xf>
    <xf numFmtId="1" fontId="0" fillId="0" borderId="7" xfId="0" applyNumberFormat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Border="1"/>
    <xf numFmtId="1" fontId="0" fillId="0" borderId="10" xfId="0" applyNumberFormat="1" applyBorder="1"/>
    <xf numFmtId="0" fontId="0" fillId="0" borderId="9" xfId="0" applyFill="1" applyBorder="1"/>
    <xf numFmtId="0" fontId="0" fillId="0" borderId="7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1" fontId="0" fillId="0" borderId="12" xfId="0" applyNumberFormat="1" applyBorder="1"/>
    <xf numFmtId="1" fontId="0" fillId="0" borderId="19" xfId="0" applyNumberFormat="1" applyBorder="1"/>
    <xf numFmtId="1" fontId="0" fillId="0" borderId="1" xfId="0" applyNumberFormat="1" applyFill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2" fontId="4" fillId="0" borderId="0" xfId="0" applyNumberFormat="1" applyFont="1" applyAlignment="1">
      <alignment horizontal="center" vertical="center"/>
    </xf>
    <xf numFmtId="0" fontId="0" fillId="2" borderId="1" xfId="0" applyFill="1" applyBorder="1"/>
    <xf numFmtId="0" fontId="6" fillId="0" borderId="0" xfId="0" applyFont="1"/>
    <xf numFmtId="4" fontId="0" fillId="0" borderId="1" xfId="0" applyNumberFormat="1" applyBorder="1"/>
    <xf numFmtId="0" fontId="0" fillId="4" borderId="1" xfId="0" applyFill="1" applyBorder="1"/>
    <xf numFmtId="3" fontId="0" fillId="0" borderId="1" xfId="0" applyNumberFormat="1" applyBorder="1" applyAlignment="1">
      <alignment horizontal="center"/>
    </xf>
    <xf numFmtId="0" fontId="0" fillId="5" borderId="0" xfId="0" applyFill="1"/>
    <xf numFmtId="0" fontId="0" fillId="0" borderId="0" xfId="0" applyFill="1" applyBorder="1" applyAlignment="1">
      <alignment horizontal="center"/>
    </xf>
    <xf numFmtId="9" fontId="0" fillId="0" borderId="0" xfId="1" applyFont="1"/>
    <xf numFmtId="3" fontId="0" fillId="0" borderId="0" xfId="0" applyNumberFormat="1" applyBorder="1"/>
    <xf numFmtId="0" fontId="0" fillId="0" borderId="1" xfId="0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0" fillId="6" borderId="0" xfId="0" applyFill="1"/>
    <xf numFmtId="0" fontId="8" fillId="6" borderId="0" xfId="0" applyFont="1" applyFill="1"/>
    <xf numFmtId="165" fontId="0" fillId="0" borderId="0" xfId="0" applyNumberFormat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03192870111028"/>
          <c:y val="0.12223352425197281"/>
          <c:w val="0.80200297642584462"/>
          <c:h val="0.7279716709472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750524934383203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'[1]ds DNA'!$J$9:$J$15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xVal>
          <c:yVal>
            <c:numRef>
              <c:f>'[1]ds DNA'!$K$9:$K$15</c:f>
              <c:numCache>
                <c:formatCode>General</c:formatCode>
                <c:ptCount val="7"/>
                <c:pt idx="0">
                  <c:v>5000</c:v>
                </c:pt>
                <c:pt idx="1">
                  <c:v>3639258</c:v>
                </c:pt>
                <c:pt idx="2">
                  <c:v>3512065</c:v>
                </c:pt>
                <c:pt idx="3">
                  <c:v>3415165</c:v>
                </c:pt>
                <c:pt idx="4">
                  <c:v>25550215</c:v>
                </c:pt>
                <c:pt idx="5">
                  <c:v>26072271</c:v>
                </c:pt>
                <c:pt idx="6">
                  <c:v>25509123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B7-4FA9-A0FE-519C946F1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826624"/>
        <c:axId val="1929822816"/>
      </c:scatterChart>
      <c:valAx>
        <c:axId val="1929826624"/>
        <c:scaling>
          <c:orientation val="minMax"/>
          <c:max val="5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22816"/>
        <c:crosses val="autoZero"/>
        <c:crossBetween val="midCat"/>
        <c:majorUnit val="50"/>
        <c:minorUnit val="0.5"/>
      </c:valAx>
      <c:valAx>
        <c:axId val="19298228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2662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15229672491357"/>
          <c:y val="0.13277353689567431"/>
          <c:w val="0.78227080696332585"/>
          <c:h val="0.6931894772695398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750524934383203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Inprocess!$J$91:$J$97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xVal>
          <c:yVal>
            <c:numRef>
              <c:f>Inprocess!$K$91:$K$97</c:f>
              <c:numCache>
                <c:formatCode>#,##0</c:formatCode>
                <c:ptCount val="7"/>
                <c:pt idx="0">
                  <c:v>5000</c:v>
                </c:pt>
                <c:pt idx="1">
                  <c:v>3553390</c:v>
                </c:pt>
                <c:pt idx="2">
                  <c:v>3694834</c:v>
                </c:pt>
                <c:pt idx="3">
                  <c:v>3415829</c:v>
                </c:pt>
                <c:pt idx="4">
                  <c:v>25508283</c:v>
                </c:pt>
                <c:pt idx="5">
                  <c:v>26238813</c:v>
                </c:pt>
                <c:pt idx="6">
                  <c:v>26741300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50-424A-B556-2C8042A7F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501216"/>
        <c:axId val="2027507200"/>
      </c:scatterChart>
      <c:valAx>
        <c:axId val="2027501216"/>
        <c:scaling>
          <c:orientation val="minMax"/>
          <c:max val="5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7200"/>
        <c:crosses val="autoZero"/>
        <c:crossBetween val="midCat"/>
        <c:majorUnit val="50"/>
        <c:minorUnit val="0.5"/>
      </c:valAx>
      <c:valAx>
        <c:axId val="2027507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15229672491357"/>
          <c:y val="0.13277353689567431"/>
          <c:w val="0.78227080696332585"/>
          <c:h val="0.6931894772695398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750524934383203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Inprocess!$K$12:$K$18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xVal>
          <c:yVal>
            <c:numRef>
              <c:f>Inprocess!$L$12:$L$18</c:f>
              <c:numCache>
                <c:formatCode>#,##0</c:formatCode>
                <c:ptCount val="7"/>
                <c:pt idx="0">
                  <c:v>5000</c:v>
                </c:pt>
                <c:pt idx="1">
                  <c:v>3402099</c:v>
                </c:pt>
                <c:pt idx="2">
                  <c:v>3559440</c:v>
                </c:pt>
                <c:pt idx="3">
                  <c:v>3420064</c:v>
                </c:pt>
                <c:pt idx="4">
                  <c:v>25866725</c:v>
                </c:pt>
                <c:pt idx="5">
                  <c:v>25871908</c:v>
                </c:pt>
                <c:pt idx="6">
                  <c:v>25172021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75-4396-859C-3E571334F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501216"/>
        <c:axId val="2027507200"/>
      </c:scatterChart>
      <c:valAx>
        <c:axId val="2027501216"/>
        <c:scaling>
          <c:orientation val="minMax"/>
          <c:max val="5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7200"/>
        <c:crosses val="autoZero"/>
        <c:crossBetween val="midCat"/>
        <c:majorUnit val="50"/>
        <c:minorUnit val="0.5"/>
      </c:valAx>
      <c:valAx>
        <c:axId val="2027507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15229672491357"/>
          <c:y val="0.13277353689567431"/>
          <c:w val="0.78227080696332585"/>
          <c:h val="0.6931894772695398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750524934383203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Inprocess!$K$53:$K$59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xVal>
          <c:yVal>
            <c:numRef>
              <c:f>Inprocess!$L$53:$L$59</c:f>
              <c:numCache>
                <c:formatCode>#,##0</c:formatCode>
                <c:ptCount val="7"/>
                <c:pt idx="0">
                  <c:v>5000</c:v>
                </c:pt>
                <c:pt idx="1">
                  <c:v>3623827</c:v>
                </c:pt>
                <c:pt idx="2">
                  <c:v>3596013</c:v>
                </c:pt>
                <c:pt idx="3">
                  <c:v>3516344</c:v>
                </c:pt>
                <c:pt idx="4">
                  <c:v>25492991</c:v>
                </c:pt>
                <c:pt idx="5">
                  <c:v>25562388</c:v>
                </c:pt>
                <c:pt idx="6">
                  <c:v>25765389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3A-4A66-9EEF-B396A6D9A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501216"/>
        <c:axId val="2027507200"/>
      </c:scatterChart>
      <c:valAx>
        <c:axId val="2027501216"/>
        <c:scaling>
          <c:orientation val="minMax"/>
          <c:max val="5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7200"/>
        <c:crosses val="autoZero"/>
        <c:crossBetween val="midCat"/>
        <c:majorUnit val="50"/>
        <c:minorUnit val="0.5"/>
      </c:valAx>
      <c:valAx>
        <c:axId val="2027507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FP!$I$11:$I$17</c:f>
              <c:numCache>
                <c:formatCode>#,##0</c:formatCode>
                <c:ptCount val="7"/>
                <c:pt idx="0">
                  <c:v>5000</c:v>
                </c:pt>
                <c:pt idx="1">
                  <c:v>3410237</c:v>
                </c:pt>
                <c:pt idx="2">
                  <c:v>3541237</c:v>
                </c:pt>
                <c:pt idx="3">
                  <c:v>3669792</c:v>
                </c:pt>
                <c:pt idx="4">
                  <c:v>25282219</c:v>
                </c:pt>
                <c:pt idx="5">
                  <c:v>25887424</c:v>
                </c:pt>
                <c:pt idx="6">
                  <c:v>26934989</c:v>
                </c:pt>
              </c:numCache>
            </c:numRef>
          </c:xVal>
          <c:yVal>
            <c:numRef>
              <c:f>FP!$J$11:$J$17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26-419A-BB21-4425059E6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824448"/>
        <c:axId val="1929815200"/>
      </c:scatterChart>
      <c:valAx>
        <c:axId val="192982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15200"/>
        <c:crosses val="autoZero"/>
        <c:crossBetween val="midCat"/>
      </c:valAx>
      <c:valAx>
        <c:axId val="19298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2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FP!$I$67:$I$73</c:f>
              <c:numCache>
                <c:formatCode>#,##0</c:formatCode>
                <c:ptCount val="7"/>
                <c:pt idx="0">
                  <c:v>5000</c:v>
                </c:pt>
                <c:pt idx="1">
                  <c:v>3529542</c:v>
                </c:pt>
                <c:pt idx="2">
                  <c:v>3411936</c:v>
                </c:pt>
                <c:pt idx="3">
                  <c:v>3421997</c:v>
                </c:pt>
                <c:pt idx="4">
                  <c:v>25037025</c:v>
                </c:pt>
                <c:pt idx="5">
                  <c:v>25440831</c:v>
                </c:pt>
                <c:pt idx="6">
                  <c:v>25130613</c:v>
                </c:pt>
              </c:numCache>
            </c:numRef>
          </c:xVal>
          <c:yVal>
            <c:numRef>
              <c:f>FP!$J$67:$J$73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2-446A-A0FE-DE634D81D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843488"/>
        <c:axId val="1929817376"/>
      </c:scatterChart>
      <c:valAx>
        <c:axId val="192984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17376"/>
        <c:crosses val="autoZero"/>
        <c:crossBetween val="midCat"/>
      </c:valAx>
      <c:valAx>
        <c:axId val="19298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4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FP!$I$118:$I$124</c:f>
              <c:numCache>
                <c:formatCode>#,##0</c:formatCode>
                <c:ptCount val="7"/>
                <c:pt idx="0">
                  <c:v>5000</c:v>
                </c:pt>
                <c:pt idx="1">
                  <c:v>3573644</c:v>
                </c:pt>
                <c:pt idx="2">
                  <c:v>3503586</c:v>
                </c:pt>
                <c:pt idx="3">
                  <c:v>3411023</c:v>
                </c:pt>
                <c:pt idx="4">
                  <c:v>25702111</c:v>
                </c:pt>
                <c:pt idx="5">
                  <c:v>26340181</c:v>
                </c:pt>
                <c:pt idx="6">
                  <c:v>25750184</c:v>
                </c:pt>
              </c:numCache>
            </c:numRef>
          </c:xVal>
          <c:yVal>
            <c:numRef>
              <c:f>FP!$J$118:$J$124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BE-4A5A-A749-ADEB7880B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826080"/>
        <c:axId val="1929828256"/>
      </c:scatterChart>
      <c:valAx>
        <c:axId val="192982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28256"/>
        <c:crosses val="autoZero"/>
        <c:crossBetween val="midCat"/>
      </c:valAx>
      <c:valAx>
        <c:axId val="192982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2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15229672491357"/>
          <c:y val="0.13277353689567431"/>
          <c:w val="0.78227080696332585"/>
          <c:h val="0.6931894772695398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750524934383203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7.9694583631591503E-4"/>
                  <c:y val="0.147124681933842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FP!$J$11:$J$17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xVal>
          <c:yVal>
            <c:numRef>
              <c:f>FP!$K$11:$K$17</c:f>
              <c:numCache>
                <c:formatCode>#,##0</c:formatCode>
                <c:ptCount val="7"/>
                <c:pt idx="0">
                  <c:v>5000</c:v>
                </c:pt>
                <c:pt idx="1">
                  <c:v>3510237</c:v>
                </c:pt>
                <c:pt idx="2">
                  <c:v>3541237</c:v>
                </c:pt>
                <c:pt idx="3">
                  <c:v>3669792</c:v>
                </c:pt>
                <c:pt idx="4">
                  <c:v>26282219</c:v>
                </c:pt>
                <c:pt idx="5">
                  <c:v>25887424</c:v>
                </c:pt>
                <c:pt idx="6">
                  <c:v>26934989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5D-49CA-BC18-8542704C1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501216"/>
        <c:axId val="2027507200"/>
      </c:scatterChart>
      <c:valAx>
        <c:axId val="2027501216"/>
        <c:scaling>
          <c:orientation val="minMax"/>
          <c:max val="5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7200"/>
        <c:crosses val="autoZero"/>
        <c:crossBetween val="midCat"/>
        <c:majorUnit val="50"/>
        <c:minorUnit val="0.5"/>
      </c:valAx>
      <c:valAx>
        <c:axId val="2027507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15229672491357"/>
          <c:y val="0.13277353689567431"/>
          <c:w val="0.78227080696332585"/>
          <c:h val="0.6931894772695398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750524934383203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FP!$J$67:$J$73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xVal>
          <c:yVal>
            <c:numRef>
              <c:f>FP!$K$67:$K$73</c:f>
              <c:numCache>
                <c:formatCode>#,##0</c:formatCode>
                <c:ptCount val="7"/>
                <c:pt idx="0">
                  <c:v>5000</c:v>
                </c:pt>
                <c:pt idx="1">
                  <c:v>3529542</c:v>
                </c:pt>
                <c:pt idx="2">
                  <c:v>3411936</c:v>
                </c:pt>
                <c:pt idx="3">
                  <c:v>3421997</c:v>
                </c:pt>
                <c:pt idx="4">
                  <c:v>25037025</c:v>
                </c:pt>
                <c:pt idx="5">
                  <c:v>25440831</c:v>
                </c:pt>
                <c:pt idx="6">
                  <c:v>25130613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24-4B65-84A2-08FEA989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501216"/>
        <c:axId val="2027507200"/>
      </c:scatterChart>
      <c:valAx>
        <c:axId val="2027501216"/>
        <c:scaling>
          <c:orientation val="minMax"/>
          <c:max val="5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7200"/>
        <c:crosses val="autoZero"/>
        <c:crossBetween val="midCat"/>
        <c:majorUnit val="50"/>
        <c:minorUnit val="0.5"/>
      </c:valAx>
      <c:valAx>
        <c:axId val="2027507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15229672491357"/>
          <c:y val="0.13277353689567431"/>
          <c:w val="0.78227080696332585"/>
          <c:h val="0.6931894772695398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750524934383203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FP!$J$118:$J$124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xVal>
          <c:yVal>
            <c:numRef>
              <c:f>FP!$K$118:$K$124</c:f>
              <c:numCache>
                <c:formatCode>#,##0</c:formatCode>
                <c:ptCount val="7"/>
                <c:pt idx="0">
                  <c:v>5000</c:v>
                </c:pt>
                <c:pt idx="1">
                  <c:v>3473644</c:v>
                </c:pt>
                <c:pt idx="2">
                  <c:v>3503586</c:v>
                </c:pt>
                <c:pt idx="3">
                  <c:v>3411023</c:v>
                </c:pt>
                <c:pt idx="4">
                  <c:v>25702111</c:v>
                </c:pt>
                <c:pt idx="5">
                  <c:v>26340181</c:v>
                </c:pt>
                <c:pt idx="6">
                  <c:v>25750184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B8-4341-BCF2-04D0C6955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501216"/>
        <c:axId val="2027507200"/>
      </c:scatterChart>
      <c:valAx>
        <c:axId val="2027501216"/>
        <c:scaling>
          <c:orientation val="minMax"/>
          <c:max val="5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7200"/>
        <c:crosses val="autoZero"/>
        <c:crossBetween val="midCat"/>
        <c:majorUnit val="50"/>
        <c:minorUnit val="0.5"/>
      </c:valAx>
      <c:valAx>
        <c:axId val="2027507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AS!$H$12:$H$18</c:f>
              <c:numCache>
                <c:formatCode>#,##0</c:formatCode>
                <c:ptCount val="7"/>
                <c:pt idx="0">
                  <c:v>5000</c:v>
                </c:pt>
                <c:pt idx="1">
                  <c:v>3653696</c:v>
                </c:pt>
                <c:pt idx="2">
                  <c:v>3576297</c:v>
                </c:pt>
                <c:pt idx="3">
                  <c:v>3599080</c:v>
                </c:pt>
                <c:pt idx="4">
                  <c:v>26143398</c:v>
                </c:pt>
                <c:pt idx="5">
                  <c:v>25966600</c:v>
                </c:pt>
                <c:pt idx="6">
                  <c:v>26793880</c:v>
                </c:pt>
              </c:numCache>
            </c:numRef>
          </c:xVal>
          <c:yVal>
            <c:numRef>
              <c:f>AS!$I$12:$I$18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59-41D7-B60C-B1674FACE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824448"/>
        <c:axId val="1929815200"/>
      </c:scatterChart>
      <c:valAx>
        <c:axId val="192982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15200"/>
        <c:crosses val="autoZero"/>
        <c:crossBetween val="midCat"/>
      </c:valAx>
      <c:valAx>
        <c:axId val="19298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2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'[1]ds DNA'!$I$9:$I$15</c:f>
              <c:numCache>
                <c:formatCode>General</c:formatCode>
                <c:ptCount val="7"/>
                <c:pt idx="0">
                  <c:v>5000</c:v>
                </c:pt>
                <c:pt idx="1">
                  <c:v>3639258</c:v>
                </c:pt>
                <c:pt idx="2">
                  <c:v>3512065</c:v>
                </c:pt>
                <c:pt idx="3">
                  <c:v>3415165</c:v>
                </c:pt>
                <c:pt idx="4">
                  <c:v>25550215</c:v>
                </c:pt>
                <c:pt idx="5">
                  <c:v>26072271</c:v>
                </c:pt>
                <c:pt idx="6">
                  <c:v>25509123</c:v>
                </c:pt>
              </c:numCache>
            </c:numRef>
          </c:xVal>
          <c:yVal>
            <c:numRef>
              <c:f>'[1]ds DNA'!$J$9:$J$15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B0-46F8-AD91-F5589A07C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817920"/>
        <c:axId val="1929830432"/>
      </c:scatterChart>
      <c:valAx>
        <c:axId val="192981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30432"/>
        <c:crosses val="autoZero"/>
        <c:crossBetween val="midCat"/>
      </c:valAx>
      <c:valAx>
        <c:axId val="19298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1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81908511436072"/>
          <c:y val="0.11950640498295922"/>
          <c:w val="0.78227080696332585"/>
          <c:h val="0.6931894772695398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750524934383203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AS!$I$12:$I$18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xVal>
          <c:yVal>
            <c:numRef>
              <c:f>AS!$J$12:$J$18</c:f>
              <c:numCache>
                <c:formatCode>#,##0</c:formatCode>
                <c:ptCount val="7"/>
                <c:pt idx="0">
                  <c:v>5000</c:v>
                </c:pt>
                <c:pt idx="1">
                  <c:v>3653696</c:v>
                </c:pt>
                <c:pt idx="2">
                  <c:v>3576297</c:v>
                </c:pt>
                <c:pt idx="3">
                  <c:v>3599080</c:v>
                </c:pt>
                <c:pt idx="4">
                  <c:v>26143398</c:v>
                </c:pt>
                <c:pt idx="5">
                  <c:v>25966600</c:v>
                </c:pt>
                <c:pt idx="6">
                  <c:v>26793880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D8-4698-AB7F-CE32FB445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501216"/>
        <c:axId val="2027507200"/>
      </c:scatterChart>
      <c:valAx>
        <c:axId val="2027501216"/>
        <c:scaling>
          <c:orientation val="minMax"/>
          <c:max val="5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7200"/>
        <c:crosses val="autoZero"/>
        <c:crossBetween val="midCat"/>
        <c:majorUnit val="50"/>
        <c:minorUnit val="0.5"/>
      </c:valAx>
      <c:valAx>
        <c:axId val="2027507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AS!$W$12:$W$18</c:f>
              <c:numCache>
                <c:formatCode>#,##0</c:formatCode>
                <c:ptCount val="7"/>
                <c:pt idx="0">
                  <c:v>5000</c:v>
                </c:pt>
                <c:pt idx="1">
                  <c:v>3495809</c:v>
                </c:pt>
                <c:pt idx="2">
                  <c:v>3586931</c:v>
                </c:pt>
                <c:pt idx="3">
                  <c:v>3552451</c:v>
                </c:pt>
                <c:pt idx="4">
                  <c:v>25626289</c:v>
                </c:pt>
                <c:pt idx="5">
                  <c:v>25068265</c:v>
                </c:pt>
                <c:pt idx="6">
                  <c:v>25949139</c:v>
                </c:pt>
              </c:numCache>
            </c:numRef>
          </c:xVal>
          <c:yVal>
            <c:numRef>
              <c:f>AS!$X$12:$X$18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36-472F-91DB-C4A1CF858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824448"/>
        <c:axId val="1929815200"/>
      </c:scatterChart>
      <c:valAx>
        <c:axId val="192982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15200"/>
        <c:crosses val="autoZero"/>
        <c:crossBetween val="midCat"/>
      </c:valAx>
      <c:valAx>
        <c:axId val="19298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2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12975008558714"/>
          <c:y val="0.11950640498295922"/>
          <c:w val="0.78227080696332585"/>
          <c:h val="0.6931894772695398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750524934383203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AS!$X$12:$X$18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xVal>
          <c:yVal>
            <c:numRef>
              <c:f>AS!$Y$12:$Y$18</c:f>
              <c:numCache>
                <c:formatCode>#,##0</c:formatCode>
                <c:ptCount val="7"/>
                <c:pt idx="0">
                  <c:v>5000</c:v>
                </c:pt>
                <c:pt idx="1">
                  <c:v>3495809</c:v>
                </c:pt>
                <c:pt idx="2">
                  <c:v>3586931</c:v>
                </c:pt>
                <c:pt idx="3">
                  <c:v>3552451</c:v>
                </c:pt>
                <c:pt idx="4">
                  <c:v>25626289</c:v>
                </c:pt>
                <c:pt idx="5">
                  <c:v>25068265</c:v>
                </c:pt>
                <c:pt idx="6">
                  <c:v>25949139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10-480F-9A47-4ECB29D4D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501216"/>
        <c:axId val="2027507200"/>
      </c:scatterChart>
      <c:valAx>
        <c:axId val="2027501216"/>
        <c:scaling>
          <c:orientation val="minMax"/>
          <c:max val="5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7200"/>
        <c:crosses val="autoZero"/>
        <c:crossBetween val="midCat"/>
        <c:majorUnit val="50"/>
        <c:minorUnit val="0.5"/>
      </c:valAx>
      <c:valAx>
        <c:axId val="2027507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AS!$AL$12:$AL$18</c:f>
              <c:numCache>
                <c:formatCode>#,##0</c:formatCode>
                <c:ptCount val="7"/>
                <c:pt idx="0">
                  <c:v>5000</c:v>
                </c:pt>
                <c:pt idx="1">
                  <c:v>3432568</c:v>
                </c:pt>
                <c:pt idx="2">
                  <c:v>3498541</c:v>
                </c:pt>
                <c:pt idx="3">
                  <c:v>3520127</c:v>
                </c:pt>
                <c:pt idx="4">
                  <c:v>25390064</c:v>
                </c:pt>
                <c:pt idx="5">
                  <c:v>24703471</c:v>
                </c:pt>
                <c:pt idx="6">
                  <c:v>24900239</c:v>
                </c:pt>
              </c:numCache>
            </c:numRef>
          </c:xVal>
          <c:yVal>
            <c:numRef>
              <c:f>AS!$AM$12:$AM$18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37-49E1-A07F-BB043DE99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824448"/>
        <c:axId val="1929815200"/>
      </c:scatterChart>
      <c:valAx>
        <c:axId val="192982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15200"/>
        <c:crosses val="autoZero"/>
        <c:crossBetween val="midCat"/>
      </c:valAx>
      <c:valAx>
        <c:axId val="19298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2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72384701912261"/>
          <c:y val="9.2972408299708792E-2"/>
          <c:w val="0.78227080696332585"/>
          <c:h val="0.6931894772695398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750524934383203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AS!$AM$12:$AM$18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xVal>
          <c:yVal>
            <c:numRef>
              <c:f>AS!$AN$12:$AN$18</c:f>
              <c:numCache>
                <c:formatCode>#,##0</c:formatCode>
                <c:ptCount val="7"/>
                <c:pt idx="0">
                  <c:v>5000</c:v>
                </c:pt>
                <c:pt idx="1">
                  <c:v>3432568</c:v>
                </c:pt>
                <c:pt idx="2">
                  <c:v>3498541</c:v>
                </c:pt>
                <c:pt idx="3">
                  <c:v>3520127</c:v>
                </c:pt>
                <c:pt idx="4">
                  <c:v>25390064</c:v>
                </c:pt>
                <c:pt idx="5">
                  <c:v>24703471</c:v>
                </c:pt>
                <c:pt idx="6">
                  <c:v>24900239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71-4124-ABC8-863334DE9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501216"/>
        <c:axId val="2027507200"/>
      </c:scatterChart>
      <c:valAx>
        <c:axId val="2027501216"/>
        <c:scaling>
          <c:orientation val="minMax"/>
          <c:max val="5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7200"/>
        <c:crosses val="autoZero"/>
        <c:crossBetween val="midCat"/>
        <c:majorUnit val="50"/>
        <c:minorUnit val="0.5"/>
      </c:valAx>
      <c:valAx>
        <c:axId val="2027507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AS!$BB$12:$BB$18</c:f>
              <c:numCache>
                <c:formatCode>#,##0</c:formatCode>
                <c:ptCount val="7"/>
                <c:pt idx="0">
                  <c:v>5000</c:v>
                </c:pt>
                <c:pt idx="1">
                  <c:v>3402315</c:v>
                </c:pt>
                <c:pt idx="2">
                  <c:v>3398487</c:v>
                </c:pt>
                <c:pt idx="3">
                  <c:v>3358057</c:v>
                </c:pt>
                <c:pt idx="4">
                  <c:v>24734451</c:v>
                </c:pt>
                <c:pt idx="5">
                  <c:v>23413967</c:v>
                </c:pt>
                <c:pt idx="6">
                  <c:v>23733008</c:v>
                </c:pt>
              </c:numCache>
            </c:numRef>
          </c:xVal>
          <c:yVal>
            <c:numRef>
              <c:f>AS!$BC$12:$BC$18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D6-4D0A-B589-72D6D6A20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824448"/>
        <c:axId val="1929815200"/>
      </c:scatterChart>
      <c:valAx>
        <c:axId val="192982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15200"/>
        <c:crosses val="autoZero"/>
        <c:crossBetween val="midCat"/>
      </c:valAx>
      <c:valAx>
        <c:axId val="19298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2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72384701912261"/>
          <c:y val="9.2972408299708792E-2"/>
          <c:w val="0.78227080696332585"/>
          <c:h val="0.6931894772695398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750524934383203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AS!$BC$12:$BC$18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xVal>
          <c:yVal>
            <c:numRef>
              <c:f>AS!$BD$12:$BD$18</c:f>
              <c:numCache>
                <c:formatCode>#,##0</c:formatCode>
                <c:ptCount val="7"/>
                <c:pt idx="0">
                  <c:v>5000</c:v>
                </c:pt>
                <c:pt idx="1">
                  <c:v>3402315</c:v>
                </c:pt>
                <c:pt idx="2">
                  <c:v>3398487</c:v>
                </c:pt>
                <c:pt idx="3">
                  <c:v>3358057</c:v>
                </c:pt>
                <c:pt idx="4">
                  <c:v>24734451</c:v>
                </c:pt>
                <c:pt idx="5">
                  <c:v>23413967</c:v>
                </c:pt>
                <c:pt idx="6">
                  <c:v>23733008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14-4870-BD34-69B7C77E8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501216"/>
        <c:axId val="2027507200"/>
      </c:scatterChart>
      <c:valAx>
        <c:axId val="2027501216"/>
        <c:scaling>
          <c:orientation val="minMax"/>
          <c:max val="5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7200"/>
        <c:crosses val="autoZero"/>
        <c:crossBetween val="midCat"/>
        <c:majorUnit val="50"/>
        <c:minorUnit val="0.5"/>
      </c:valAx>
      <c:valAx>
        <c:axId val="2027507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AS!$H$53:$H$59</c:f>
              <c:numCache>
                <c:formatCode>#,##0</c:formatCode>
                <c:ptCount val="7"/>
                <c:pt idx="0">
                  <c:v>5000</c:v>
                </c:pt>
                <c:pt idx="1">
                  <c:v>3672125</c:v>
                </c:pt>
                <c:pt idx="2">
                  <c:v>3569407</c:v>
                </c:pt>
                <c:pt idx="3">
                  <c:v>3711675</c:v>
                </c:pt>
                <c:pt idx="4">
                  <c:v>26613730</c:v>
                </c:pt>
                <c:pt idx="5">
                  <c:v>27164754</c:v>
                </c:pt>
                <c:pt idx="6">
                  <c:v>26418968</c:v>
                </c:pt>
              </c:numCache>
            </c:numRef>
          </c:xVal>
          <c:yVal>
            <c:numRef>
              <c:f>AS!$I$53:$I$59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10-48AC-92CC-192FB615F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824448"/>
        <c:axId val="1929815200"/>
      </c:scatterChart>
      <c:valAx>
        <c:axId val="192982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15200"/>
        <c:crosses val="autoZero"/>
        <c:crossBetween val="midCat"/>
      </c:valAx>
      <c:valAx>
        <c:axId val="19298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2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81908511436072"/>
          <c:y val="0.11950640498295922"/>
          <c:w val="0.78227080696332585"/>
          <c:h val="0.6931894772695398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750524934383203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AS!$I$53:$I$59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xVal>
          <c:yVal>
            <c:numRef>
              <c:f>AS!$J$53:$J$59</c:f>
              <c:numCache>
                <c:formatCode>#,##0</c:formatCode>
                <c:ptCount val="7"/>
                <c:pt idx="0">
                  <c:v>5000</c:v>
                </c:pt>
                <c:pt idx="1">
                  <c:v>3672125</c:v>
                </c:pt>
                <c:pt idx="2">
                  <c:v>3569407</c:v>
                </c:pt>
                <c:pt idx="3">
                  <c:v>3711675</c:v>
                </c:pt>
                <c:pt idx="4">
                  <c:v>26613730</c:v>
                </c:pt>
                <c:pt idx="5">
                  <c:v>27164754</c:v>
                </c:pt>
                <c:pt idx="6">
                  <c:v>26418968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A0-4A2B-99AF-A79E5ECAA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501216"/>
        <c:axId val="2027507200"/>
      </c:scatterChart>
      <c:valAx>
        <c:axId val="2027501216"/>
        <c:scaling>
          <c:orientation val="minMax"/>
          <c:max val="5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7200"/>
        <c:crosses val="autoZero"/>
        <c:crossBetween val="midCat"/>
        <c:majorUnit val="50"/>
        <c:minorUnit val="0.5"/>
      </c:valAx>
      <c:valAx>
        <c:axId val="2027507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AS!$W$53:$W$59</c:f>
              <c:numCache>
                <c:formatCode>#,##0</c:formatCode>
                <c:ptCount val="7"/>
                <c:pt idx="0">
                  <c:v>5000</c:v>
                </c:pt>
                <c:pt idx="1">
                  <c:v>3495809</c:v>
                </c:pt>
                <c:pt idx="2">
                  <c:v>3586931</c:v>
                </c:pt>
                <c:pt idx="3">
                  <c:v>3552451</c:v>
                </c:pt>
                <c:pt idx="4">
                  <c:v>25626289</c:v>
                </c:pt>
                <c:pt idx="5">
                  <c:v>25068265</c:v>
                </c:pt>
                <c:pt idx="6">
                  <c:v>25949139</c:v>
                </c:pt>
              </c:numCache>
            </c:numRef>
          </c:xVal>
          <c:yVal>
            <c:numRef>
              <c:f>AS!$X$53:$X$59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13-4F9B-994F-9906EB4D3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824448"/>
        <c:axId val="1929815200"/>
      </c:scatterChart>
      <c:valAx>
        <c:axId val="192982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15200"/>
        <c:crosses val="autoZero"/>
        <c:crossBetween val="midCat"/>
      </c:valAx>
      <c:valAx>
        <c:axId val="19298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2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750524934383203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'[1]ds DNA'!$J$31:$J$37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xVal>
          <c:yVal>
            <c:numRef>
              <c:f>'[1]ds DNA'!$K$31:$K$37</c:f>
              <c:numCache>
                <c:formatCode>General</c:formatCode>
                <c:ptCount val="7"/>
                <c:pt idx="0">
                  <c:v>5000</c:v>
                </c:pt>
                <c:pt idx="1">
                  <c:v>3444755</c:v>
                </c:pt>
                <c:pt idx="2">
                  <c:v>3414333</c:v>
                </c:pt>
                <c:pt idx="3">
                  <c:v>3575210</c:v>
                </c:pt>
                <c:pt idx="4">
                  <c:v>26053354</c:v>
                </c:pt>
                <c:pt idx="5">
                  <c:v>25687284</c:v>
                </c:pt>
                <c:pt idx="6">
                  <c:v>25538815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BC-4FC3-AD44-1FB1C5ECBF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29818464"/>
        <c:axId val="1929833696"/>
      </c:scatterChart>
      <c:valAx>
        <c:axId val="1929818464"/>
        <c:scaling>
          <c:orientation val="minMax"/>
          <c:max val="5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33696"/>
        <c:crosses val="autoZero"/>
        <c:crossBetween val="midCat"/>
        <c:majorUnit val="50"/>
        <c:minorUnit val="0.5"/>
      </c:valAx>
      <c:valAx>
        <c:axId val="1929833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1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12975008558714"/>
          <c:y val="0.11950640498295922"/>
          <c:w val="0.78227080696332585"/>
          <c:h val="0.6931894772695398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750524934383203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AS!$X$53:$X$59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xVal>
          <c:yVal>
            <c:numRef>
              <c:f>AS!$Y$53:$Y$59</c:f>
              <c:numCache>
                <c:formatCode>#,##0</c:formatCode>
                <c:ptCount val="7"/>
                <c:pt idx="0">
                  <c:v>5000</c:v>
                </c:pt>
                <c:pt idx="1">
                  <c:v>3495809</c:v>
                </c:pt>
                <c:pt idx="2">
                  <c:v>3586931</c:v>
                </c:pt>
                <c:pt idx="3">
                  <c:v>3552451</c:v>
                </c:pt>
                <c:pt idx="4">
                  <c:v>25626289</c:v>
                </c:pt>
                <c:pt idx="5">
                  <c:v>25068265</c:v>
                </c:pt>
                <c:pt idx="6">
                  <c:v>25949139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A8-45D5-9B2B-26D13D07A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501216"/>
        <c:axId val="2027507200"/>
      </c:scatterChart>
      <c:valAx>
        <c:axId val="2027501216"/>
        <c:scaling>
          <c:orientation val="minMax"/>
          <c:max val="5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7200"/>
        <c:crosses val="autoZero"/>
        <c:crossBetween val="midCat"/>
        <c:majorUnit val="50"/>
        <c:minorUnit val="0.5"/>
      </c:valAx>
      <c:valAx>
        <c:axId val="2027507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AS!$AL$53:$AL$59</c:f>
              <c:numCache>
                <c:formatCode>#,##0</c:formatCode>
                <c:ptCount val="7"/>
                <c:pt idx="0">
                  <c:v>5000</c:v>
                </c:pt>
                <c:pt idx="1">
                  <c:v>3432568</c:v>
                </c:pt>
                <c:pt idx="2">
                  <c:v>3458541</c:v>
                </c:pt>
                <c:pt idx="3">
                  <c:v>3420127</c:v>
                </c:pt>
                <c:pt idx="4">
                  <c:v>24415637</c:v>
                </c:pt>
                <c:pt idx="5">
                  <c:v>24916080</c:v>
                </c:pt>
                <c:pt idx="6">
                  <c:v>24951867</c:v>
                </c:pt>
              </c:numCache>
            </c:numRef>
          </c:xVal>
          <c:yVal>
            <c:numRef>
              <c:f>AS!$AM$53:$AM$59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92-44B5-B7FF-C84B37640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824448"/>
        <c:axId val="1929815200"/>
      </c:scatterChart>
      <c:valAx>
        <c:axId val="192982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15200"/>
        <c:crosses val="autoZero"/>
        <c:crossBetween val="midCat"/>
      </c:valAx>
      <c:valAx>
        <c:axId val="19298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2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72384701912261"/>
          <c:y val="9.2972408299708792E-2"/>
          <c:w val="0.78227080696332585"/>
          <c:h val="0.6931894772695398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750524934383203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AS!$AM$53:$AM$59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xVal>
          <c:yVal>
            <c:numRef>
              <c:f>AS!$AN$53:$AN$59</c:f>
              <c:numCache>
                <c:formatCode>#,##0</c:formatCode>
                <c:ptCount val="7"/>
                <c:pt idx="0">
                  <c:v>5000</c:v>
                </c:pt>
                <c:pt idx="1">
                  <c:v>3432568</c:v>
                </c:pt>
                <c:pt idx="2">
                  <c:v>3458541</c:v>
                </c:pt>
                <c:pt idx="3">
                  <c:v>3420127</c:v>
                </c:pt>
                <c:pt idx="4">
                  <c:v>24415637</c:v>
                </c:pt>
                <c:pt idx="5">
                  <c:v>24916080</c:v>
                </c:pt>
                <c:pt idx="6">
                  <c:v>24951867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16-4EEE-BCEE-6EB898392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501216"/>
        <c:axId val="2027507200"/>
      </c:scatterChart>
      <c:valAx>
        <c:axId val="2027501216"/>
        <c:scaling>
          <c:orientation val="minMax"/>
          <c:max val="5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7200"/>
        <c:crosses val="autoZero"/>
        <c:crossBetween val="midCat"/>
        <c:majorUnit val="50"/>
        <c:minorUnit val="0.5"/>
      </c:valAx>
      <c:valAx>
        <c:axId val="2027507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AS!$BB$53:$BB$59</c:f>
              <c:numCache>
                <c:formatCode>#,##0</c:formatCode>
                <c:ptCount val="7"/>
                <c:pt idx="0">
                  <c:v>5000</c:v>
                </c:pt>
                <c:pt idx="1">
                  <c:v>3280190</c:v>
                </c:pt>
                <c:pt idx="2">
                  <c:v>3387874</c:v>
                </c:pt>
                <c:pt idx="3">
                  <c:v>3359142</c:v>
                </c:pt>
                <c:pt idx="4">
                  <c:v>24111253</c:v>
                </c:pt>
                <c:pt idx="5">
                  <c:v>23873417</c:v>
                </c:pt>
                <c:pt idx="6">
                  <c:v>23952958</c:v>
                </c:pt>
              </c:numCache>
            </c:numRef>
          </c:xVal>
          <c:yVal>
            <c:numRef>
              <c:f>AS!$BC$53:$BC$59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81-458E-A4A2-C1E98425C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824448"/>
        <c:axId val="1929815200"/>
      </c:scatterChart>
      <c:valAx>
        <c:axId val="192982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15200"/>
        <c:crosses val="autoZero"/>
        <c:crossBetween val="midCat"/>
      </c:valAx>
      <c:valAx>
        <c:axId val="19298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2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72384701912261"/>
          <c:y val="9.2972408299708792E-2"/>
          <c:w val="0.78227080696332585"/>
          <c:h val="0.6931894772695398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750524934383203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AS!$BC$53:$BC$59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xVal>
          <c:yVal>
            <c:numRef>
              <c:f>AS!$BD$53:$BD$59</c:f>
              <c:numCache>
                <c:formatCode>#,##0</c:formatCode>
                <c:ptCount val="7"/>
                <c:pt idx="0">
                  <c:v>5000</c:v>
                </c:pt>
                <c:pt idx="1">
                  <c:v>3280190</c:v>
                </c:pt>
                <c:pt idx="2">
                  <c:v>3387874</c:v>
                </c:pt>
                <c:pt idx="3">
                  <c:v>3359142</c:v>
                </c:pt>
                <c:pt idx="4">
                  <c:v>24111253</c:v>
                </c:pt>
                <c:pt idx="5">
                  <c:v>23873417</c:v>
                </c:pt>
                <c:pt idx="6">
                  <c:v>23952958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83-43AD-BA84-2096E66ED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501216"/>
        <c:axId val="2027507200"/>
      </c:scatterChart>
      <c:valAx>
        <c:axId val="2027501216"/>
        <c:scaling>
          <c:orientation val="minMax"/>
          <c:max val="5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7200"/>
        <c:crosses val="autoZero"/>
        <c:crossBetween val="midCat"/>
        <c:majorUnit val="50"/>
        <c:minorUnit val="0.5"/>
      </c:valAx>
      <c:valAx>
        <c:axId val="2027507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AS!$H$90:$H$96</c:f>
              <c:numCache>
                <c:formatCode>#,##0</c:formatCode>
                <c:ptCount val="7"/>
                <c:pt idx="0">
                  <c:v>5000</c:v>
                </c:pt>
                <c:pt idx="1">
                  <c:v>3682003</c:v>
                </c:pt>
                <c:pt idx="2">
                  <c:v>3780993</c:v>
                </c:pt>
                <c:pt idx="3">
                  <c:v>3741980</c:v>
                </c:pt>
                <c:pt idx="4">
                  <c:v>26876542</c:v>
                </c:pt>
                <c:pt idx="5">
                  <c:v>27439579</c:v>
                </c:pt>
                <c:pt idx="6">
                  <c:v>27300102</c:v>
                </c:pt>
              </c:numCache>
            </c:numRef>
          </c:xVal>
          <c:yVal>
            <c:numRef>
              <c:f>AS!$I$90:$I$96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66-467F-AB9A-9F0351121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824448"/>
        <c:axId val="1929815200"/>
      </c:scatterChart>
      <c:valAx>
        <c:axId val="192982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15200"/>
        <c:crosses val="autoZero"/>
        <c:crossBetween val="midCat"/>
      </c:valAx>
      <c:valAx>
        <c:axId val="19298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2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81908511436072"/>
          <c:y val="0.11950640498295922"/>
          <c:w val="0.78227080696332585"/>
          <c:h val="0.6931894772695398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750524934383203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AS!$I$90:$I$96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xVal>
          <c:yVal>
            <c:numRef>
              <c:f>AS!$J$90:$J$96</c:f>
              <c:numCache>
                <c:formatCode>#,##0</c:formatCode>
                <c:ptCount val="7"/>
                <c:pt idx="0">
                  <c:v>5000</c:v>
                </c:pt>
                <c:pt idx="1">
                  <c:v>3682003</c:v>
                </c:pt>
                <c:pt idx="2">
                  <c:v>3780993</c:v>
                </c:pt>
                <c:pt idx="3">
                  <c:v>3741980</c:v>
                </c:pt>
                <c:pt idx="4">
                  <c:v>26876542</c:v>
                </c:pt>
                <c:pt idx="5">
                  <c:v>27439579</c:v>
                </c:pt>
                <c:pt idx="6">
                  <c:v>27300102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37-4EAF-99B0-24ECE864C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501216"/>
        <c:axId val="2027507200"/>
      </c:scatterChart>
      <c:valAx>
        <c:axId val="2027501216"/>
        <c:scaling>
          <c:orientation val="minMax"/>
          <c:max val="5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7200"/>
        <c:crosses val="autoZero"/>
        <c:crossBetween val="midCat"/>
        <c:majorUnit val="50"/>
        <c:minorUnit val="0.5"/>
      </c:valAx>
      <c:valAx>
        <c:axId val="2027507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AS!$W$90:$W$96</c:f>
              <c:numCache>
                <c:formatCode>#,##0</c:formatCode>
                <c:ptCount val="7"/>
                <c:pt idx="0">
                  <c:v>5000</c:v>
                </c:pt>
                <c:pt idx="1">
                  <c:v>3595712</c:v>
                </c:pt>
                <c:pt idx="2">
                  <c:v>3692841</c:v>
                </c:pt>
                <c:pt idx="3">
                  <c:v>3680088</c:v>
                </c:pt>
                <c:pt idx="4">
                  <c:v>26028579</c:v>
                </c:pt>
                <c:pt idx="5">
                  <c:v>26029991</c:v>
                </c:pt>
                <c:pt idx="6">
                  <c:v>27024321</c:v>
                </c:pt>
              </c:numCache>
            </c:numRef>
          </c:xVal>
          <c:yVal>
            <c:numRef>
              <c:f>AS!$X$90:$X$96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91-49B3-A4B3-A7643D30E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824448"/>
        <c:axId val="1929815200"/>
      </c:scatterChart>
      <c:valAx>
        <c:axId val="192982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15200"/>
        <c:crosses val="autoZero"/>
        <c:crossBetween val="midCat"/>
      </c:valAx>
      <c:valAx>
        <c:axId val="19298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2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12975008558714"/>
          <c:y val="0.11950640498295922"/>
          <c:w val="0.78227080696332585"/>
          <c:h val="0.6931894772695398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750524934383203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AS!$X$90:$X$96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xVal>
          <c:yVal>
            <c:numRef>
              <c:f>AS!$Y$90:$Y$96</c:f>
              <c:numCache>
                <c:formatCode>#,##0</c:formatCode>
                <c:ptCount val="7"/>
                <c:pt idx="0">
                  <c:v>5000</c:v>
                </c:pt>
                <c:pt idx="1">
                  <c:v>3595712</c:v>
                </c:pt>
                <c:pt idx="2">
                  <c:v>3692841</c:v>
                </c:pt>
                <c:pt idx="3">
                  <c:v>3680088</c:v>
                </c:pt>
                <c:pt idx="4">
                  <c:v>26028579</c:v>
                </c:pt>
                <c:pt idx="5">
                  <c:v>26029991</c:v>
                </c:pt>
                <c:pt idx="6">
                  <c:v>27024321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3D-4978-ACF2-342E86328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501216"/>
        <c:axId val="2027507200"/>
      </c:scatterChart>
      <c:valAx>
        <c:axId val="2027501216"/>
        <c:scaling>
          <c:orientation val="minMax"/>
          <c:max val="5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7200"/>
        <c:crosses val="autoZero"/>
        <c:crossBetween val="midCat"/>
        <c:majorUnit val="50"/>
        <c:minorUnit val="0.5"/>
      </c:valAx>
      <c:valAx>
        <c:axId val="2027507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AS!$AL$90:$AL$96</c:f>
              <c:numCache>
                <c:formatCode>#,##0</c:formatCode>
                <c:ptCount val="7"/>
                <c:pt idx="0">
                  <c:v>5000</c:v>
                </c:pt>
                <c:pt idx="1">
                  <c:v>3419092</c:v>
                </c:pt>
                <c:pt idx="2">
                  <c:v>3432957</c:v>
                </c:pt>
                <c:pt idx="3">
                  <c:v>3540313</c:v>
                </c:pt>
                <c:pt idx="4">
                  <c:v>25760003</c:v>
                </c:pt>
                <c:pt idx="5">
                  <c:v>25203454</c:v>
                </c:pt>
                <c:pt idx="6">
                  <c:v>26822525</c:v>
                </c:pt>
              </c:numCache>
            </c:numRef>
          </c:xVal>
          <c:yVal>
            <c:numRef>
              <c:f>AS!$AM$90:$AM$96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13-4F75-8F5F-27A4C8929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824448"/>
        <c:axId val="1929815200"/>
      </c:scatterChart>
      <c:valAx>
        <c:axId val="192982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15200"/>
        <c:crosses val="autoZero"/>
        <c:crossBetween val="midCat"/>
      </c:valAx>
      <c:valAx>
        <c:axId val="19298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2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'[1]ds DNA'!$I$31:$I$37</c:f>
              <c:numCache>
                <c:formatCode>General</c:formatCode>
                <c:ptCount val="7"/>
                <c:pt idx="0">
                  <c:v>5000</c:v>
                </c:pt>
                <c:pt idx="1">
                  <c:v>3444755</c:v>
                </c:pt>
                <c:pt idx="2">
                  <c:v>3414333</c:v>
                </c:pt>
                <c:pt idx="3">
                  <c:v>3575210</c:v>
                </c:pt>
                <c:pt idx="4">
                  <c:v>26053354</c:v>
                </c:pt>
                <c:pt idx="5">
                  <c:v>25687284</c:v>
                </c:pt>
                <c:pt idx="6">
                  <c:v>25538815</c:v>
                </c:pt>
              </c:numCache>
            </c:numRef>
          </c:xVal>
          <c:yVal>
            <c:numRef>
              <c:f>'[1]ds DNA'!$J$31:$J$37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5F-4814-AF07-496DCEC7F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819008"/>
        <c:axId val="1929820096"/>
      </c:scatterChart>
      <c:valAx>
        <c:axId val="192981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20096"/>
        <c:crosses val="autoZero"/>
        <c:crossBetween val="midCat"/>
      </c:valAx>
      <c:valAx>
        <c:axId val="19298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1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72384701912261"/>
          <c:y val="9.2972408299708792E-2"/>
          <c:w val="0.78227080696332585"/>
          <c:h val="0.6931894772695398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750524934383203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AS!$AM$90:$AM$96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xVal>
          <c:yVal>
            <c:numRef>
              <c:f>AS!$AN$90:$AN$96</c:f>
              <c:numCache>
                <c:formatCode>#,##0</c:formatCode>
                <c:ptCount val="7"/>
                <c:pt idx="0">
                  <c:v>5000</c:v>
                </c:pt>
                <c:pt idx="1">
                  <c:v>3419092</c:v>
                </c:pt>
                <c:pt idx="2">
                  <c:v>3432957</c:v>
                </c:pt>
                <c:pt idx="3">
                  <c:v>3540313</c:v>
                </c:pt>
                <c:pt idx="4">
                  <c:v>25760003</c:v>
                </c:pt>
                <c:pt idx="5">
                  <c:v>25203454</c:v>
                </c:pt>
                <c:pt idx="6">
                  <c:v>26822525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01-41B7-914F-2C05D6A60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501216"/>
        <c:axId val="2027507200"/>
      </c:scatterChart>
      <c:valAx>
        <c:axId val="2027501216"/>
        <c:scaling>
          <c:orientation val="minMax"/>
          <c:max val="5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7200"/>
        <c:crosses val="autoZero"/>
        <c:crossBetween val="midCat"/>
        <c:majorUnit val="50"/>
        <c:minorUnit val="0.5"/>
      </c:valAx>
      <c:valAx>
        <c:axId val="2027507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AS!$BB$90:$BB$96</c:f>
              <c:numCache>
                <c:formatCode>#,##0</c:formatCode>
                <c:ptCount val="7"/>
                <c:pt idx="0">
                  <c:v>5000</c:v>
                </c:pt>
                <c:pt idx="1">
                  <c:v>3379690</c:v>
                </c:pt>
                <c:pt idx="2">
                  <c:v>3444246</c:v>
                </c:pt>
                <c:pt idx="3">
                  <c:v>3366688</c:v>
                </c:pt>
                <c:pt idx="4">
                  <c:v>24048503</c:v>
                </c:pt>
                <c:pt idx="5">
                  <c:v>25010776</c:v>
                </c:pt>
                <c:pt idx="6">
                  <c:v>24482133</c:v>
                </c:pt>
              </c:numCache>
            </c:numRef>
          </c:xVal>
          <c:yVal>
            <c:numRef>
              <c:f>AS!$BC$90:$BC$96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7-442D-8ECF-560510336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824448"/>
        <c:axId val="1929815200"/>
      </c:scatterChart>
      <c:valAx>
        <c:axId val="192982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15200"/>
        <c:crosses val="autoZero"/>
        <c:crossBetween val="midCat"/>
      </c:valAx>
      <c:valAx>
        <c:axId val="19298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2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72384701912261"/>
          <c:y val="9.2972408299708792E-2"/>
          <c:w val="0.78227080696332585"/>
          <c:h val="0.6931894772695398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750524934383203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AS!$BC$90:$BC$96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xVal>
          <c:yVal>
            <c:numRef>
              <c:f>AS!$BD$90:$BD$96</c:f>
              <c:numCache>
                <c:formatCode>#,##0</c:formatCode>
                <c:ptCount val="7"/>
                <c:pt idx="0">
                  <c:v>5000</c:v>
                </c:pt>
                <c:pt idx="1">
                  <c:v>3379690</c:v>
                </c:pt>
                <c:pt idx="2">
                  <c:v>3444246</c:v>
                </c:pt>
                <c:pt idx="3">
                  <c:v>3366688</c:v>
                </c:pt>
                <c:pt idx="4">
                  <c:v>24048503</c:v>
                </c:pt>
                <c:pt idx="5">
                  <c:v>25010776</c:v>
                </c:pt>
                <c:pt idx="6">
                  <c:v>24482133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50-4F29-9E35-FA564F5AD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501216"/>
        <c:axId val="2027507200"/>
      </c:scatterChart>
      <c:valAx>
        <c:axId val="2027501216"/>
        <c:scaling>
          <c:orientation val="minMax"/>
          <c:max val="5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7200"/>
        <c:crosses val="autoZero"/>
        <c:crossBetween val="midCat"/>
        <c:majorUnit val="50"/>
        <c:minorUnit val="0.5"/>
      </c:valAx>
      <c:valAx>
        <c:axId val="2027507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'In-use stability'!$H$18:$H$24</c:f>
              <c:numCache>
                <c:formatCode>#,##0</c:formatCode>
                <c:ptCount val="7"/>
                <c:pt idx="0">
                  <c:v>5000</c:v>
                </c:pt>
                <c:pt idx="1">
                  <c:v>3744993</c:v>
                </c:pt>
                <c:pt idx="2">
                  <c:v>3707544</c:v>
                </c:pt>
                <c:pt idx="3">
                  <c:v>3735684</c:v>
                </c:pt>
                <c:pt idx="4">
                  <c:v>27348816</c:v>
                </c:pt>
                <c:pt idx="5">
                  <c:v>27502185</c:v>
                </c:pt>
                <c:pt idx="6">
                  <c:v>27345243</c:v>
                </c:pt>
              </c:numCache>
            </c:numRef>
          </c:xVal>
          <c:yVal>
            <c:numRef>
              <c:f>'In-use stability'!$I$18:$I$24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68-4CA5-8280-29638E9DA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824448"/>
        <c:axId val="1929815200"/>
      </c:scatterChart>
      <c:valAx>
        <c:axId val="192982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15200"/>
        <c:crosses val="autoZero"/>
        <c:crossBetween val="midCat"/>
      </c:valAx>
      <c:valAx>
        <c:axId val="19298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2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81908511436072"/>
          <c:y val="0.11950640498295922"/>
          <c:w val="0.78227080696332585"/>
          <c:h val="0.6931894772695398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750524934383203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'In-use stability'!$I$18:$I$24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xVal>
          <c:yVal>
            <c:numRef>
              <c:f>'In-use stability'!$J$18:$J$24</c:f>
              <c:numCache>
                <c:formatCode>#,##0</c:formatCode>
                <c:ptCount val="7"/>
                <c:pt idx="0">
                  <c:v>5000</c:v>
                </c:pt>
                <c:pt idx="1">
                  <c:v>3744993</c:v>
                </c:pt>
                <c:pt idx="2">
                  <c:v>3707544</c:v>
                </c:pt>
                <c:pt idx="3">
                  <c:v>3735684</c:v>
                </c:pt>
                <c:pt idx="4">
                  <c:v>27348816</c:v>
                </c:pt>
                <c:pt idx="5">
                  <c:v>27502185</c:v>
                </c:pt>
                <c:pt idx="6">
                  <c:v>27345243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C4-4513-8315-7F8EA753C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501216"/>
        <c:axId val="2027507200"/>
      </c:scatterChart>
      <c:valAx>
        <c:axId val="2027501216"/>
        <c:scaling>
          <c:orientation val="minMax"/>
          <c:max val="5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7200"/>
        <c:crosses val="autoZero"/>
        <c:crossBetween val="midCat"/>
        <c:majorUnit val="50"/>
        <c:minorUnit val="0.5"/>
      </c:valAx>
      <c:valAx>
        <c:axId val="2027507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'In-use stability'!$W$18:$W$24</c:f>
              <c:numCache>
                <c:formatCode>#,##0</c:formatCode>
                <c:ptCount val="7"/>
                <c:pt idx="0">
                  <c:v>5000</c:v>
                </c:pt>
                <c:pt idx="1">
                  <c:v>3732176</c:v>
                </c:pt>
                <c:pt idx="2">
                  <c:v>3666985</c:v>
                </c:pt>
                <c:pt idx="3">
                  <c:v>3673152</c:v>
                </c:pt>
                <c:pt idx="4">
                  <c:v>27494791</c:v>
                </c:pt>
                <c:pt idx="5">
                  <c:v>26515881</c:v>
                </c:pt>
                <c:pt idx="6">
                  <c:v>26460289</c:v>
                </c:pt>
              </c:numCache>
            </c:numRef>
          </c:xVal>
          <c:yVal>
            <c:numRef>
              <c:f>'In-use stability'!$X$18:$X$24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53-4C9E-83BC-E671A1861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824448"/>
        <c:axId val="1929815200"/>
      </c:scatterChart>
      <c:valAx>
        <c:axId val="192982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15200"/>
        <c:crosses val="autoZero"/>
        <c:crossBetween val="midCat"/>
      </c:valAx>
      <c:valAx>
        <c:axId val="19298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2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12975008558714"/>
          <c:y val="0.11950640498295922"/>
          <c:w val="0.78227080696332585"/>
          <c:h val="0.6931894772695398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750524934383203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'In-use stability'!$X$18:$X$24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xVal>
          <c:yVal>
            <c:numRef>
              <c:f>'In-use stability'!$Y$18:$Y$24</c:f>
              <c:numCache>
                <c:formatCode>#,##0</c:formatCode>
                <c:ptCount val="7"/>
                <c:pt idx="0">
                  <c:v>5000</c:v>
                </c:pt>
                <c:pt idx="1">
                  <c:v>3732176</c:v>
                </c:pt>
                <c:pt idx="2">
                  <c:v>3666985</c:v>
                </c:pt>
                <c:pt idx="3">
                  <c:v>3673152</c:v>
                </c:pt>
                <c:pt idx="4">
                  <c:v>27494791</c:v>
                </c:pt>
                <c:pt idx="5">
                  <c:v>26515881</c:v>
                </c:pt>
                <c:pt idx="6">
                  <c:v>26460289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D3-4CC8-B987-09A6701BA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501216"/>
        <c:axId val="2027507200"/>
      </c:scatterChart>
      <c:valAx>
        <c:axId val="2027501216"/>
        <c:scaling>
          <c:orientation val="minMax"/>
          <c:max val="5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7200"/>
        <c:crosses val="autoZero"/>
        <c:crossBetween val="midCat"/>
        <c:majorUnit val="50"/>
        <c:minorUnit val="0.5"/>
      </c:valAx>
      <c:valAx>
        <c:axId val="2027507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'In-use stability'!$AL$18:$AL$24</c:f>
              <c:numCache>
                <c:formatCode>#,##0</c:formatCode>
                <c:ptCount val="7"/>
                <c:pt idx="0">
                  <c:v>5000</c:v>
                </c:pt>
                <c:pt idx="1">
                  <c:v>3555051</c:v>
                </c:pt>
                <c:pt idx="2">
                  <c:v>3562476</c:v>
                </c:pt>
                <c:pt idx="3">
                  <c:v>3586482</c:v>
                </c:pt>
                <c:pt idx="4">
                  <c:v>26589037</c:v>
                </c:pt>
                <c:pt idx="5">
                  <c:v>25990165</c:v>
                </c:pt>
                <c:pt idx="6">
                  <c:v>25992767</c:v>
                </c:pt>
              </c:numCache>
            </c:numRef>
          </c:xVal>
          <c:yVal>
            <c:numRef>
              <c:f>'In-use stability'!$AM$18:$AM$24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E0-4FF6-8AFD-F383FD031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824448"/>
        <c:axId val="1929815200"/>
      </c:scatterChart>
      <c:valAx>
        <c:axId val="192982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15200"/>
        <c:crosses val="autoZero"/>
        <c:crossBetween val="midCat"/>
      </c:valAx>
      <c:valAx>
        <c:axId val="19298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2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72384701912261"/>
          <c:y val="9.2972408299708792E-2"/>
          <c:w val="0.78227080696332585"/>
          <c:h val="0.6931894772695398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750524934383203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'In-use stability'!$AM$18:$AM$24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xVal>
          <c:yVal>
            <c:numRef>
              <c:f>'In-use stability'!$AN$18:$AN$24</c:f>
              <c:numCache>
                <c:formatCode>#,##0</c:formatCode>
                <c:ptCount val="7"/>
                <c:pt idx="0">
                  <c:v>5000</c:v>
                </c:pt>
                <c:pt idx="1">
                  <c:v>3555051</c:v>
                </c:pt>
                <c:pt idx="2">
                  <c:v>3562476</c:v>
                </c:pt>
                <c:pt idx="3">
                  <c:v>3586482</c:v>
                </c:pt>
                <c:pt idx="4">
                  <c:v>26589037</c:v>
                </c:pt>
                <c:pt idx="5">
                  <c:v>25990165</c:v>
                </c:pt>
                <c:pt idx="6">
                  <c:v>25992767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71-4796-94BD-68CFB88C6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501216"/>
        <c:axId val="2027507200"/>
      </c:scatterChart>
      <c:valAx>
        <c:axId val="2027501216"/>
        <c:scaling>
          <c:orientation val="minMax"/>
          <c:max val="5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7200"/>
        <c:crosses val="autoZero"/>
        <c:crossBetween val="midCat"/>
        <c:majorUnit val="50"/>
        <c:minorUnit val="0.5"/>
      </c:valAx>
      <c:valAx>
        <c:axId val="2027507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'In-use stability'!$BB$18:$BB$24</c:f>
              <c:numCache>
                <c:formatCode>#,##0</c:formatCode>
                <c:ptCount val="7"/>
                <c:pt idx="0">
                  <c:v>5000</c:v>
                </c:pt>
                <c:pt idx="1">
                  <c:v>3555051</c:v>
                </c:pt>
                <c:pt idx="2">
                  <c:v>3562476</c:v>
                </c:pt>
                <c:pt idx="3">
                  <c:v>3586482</c:v>
                </c:pt>
                <c:pt idx="4">
                  <c:v>26289037</c:v>
                </c:pt>
                <c:pt idx="5">
                  <c:v>25940156</c:v>
                </c:pt>
                <c:pt idx="6">
                  <c:v>25502767</c:v>
                </c:pt>
              </c:numCache>
            </c:numRef>
          </c:xVal>
          <c:yVal>
            <c:numRef>
              <c:f>'In-use stability'!$BC$18:$BC$24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0B-4D40-8FB7-6CD685843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824448"/>
        <c:axId val="1929815200"/>
      </c:scatterChart>
      <c:valAx>
        <c:axId val="192982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15200"/>
        <c:crosses val="autoZero"/>
        <c:crossBetween val="midCat"/>
      </c:valAx>
      <c:valAx>
        <c:axId val="19298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2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750524934383203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'[1]ds DNA'!$J$51:$J$57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xVal>
          <c:yVal>
            <c:numRef>
              <c:f>'[1]ds DNA'!$K$51:$K$57</c:f>
              <c:numCache>
                <c:formatCode>General</c:formatCode>
                <c:ptCount val="7"/>
                <c:pt idx="0">
                  <c:v>5000</c:v>
                </c:pt>
                <c:pt idx="1">
                  <c:v>3567536</c:v>
                </c:pt>
                <c:pt idx="2">
                  <c:v>3450770</c:v>
                </c:pt>
                <c:pt idx="3">
                  <c:v>3500245</c:v>
                </c:pt>
                <c:pt idx="4">
                  <c:v>26210277</c:v>
                </c:pt>
                <c:pt idx="5">
                  <c:v>25252813</c:v>
                </c:pt>
                <c:pt idx="6">
                  <c:v>26128095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50-4465-B6B9-B2BD4C10B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814112"/>
        <c:axId val="1929835328"/>
      </c:scatterChart>
      <c:valAx>
        <c:axId val="1929814112"/>
        <c:scaling>
          <c:orientation val="minMax"/>
          <c:max val="5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35328"/>
        <c:crosses val="autoZero"/>
        <c:crossBetween val="midCat"/>
        <c:majorUnit val="50"/>
        <c:minorUnit val="0.5"/>
      </c:valAx>
      <c:valAx>
        <c:axId val="19298353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1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72384701912261"/>
          <c:y val="9.2972408299708792E-2"/>
          <c:w val="0.78227080696332585"/>
          <c:h val="0.6931894772695398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750524934383203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'In-use stability'!$BC$18:$BC$24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xVal>
          <c:yVal>
            <c:numRef>
              <c:f>'In-use stability'!$BD$18:$BD$24</c:f>
              <c:numCache>
                <c:formatCode>#,##0</c:formatCode>
                <c:ptCount val="7"/>
                <c:pt idx="0">
                  <c:v>5000</c:v>
                </c:pt>
                <c:pt idx="1">
                  <c:v>3555051</c:v>
                </c:pt>
                <c:pt idx="2">
                  <c:v>3562476</c:v>
                </c:pt>
                <c:pt idx="3">
                  <c:v>3586482</c:v>
                </c:pt>
                <c:pt idx="4">
                  <c:v>26289037</c:v>
                </c:pt>
                <c:pt idx="5">
                  <c:v>25940156</c:v>
                </c:pt>
                <c:pt idx="6">
                  <c:v>25502767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23-42EF-9732-1112BF595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501216"/>
        <c:axId val="2027507200"/>
      </c:scatterChart>
      <c:valAx>
        <c:axId val="2027501216"/>
        <c:scaling>
          <c:orientation val="minMax"/>
          <c:max val="5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7200"/>
        <c:crosses val="autoZero"/>
        <c:crossBetween val="midCat"/>
        <c:majorUnit val="50"/>
        <c:minorUnit val="0.5"/>
      </c:valAx>
      <c:valAx>
        <c:axId val="2027507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'In-use stability'!$BP$18:$BP$24</c:f>
              <c:numCache>
                <c:formatCode>#,##0</c:formatCode>
                <c:ptCount val="7"/>
                <c:pt idx="0">
                  <c:v>5000</c:v>
                </c:pt>
                <c:pt idx="1">
                  <c:v>3491894</c:v>
                </c:pt>
                <c:pt idx="2">
                  <c:v>3496698</c:v>
                </c:pt>
                <c:pt idx="3">
                  <c:v>3579856</c:v>
                </c:pt>
                <c:pt idx="4">
                  <c:v>25556215</c:v>
                </c:pt>
                <c:pt idx="5">
                  <c:v>25563524</c:v>
                </c:pt>
                <c:pt idx="6">
                  <c:v>26053568</c:v>
                </c:pt>
              </c:numCache>
            </c:numRef>
          </c:xVal>
          <c:yVal>
            <c:numRef>
              <c:f>'In-use stability'!$BQ$18:$BQ$24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35-45F9-A194-CC1B4E90D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824448"/>
        <c:axId val="1929815200"/>
      </c:scatterChart>
      <c:valAx>
        <c:axId val="192982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15200"/>
        <c:crosses val="autoZero"/>
        <c:crossBetween val="midCat"/>
      </c:valAx>
      <c:valAx>
        <c:axId val="19298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2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72384701912261"/>
          <c:y val="9.2972408299708792E-2"/>
          <c:w val="0.78227080696332585"/>
          <c:h val="0.6931894772695398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750524934383203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'In-use stability'!$BQ$18:$BQ$24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xVal>
          <c:yVal>
            <c:numRef>
              <c:f>'In-use stability'!$BR$18:$BR$24</c:f>
              <c:numCache>
                <c:formatCode>#,##0</c:formatCode>
                <c:ptCount val="7"/>
                <c:pt idx="0">
                  <c:v>5000</c:v>
                </c:pt>
                <c:pt idx="1">
                  <c:v>3491894</c:v>
                </c:pt>
                <c:pt idx="2">
                  <c:v>3496698</c:v>
                </c:pt>
                <c:pt idx="3">
                  <c:v>3579856</c:v>
                </c:pt>
                <c:pt idx="4">
                  <c:v>25556215</c:v>
                </c:pt>
                <c:pt idx="5">
                  <c:v>25563524</c:v>
                </c:pt>
                <c:pt idx="6">
                  <c:v>26053568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A3-445F-B197-089C7494D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501216"/>
        <c:axId val="2027507200"/>
      </c:scatterChart>
      <c:valAx>
        <c:axId val="2027501216"/>
        <c:scaling>
          <c:orientation val="minMax"/>
          <c:max val="5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7200"/>
        <c:crosses val="autoZero"/>
        <c:crossBetween val="midCat"/>
        <c:majorUnit val="50"/>
        <c:minorUnit val="0.5"/>
      </c:valAx>
      <c:valAx>
        <c:axId val="2027507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'In-use stability'!$H$52:$H$58</c:f>
              <c:numCache>
                <c:formatCode>#,##0</c:formatCode>
                <c:ptCount val="7"/>
                <c:pt idx="0">
                  <c:v>5000</c:v>
                </c:pt>
                <c:pt idx="1">
                  <c:v>3780780</c:v>
                </c:pt>
                <c:pt idx="2">
                  <c:v>3689624</c:v>
                </c:pt>
                <c:pt idx="3">
                  <c:v>3713221</c:v>
                </c:pt>
                <c:pt idx="4">
                  <c:v>26780055</c:v>
                </c:pt>
                <c:pt idx="5">
                  <c:v>27522040</c:v>
                </c:pt>
                <c:pt idx="6">
                  <c:v>27499710</c:v>
                </c:pt>
              </c:numCache>
            </c:numRef>
          </c:xVal>
          <c:yVal>
            <c:numRef>
              <c:f>'In-use stability'!$I$52:$I$58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82-45B4-8562-2F7721C51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824448"/>
        <c:axId val="1929815200"/>
      </c:scatterChart>
      <c:valAx>
        <c:axId val="192982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15200"/>
        <c:crosses val="autoZero"/>
        <c:crossBetween val="midCat"/>
      </c:valAx>
      <c:valAx>
        <c:axId val="19298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2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81908511436072"/>
          <c:y val="0.11950640498295922"/>
          <c:w val="0.78227080696332585"/>
          <c:h val="0.6931894772695398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750524934383203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'In-use stability'!$I$52:$I$58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xVal>
          <c:yVal>
            <c:numRef>
              <c:f>'In-use stability'!$J$52:$J$58</c:f>
              <c:numCache>
                <c:formatCode>#,##0</c:formatCode>
                <c:ptCount val="7"/>
                <c:pt idx="0">
                  <c:v>5000</c:v>
                </c:pt>
                <c:pt idx="1">
                  <c:v>3780780</c:v>
                </c:pt>
                <c:pt idx="2">
                  <c:v>3689624</c:v>
                </c:pt>
                <c:pt idx="3">
                  <c:v>3713221</c:v>
                </c:pt>
                <c:pt idx="4">
                  <c:v>26780055</c:v>
                </c:pt>
                <c:pt idx="5">
                  <c:v>27522040</c:v>
                </c:pt>
                <c:pt idx="6">
                  <c:v>27499710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CB-4DC5-9A5D-004158C04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501216"/>
        <c:axId val="2027507200"/>
      </c:scatterChart>
      <c:valAx>
        <c:axId val="2027501216"/>
        <c:scaling>
          <c:orientation val="minMax"/>
          <c:max val="5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7200"/>
        <c:crosses val="autoZero"/>
        <c:crossBetween val="midCat"/>
        <c:majorUnit val="50"/>
        <c:minorUnit val="0.5"/>
      </c:valAx>
      <c:valAx>
        <c:axId val="2027507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'In-use stability'!$X$92:$X$98</c:f>
              <c:numCache>
                <c:formatCode>#,##0</c:formatCode>
                <c:ptCount val="7"/>
                <c:pt idx="0">
                  <c:v>5000</c:v>
                </c:pt>
                <c:pt idx="1">
                  <c:v>3628717</c:v>
                </c:pt>
                <c:pt idx="2">
                  <c:v>3561574</c:v>
                </c:pt>
                <c:pt idx="3">
                  <c:v>3609220</c:v>
                </c:pt>
                <c:pt idx="4">
                  <c:v>25877572</c:v>
                </c:pt>
                <c:pt idx="5">
                  <c:v>26084360</c:v>
                </c:pt>
                <c:pt idx="6">
                  <c:v>26626685</c:v>
                </c:pt>
              </c:numCache>
            </c:numRef>
          </c:xVal>
          <c:yVal>
            <c:numRef>
              <c:f>'In-use stability'!$Y$92:$Y$98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A2-4736-BDD6-E596A4D97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824448"/>
        <c:axId val="1929815200"/>
      </c:scatterChart>
      <c:valAx>
        <c:axId val="192982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15200"/>
        <c:crosses val="autoZero"/>
        <c:crossBetween val="midCat"/>
      </c:valAx>
      <c:valAx>
        <c:axId val="19298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2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12975008558714"/>
          <c:y val="0.11950640498295922"/>
          <c:w val="0.78227080696332585"/>
          <c:h val="0.6931894772695398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750524934383203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'In-use stability'!$Y$92:$Y$98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xVal>
          <c:yVal>
            <c:numRef>
              <c:f>'In-use stability'!$Z$92:$Z$98</c:f>
              <c:numCache>
                <c:formatCode>#,##0</c:formatCode>
                <c:ptCount val="7"/>
                <c:pt idx="0">
                  <c:v>5000</c:v>
                </c:pt>
                <c:pt idx="1">
                  <c:v>3628717</c:v>
                </c:pt>
                <c:pt idx="2">
                  <c:v>3561574</c:v>
                </c:pt>
                <c:pt idx="3">
                  <c:v>3609220</c:v>
                </c:pt>
                <c:pt idx="4">
                  <c:v>25877572</c:v>
                </c:pt>
                <c:pt idx="5">
                  <c:v>26084360</c:v>
                </c:pt>
                <c:pt idx="6">
                  <c:v>26626685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01-4159-A2E3-31AC31A94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501216"/>
        <c:axId val="2027507200"/>
      </c:scatterChart>
      <c:valAx>
        <c:axId val="2027501216"/>
        <c:scaling>
          <c:orientation val="minMax"/>
          <c:max val="5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7200"/>
        <c:crosses val="autoZero"/>
        <c:crossBetween val="midCat"/>
        <c:majorUnit val="50"/>
        <c:minorUnit val="0.5"/>
      </c:valAx>
      <c:valAx>
        <c:axId val="2027507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'In-use stability'!$AM$89:$AM$95</c:f>
              <c:numCache>
                <c:formatCode>#,##0</c:formatCode>
                <c:ptCount val="7"/>
                <c:pt idx="0">
                  <c:v>5000</c:v>
                </c:pt>
                <c:pt idx="1">
                  <c:v>3486528</c:v>
                </c:pt>
                <c:pt idx="2">
                  <c:v>3451899</c:v>
                </c:pt>
                <c:pt idx="3">
                  <c:v>3519234</c:v>
                </c:pt>
                <c:pt idx="4">
                  <c:v>24697221</c:v>
                </c:pt>
                <c:pt idx="5">
                  <c:v>25199589</c:v>
                </c:pt>
                <c:pt idx="6">
                  <c:v>24941261</c:v>
                </c:pt>
              </c:numCache>
            </c:numRef>
          </c:xVal>
          <c:yVal>
            <c:numRef>
              <c:f>'In-use stability'!$AN$89:$AN$95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6B-4E98-8088-3C2AB53CB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824448"/>
        <c:axId val="1929815200"/>
      </c:scatterChart>
      <c:valAx>
        <c:axId val="192982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15200"/>
        <c:crosses val="autoZero"/>
        <c:crossBetween val="midCat"/>
      </c:valAx>
      <c:valAx>
        <c:axId val="19298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2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72384701912261"/>
          <c:y val="9.2972408299708792E-2"/>
          <c:w val="0.78227080696332585"/>
          <c:h val="0.6931894772695398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750524934383203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'In-use stability'!$AN$89:$AN$95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xVal>
          <c:yVal>
            <c:numRef>
              <c:f>'In-use stability'!$AO$89:$AO$95</c:f>
              <c:numCache>
                <c:formatCode>#,##0</c:formatCode>
                <c:ptCount val="7"/>
                <c:pt idx="0">
                  <c:v>5000</c:v>
                </c:pt>
                <c:pt idx="1">
                  <c:v>3486528</c:v>
                </c:pt>
                <c:pt idx="2">
                  <c:v>3451899</c:v>
                </c:pt>
                <c:pt idx="3">
                  <c:v>3519234</c:v>
                </c:pt>
                <c:pt idx="4">
                  <c:v>24697221</c:v>
                </c:pt>
                <c:pt idx="5">
                  <c:v>25199589</c:v>
                </c:pt>
                <c:pt idx="6">
                  <c:v>24941261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CF-431C-B915-EFB209E4F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501216"/>
        <c:axId val="2027507200"/>
      </c:scatterChart>
      <c:valAx>
        <c:axId val="2027501216"/>
        <c:scaling>
          <c:orientation val="minMax"/>
          <c:max val="5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7200"/>
        <c:crosses val="autoZero"/>
        <c:crossBetween val="midCat"/>
        <c:majorUnit val="50"/>
        <c:minorUnit val="0.5"/>
      </c:valAx>
      <c:valAx>
        <c:axId val="2027507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'In-use stability'!$BB$52:$BB$58</c:f>
              <c:numCache>
                <c:formatCode>#,##0</c:formatCode>
                <c:ptCount val="7"/>
                <c:pt idx="0">
                  <c:v>5000</c:v>
                </c:pt>
                <c:pt idx="1">
                  <c:v>3496235</c:v>
                </c:pt>
                <c:pt idx="2">
                  <c:v>3489652</c:v>
                </c:pt>
                <c:pt idx="3">
                  <c:v>3579632</c:v>
                </c:pt>
                <c:pt idx="4">
                  <c:v>26178564</c:v>
                </c:pt>
                <c:pt idx="5">
                  <c:v>23986349</c:v>
                </c:pt>
                <c:pt idx="6">
                  <c:v>24956144</c:v>
                </c:pt>
              </c:numCache>
            </c:numRef>
          </c:xVal>
          <c:yVal>
            <c:numRef>
              <c:f>'In-use stability'!$BC$52:$BC$58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54-4464-AF3E-97B2F7FFA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824448"/>
        <c:axId val="1929815200"/>
      </c:scatterChart>
      <c:valAx>
        <c:axId val="192982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15200"/>
        <c:crosses val="autoZero"/>
        <c:crossBetween val="midCat"/>
      </c:valAx>
      <c:valAx>
        <c:axId val="19298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2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'[1]ds DNA'!$I$51:$I$57</c:f>
              <c:numCache>
                <c:formatCode>General</c:formatCode>
                <c:ptCount val="7"/>
                <c:pt idx="0">
                  <c:v>5000</c:v>
                </c:pt>
                <c:pt idx="1">
                  <c:v>3567536</c:v>
                </c:pt>
                <c:pt idx="2">
                  <c:v>3450770</c:v>
                </c:pt>
                <c:pt idx="3">
                  <c:v>3500245</c:v>
                </c:pt>
                <c:pt idx="4">
                  <c:v>26210277</c:v>
                </c:pt>
                <c:pt idx="5">
                  <c:v>25252813</c:v>
                </c:pt>
                <c:pt idx="6">
                  <c:v>26128095</c:v>
                </c:pt>
              </c:numCache>
            </c:numRef>
          </c:xVal>
          <c:yVal>
            <c:numRef>
              <c:f>'[1]ds DNA'!$J$51:$J$57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8F-49F6-9481-ED8A0F32E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836960"/>
        <c:axId val="1929831520"/>
      </c:scatterChart>
      <c:valAx>
        <c:axId val="192983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31520"/>
        <c:crosses val="autoZero"/>
        <c:crossBetween val="midCat"/>
      </c:valAx>
      <c:valAx>
        <c:axId val="192983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3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72384701912261"/>
          <c:y val="9.2972408299708792E-2"/>
          <c:w val="0.78227080696332585"/>
          <c:h val="0.6931894772695398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750524934383203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'In-use stability'!$BC$52:$BC$58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xVal>
          <c:yVal>
            <c:numRef>
              <c:f>'In-use stability'!$BD$52:$BD$58</c:f>
              <c:numCache>
                <c:formatCode>#,##0</c:formatCode>
                <c:ptCount val="7"/>
                <c:pt idx="0">
                  <c:v>5000</c:v>
                </c:pt>
                <c:pt idx="1">
                  <c:v>3496235</c:v>
                </c:pt>
                <c:pt idx="2">
                  <c:v>3489652</c:v>
                </c:pt>
                <c:pt idx="3">
                  <c:v>3579632</c:v>
                </c:pt>
                <c:pt idx="4">
                  <c:v>26178564</c:v>
                </c:pt>
                <c:pt idx="5">
                  <c:v>23986349</c:v>
                </c:pt>
                <c:pt idx="6">
                  <c:v>24956144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5D-4CA5-B3E6-E8BE177A8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501216"/>
        <c:axId val="2027507200"/>
      </c:scatterChart>
      <c:valAx>
        <c:axId val="2027501216"/>
        <c:scaling>
          <c:orientation val="minMax"/>
          <c:max val="5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7200"/>
        <c:crosses val="autoZero"/>
        <c:crossBetween val="midCat"/>
        <c:majorUnit val="50"/>
        <c:minorUnit val="0.5"/>
      </c:valAx>
      <c:valAx>
        <c:axId val="2027507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'In-use stability'!$BP$52:$BP$58</c:f>
              <c:numCache>
                <c:formatCode>#,##0</c:formatCode>
                <c:ptCount val="7"/>
                <c:pt idx="0">
                  <c:v>5000</c:v>
                </c:pt>
                <c:pt idx="1">
                  <c:v>3389254</c:v>
                </c:pt>
                <c:pt idx="2">
                  <c:v>3406398</c:v>
                </c:pt>
                <c:pt idx="3">
                  <c:v>3458796</c:v>
                </c:pt>
                <c:pt idx="4">
                  <c:v>24263251</c:v>
                </c:pt>
                <c:pt idx="5">
                  <c:v>23492014</c:v>
                </c:pt>
                <c:pt idx="6">
                  <c:v>24523014</c:v>
                </c:pt>
              </c:numCache>
            </c:numRef>
          </c:xVal>
          <c:yVal>
            <c:numRef>
              <c:f>'In-use stability'!$BQ$52:$BQ$58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DC-49F8-B4DE-2D412FDF7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824448"/>
        <c:axId val="1929815200"/>
      </c:scatterChart>
      <c:valAx>
        <c:axId val="192982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15200"/>
        <c:crosses val="autoZero"/>
        <c:crossBetween val="midCat"/>
      </c:valAx>
      <c:valAx>
        <c:axId val="19298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2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72384701912261"/>
          <c:y val="9.2972408299708792E-2"/>
          <c:w val="0.78227080696332585"/>
          <c:h val="0.6931894772695398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750524934383203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'In-use stability'!$BQ$52:$BQ$58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xVal>
          <c:yVal>
            <c:numRef>
              <c:f>'In-use stability'!$BR$52:$BR$58</c:f>
              <c:numCache>
                <c:formatCode>#,##0</c:formatCode>
                <c:ptCount val="7"/>
                <c:pt idx="0">
                  <c:v>5000</c:v>
                </c:pt>
                <c:pt idx="1">
                  <c:v>3389254</c:v>
                </c:pt>
                <c:pt idx="2">
                  <c:v>3406398</c:v>
                </c:pt>
                <c:pt idx="3">
                  <c:v>3458796</c:v>
                </c:pt>
                <c:pt idx="4">
                  <c:v>24263251</c:v>
                </c:pt>
                <c:pt idx="5">
                  <c:v>23492014</c:v>
                </c:pt>
                <c:pt idx="6">
                  <c:v>24523014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35-47FA-9666-06621B56A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501216"/>
        <c:axId val="2027507200"/>
      </c:scatterChart>
      <c:valAx>
        <c:axId val="2027501216"/>
        <c:scaling>
          <c:orientation val="minMax"/>
          <c:max val="5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7200"/>
        <c:crosses val="autoZero"/>
        <c:crossBetween val="midCat"/>
        <c:majorUnit val="50"/>
        <c:minorUnit val="0.5"/>
      </c:valAx>
      <c:valAx>
        <c:axId val="2027507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'In-use stability'!$H$89:$H$95</c:f>
              <c:numCache>
                <c:formatCode>#,##0</c:formatCode>
                <c:ptCount val="7"/>
                <c:pt idx="0">
                  <c:v>5000</c:v>
                </c:pt>
                <c:pt idx="1">
                  <c:v>3790403</c:v>
                </c:pt>
                <c:pt idx="2">
                  <c:v>3677675</c:v>
                </c:pt>
                <c:pt idx="3">
                  <c:v>3705407</c:v>
                </c:pt>
                <c:pt idx="4">
                  <c:v>27730402</c:v>
                </c:pt>
                <c:pt idx="5">
                  <c:v>26863457</c:v>
                </c:pt>
                <c:pt idx="6">
                  <c:v>26524929</c:v>
                </c:pt>
              </c:numCache>
            </c:numRef>
          </c:xVal>
          <c:yVal>
            <c:numRef>
              <c:f>'In-use stability'!$I$89:$I$95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E8-43B0-BA07-EE9D0D12C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824448"/>
        <c:axId val="1929815200"/>
      </c:scatterChart>
      <c:valAx>
        <c:axId val="192982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15200"/>
        <c:crosses val="autoZero"/>
        <c:crossBetween val="midCat"/>
      </c:valAx>
      <c:valAx>
        <c:axId val="19298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2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81908511436072"/>
          <c:y val="0.11950640498295922"/>
          <c:w val="0.78227080696332585"/>
          <c:h val="0.6931894772695398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750524934383203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'In-use stability'!$I$89:$I$95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xVal>
          <c:yVal>
            <c:numRef>
              <c:f>'In-use stability'!$J$89:$J$95</c:f>
              <c:numCache>
                <c:formatCode>#,##0</c:formatCode>
                <c:ptCount val="7"/>
                <c:pt idx="0">
                  <c:v>5000</c:v>
                </c:pt>
                <c:pt idx="1">
                  <c:v>3790403</c:v>
                </c:pt>
                <c:pt idx="2">
                  <c:v>3677675</c:v>
                </c:pt>
                <c:pt idx="3">
                  <c:v>3705407</c:v>
                </c:pt>
                <c:pt idx="4">
                  <c:v>27730402</c:v>
                </c:pt>
                <c:pt idx="5">
                  <c:v>26863457</c:v>
                </c:pt>
                <c:pt idx="6">
                  <c:v>26524929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0C-44FF-9C73-702C86A50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501216"/>
        <c:axId val="2027507200"/>
      </c:scatterChart>
      <c:valAx>
        <c:axId val="2027501216"/>
        <c:scaling>
          <c:orientation val="minMax"/>
          <c:max val="5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7200"/>
        <c:crosses val="autoZero"/>
        <c:crossBetween val="midCat"/>
        <c:majorUnit val="50"/>
        <c:minorUnit val="0.5"/>
      </c:valAx>
      <c:valAx>
        <c:axId val="2027507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'In-use stability'!$X$53:$X$59</c:f>
              <c:numCache>
                <c:formatCode>#,##0</c:formatCode>
                <c:ptCount val="7"/>
                <c:pt idx="0">
                  <c:v>5000</c:v>
                </c:pt>
                <c:pt idx="1">
                  <c:v>3596216</c:v>
                </c:pt>
                <c:pt idx="2">
                  <c:v>3561574</c:v>
                </c:pt>
                <c:pt idx="3">
                  <c:v>3626825</c:v>
                </c:pt>
                <c:pt idx="4">
                  <c:v>26844761</c:v>
                </c:pt>
                <c:pt idx="5">
                  <c:v>25739587</c:v>
                </c:pt>
                <c:pt idx="6">
                  <c:v>25968050</c:v>
                </c:pt>
              </c:numCache>
            </c:numRef>
          </c:xVal>
          <c:yVal>
            <c:numRef>
              <c:f>'In-use stability'!$Y$53:$Y$59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A1-44F6-B440-557835258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824448"/>
        <c:axId val="1929815200"/>
      </c:scatterChart>
      <c:valAx>
        <c:axId val="192982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15200"/>
        <c:crosses val="autoZero"/>
        <c:crossBetween val="midCat"/>
      </c:valAx>
      <c:valAx>
        <c:axId val="19298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2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12975008558714"/>
          <c:y val="0.11950640498295922"/>
          <c:w val="0.78227080696332585"/>
          <c:h val="0.6931894772695398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750524934383203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'In-use stability'!$Y$53:$Y$59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xVal>
          <c:yVal>
            <c:numRef>
              <c:f>'In-use stability'!$Z$53:$Z$59</c:f>
              <c:numCache>
                <c:formatCode>#,##0</c:formatCode>
                <c:ptCount val="7"/>
                <c:pt idx="0">
                  <c:v>5000</c:v>
                </c:pt>
                <c:pt idx="1">
                  <c:v>3596216</c:v>
                </c:pt>
                <c:pt idx="2">
                  <c:v>3561574</c:v>
                </c:pt>
                <c:pt idx="3">
                  <c:v>3626825</c:v>
                </c:pt>
                <c:pt idx="4">
                  <c:v>26844761</c:v>
                </c:pt>
                <c:pt idx="5">
                  <c:v>25739587</c:v>
                </c:pt>
                <c:pt idx="6">
                  <c:v>25968050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10-44B1-87A2-86F798EEB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501216"/>
        <c:axId val="2027507200"/>
      </c:scatterChart>
      <c:valAx>
        <c:axId val="2027501216"/>
        <c:scaling>
          <c:orientation val="minMax"/>
          <c:max val="5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7200"/>
        <c:crosses val="autoZero"/>
        <c:crossBetween val="midCat"/>
        <c:majorUnit val="50"/>
        <c:minorUnit val="0.5"/>
      </c:valAx>
      <c:valAx>
        <c:axId val="2027507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'In-use stability'!$AL$53:$AL$59</c:f>
              <c:numCache>
                <c:formatCode>#,##0</c:formatCode>
                <c:ptCount val="7"/>
                <c:pt idx="0">
                  <c:v>5000</c:v>
                </c:pt>
                <c:pt idx="1">
                  <c:v>3556528</c:v>
                </c:pt>
                <c:pt idx="2">
                  <c:v>3521568</c:v>
                </c:pt>
                <c:pt idx="3">
                  <c:v>3604234</c:v>
                </c:pt>
                <c:pt idx="4">
                  <c:v>26566523</c:v>
                </c:pt>
                <c:pt idx="5">
                  <c:v>24685732</c:v>
                </c:pt>
                <c:pt idx="6">
                  <c:v>25636857</c:v>
                </c:pt>
              </c:numCache>
            </c:numRef>
          </c:xVal>
          <c:yVal>
            <c:numRef>
              <c:f>'In-use stability'!$AM$53:$AM$59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53-4069-A58C-5267166EA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824448"/>
        <c:axId val="1929815200"/>
      </c:scatterChart>
      <c:valAx>
        <c:axId val="192982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15200"/>
        <c:crosses val="autoZero"/>
        <c:crossBetween val="midCat"/>
      </c:valAx>
      <c:valAx>
        <c:axId val="19298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2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72384701912261"/>
          <c:y val="9.2972408299708792E-2"/>
          <c:w val="0.78227080696332585"/>
          <c:h val="0.6931894772695398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750524934383203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'In-use stability'!$AM$53:$AM$59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xVal>
          <c:yVal>
            <c:numRef>
              <c:f>'In-use stability'!$AN$53:$AN$59</c:f>
              <c:numCache>
                <c:formatCode>#,##0</c:formatCode>
                <c:ptCount val="7"/>
                <c:pt idx="0">
                  <c:v>5000</c:v>
                </c:pt>
                <c:pt idx="1">
                  <c:v>3556528</c:v>
                </c:pt>
                <c:pt idx="2">
                  <c:v>3521568</c:v>
                </c:pt>
                <c:pt idx="3">
                  <c:v>3604234</c:v>
                </c:pt>
                <c:pt idx="4">
                  <c:v>26566523</c:v>
                </c:pt>
                <c:pt idx="5">
                  <c:v>24685732</c:v>
                </c:pt>
                <c:pt idx="6">
                  <c:v>25636857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7F-439D-BD53-52543D7E0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501216"/>
        <c:axId val="2027507200"/>
      </c:scatterChart>
      <c:valAx>
        <c:axId val="2027501216"/>
        <c:scaling>
          <c:orientation val="minMax"/>
          <c:max val="5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7200"/>
        <c:crosses val="autoZero"/>
        <c:crossBetween val="midCat"/>
        <c:majorUnit val="50"/>
        <c:minorUnit val="0.5"/>
      </c:valAx>
      <c:valAx>
        <c:axId val="2027507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'In-use stability'!$BB$89:$BB$95</c:f>
              <c:numCache>
                <c:formatCode>#,##0</c:formatCode>
                <c:ptCount val="7"/>
                <c:pt idx="0">
                  <c:v>5000</c:v>
                </c:pt>
                <c:pt idx="1">
                  <c:v>3396567</c:v>
                </c:pt>
                <c:pt idx="2">
                  <c:v>3400257</c:v>
                </c:pt>
                <c:pt idx="3">
                  <c:v>3487358</c:v>
                </c:pt>
                <c:pt idx="4">
                  <c:v>24489842</c:v>
                </c:pt>
                <c:pt idx="5">
                  <c:v>24722561</c:v>
                </c:pt>
                <c:pt idx="6">
                  <c:v>24257236</c:v>
                </c:pt>
              </c:numCache>
            </c:numRef>
          </c:xVal>
          <c:yVal>
            <c:numRef>
              <c:f>'In-use stability'!$BC$89:$BC$95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41-4CB7-8987-1577F09BD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824448"/>
        <c:axId val="1929815200"/>
      </c:scatterChart>
      <c:valAx>
        <c:axId val="192982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15200"/>
        <c:crosses val="autoZero"/>
        <c:crossBetween val="midCat"/>
      </c:valAx>
      <c:valAx>
        <c:axId val="19298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2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1152777777777778"/>
          <c:w val="0.833294181977252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Inprocess!$J$12:$J$18</c:f>
              <c:numCache>
                <c:formatCode>#,##0</c:formatCode>
                <c:ptCount val="7"/>
                <c:pt idx="0">
                  <c:v>5000</c:v>
                </c:pt>
                <c:pt idx="1">
                  <c:v>3402099</c:v>
                </c:pt>
                <c:pt idx="2">
                  <c:v>3559440</c:v>
                </c:pt>
                <c:pt idx="3">
                  <c:v>3420064</c:v>
                </c:pt>
                <c:pt idx="4">
                  <c:v>25866725</c:v>
                </c:pt>
                <c:pt idx="5">
                  <c:v>25871908</c:v>
                </c:pt>
                <c:pt idx="6">
                  <c:v>25172021</c:v>
                </c:pt>
              </c:numCache>
            </c:numRef>
          </c:xVal>
          <c:yVal>
            <c:numRef>
              <c:f>Inprocess!$K$12:$K$18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7-4CB0-B824-825003C0F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837504"/>
        <c:axId val="1929845664"/>
      </c:scatterChart>
      <c:valAx>
        <c:axId val="192983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45664"/>
        <c:crosses val="autoZero"/>
        <c:crossBetween val="midCat"/>
      </c:valAx>
      <c:valAx>
        <c:axId val="19298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3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72384701912261"/>
          <c:y val="9.2972408299708792E-2"/>
          <c:w val="0.78227080696332585"/>
          <c:h val="0.6931894772695398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750524934383203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'In-use stability'!$BC$89:$BC$95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xVal>
          <c:yVal>
            <c:numRef>
              <c:f>'In-use stability'!$BD$89:$BD$95</c:f>
              <c:numCache>
                <c:formatCode>#,##0</c:formatCode>
                <c:ptCount val="7"/>
                <c:pt idx="0">
                  <c:v>5000</c:v>
                </c:pt>
                <c:pt idx="1">
                  <c:v>3396567</c:v>
                </c:pt>
                <c:pt idx="2">
                  <c:v>3400257</c:v>
                </c:pt>
                <c:pt idx="3">
                  <c:v>3487358</c:v>
                </c:pt>
                <c:pt idx="4">
                  <c:v>24489842</c:v>
                </c:pt>
                <c:pt idx="5">
                  <c:v>24722561</c:v>
                </c:pt>
                <c:pt idx="6">
                  <c:v>24257236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69-4984-B29F-ED57DCB93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501216"/>
        <c:axId val="2027507200"/>
      </c:scatterChart>
      <c:valAx>
        <c:axId val="2027501216"/>
        <c:scaling>
          <c:orientation val="minMax"/>
          <c:max val="5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7200"/>
        <c:crosses val="autoZero"/>
        <c:crossBetween val="midCat"/>
        <c:majorUnit val="50"/>
        <c:minorUnit val="0.5"/>
      </c:valAx>
      <c:valAx>
        <c:axId val="2027507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'In-use stability'!$BP$89:$BP$95</c:f>
              <c:numCache>
                <c:formatCode>#,##0</c:formatCode>
                <c:ptCount val="7"/>
                <c:pt idx="0">
                  <c:v>5000</c:v>
                </c:pt>
                <c:pt idx="1">
                  <c:v>3351895</c:v>
                </c:pt>
                <c:pt idx="2">
                  <c:v>3346214</c:v>
                </c:pt>
                <c:pt idx="3">
                  <c:v>3398549</c:v>
                </c:pt>
                <c:pt idx="4">
                  <c:v>23892540</c:v>
                </c:pt>
                <c:pt idx="5">
                  <c:v>24240214</c:v>
                </c:pt>
                <c:pt idx="6">
                  <c:v>23528561</c:v>
                </c:pt>
              </c:numCache>
            </c:numRef>
          </c:xVal>
          <c:yVal>
            <c:numRef>
              <c:f>'In-use stability'!$BQ$89:$BQ$95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D6-48D8-90C2-1804C77B4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824448"/>
        <c:axId val="1929815200"/>
      </c:scatterChart>
      <c:valAx>
        <c:axId val="192982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15200"/>
        <c:crosses val="autoZero"/>
        <c:crossBetween val="midCat"/>
      </c:valAx>
      <c:valAx>
        <c:axId val="19298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2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72384701912261"/>
          <c:y val="9.2972408299708792E-2"/>
          <c:w val="0.78227080696332585"/>
          <c:h val="0.6931894772695398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750524934383203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'In-use stability'!$BQ$89:$BQ$95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xVal>
          <c:yVal>
            <c:numRef>
              <c:f>'In-use stability'!$BR$89:$BR$95</c:f>
              <c:numCache>
                <c:formatCode>#,##0</c:formatCode>
                <c:ptCount val="7"/>
                <c:pt idx="0">
                  <c:v>5000</c:v>
                </c:pt>
                <c:pt idx="1">
                  <c:v>3351895</c:v>
                </c:pt>
                <c:pt idx="2">
                  <c:v>3346214</c:v>
                </c:pt>
                <c:pt idx="3">
                  <c:v>3398549</c:v>
                </c:pt>
                <c:pt idx="4">
                  <c:v>23892540</c:v>
                </c:pt>
                <c:pt idx="5">
                  <c:v>24240214</c:v>
                </c:pt>
                <c:pt idx="6">
                  <c:v>23528561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A2-45F8-8C40-4E1C60B1D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501216"/>
        <c:axId val="2027507200"/>
      </c:scatterChart>
      <c:valAx>
        <c:axId val="2027501216"/>
        <c:scaling>
          <c:orientation val="minMax"/>
          <c:max val="5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7200"/>
        <c:crosses val="autoZero"/>
        <c:crossBetween val="midCat"/>
        <c:majorUnit val="50"/>
        <c:minorUnit val="0.5"/>
      </c:valAx>
      <c:valAx>
        <c:axId val="2027507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'On-board'!$I$15:$I$21</c:f>
              <c:numCache>
                <c:formatCode>#,##0</c:formatCode>
                <c:ptCount val="7"/>
                <c:pt idx="0">
                  <c:v>5000</c:v>
                </c:pt>
                <c:pt idx="1">
                  <c:v>3694980</c:v>
                </c:pt>
                <c:pt idx="2">
                  <c:v>3631367</c:v>
                </c:pt>
                <c:pt idx="3">
                  <c:v>3651453</c:v>
                </c:pt>
                <c:pt idx="4">
                  <c:v>26567822</c:v>
                </c:pt>
                <c:pt idx="5">
                  <c:v>27093177</c:v>
                </c:pt>
                <c:pt idx="6">
                  <c:v>26984628</c:v>
                </c:pt>
              </c:numCache>
            </c:numRef>
          </c:xVal>
          <c:yVal>
            <c:numRef>
              <c:f>'On-board'!$J$15:$J$21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BF-4EA4-88DF-F0D003FF8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824448"/>
        <c:axId val="1929815200"/>
      </c:scatterChart>
      <c:valAx>
        <c:axId val="192982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15200"/>
        <c:crosses val="autoZero"/>
        <c:crossBetween val="midCat"/>
      </c:valAx>
      <c:valAx>
        <c:axId val="19298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2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81908511436072"/>
          <c:y val="0.11950640498295922"/>
          <c:w val="0.78227080696332585"/>
          <c:h val="0.6931894772695398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750524934383203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'On-board'!$J$15:$J$21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xVal>
          <c:yVal>
            <c:numRef>
              <c:f>'On-board'!$K$15:$K$21</c:f>
              <c:numCache>
                <c:formatCode>#,##0</c:formatCode>
                <c:ptCount val="7"/>
                <c:pt idx="0">
                  <c:v>5000</c:v>
                </c:pt>
                <c:pt idx="1">
                  <c:v>3694980</c:v>
                </c:pt>
                <c:pt idx="2">
                  <c:v>3631367</c:v>
                </c:pt>
                <c:pt idx="3">
                  <c:v>3651453</c:v>
                </c:pt>
                <c:pt idx="4">
                  <c:v>26567822</c:v>
                </c:pt>
                <c:pt idx="5">
                  <c:v>27093177</c:v>
                </c:pt>
                <c:pt idx="6">
                  <c:v>26984628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42-4F26-B927-460DAA9EC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501216"/>
        <c:axId val="2027507200"/>
      </c:scatterChart>
      <c:valAx>
        <c:axId val="2027501216"/>
        <c:scaling>
          <c:orientation val="minMax"/>
          <c:max val="5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7200"/>
        <c:crosses val="autoZero"/>
        <c:crossBetween val="midCat"/>
        <c:majorUnit val="50"/>
        <c:minorUnit val="0.5"/>
      </c:valAx>
      <c:valAx>
        <c:axId val="2027507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'On-board'!$I$49:$I$55</c:f>
              <c:numCache>
                <c:formatCode>#,##0</c:formatCode>
                <c:ptCount val="7"/>
                <c:pt idx="0">
                  <c:v>5000</c:v>
                </c:pt>
                <c:pt idx="1">
                  <c:v>3615599</c:v>
                </c:pt>
                <c:pt idx="2">
                  <c:v>3739070</c:v>
                </c:pt>
                <c:pt idx="3">
                  <c:v>3797382</c:v>
                </c:pt>
                <c:pt idx="4">
                  <c:v>26534490</c:v>
                </c:pt>
                <c:pt idx="5">
                  <c:v>26147583</c:v>
                </c:pt>
                <c:pt idx="6">
                  <c:v>27741487</c:v>
                </c:pt>
              </c:numCache>
            </c:numRef>
          </c:xVal>
          <c:yVal>
            <c:numRef>
              <c:f>'On-board'!$J$49:$J$55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28-4EDE-9C9A-F8AD20102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824448"/>
        <c:axId val="1929815200"/>
      </c:scatterChart>
      <c:valAx>
        <c:axId val="192982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15200"/>
        <c:crosses val="autoZero"/>
        <c:crossBetween val="midCat"/>
      </c:valAx>
      <c:valAx>
        <c:axId val="19298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2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81908511436072"/>
          <c:y val="0.11950640498295922"/>
          <c:w val="0.78227080696332585"/>
          <c:h val="0.6931894772695398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750524934383203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'On-board'!$J$49:$J$55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xVal>
          <c:yVal>
            <c:numRef>
              <c:f>'On-board'!$K$49:$K$55</c:f>
              <c:numCache>
                <c:formatCode>#,##0</c:formatCode>
                <c:ptCount val="7"/>
                <c:pt idx="0">
                  <c:v>5000</c:v>
                </c:pt>
                <c:pt idx="1">
                  <c:v>3615599</c:v>
                </c:pt>
                <c:pt idx="2">
                  <c:v>3739070</c:v>
                </c:pt>
                <c:pt idx="3">
                  <c:v>3797382</c:v>
                </c:pt>
                <c:pt idx="4">
                  <c:v>26534490</c:v>
                </c:pt>
                <c:pt idx="5">
                  <c:v>26147583</c:v>
                </c:pt>
                <c:pt idx="6">
                  <c:v>27741487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E9-410B-9768-748A105A6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501216"/>
        <c:axId val="2027507200"/>
      </c:scatterChart>
      <c:valAx>
        <c:axId val="2027501216"/>
        <c:scaling>
          <c:orientation val="minMax"/>
          <c:max val="5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7200"/>
        <c:crosses val="autoZero"/>
        <c:crossBetween val="midCat"/>
        <c:majorUnit val="50"/>
        <c:minorUnit val="0.5"/>
      </c:valAx>
      <c:valAx>
        <c:axId val="2027507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'On-board'!$I$86:$I$92</c:f>
              <c:numCache>
                <c:formatCode>#,##0</c:formatCode>
                <c:ptCount val="7"/>
                <c:pt idx="0">
                  <c:v>5000</c:v>
                </c:pt>
                <c:pt idx="1">
                  <c:v>3678624</c:v>
                </c:pt>
                <c:pt idx="2">
                  <c:v>3639404</c:v>
                </c:pt>
                <c:pt idx="3">
                  <c:v>3670032</c:v>
                </c:pt>
                <c:pt idx="4">
                  <c:v>27213368</c:v>
                </c:pt>
                <c:pt idx="5">
                  <c:v>26697701</c:v>
                </c:pt>
                <c:pt idx="6">
                  <c:v>26017516</c:v>
                </c:pt>
              </c:numCache>
            </c:numRef>
          </c:xVal>
          <c:yVal>
            <c:numRef>
              <c:f>'On-board'!$J$86:$J$92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61-4AAC-9328-C99E033F2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824448"/>
        <c:axId val="1929815200"/>
      </c:scatterChart>
      <c:valAx>
        <c:axId val="192982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15200"/>
        <c:crosses val="autoZero"/>
        <c:crossBetween val="midCat"/>
      </c:valAx>
      <c:valAx>
        <c:axId val="19298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2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81908511436072"/>
          <c:y val="0.11950640498295922"/>
          <c:w val="0.78227080696332585"/>
          <c:h val="0.6931894772695398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750524934383203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'On-board'!$J$86:$J$92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xVal>
          <c:yVal>
            <c:numRef>
              <c:f>'On-board'!$K$86:$K$92</c:f>
              <c:numCache>
                <c:formatCode>#,##0</c:formatCode>
                <c:ptCount val="7"/>
                <c:pt idx="0">
                  <c:v>5000</c:v>
                </c:pt>
                <c:pt idx="1">
                  <c:v>3678624</c:v>
                </c:pt>
                <c:pt idx="2">
                  <c:v>3639404</c:v>
                </c:pt>
                <c:pt idx="3">
                  <c:v>3670032</c:v>
                </c:pt>
                <c:pt idx="4">
                  <c:v>27213368</c:v>
                </c:pt>
                <c:pt idx="5">
                  <c:v>26697701</c:v>
                </c:pt>
                <c:pt idx="6">
                  <c:v>26017516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7C-47F6-B389-D73CF52A6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501216"/>
        <c:axId val="2027507200"/>
      </c:scatterChart>
      <c:valAx>
        <c:axId val="2027501216"/>
        <c:scaling>
          <c:orientation val="minMax"/>
          <c:max val="5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7200"/>
        <c:crosses val="autoZero"/>
        <c:crossBetween val="midCat"/>
        <c:majorUnit val="50"/>
        <c:minorUnit val="0.5"/>
      </c:valAx>
      <c:valAx>
        <c:axId val="2027507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'Shipping stability'!$I$16:$I$22</c:f>
              <c:numCache>
                <c:formatCode>#,##0</c:formatCode>
                <c:ptCount val="7"/>
                <c:pt idx="0">
                  <c:v>5000</c:v>
                </c:pt>
                <c:pt idx="1">
                  <c:v>3655852</c:v>
                </c:pt>
                <c:pt idx="2">
                  <c:v>3717248</c:v>
                </c:pt>
                <c:pt idx="3">
                  <c:v>3642216</c:v>
                </c:pt>
                <c:pt idx="4">
                  <c:v>26667848</c:v>
                </c:pt>
                <c:pt idx="5">
                  <c:v>27271639</c:v>
                </c:pt>
                <c:pt idx="6">
                  <c:v>26148246</c:v>
                </c:pt>
              </c:numCache>
            </c:numRef>
          </c:xVal>
          <c:yVal>
            <c:numRef>
              <c:f>'Shipping stability'!$J$16:$J$22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AF-405F-8A18-E9F6C9676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824448"/>
        <c:axId val="1929815200"/>
      </c:scatterChart>
      <c:valAx>
        <c:axId val="192982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15200"/>
        <c:crosses val="autoZero"/>
        <c:crossBetween val="midCat"/>
      </c:valAx>
      <c:valAx>
        <c:axId val="19298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2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17152230971128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Inprocess!$J$53:$J$59</c:f>
              <c:numCache>
                <c:formatCode>#,##0</c:formatCode>
                <c:ptCount val="7"/>
                <c:pt idx="0">
                  <c:v>5000</c:v>
                </c:pt>
                <c:pt idx="1">
                  <c:v>3623827</c:v>
                </c:pt>
                <c:pt idx="2">
                  <c:v>3596013</c:v>
                </c:pt>
                <c:pt idx="3">
                  <c:v>3516344</c:v>
                </c:pt>
                <c:pt idx="4">
                  <c:v>25492991</c:v>
                </c:pt>
                <c:pt idx="5">
                  <c:v>25562388</c:v>
                </c:pt>
                <c:pt idx="6">
                  <c:v>26765389</c:v>
                </c:pt>
              </c:numCache>
            </c:numRef>
          </c:xVal>
          <c:yVal>
            <c:numRef>
              <c:f>Inprocess!$K$53:$K$59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BD-406B-8595-AB0CCA64A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823904"/>
        <c:axId val="1929832608"/>
      </c:scatterChart>
      <c:valAx>
        <c:axId val="192982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32608"/>
        <c:crosses val="autoZero"/>
        <c:crossBetween val="midCat"/>
      </c:valAx>
      <c:valAx>
        <c:axId val="19298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2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81908511436072"/>
          <c:y val="0.11950640498295922"/>
          <c:w val="0.78227080696332585"/>
          <c:h val="0.6931894772695398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750524934383203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'Shipping stability'!$J$16:$J$22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xVal>
          <c:yVal>
            <c:numRef>
              <c:f>'Shipping stability'!$K$16:$K$22</c:f>
              <c:numCache>
                <c:formatCode>#,##0</c:formatCode>
                <c:ptCount val="7"/>
                <c:pt idx="0">
                  <c:v>5000</c:v>
                </c:pt>
                <c:pt idx="1">
                  <c:v>3655852</c:v>
                </c:pt>
                <c:pt idx="2">
                  <c:v>3717248</c:v>
                </c:pt>
                <c:pt idx="3">
                  <c:v>3642216</c:v>
                </c:pt>
                <c:pt idx="4">
                  <c:v>26667848</c:v>
                </c:pt>
                <c:pt idx="5">
                  <c:v>27271639</c:v>
                </c:pt>
                <c:pt idx="6">
                  <c:v>26148246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03-4E18-A0B5-D2596C472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501216"/>
        <c:axId val="2027507200"/>
      </c:scatterChart>
      <c:valAx>
        <c:axId val="2027501216"/>
        <c:scaling>
          <c:orientation val="minMax"/>
          <c:max val="5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7200"/>
        <c:crosses val="autoZero"/>
        <c:crossBetween val="midCat"/>
        <c:majorUnit val="50"/>
        <c:minorUnit val="0.5"/>
      </c:valAx>
      <c:valAx>
        <c:axId val="2027507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'Shipping stability'!$Y$17:$Y$23</c:f>
              <c:numCache>
                <c:formatCode>#,##0</c:formatCode>
                <c:ptCount val="7"/>
                <c:pt idx="0">
                  <c:v>5000</c:v>
                </c:pt>
                <c:pt idx="1">
                  <c:v>3750990</c:v>
                </c:pt>
                <c:pt idx="2">
                  <c:v>3646942</c:v>
                </c:pt>
                <c:pt idx="3">
                  <c:v>3601253</c:v>
                </c:pt>
                <c:pt idx="4">
                  <c:v>27064127</c:v>
                </c:pt>
                <c:pt idx="5">
                  <c:v>26321315</c:v>
                </c:pt>
                <c:pt idx="6">
                  <c:v>27455458</c:v>
                </c:pt>
              </c:numCache>
            </c:numRef>
          </c:xVal>
          <c:yVal>
            <c:numRef>
              <c:f>'Shipping stability'!$Z$17:$Z$23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E9-4E43-8172-8158CF8CC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824448"/>
        <c:axId val="1929815200"/>
      </c:scatterChart>
      <c:valAx>
        <c:axId val="192982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15200"/>
        <c:crosses val="autoZero"/>
        <c:crossBetween val="midCat"/>
      </c:valAx>
      <c:valAx>
        <c:axId val="19298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2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81908511436072"/>
          <c:y val="0.11950640498295922"/>
          <c:w val="0.78227080696332585"/>
          <c:h val="0.6931894772695398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750524934383203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'Shipping stability'!$Z$17:$Z$23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xVal>
          <c:yVal>
            <c:numRef>
              <c:f>'Shipping stability'!$AA$17:$AA$23</c:f>
              <c:numCache>
                <c:formatCode>#,##0</c:formatCode>
                <c:ptCount val="7"/>
                <c:pt idx="0">
                  <c:v>5000</c:v>
                </c:pt>
                <c:pt idx="1">
                  <c:v>3750990</c:v>
                </c:pt>
                <c:pt idx="2">
                  <c:v>3646942</c:v>
                </c:pt>
                <c:pt idx="3">
                  <c:v>3601253</c:v>
                </c:pt>
                <c:pt idx="4">
                  <c:v>27064127</c:v>
                </c:pt>
                <c:pt idx="5">
                  <c:v>26321315</c:v>
                </c:pt>
                <c:pt idx="6">
                  <c:v>27455458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29-4CCF-B850-C173DED34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501216"/>
        <c:axId val="2027507200"/>
      </c:scatterChart>
      <c:valAx>
        <c:axId val="2027501216"/>
        <c:scaling>
          <c:orientation val="minMax"/>
          <c:max val="5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7200"/>
        <c:crosses val="autoZero"/>
        <c:crossBetween val="midCat"/>
        <c:majorUnit val="50"/>
        <c:minorUnit val="0.5"/>
      </c:valAx>
      <c:valAx>
        <c:axId val="2027507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'Shipping stability'!$AM$17:$AM$23</c:f>
              <c:numCache>
                <c:formatCode>#,##0</c:formatCode>
                <c:ptCount val="7"/>
                <c:pt idx="0">
                  <c:v>5000</c:v>
                </c:pt>
                <c:pt idx="1">
                  <c:v>3696061</c:v>
                </c:pt>
                <c:pt idx="2">
                  <c:v>3730897</c:v>
                </c:pt>
                <c:pt idx="3">
                  <c:v>3675172</c:v>
                </c:pt>
                <c:pt idx="4">
                  <c:v>26399441</c:v>
                </c:pt>
                <c:pt idx="5">
                  <c:v>26347173</c:v>
                </c:pt>
                <c:pt idx="6">
                  <c:v>27635355</c:v>
                </c:pt>
              </c:numCache>
            </c:numRef>
          </c:xVal>
          <c:yVal>
            <c:numRef>
              <c:f>'Shipping stability'!$AN$17:$AN$23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9-4DD4-B592-B08BEBC14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824448"/>
        <c:axId val="1929815200"/>
      </c:scatterChart>
      <c:valAx>
        <c:axId val="192982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15200"/>
        <c:crosses val="autoZero"/>
        <c:crossBetween val="midCat"/>
      </c:valAx>
      <c:valAx>
        <c:axId val="19298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2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81908511436072"/>
          <c:y val="0.11950640498295922"/>
          <c:w val="0.78227080696332585"/>
          <c:h val="0.6931894772695398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750524934383203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'Shipping stability'!$AN$17:$AN$23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xVal>
          <c:yVal>
            <c:numRef>
              <c:f>'Shipping stability'!$AO$17:$AO$23</c:f>
              <c:numCache>
                <c:formatCode>#,##0</c:formatCode>
                <c:ptCount val="7"/>
                <c:pt idx="0">
                  <c:v>5000</c:v>
                </c:pt>
                <c:pt idx="1">
                  <c:v>3696061</c:v>
                </c:pt>
                <c:pt idx="2">
                  <c:v>3730897</c:v>
                </c:pt>
                <c:pt idx="3">
                  <c:v>3675172</c:v>
                </c:pt>
                <c:pt idx="4">
                  <c:v>26399441</c:v>
                </c:pt>
                <c:pt idx="5">
                  <c:v>26347173</c:v>
                </c:pt>
                <c:pt idx="6">
                  <c:v>27635355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73-45E3-939B-5E887A597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501216"/>
        <c:axId val="2027507200"/>
      </c:scatterChart>
      <c:valAx>
        <c:axId val="2027501216"/>
        <c:scaling>
          <c:orientation val="minMax"/>
          <c:max val="5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7200"/>
        <c:crosses val="autoZero"/>
        <c:crossBetween val="midCat"/>
        <c:majorUnit val="50"/>
        <c:minorUnit val="0.5"/>
      </c:valAx>
      <c:valAx>
        <c:axId val="2027507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'In-use stability'!$W$18:$W$24</c:f>
              <c:numCache>
                <c:formatCode>#,##0</c:formatCode>
                <c:ptCount val="7"/>
                <c:pt idx="0">
                  <c:v>5000</c:v>
                </c:pt>
                <c:pt idx="1">
                  <c:v>3732176</c:v>
                </c:pt>
                <c:pt idx="2">
                  <c:v>3666985</c:v>
                </c:pt>
                <c:pt idx="3">
                  <c:v>3673152</c:v>
                </c:pt>
                <c:pt idx="4">
                  <c:v>27494791</c:v>
                </c:pt>
                <c:pt idx="5">
                  <c:v>26515881</c:v>
                </c:pt>
                <c:pt idx="6">
                  <c:v>26460289</c:v>
                </c:pt>
              </c:numCache>
            </c:numRef>
          </c:xVal>
          <c:yVal>
            <c:numRef>
              <c:f>'In-use stability'!$X$18:$X$24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9B-41E6-B45D-2ADB843AB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824448"/>
        <c:axId val="1929815200"/>
      </c:scatterChart>
      <c:valAx>
        <c:axId val="192982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15200"/>
        <c:crosses val="autoZero"/>
        <c:crossBetween val="midCat"/>
      </c:valAx>
      <c:valAx>
        <c:axId val="19298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2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12975008558714"/>
          <c:y val="0.11950640498295922"/>
          <c:w val="0.78227080696332585"/>
          <c:h val="0.6931894772695398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750524934383203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'In-use stability'!$X$18:$X$24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xVal>
          <c:yVal>
            <c:numRef>
              <c:f>'In-use stability'!$Y$18:$Y$24</c:f>
              <c:numCache>
                <c:formatCode>#,##0</c:formatCode>
                <c:ptCount val="7"/>
                <c:pt idx="0">
                  <c:v>5000</c:v>
                </c:pt>
                <c:pt idx="1">
                  <c:v>3732176</c:v>
                </c:pt>
                <c:pt idx="2">
                  <c:v>3666985</c:v>
                </c:pt>
                <c:pt idx="3">
                  <c:v>3673152</c:v>
                </c:pt>
                <c:pt idx="4">
                  <c:v>27494791</c:v>
                </c:pt>
                <c:pt idx="5">
                  <c:v>26515881</c:v>
                </c:pt>
                <c:pt idx="6">
                  <c:v>26460289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82-4B23-AB6E-136A15B31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501216"/>
        <c:axId val="2027507200"/>
      </c:scatterChart>
      <c:valAx>
        <c:axId val="2027501216"/>
        <c:scaling>
          <c:orientation val="minMax"/>
          <c:max val="5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7200"/>
        <c:crosses val="autoZero"/>
        <c:crossBetween val="midCat"/>
        <c:majorUnit val="50"/>
        <c:minorUnit val="0.5"/>
      </c:valAx>
      <c:valAx>
        <c:axId val="2027507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'In-use stability'!$AL$18:$AL$24</c:f>
              <c:numCache>
                <c:formatCode>#,##0</c:formatCode>
                <c:ptCount val="7"/>
                <c:pt idx="0">
                  <c:v>5000</c:v>
                </c:pt>
                <c:pt idx="1">
                  <c:v>3555051</c:v>
                </c:pt>
                <c:pt idx="2">
                  <c:v>3562476</c:v>
                </c:pt>
                <c:pt idx="3">
                  <c:v>3586482</c:v>
                </c:pt>
                <c:pt idx="4">
                  <c:v>26589037</c:v>
                </c:pt>
                <c:pt idx="5">
                  <c:v>25990165</c:v>
                </c:pt>
                <c:pt idx="6">
                  <c:v>25992767</c:v>
                </c:pt>
              </c:numCache>
            </c:numRef>
          </c:xVal>
          <c:yVal>
            <c:numRef>
              <c:f>'In-use stability'!$AM$18:$AM$24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A-4E6B-BACA-C02AFBD6D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824448"/>
        <c:axId val="1929815200"/>
      </c:scatterChart>
      <c:valAx>
        <c:axId val="192982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15200"/>
        <c:crosses val="autoZero"/>
        <c:crossBetween val="midCat"/>
      </c:valAx>
      <c:valAx>
        <c:axId val="19298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2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72384701912261"/>
          <c:y val="9.2972408299708792E-2"/>
          <c:w val="0.78227080696332585"/>
          <c:h val="0.6931894772695398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750524934383203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'In-use stability'!$AM$18:$AM$24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xVal>
          <c:yVal>
            <c:numRef>
              <c:f>'In-use stability'!$AN$18:$AN$24</c:f>
              <c:numCache>
                <c:formatCode>#,##0</c:formatCode>
                <c:ptCount val="7"/>
                <c:pt idx="0">
                  <c:v>5000</c:v>
                </c:pt>
                <c:pt idx="1">
                  <c:v>3555051</c:v>
                </c:pt>
                <c:pt idx="2">
                  <c:v>3562476</c:v>
                </c:pt>
                <c:pt idx="3">
                  <c:v>3586482</c:v>
                </c:pt>
                <c:pt idx="4">
                  <c:v>26589037</c:v>
                </c:pt>
                <c:pt idx="5">
                  <c:v>25990165</c:v>
                </c:pt>
                <c:pt idx="6">
                  <c:v>25992767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19-43BC-A9C4-021FE9FDE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501216"/>
        <c:axId val="2027507200"/>
      </c:scatterChart>
      <c:valAx>
        <c:axId val="2027501216"/>
        <c:scaling>
          <c:orientation val="minMax"/>
          <c:max val="5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7200"/>
        <c:crosses val="autoZero"/>
        <c:crossBetween val="midCat"/>
        <c:majorUnit val="50"/>
        <c:minorUnit val="0.5"/>
      </c:valAx>
      <c:valAx>
        <c:axId val="2027507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'In-use stability'!$BB$18:$BB$24</c:f>
              <c:numCache>
                <c:formatCode>#,##0</c:formatCode>
                <c:ptCount val="7"/>
                <c:pt idx="0">
                  <c:v>5000</c:v>
                </c:pt>
                <c:pt idx="1">
                  <c:v>3555051</c:v>
                </c:pt>
                <c:pt idx="2">
                  <c:v>3562476</c:v>
                </c:pt>
                <c:pt idx="3">
                  <c:v>3586482</c:v>
                </c:pt>
                <c:pt idx="4">
                  <c:v>26289037</c:v>
                </c:pt>
                <c:pt idx="5">
                  <c:v>25940156</c:v>
                </c:pt>
                <c:pt idx="6">
                  <c:v>25502767</c:v>
                </c:pt>
              </c:numCache>
            </c:numRef>
          </c:xVal>
          <c:yVal>
            <c:numRef>
              <c:f>'In-use stability'!$BC$18:$BC$24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D7-4E72-A2D1-419CEBEF6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824448"/>
        <c:axId val="1929815200"/>
      </c:scatterChart>
      <c:valAx>
        <c:axId val="192982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15200"/>
        <c:crosses val="autoZero"/>
        <c:crossBetween val="midCat"/>
      </c:valAx>
      <c:valAx>
        <c:axId val="19298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2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Inprocess!$I$91:$I$97</c:f>
              <c:numCache>
                <c:formatCode>#,##0</c:formatCode>
                <c:ptCount val="7"/>
                <c:pt idx="0">
                  <c:v>5000</c:v>
                </c:pt>
                <c:pt idx="1">
                  <c:v>3553390</c:v>
                </c:pt>
                <c:pt idx="2">
                  <c:v>3694834</c:v>
                </c:pt>
                <c:pt idx="3">
                  <c:v>3415829</c:v>
                </c:pt>
                <c:pt idx="4">
                  <c:v>25508283</c:v>
                </c:pt>
                <c:pt idx="5">
                  <c:v>26238813</c:v>
                </c:pt>
                <c:pt idx="6">
                  <c:v>26741300</c:v>
                </c:pt>
              </c:numCache>
            </c:numRef>
          </c:xVal>
          <c:yVal>
            <c:numRef>
              <c:f>Inprocess!$J$91:$J$97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7-4D8D-9450-02008BB4D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827168"/>
        <c:axId val="1929845120"/>
      </c:scatterChart>
      <c:valAx>
        <c:axId val="192982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45120"/>
        <c:crosses val="autoZero"/>
        <c:crossBetween val="midCat"/>
      </c:valAx>
      <c:valAx>
        <c:axId val="192984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2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72384701912261"/>
          <c:y val="9.2972408299708792E-2"/>
          <c:w val="0.78227080696332585"/>
          <c:h val="0.6931894772695398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750524934383203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'In-use stability'!$BC$18:$BC$24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xVal>
          <c:yVal>
            <c:numRef>
              <c:f>'In-use stability'!$BD$18:$BD$24</c:f>
              <c:numCache>
                <c:formatCode>#,##0</c:formatCode>
                <c:ptCount val="7"/>
                <c:pt idx="0">
                  <c:v>5000</c:v>
                </c:pt>
                <c:pt idx="1">
                  <c:v>3555051</c:v>
                </c:pt>
                <c:pt idx="2">
                  <c:v>3562476</c:v>
                </c:pt>
                <c:pt idx="3">
                  <c:v>3586482</c:v>
                </c:pt>
                <c:pt idx="4">
                  <c:v>26289037</c:v>
                </c:pt>
                <c:pt idx="5">
                  <c:v>25940156</c:v>
                </c:pt>
                <c:pt idx="6">
                  <c:v>25502767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2C-477B-B603-850AA6903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501216"/>
        <c:axId val="2027507200"/>
      </c:scatterChart>
      <c:valAx>
        <c:axId val="2027501216"/>
        <c:scaling>
          <c:orientation val="minMax"/>
          <c:max val="5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7200"/>
        <c:crosses val="autoZero"/>
        <c:crossBetween val="midCat"/>
        <c:majorUnit val="50"/>
        <c:minorUnit val="0.5"/>
      </c:valAx>
      <c:valAx>
        <c:axId val="2027507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'In-use stability'!$BP$18:$BP$24</c:f>
              <c:numCache>
                <c:formatCode>#,##0</c:formatCode>
                <c:ptCount val="7"/>
                <c:pt idx="0">
                  <c:v>5000</c:v>
                </c:pt>
                <c:pt idx="1">
                  <c:v>3491894</c:v>
                </c:pt>
                <c:pt idx="2">
                  <c:v>3496698</c:v>
                </c:pt>
                <c:pt idx="3">
                  <c:v>3579856</c:v>
                </c:pt>
                <c:pt idx="4">
                  <c:v>25556215</c:v>
                </c:pt>
                <c:pt idx="5">
                  <c:v>25563524</c:v>
                </c:pt>
                <c:pt idx="6">
                  <c:v>26053568</c:v>
                </c:pt>
              </c:numCache>
            </c:numRef>
          </c:xVal>
          <c:yVal>
            <c:numRef>
              <c:f>'In-use stability'!$BQ$18:$BQ$24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4E-4BB7-8F1B-875DE9349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824448"/>
        <c:axId val="1929815200"/>
      </c:scatterChart>
      <c:valAx>
        <c:axId val="192982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15200"/>
        <c:crosses val="autoZero"/>
        <c:crossBetween val="midCat"/>
      </c:valAx>
      <c:valAx>
        <c:axId val="19298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2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72384701912261"/>
          <c:y val="9.2972408299708792E-2"/>
          <c:w val="0.78227080696332585"/>
          <c:h val="0.6931894772695398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750524934383203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'In-use stability'!$BQ$18:$BQ$24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xVal>
          <c:yVal>
            <c:numRef>
              <c:f>'In-use stability'!$BR$18:$BR$24</c:f>
              <c:numCache>
                <c:formatCode>#,##0</c:formatCode>
                <c:ptCount val="7"/>
                <c:pt idx="0">
                  <c:v>5000</c:v>
                </c:pt>
                <c:pt idx="1">
                  <c:v>3491894</c:v>
                </c:pt>
                <c:pt idx="2">
                  <c:v>3496698</c:v>
                </c:pt>
                <c:pt idx="3">
                  <c:v>3579856</c:v>
                </c:pt>
                <c:pt idx="4">
                  <c:v>25556215</c:v>
                </c:pt>
                <c:pt idx="5">
                  <c:v>25563524</c:v>
                </c:pt>
                <c:pt idx="6">
                  <c:v>26053568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76-465F-A4FB-6B38ADA5B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501216"/>
        <c:axId val="2027507200"/>
      </c:scatterChart>
      <c:valAx>
        <c:axId val="2027501216"/>
        <c:scaling>
          <c:orientation val="minMax"/>
          <c:max val="5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7200"/>
        <c:crosses val="autoZero"/>
        <c:crossBetween val="midCat"/>
        <c:majorUnit val="50"/>
        <c:minorUnit val="0.5"/>
      </c:valAx>
      <c:valAx>
        <c:axId val="2027507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21" Type="http://schemas.openxmlformats.org/officeDocument/2006/relationships/chart" Target="../charts/chart39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20" Type="http://schemas.openxmlformats.org/officeDocument/2006/relationships/chart" Target="../charts/chart38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24" Type="http://schemas.openxmlformats.org/officeDocument/2006/relationships/chart" Target="../charts/chart42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23" Type="http://schemas.openxmlformats.org/officeDocument/2006/relationships/chart" Target="../charts/chart41.xml"/><Relationship Id="rId10" Type="http://schemas.openxmlformats.org/officeDocument/2006/relationships/chart" Target="../charts/chart28.xml"/><Relationship Id="rId19" Type="http://schemas.openxmlformats.org/officeDocument/2006/relationships/chart" Target="../charts/chart37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Relationship Id="rId22" Type="http://schemas.openxmlformats.org/officeDocument/2006/relationships/chart" Target="../charts/chart4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13" Type="http://schemas.openxmlformats.org/officeDocument/2006/relationships/chart" Target="../charts/chart55.xml"/><Relationship Id="rId18" Type="http://schemas.openxmlformats.org/officeDocument/2006/relationships/chart" Target="../charts/chart60.xml"/><Relationship Id="rId26" Type="http://schemas.openxmlformats.org/officeDocument/2006/relationships/chart" Target="../charts/chart68.xml"/><Relationship Id="rId3" Type="http://schemas.openxmlformats.org/officeDocument/2006/relationships/chart" Target="../charts/chart45.xml"/><Relationship Id="rId21" Type="http://schemas.openxmlformats.org/officeDocument/2006/relationships/chart" Target="../charts/chart63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17" Type="http://schemas.openxmlformats.org/officeDocument/2006/relationships/chart" Target="../charts/chart59.xml"/><Relationship Id="rId25" Type="http://schemas.openxmlformats.org/officeDocument/2006/relationships/chart" Target="../charts/chart67.xml"/><Relationship Id="rId2" Type="http://schemas.openxmlformats.org/officeDocument/2006/relationships/chart" Target="../charts/chart44.xml"/><Relationship Id="rId16" Type="http://schemas.openxmlformats.org/officeDocument/2006/relationships/chart" Target="../charts/chart58.xml"/><Relationship Id="rId20" Type="http://schemas.openxmlformats.org/officeDocument/2006/relationships/chart" Target="../charts/chart62.xml"/><Relationship Id="rId29" Type="http://schemas.openxmlformats.org/officeDocument/2006/relationships/chart" Target="../charts/chart71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24" Type="http://schemas.openxmlformats.org/officeDocument/2006/relationships/chart" Target="../charts/chart66.xml"/><Relationship Id="rId5" Type="http://schemas.openxmlformats.org/officeDocument/2006/relationships/chart" Target="../charts/chart47.xml"/><Relationship Id="rId15" Type="http://schemas.openxmlformats.org/officeDocument/2006/relationships/chart" Target="../charts/chart57.xml"/><Relationship Id="rId23" Type="http://schemas.openxmlformats.org/officeDocument/2006/relationships/chart" Target="../charts/chart65.xml"/><Relationship Id="rId28" Type="http://schemas.openxmlformats.org/officeDocument/2006/relationships/chart" Target="../charts/chart70.xml"/><Relationship Id="rId10" Type="http://schemas.openxmlformats.org/officeDocument/2006/relationships/chart" Target="../charts/chart52.xml"/><Relationship Id="rId19" Type="http://schemas.openxmlformats.org/officeDocument/2006/relationships/chart" Target="../charts/chart61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Relationship Id="rId14" Type="http://schemas.openxmlformats.org/officeDocument/2006/relationships/chart" Target="../charts/chart56.xml"/><Relationship Id="rId22" Type="http://schemas.openxmlformats.org/officeDocument/2006/relationships/chart" Target="../charts/chart64.xml"/><Relationship Id="rId27" Type="http://schemas.openxmlformats.org/officeDocument/2006/relationships/chart" Target="../charts/chart69.xml"/><Relationship Id="rId30" Type="http://schemas.openxmlformats.org/officeDocument/2006/relationships/chart" Target="../charts/chart7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8.xml"/><Relationship Id="rId5" Type="http://schemas.openxmlformats.org/officeDocument/2006/relationships/chart" Target="../charts/chart77.xml"/><Relationship Id="rId4" Type="http://schemas.openxmlformats.org/officeDocument/2006/relationships/chart" Target="../charts/chart7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1.xml"/><Relationship Id="rId2" Type="http://schemas.openxmlformats.org/officeDocument/2006/relationships/chart" Target="../charts/chart80.xml"/><Relationship Id="rId1" Type="http://schemas.openxmlformats.org/officeDocument/2006/relationships/chart" Target="../charts/chart79.xml"/><Relationship Id="rId6" Type="http://schemas.openxmlformats.org/officeDocument/2006/relationships/chart" Target="../charts/chart84.xml"/><Relationship Id="rId5" Type="http://schemas.openxmlformats.org/officeDocument/2006/relationships/chart" Target="../charts/chart83.xml"/><Relationship Id="rId4" Type="http://schemas.openxmlformats.org/officeDocument/2006/relationships/chart" Target="../charts/chart8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2.xml"/><Relationship Id="rId3" Type="http://schemas.openxmlformats.org/officeDocument/2006/relationships/chart" Target="../charts/chart87.xml"/><Relationship Id="rId7" Type="http://schemas.openxmlformats.org/officeDocument/2006/relationships/chart" Target="../charts/chart91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6" Type="http://schemas.openxmlformats.org/officeDocument/2006/relationships/chart" Target="../charts/chart90.xml"/><Relationship Id="rId5" Type="http://schemas.openxmlformats.org/officeDocument/2006/relationships/chart" Target="../charts/chart89.xml"/><Relationship Id="rId4" Type="http://schemas.openxmlformats.org/officeDocument/2006/relationships/chart" Target="../charts/chart8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466725</xdr:colOff>
      <xdr:row>1</xdr:row>
      <xdr:rowOff>161925</xdr:rowOff>
    </xdr:from>
    <xdr:to>
      <xdr:col>21</xdr:col>
      <xdr:colOff>319087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</xdr:row>
      <xdr:rowOff>33337</xdr:rowOff>
    </xdr:from>
    <xdr:to>
      <xdr:col>7</xdr:col>
      <xdr:colOff>542925</xdr:colOff>
      <xdr:row>15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376237</xdr:colOff>
      <xdr:row>23</xdr:row>
      <xdr:rowOff>33337</xdr:rowOff>
    </xdr:from>
    <xdr:to>
      <xdr:col>21</xdr:col>
      <xdr:colOff>71437</xdr:colOff>
      <xdr:row>37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23</xdr:row>
      <xdr:rowOff>33337</xdr:rowOff>
    </xdr:from>
    <xdr:to>
      <xdr:col>7</xdr:col>
      <xdr:colOff>542925</xdr:colOff>
      <xdr:row>37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376237</xdr:colOff>
      <xdr:row>43</xdr:row>
      <xdr:rowOff>33337</xdr:rowOff>
    </xdr:from>
    <xdr:to>
      <xdr:col>21</xdr:col>
      <xdr:colOff>71437</xdr:colOff>
      <xdr:row>57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47625</xdr:colOff>
      <xdr:row>43</xdr:row>
      <xdr:rowOff>33337</xdr:rowOff>
    </xdr:from>
    <xdr:to>
      <xdr:col>7</xdr:col>
      <xdr:colOff>542925</xdr:colOff>
      <xdr:row>57</xdr:row>
      <xdr:rowOff>109537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4</xdr:row>
      <xdr:rowOff>176212</xdr:rowOff>
    </xdr:from>
    <xdr:to>
      <xdr:col>8</xdr:col>
      <xdr:colOff>471487</xdr:colOff>
      <xdr:row>19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171450</xdr:colOff>
      <xdr:row>45</xdr:row>
      <xdr:rowOff>80962</xdr:rowOff>
    </xdr:from>
    <xdr:to>
      <xdr:col>8</xdr:col>
      <xdr:colOff>476250</xdr:colOff>
      <xdr:row>59</xdr:row>
      <xdr:rowOff>157162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100012</xdr:colOff>
      <xdr:row>84</xdr:row>
      <xdr:rowOff>176212</xdr:rowOff>
    </xdr:from>
    <xdr:to>
      <xdr:col>7</xdr:col>
      <xdr:colOff>404812</xdr:colOff>
      <xdr:row>99</xdr:row>
      <xdr:rowOff>61912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504824</xdr:colOff>
      <xdr:row>98</xdr:row>
      <xdr:rowOff>0</xdr:rowOff>
    </xdr:from>
    <xdr:to>
      <xdr:col>18</xdr:col>
      <xdr:colOff>380999</xdr:colOff>
      <xdr:row>111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485775</xdr:colOff>
      <xdr:row>18</xdr:row>
      <xdr:rowOff>85725</xdr:rowOff>
    </xdr:from>
    <xdr:to>
      <xdr:col>20</xdr:col>
      <xdr:colOff>85725</xdr:colOff>
      <xdr:row>31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1AE55F-A70E-4DC4-87F4-3D9FF9731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285750</xdr:colOff>
      <xdr:row>59</xdr:row>
      <xdr:rowOff>180975</xdr:rowOff>
    </xdr:from>
    <xdr:to>
      <xdr:col>19</xdr:col>
      <xdr:colOff>495300</xdr:colOff>
      <xdr:row>73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0AE8940-3784-4650-9054-653A4BD98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223837</xdr:colOff>
      <xdr:row>3</xdr:row>
      <xdr:rowOff>176212</xdr:rowOff>
    </xdr:from>
    <xdr:to>
      <xdr:col>7</xdr:col>
      <xdr:colOff>528637</xdr:colOff>
      <xdr:row>18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166687</xdr:colOff>
      <xdr:row>61</xdr:row>
      <xdr:rowOff>119062</xdr:rowOff>
    </xdr:from>
    <xdr:to>
      <xdr:col>7</xdr:col>
      <xdr:colOff>471487</xdr:colOff>
      <xdr:row>76</xdr:row>
      <xdr:rowOff>4762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111</xdr:row>
      <xdr:rowOff>14287</xdr:rowOff>
    </xdr:from>
    <xdr:to>
      <xdr:col>7</xdr:col>
      <xdr:colOff>495300</xdr:colOff>
      <xdr:row>125</xdr:row>
      <xdr:rowOff>90487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57151</xdr:colOff>
      <xdr:row>17</xdr:row>
      <xdr:rowOff>19050</xdr:rowOff>
    </xdr:from>
    <xdr:to>
      <xdr:col>17</xdr:col>
      <xdr:colOff>133350</xdr:colOff>
      <xdr:row>26</xdr:row>
      <xdr:rowOff>123826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096B12-48EC-4B25-99FD-E411AF6B6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38100</xdr:colOff>
      <xdr:row>73</xdr:row>
      <xdr:rowOff>38100</xdr:rowOff>
    </xdr:from>
    <xdr:to>
      <xdr:col>16</xdr:col>
      <xdr:colOff>504825</xdr:colOff>
      <xdr:row>84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0C5045C-5EF5-49E5-A238-64EEEA1B4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47626</xdr:colOff>
      <xdr:row>124</xdr:row>
      <xdr:rowOff>38100</xdr:rowOff>
    </xdr:from>
    <xdr:to>
      <xdr:col>17</xdr:col>
      <xdr:colOff>180976</xdr:colOff>
      <xdr:row>135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439EE7-2701-405E-8E91-78DC49990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214312</xdr:colOff>
      <xdr:row>0</xdr:row>
      <xdr:rowOff>171449</xdr:rowOff>
    </xdr:from>
    <xdr:to>
      <xdr:col>6</xdr:col>
      <xdr:colOff>600075</xdr:colOff>
      <xdr:row>10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9E65FC-5CA0-4F90-9912-83FE45094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11</xdr:row>
      <xdr:rowOff>47625</xdr:rowOff>
    </xdr:from>
    <xdr:to>
      <xdr:col>6</xdr:col>
      <xdr:colOff>581025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56BC05-3988-40F8-A86C-C883C1EB1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671512</xdr:colOff>
      <xdr:row>0</xdr:row>
      <xdr:rowOff>61912</xdr:rowOff>
    </xdr:from>
    <xdr:to>
      <xdr:col>21</xdr:col>
      <xdr:colOff>600075</xdr:colOff>
      <xdr:row>10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3E983F-0EC1-42F5-BF19-F0449E5B4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85725</xdr:colOff>
      <xdr:row>11</xdr:row>
      <xdr:rowOff>28575</xdr:rowOff>
    </xdr:from>
    <xdr:to>
      <xdr:col>21</xdr:col>
      <xdr:colOff>581025</xdr:colOff>
      <xdr:row>20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E1F7DB-E356-4664-B268-6820D8477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566737</xdr:colOff>
      <xdr:row>0</xdr:row>
      <xdr:rowOff>52387</xdr:rowOff>
    </xdr:from>
    <xdr:to>
      <xdr:col>36</xdr:col>
      <xdr:colOff>495300</xdr:colOff>
      <xdr:row>10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63A2F8-6663-4B36-A4B2-6A038AF7F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542925</xdr:colOff>
      <xdr:row>11</xdr:row>
      <xdr:rowOff>19050</xdr:rowOff>
    </xdr:from>
    <xdr:to>
      <xdr:col>36</xdr:col>
      <xdr:colOff>542925</xdr:colOff>
      <xdr:row>21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7C201D-8109-4C44-85D6-362C20063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566737</xdr:colOff>
      <xdr:row>0</xdr:row>
      <xdr:rowOff>52387</xdr:rowOff>
    </xdr:from>
    <xdr:to>
      <xdr:col>52</xdr:col>
      <xdr:colOff>495300</xdr:colOff>
      <xdr:row>10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7DB68E-041E-485F-B210-427852468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542925</xdr:colOff>
      <xdr:row>11</xdr:row>
      <xdr:rowOff>19050</xdr:rowOff>
    </xdr:from>
    <xdr:to>
      <xdr:col>52</xdr:col>
      <xdr:colOff>542925</xdr:colOff>
      <xdr:row>21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14E8EB3-3A0C-4FE1-AC1C-33863DAC0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214312</xdr:colOff>
      <xdr:row>41</xdr:row>
      <xdr:rowOff>171449</xdr:rowOff>
    </xdr:from>
    <xdr:to>
      <xdr:col>6</xdr:col>
      <xdr:colOff>600075</xdr:colOff>
      <xdr:row>51</xdr:row>
      <xdr:rowOff>161924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DAF213A-2822-40F5-979C-6A1ABBD76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152400</xdr:colOff>
      <xdr:row>52</xdr:row>
      <xdr:rowOff>47625</xdr:rowOff>
    </xdr:from>
    <xdr:to>
      <xdr:col>6</xdr:col>
      <xdr:colOff>581025</xdr:colOff>
      <xdr:row>62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E2251C3-8315-449B-B2B2-D3AD80B87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671512</xdr:colOff>
      <xdr:row>41</xdr:row>
      <xdr:rowOff>61912</xdr:rowOff>
    </xdr:from>
    <xdr:to>
      <xdr:col>21</xdr:col>
      <xdr:colOff>600075</xdr:colOff>
      <xdr:row>51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A772876-C227-4110-A13C-F237E1579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85725</xdr:colOff>
      <xdr:row>52</xdr:row>
      <xdr:rowOff>28575</xdr:rowOff>
    </xdr:from>
    <xdr:to>
      <xdr:col>21</xdr:col>
      <xdr:colOff>581025</xdr:colOff>
      <xdr:row>61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8183A0B-E172-438D-B7B7-084055E2D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29</xdr:col>
      <xdr:colOff>566737</xdr:colOff>
      <xdr:row>41</xdr:row>
      <xdr:rowOff>52387</xdr:rowOff>
    </xdr:from>
    <xdr:to>
      <xdr:col>36</xdr:col>
      <xdr:colOff>495300</xdr:colOff>
      <xdr:row>51</xdr:row>
      <xdr:rowOff>161925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C886890-3E10-4FE3-ABC1-1DC92189D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542925</xdr:colOff>
      <xdr:row>52</xdr:row>
      <xdr:rowOff>19050</xdr:rowOff>
    </xdr:from>
    <xdr:to>
      <xdr:col>36</xdr:col>
      <xdr:colOff>542925</xdr:colOff>
      <xdr:row>62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AD991CE-D842-4EB7-A08D-50B1AAA02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45</xdr:col>
      <xdr:colOff>566737</xdr:colOff>
      <xdr:row>41</xdr:row>
      <xdr:rowOff>52387</xdr:rowOff>
    </xdr:from>
    <xdr:to>
      <xdr:col>52</xdr:col>
      <xdr:colOff>495300</xdr:colOff>
      <xdr:row>51</xdr:row>
      <xdr:rowOff>161925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2964D9F-0C0D-4652-8188-62E957FB7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45</xdr:col>
      <xdr:colOff>542925</xdr:colOff>
      <xdr:row>52</xdr:row>
      <xdr:rowOff>19050</xdr:rowOff>
    </xdr:from>
    <xdr:to>
      <xdr:col>52</xdr:col>
      <xdr:colOff>542925</xdr:colOff>
      <xdr:row>62</xdr:row>
      <xdr:rowOff>28575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8526A7E-28B0-477D-AD25-2D4FD00C7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252412</xdr:colOff>
      <xdr:row>78</xdr:row>
      <xdr:rowOff>142874</xdr:rowOff>
    </xdr:from>
    <xdr:to>
      <xdr:col>6</xdr:col>
      <xdr:colOff>638175</xdr:colOff>
      <xdr:row>88</xdr:row>
      <xdr:rowOff>133349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87C7693-7546-41AA-B370-B09359EC1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152400</xdr:colOff>
      <xdr:row>89</xdr:row>
      <xdr:rowOff>47625</xdr:rowOff>
    </xdr:from>
    <xdr:to>
      <xdr:col>6</xdr:col>
      <xdr:colOff>581025</xdr:colOff>
      <xdr:row>99</xdr:row>
      <xdr:rowOff>38100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46BF442-E702-45BD-AAEC-E0A165205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700087</xdr:colOff>
      <xdr:row>78</xdr:row>
      <xdr:rowOff>52387</xdr:rowOff>
    </xdr:from>
    <xdr:to>
      <xdr:col>22</xdr:col>
      <xdr:colOff>19050</xdr:colOff>
      <xdr:row>88</xdr:row>
      <xdr:rowOff>161925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7DCA556-117C-47AE-9980-87A4B0F87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85725</xdr:colOff>
      <xdr:row>89</xdr:row>
      <xdr:rowOff>28575</xdr:rowOff>
    </xdr:from>
    <xdr:to>
      <xdr:col>21</xdr:col>
      <xdr:colOff>581025</xdr:colOff>
      <xdr:row>98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1421686-3874-4F6B-8573-C70C652222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566737</xdr:colOff>
      <xdr:row>78</xdr:row>
      <xdr:rowOff>52387</xdr:rowOff>
    </xdr:from>
    <xdr:to>
      <xdr:col>36</xdr:col>
      <xdr:colOff>495300</xdr:colOff>
      <xdr:row>88</xdr:row>
      <xdr:rowOff>161925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D48FFC8-8FBB-46CF-8104-7963E438D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29</xdr:col>
      <xdr:colOff>542925</xdr:colOff>
      <xdr:row>89</xdr:row>
      <xdr:rowOff>19050</xdr:rowOff>
    </xdr:from>
    <xdr:to>
      <xdr:col>36</xdr:col>
      <xdr:colOff>542925</xdr:colOff>
      <xdr:row>99</xdr:row>
      <xdr:rowOff>28575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74692B3-E666-411E-A308-D0CF44CF7D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45</xdr:col>
      <xdr:colOff>566737</xdr:colOff>
      <xdr:row>78</xdr:row>
      <xdr:rowOff>52387</xdr:rowOff>
    </xdr:from>
    <xdr:to>
      <xdr:col>52</xdr:col>
      <xdr:colOff>495300</xdr:colOff>
      <xdr:row>88</xdr:row>
      <xdr:rowOff>161925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7D8233D-3A72-45BC-9130-584B9F5A43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45</xdr:col>
      <xdr:colOff>542925</xdr:colOff>
      <xdr:row>89</xdr:row>
      <xdr:rowOff>19050</xdr:rowOff>
    </xdr:from>
    <xdr:to>
      <xdr:col>52</xdr:col>
      <xdr:colOff>542925</xdr:colOff>
      <xdr:row>99</xdr:row>
      <xdr:rowOff>28575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02FC2FB-6AE0-4EBE-A685-08B10DD0A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214312</xdr:colOff>
      <xdr:row>6</xdr:row>
      <xdr:rowOff>171449</xdr:rowOff>
    </xdr:from>
    <xdr:to>
      <xdr:col>6</xdr:col>
      <xdr:colOff>600075</xdr:colOff>
      <xdr:row>16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7B82DA-0971-4F97-8F18-DAEDC8128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17</xdr:row>
      <xdr:rowOff>47625</xdr:rowOff>
    </xdr:from>
    <xdr:to>
      <xdr:col>6</xdr:col>
      <xdr:colOff>581025</xdr:colOff>
      <xdr:row>27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6A7EC9-5868-4D07-91AD-F55BD585A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671512</xdr:colOff>
      <xdr:row>6</xdr:row>
      <xdr:rowOff>61912</xdr:rowOff>
    </xdr:from>
    <xdr:to>
      <xdr:col>21</xdr:col>
      <xdr:colOff>600075</xdr:colOff>
      <xdr:row>16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61C290-FEE0-40A4-BD45-CE55D87D6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16</xdr:row>
      <xdr:rowOff>180975</xdr:rowOff>
    </xdr:from>
    <xdr:to>
      <xdr:col>21</xdr:col>
      <xdr:colOff>495300</xdr:colOff>
      <xdr:row>26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4EDB45-2757-40BF-8A2D-C654300F9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566737</xdr:colOff>
      <xdr:row>6</xdr:row>
      <xdr:rowOff>52387</xdr:rowOff>
    </xdr:from>
    <xdr:to>
      <xdr:col>36</xdr:col>
      <xdr:colOff>495300</xdr:colOff>
      <xdr:row>16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D34C8E-5DB0-4D17-998A-07AFF55D5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542925</xdr:colOff>
      <xdr:row>17</xdr:row>
      <xdr:rowOff>19050</xdr:rowOff>
    </xdr:from>
    <xdr:to>
      <xdr:col>36</xdr:col>
      <xdr:colOff>542925</xdr:colOff>
      <xdr:row>27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DD5A0F-74B8-4D5D-81D6-F8463E813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566737</xdr:colOff>
      <xdr:row>6</xdr:row>
      <xdr:rowOff>52387</xdr:rowOff>
    </xdr:from>
    <xdr:to>
      <xdr:col>52</xdr:col>
      <xdr:colOff>495300</xdr:colOff>
      <xdr:row>16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1FC9C39-2F60-476E-9159-958C018C0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542925</xdr:colOff>
      <xdr:row>17</xdr:row>
      <xdr:rowOff>19050</xdr:rowOff>
    </xdr:from>
    <xdr:to>
      <xdr:col>52</xdr:col>
      <xdr:colOff>542925</xdr:colOff>
      <xdr:row>27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D2FDBB1-D45E-4D30-ABE2-B159BD9D2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59</xdr:col>
      <xdr:colOff>566737</xdr:colOff>
      <xdr:row>6</xdr:row>
      <xdr:rowOff>52387</xdr:rowOff>
    </xdr:from>
    <xdr:to>
      <xdr:col>66</xdr:col>
      <xdr:colOff>495300</xdr:colOff>
      <xdr:row>16</xdr:row>
      <xdr:rowOff>161925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CA1DB48-22CF-44F1-9CA7-6A032C906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59</xdr:col>
      <xdr:colOff>542925</xdr:colOff>
      <xdr:row>17</xdr:row>
      <xdr:rowOff>19050</xdr:rowOff>
    </xdr:from>
    <xdr:to>
      <xdr:col>66</xdr:col>
      <xdr:colOff>542925</xdr:colOff>
      <xdr:row>27</xdr:row>
      <xdr:rowOff>28575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7E45F64-24B0-4FBD-AA5B-7AC4D75AC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185737</xdr:colOff>
      <xdr:row>40</xdr:row>
      <xdr:rowOff>180974</xdr:rowOff>
    </xdr:from>
    <xdr:to>
      <xdr:col>6</xdr:col>
      <xdr:colOff>571500</xdr:colOff>
      <xdr:row>50</xdr:row>
      <xdr:rowOff>171449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380B395-5E3E-421D-8AC1-B100F4B03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152400</xdr:colOff>
      <xdr:row>51</xdr:row>
      <xdr:rowOff>47625</xdr:rowOff>
    </xdr:from>
    <xdr:to>
      <xdr:col>6</xdr:col>
      <xdr:colOff>581025</xdr:colOff>
      <xdr:row>61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CC6B3FB-F0FA-4197-9F9E-E3462499A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80962</xdr:colOff>
      <xdr:row>80</xdr:row>
      <xdr:rowOff>42862</xdr:rowOff>
    </xdr:from>
    <xdr:to>
      <xdr:col>23</xdr:col>
      <xdr:colOff>66675</xdr:colOff>
      <xdr:row>90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F67A4A9-DBEA-4260-AF2D-99A41CEC8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85725</xdr:colOff>
      <xdr:row>91</xdr:row>
      <xdr:rowOff>28575</xdr:rowOff>
    </xdr:from>
    <xdr:to>
      <xdr:col>22</xdr:col>
      <xdr:colOff>581025</xdr:colOff>
      <xdr:row>100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2FD997C-F260-4598-804E-482AB21CA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30</xdr:col>
      <xdr:colOff>604837</xdr:colOff>
      <xdr:row>77</xdr:row>
      <xdr:rowOff>4762</xdr:rowOff>
    </xdr:from>
    <xdr:to>
      <xdr:col>37</xdr:col>
      <xdr:colOff>533400</xdr:colOff>
      <xdr:row>87</xdr:row>
      <xdr:rowOff>114300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A1CF773-CFEA-4612-A9E6-72DD834005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542925</xdr:colOff>
      <xdr:row>88</xdr:row>
      <xdr:rowOff>19050</xdr:rowOff>
    </xdr:from>
    <xdr:to>
      <xdr:col>37</xdr:col>
      <xdr:colOff>542925</xdr:colOff>
      <xdr:row>98</xdr:row>
      <xdr:rowOff>28575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CF78D9A-7472-41D3-91D5-47A59DE9A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45</xdr:col>
      <xdr:colOff>566737</xdr:colOff>
      <xdr:row>40</xdr:row>
      <xdr:rowOff>52387</xdr:rowOff>
    </xdr:from>
    <xdr:to>
      <xdr:col>52</xdr:col>
      <xdr:colOff>495300</xdr:colOff>
      <xdr:row>50</xdr:row>
      <xdr:rowOff>161925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BC855F6-3599-415D-A628-F34A96088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45</xdr:col>
      <xdr:colOff>542925</xdr:colOff>
      <xdr:row>51</xdr:row>
      <xdr:rowOff>19050</xdr:rowOff>
    </xdr:from>
    <xdr:to>
      <xdr:col>52</xdr:col>
      <xdr:colOff>542925</xdr:colOff>
      <xdr:row>61</xdr:row>
      <xdr:rowOff>28575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1F70C5D-30CA-4072-AADE-A1EC0B90E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59</xdr:col>
      <xdr:colOff>566737</xdr:colOff>
      <xdr:row>40</xdr:row>
      <xdr:rowOff>52387</xdr:rowOff>
    </xdr:from>
    <xdr:to>
      <xdr:col>66</xdr:col>
      <xdr:colOff>495300</xdr:colOff>
      <xdr:row>50</xdr:row>
      <xdr:rowOff>161925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50A8A3D-A2E0-433D-8787-FF44A9892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59</xdr:col>
      <xdr:colOff>542925</xdr:colOff>
      <xdr:row>51</xdr:row>
      <xdr:rowOff>19050</xdr:rowOff>
    </xdr:from>
    <xdr:to>
      <xdr:col>66</xdr:col>
      <xdr:colOff>542925</xdr:colOff>
      <xdr:row>61</xdr:row>
      <xdr:rowOff>28575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932FFFE-CD99-4FE9-B9BE-52BF79164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185737</xdr:colOff>
      <xdr:row>77</xdr:row>
      <xdr:rowOff>180974</xdr:rowOff>
    </xdr:from>
    <xdr:to>
      <xdr:col>6</xdr:col>
      <xdr:colOff>571500</xdr:colOff>
      <xdr:row>87</xdr:row>
      <xdr:rowOff>171449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66F336C-86E3-46D1-B6CB-686BBE427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152400</xdr:colOff>
      <xdr:row>88</xdr:row>
      <xdr:rowOff>47625</xdr:rowOff>
    </xdr:from>
    <xdr:to>
      <xdr:col>6</xdr:col>
      <xdr:colOff>581025</xdr:colOff>
      <xdr:row>98</xdr:row>
      <xdr:rowOff>38100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A6955FB-5FC6-4B16-ABF1-FF78829CF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671512</xdr:colOff>
      <xdr:row>41</xdr:row>
      <xdr:rowOff>61912</xdr:rowOff>
    </xdr:from>
    <xdr:to>
      <xdr:col>22</xdr:col>
      <xdr:colOff>600075</xdr:colOff>
      <xdr:row>51</xdr:row>
      <xdr:rowOff>171450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1A362F8-5487-4FD4-90B6-F6659C71E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16</xdr:col>
      <xdr:colOff>85725</xdr:colOff>
      <xdr:row>52</xdr:row>
      <xdr:rowOff>28575</xdr:rowOff>
    </xdr:from>
    <xdr:to>
      <xdr:col>22</xdr:col>
      <xdr:colOff>581025</xdr:colOff>
      <xdr:row>61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3EC8604-E2A4-4763-9278-CA62E4DAD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29</xdr:col>
      <xdr:colOff>566737</xdr:colOff>
      <xdr:row>41</xdr:row>
      <xdr:rowOff>52387</xdr:rowOff>
    </xdr:from>
    <xdr:to>
      <xdr:col>36</xdr:col>
      <xdr:colOff>495300</xdr:colOff>
      <xdr:row>51</xdr:row>
      <xdr:rowOff>161925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4F14F02B-851E-44AF-8A07-439B6081C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29</xdr:col>
      <xdr:colOff>542925</xdr:colOff>
      <xdr:row>52</xdr:row>
      <xdr:rowOff>19050</xdr:rowOff>
    </xdr:from>
    <xdr:to>
      <xdr:col>36</xdr:col>
      <xdr:colOff>542925</xdr:colOff>
      <xdr:row>62</xdr:row>
      <xdr:rowOff>28575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9830997B-AF12-42E0-86FB-370E54685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45</xdr:col>
      <xdr:colOff>566737</xdr:colOff>
      <xdr:row>77</xdr:row>
      <xdr:rowOff>52387</xdr:rowOff>
    </xdr:from>
    <xdr:to>
      <xdr:col>52</xdr:col>
      <xdr:colOff>495300</xdr:colOff>
      <xdr:row>87</xdr:row>
      <xdr:rowOff>161925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EAACB97D-4900-4D63-B48A-2884ED4B2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45</xdr:col>
      <xdr:colOff>542925</xdr:colOff>
      <xdr:row>88</xdr:row>
      <xdr:rowOff>19050</xdr:rowOff>
    </xdr:from>
    <xdr:to>
      <xdr:col>52</xdr:col>
      <xdr:colOff>542925</xdr:colOff>
      <xdr:row>98</xdr:row>
      <xdr:rowOff>28575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ED3223B7-5572-4E6A-B54F-4CCE7A702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59</xdr:col>
      <xdr:colOff>566737</xdr:colOff>
      <xdr:row>77</xdr:row>
      <xdr:rowOff>52387</xdr:rowOff>
    </xdr:from>
    <xdr:to>
      <xdr:col>66</xdr:col>
      <xdr:colOff>495300</xdr:colOff>
      <xdr:row>87</xdr:row>
      <xdr:rowOff>161925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C972F82-332A-4122-A54A-1D4E10B16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59</xdr:col>
      <xdr:colOff>542925</xdr:colOff>
      <xdr:row>88</xdr:row>
      <xdr:rowOff>19050</xdr:rowOff>
    </xdr:from>
    <xdr:to>
      <xdr:col>66</xdr:col>
      <xdr:colOff>542925</xdr:colOff>
      <xdr:row>98</xdr:row>
      <xdr:rowOff>28575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B00D1E56-F2BC-45D7-8340-839FB8A68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214312</xdr:colOff>
      <xdr:row>3</xdr:row>
      <xdr:rowOff>171449</xdr:rowOff>
    </xdr:from>
    <xdr:to>
      <xdr:col>7</xdr:col>
      <xdr:colOff>600075</xdr:colOff>
      <xdr:row>13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0CBDD2-D0A8-4DC3-B2C3-2AEB1A71B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14</xdr:row>
      <xdr:rowOff>47625</xdr:rowOff>
    </xdr:from>
    <xdr:to>
      <xdr:col>7</xdr:col>
      <xdr:colOff>581025</xdr:colOff>
      <xdr:row>24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66761E-C011-491C-8968-507BCC7FC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185737</xdr:colOff>
      <xdr:row>37</xdr:row>
      <xdr:rowOff>180974</xdr:rowOff>
    </xdr:from>
    <xdr:to>
      <xdr:col>7</xdr:col>
      <xdr:colOff>571500</xdr:colOff>
      <xdr:row>47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4026F6-3639-4E07-892D-714D7985B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152400</xdr:colOff>
      <xdr:row>48</xdr:row>
      <xdr:rowOff>47625</xdr:rowOff>
    </xdr:from>
    <xdr:to>
      <xdr:col>7</xdr:col>
      <xdr:colOff>581025</xdr:colOff>
      <xdr:row>58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C52E10-8710-41C9-AF62-E55083733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185737</xdr:colOff>
      <xdr:row>74</xdr:row>
      <xdr:rowOff>180974</xdr:rowOff>
    </xdr:from>
    <xdr:to>
      <xdr:col>7</xdr:col>
      <xdr:colOff>571500</xdr:colOff>
      <xdr:row>84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A5A26D-1E07-4CBA-BD83-1ED02335E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152400</xdr:colOff>
      <xdr:row>85</xdr:row>
      <xdr:rowOff>47625</xdr:rowOff>
    </xdr:from>
    <xdr:to>
      <xdr:col>7</xdr:col>
      <xdr:colOff>581025</xdr:colOff>
      <xdr:row>95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CBF4BB-2D25-442A-AD90-935E1F2B2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214312</xdr:colOff>
      <xdr:row>4</xdr:row>
      <xdr:rowOff>171449</xdr:rowOff>
    </xdr:from>
    <xdr:to>
      <xdr:col>7</xdr:col>
      <xdr:colOff>600075</xdr:colOff>
      <xdr:row>14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F5080E-3421-4DF2-9B9C-916FBC3CC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15</xdr:row>
      <xdr:rowOff>47625</xdr:rowOff>
    </xdr:from>
    <xdr:to>
      <xdr:col>7</xdr:col>
      <xdr:colOff>581025</xdr:colOff>
      <xdr:row>25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F4550B-7BA9-4642-A114-5CBBCC1B4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214312</xdr:colOff>
      <xdr:row>5</xdr:row>
      <xdr:rowOff>171449</xdr:rowOff>
    </xdr:from>
    <xdr:to>
      <xdr:col>23</xdr:col>
      <xdr:colOff>600075</xdr:colOff>
      <xdr:row>15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D598BC-5083-43D4-BBFF-8C777B87A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152400</xdr:colOff>
      <xdr:row>16</xdr:row>
      <xdr:rowOff>47625</xdr:rowOff>
    </xdr:from>
    <xdr:to>
      <xdr:col>23</xdr:col>
      <xdr:colOff>581025</xdr:colOff>
      <xdr:row>26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873017-D5F1-4943-A6D5-0AB637853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214312</xdr:colOff>
      <xdr:row>5</xdr:row>
      <xdr:rowOff>171449</xdr:rowOff>
    </xdr:from>
    <xdr:to>
      <xdr:col>37</xdr:col>
      <xdr:colOff>600075</xdr:colOff>
      <xdr:row>15</xdr:row>
      <xdr:rowOff>161924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FB6532-9DC7-4C8F-98E4-329B1D63E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152400</xdr:colOff>
      <xdr:row>16</xdr:row>
      <xdr:rowOff>47625</xdr:rowOff>
    </xdr:from>
    <xdr:to>
      <xdr:col>37</xdr:col>
      <xdr:colOff>581025</xdr:colOff>
      <xdr:row>26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832840-385A-4713-AF61-864DA3F18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671512</xdr:colOff>
      <xdr:row>5</xdr:row>
      <xdr:rowOff>61912</xdr:rowOff>
    </xdr:from>
    <xdr:to>
      <xdr:col>8</xdr:col>
      <xdr:colOff>600075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4460CC-2D35-423A-BF9E-AA846934D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15</xdr:row>
      <xdr:rowOff>180975</xdr:rowOff>
    </xdr:from>
    <xdr:to>
      <xdr:col>8</xdr:col>
      <xdr:colOff>495300</xdr:colOff>
      <xdr:row>25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3FFDC1-4CF8-4515-8849-6D48BFCE0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566737</xdr:colOff>
      <xdr:row>5</xdr:row>
      <xdr:rowOff>52387</xdr:rowOff>
    </xdr:from>
    <xdr:to>
      <xdr:col>23</xdr:col>
      <xdr:colOff>495300</xdr:colOff>
      <xdr:row>15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ECACC6-5D01-4627-B535-1F7465470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542925</xdr:colOff>
      <xdr:row>16</xdr:row>
      <xdr:rowOff>19050</xdr:rowOff>
    </xdr:from>
    <xdr:to>
      <xdr:col>23</xdr:col>
      <xdr:colOff>542925</xdr:colOff>
      <xdr:row>26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444515-034E-4369-8075-2F05D7C15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566737</xdr:colOff>
      <xdr:row>5</xdr:row>
      <xdr:rowOff>52387</xdr:rowOff>
    </xdr:from>
    <xdr:to>
      <xdr:col>39</xdr:col>
      <xdr:colOff>495300</xdr:colOff>
      <xdr:row>15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FE8845-246C-440C-A321-175B3E998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542925</xdr:colOff>
      <xdr:row>16</xdr:row>
      <xdr:rowOff>19050</xdr:rowOff>
    </xdr:from>
    <xdr:to>
      <xdr:col>39</xdr:col>
      <xdr:colOff>542925</xdr:colOff>
      <xdr:row>26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66F1BF-064F-4050-AE20-67FD1F22F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566737</xdr:colOff>
      <xdr:row>5</xdr:row>
      <xdr:rowOff>52387</xdr:rowOff>
    </xdr:from>
    <xdr:to>
      <xdr:col>53</xdr:col>
      <xdr:colOff>495300</xdr:colOff>
      <xdr:row>15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C409DD8-48C4-4A42-9C0A-530F95D15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542925</xdr:colOff>
      <xdr:row>16</xdr:row>
      <xdr:rowOff>19050</xdr:rowOff>
    </xdr:from>
    <xdr:to>
      <xdr:col>53</xdr:col>
      <xdr:colOff>542925</xdr:colOff>
      <xdr:row>26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067643-837E-4FE7-A41A-7C9FA9769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trix%20Labs%20Pvt%20Ltd/Manufacturing%20License/Autoimmune%20Diseases/Ds%20DNA%20IgG/Raw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s DNA"/>
    </sheetNames>
    <sheetDataSet>
      <sheetData sheetId="0"/>
      <sheetData sheetId="1">
        <row r="9">
          <cell r="I9">
            <v>5000</v>
          </cell>
          <cell r="J9">
            <v>0</v>
          </cell>
          <cell r="K9">
            <v>5000</v>
          </cell>
        </row>
        <row r="10">
          <cell r="I10">
            <v>3639258</v>
          </cell>
          <cell r="J10">
            <v>75</v>
          </cell>
          <cell r="K10">
            <v>3639258</v>
          </cell>
        </row>
        <row r="11">
          <cell r="I11">
            <v>3512065</v>
          </cell>
          <cell r="J11">
            <v>75</v>
          </cell>
          <cell r="K11">
            <v>3512065</v>
          </cell>
        </row>
        <row r="12">
          <cell r="I12">
            <v>3415165</v>
          </cell>
          <cell r="J12">
            <v>75</v>
          </cell>
          <cell r="K12">
            <v>3415165</v>
          </cell>
        </row>
        <row r="13">
          <cell r="I13">
            <v>25550215</v>
          </cell>
          <cell r="J13">
            <v>500</v>
          </cell>
          <cell r="K13">
            <v>25550215</v>
          </cell>
        </row>
        <row r="14">
          <cell r="I14">
            <v>26072271</v>
          </cell>
          <cell r="J14">
            <v>500</v>
          </cell>
          <cell r="K14">
            <v>26072271</v>
          </cell>
        </row>
        <row r="15">
          <cell r="I15">
            <v>25509123</v>
          </cell>
          <cell r="J15">
            <v>500</v>
          </cell>
          <cell r="K15">
            <v>25509123</v>
          </cell>
        </row>
        <row r="31">
          <cell r="I31">
            <v>5000</v>
          </cell>
          <cell r="J31">
            <v>0</v>
          </cell>
          <cell r="K31">
            <v>5000</v>
          </cell>
        </row>
        <row r="32">
          <cell r="I32">
            <v>3444755</v>
          </cell>
          <cell r="J32">
            <v>75</v>
          </cell>
          <cell r="K32">
            <v>3444755</v>
          </cell>
        </row>
        <row r="33">
          <cell r="I33">
            <v>3414333</v>
          </cell>
          <cell r="J33">
            <v>75</v>
          </cell>
          <cell r="K33">
            <v>3414333</v>
          </cell>
        </row>
        <row r="34">
          <cell r="I34">
            <v>3575210</v>
          </cell>
          <cell r="J34">
            <v>75</v>
          </cell>
          <cell r="K34">
            <v>3575210</v>
          </cell>
        </row>
        <row r="35">
          <cell r="I35">
            <v>26053354</v>
          </cell>
          <cell r="J35">
            <v>500</v>
          </cell>
          <cell r="K35">
            <v>26053354</v>
          </cell>
        </row>
        <row r="36">
          <cell r="I36">
            <v>25687284</v>
          </cell>
          <cell r="J36">
            <v>500</v>
          </cell>
          <cell r="K36">
            <v>25687284</v>
          </cell>
        </row>
        <row r="37">
          <cell r="I37">
            <v>25538815</v>
          </cell>
          <cell r="J37">
            <v>500</v>
          </cell>
          <cell r="K37">
            <v>25538815</v>
          </cell>
        </row>
        <row r="51">
          <cell r="I51">
            <v>5000</v>
          </cell>
          <cell r="J51">
            <v>0</v>
          </cell>
          <cell r="K51">
            <v>5000</v>
          </cell>
        </row>
        <row r="52">
          <cell r="I52">
            <v>3567536</v>
          </cell>
          <cell r="J52">
            <v>75</v>
          </cell>
          <cell r="K52">
            <v>3567536</v>
          </cell>
        </row>
        <row r="53">
          <cell r="I53">
            <v>3450770</v>
          </cell>
          <cell r="J53">
            <v>75</v>
          </cell>
          <cell r="K53">
            <v>3450770</v>
          </cell>
        </row>
        <row r="54">
          <cell r="I54">
            <v>3500245</v>
          </cell>
          <cell r="J54">
            <v>75</v>
          </cell>
          <cell r="K54">
            <v>3500245</v>
          </cell>
        </row>
        <row r="55">
          <cell r="I55">
            <v>26210277</v>
          </cell>
          <cell r="J55">
            <v>500</v>
          </cell>
          <cell r="K55">
            <v>26210277</v>
          </cell>
        </row>
        <row r="56">
          <cell r="I56">
            <v>25252813</v>
          </cell>
          <cell r="J56">
            <v>500</v>
          </cell>
          <cell r="K56">
            <v>25252813</v>
          </cell>
        </row>
        <row r="57">
          <cell r="I57">
            <v>26128095</v>
          </cell>
          <cell r="J57">
            <v>500</v>
          </cell>
          <cell r="K57">
            <v>26128095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62"/>
  <sheetViews>
    <sheetView topLeftCell="M13" workbookViewId="0">
      <selection sqref="A1:X19"/>
    </sheetView>
  </sheetViews>
  <sheetFormatPr defaultRowHeight="15" x14ac:dyDescent="0.25"/>
  <sheetData>
    <row r="1" spans="2:13" x14ac:dyDescent="0.25">
      <c r="B1" t="s">
        <v>0</v>
      </c>
    </row>
    <row r="9" spans="2:13" x14ac:dyDescent="0.25">
      <c r="I9" s="1">
        <v>5000</v>
      </c>
      <c r="J9">
        <v>0</v>
      </c>
      <c r="K9" s="1">
        <v>5000</v>
      </c>
      <c r="L9">
        <v>5000</v>
      </c>
      <c r="M9" s="2">
        <f>(K9*(2*10^-5)+5.2043)</f>
        <v>5.3042999999999996</v>
      </c>
    </row>
    <row r="10" spans="2:13" x14ac:dyDescent="0.25">
      <c r="I10" s="1">
        <v>3639258</v>
      </c>
      <c r="J10">
        <v>75</v>
      </c>
      <c r="K10" s="1">
        <v>3639258</v>
      </c>
      <c r="L10">
        <f>AVERAGE(K10:K12)</f>
        <v>3522162.6666666665</v>
      </c>
      <c r="M10" s="2">
        <f>(K10*(2*10^-5)+5.2043)</f>
        <v>77.989460000000008</v>
      </c>
    </row>
    <row r="11" spans="2:13" x14ac:dyDescent="0.25">
      <c r="I11" s="1">
        <v>3512065</v>
      </c>
      <c r="J11">
        <v>75</v>
      </c>
      <c r="K11" s="1">
        <v>3512065</v>
      </c>
      <c r="M11" s="2">
        <f>(K11*(2*10^-5)+5.2043)</f>
        <v>75.445600000000013</v>
      </c>
    </row>
    <row r="12" spans="2:13" x14ac:dyDescent="0.25">
      <c r="I12" s="1">
        <v>3415165</v>
      </c>
      <c r="J12">
        <v>75</v>
      </c>
      <c r="K12" s="1">
        <v>3415165</v>
      </c>
      <c r="M12" s="2">
        <f t="shared" ref="M12:M15" si="0">(K12*(2*10^-5)+5.2043)</f>
        <v>73.507600000000011</v>
      </c>
    </row>
    <row r="13" spans="2:13" x14ac:dyDescent="0.25">
      <c r="I13" s="1">
        <v>25550215</v>
      </c>
      <c r="J13">
        <v>500</v>
      </c>
      <c r="K13" s="1">
        <v>25550215</v>
      </c>
      <c r="L13">
        <f>AVERAGE(K13:K15)</f>
        <v>25710536.333333332</v>
      </c>
      <c r="M13" s="2">
        <f t="shared" si="0"/>
        <v>516.20860000000005</v>
      </c>
    </row>
    <row r="14" spans="2:13" x14ac:dyDescent="0.25">
      <c r="I14" s="1">
        <v>26072271</v>
      </c>
      <c r="J14">
        <v>500</v>
      </c>
      <c r="K14" s="1">
        <v>26072271</v>
      </c>
      <c r="M14" s="2">
        <f t="shared" si="0"/>
        <v>526.64972</v>
      </c>
    </row>
    <row r="15" spans="2:13" x14ac:dyDescent="0.25">
      <c r="I15" s="1">
        <v>25509123</v>
      </c>
      <c r="J15">
        <v>500</v>
      </c>
      <c r="K15" s="1">
        <v>25509123</v>
      </c>
      <c r="M15" s="2">
        <f t="shared" si="0"/>
        <v>515.38676000000009</v>
      </c>
    </row>
    <row r="19" spans="2:13" x14ac:dyDescent="0.25">
      <c r="M19" s="2"/>
    </row>
    <row r="20" spans="2:13" x14ac:dyDescent="0.25">
      <c r="E20" s="3"/>
      <c r="K20" s="3"/>
    </row>
    <row r="21" spans="2:13" x14ac:dyDescent="0.25">
      <c r="E21" s="3"/>
      <c r="K21" s="3"/>
    </row>
    <row r="22" spans="2:13" x14ac:dyDescent="0.25">
      <c r="E22" s="3"/>
      <c r="K22" s="3"/>
    </row>
    <row r="23" spans="2:13" x14ac:dyDescent="0.25">
      <c r="B23" t="s">
        <v>1</v>
      </c>
    </row>
    <row r="31" spans="2:13" x14ac:dyDescent="0.25">
      <c r="I31" s="1">
        <v>5000</v>
      </c>
      <c r="J31">
        <v>0</v>
      </c>
      <c r="K31" s="1">
        <v>5000</v>
      </c>
      <c r="L31">
        <v>5000</v>
      </c>
      <c r="M31" s="2">
        <f>(K31*(2*10^-5)+5.9637)</f>
        <v>6.0636999999999999</v>
      </c>
    </row>
    <row r="32" spans="2:13" x14ac:dyDescent="0.25">
      <c r="I32" s="1">
        <v>3444755</v>
      </c>
      <c r="J32">
        <v>75</v>
      </c>
      <c r="K32" s="1">
        <v>3444755</v>
      </c>
      <c r="L32">
        <f>AVERAGE(K32:K34)</f>
        <v>3478099.3333333335</v>
      </c>
      <c r="M32" s="2">
        <f t="shared" ref="M32:M37" si="1">(K32*(2*10^-5)+5.9637)</f>
        <v>74.858800000000002</v>
      </c>
    </row>
    <row r="33" spans="2:13" x14ac:dyDescent="0.25">
      <c r="I33" s="1">
        <v>3414333</v>
      </c>
      <c r="J33">
        <v>75</v>
      </c>
      <c r="K33" s="1">
        <v>3414333</v>
      </c>
      <c r="M33" s="2">
        <f t="shared" si="1"/>
        <v>74.250360000000015</v>
      </c>
    </row>
    <row r="34" spans="2:13" x14ac:dyDescent="0.25">
      <c r="I34" s="1">
        <v>3575210</v>
      </c>
      <c r="J34">
        <v>75</v>
      </c>
      <c r="K34" s="1">
        <v>3575210</v>
      </c>
      <c r="M34" s="2">
        <f t="shared" si="1"/>
        <v>77.467900000000014</v>
      </c>
    </row>
    <row r="35" spans="2:13" x14ac:dyDescent="0.25">
      <c r="I35" s="1">
        <v>26053354</v>
      </c>
      <c r="J35">
        <v>500</v>
      </c>
      <c r="K35" s="1">
        <v>26053354</v>
      </c>
      <c r="L35">
        <f>AVERAGE(K35:K37)</f>
        <v>25759817.666666668</v>
      </c>
      <c r="M35" s="2">
        <f t="shared" si="1"/>
        <v>527.03078000000005</v>
      </c>
    </row>
    <row r="36" spans="2:13" x14ac:dyDescent="0.25">
      <c r="I36" s="1">
        <v>25687284</v>
      </c>
      <c r="J36">
        <v>500</v>
      </c>
      <c r="K36" s="1">
        <v>25687284</v>
      </c>
      <c r="M36" s="2">
        <f t="shared" si="1"/>
        <v>519.70938000000001</v>
      </c>
    </row>
    <row r="37" spans="2:13" x14ac:dyDescent="0.25">
      <c r="I37" s="1">
        <v>25538815</v>
      </c>
      <c r="J37">
        <v>500</v>
      </c>
      <c r="K37" s="1">
        <v>25538815</v>
      </c>
      <c r="M37" s="2">
        <f t="shared" si="1"/>
        <v>516.74</v>
      </c>
    </row>
    <row r="40" spans="2:13" x14ac:dyDescent="0.25">
      <c r="I40" s="4"/>
    </row>
    <row r="41" spans="2:13" x14ac:dyDescent="0.25">
      <c r="I41" s="4"/>
      <c r="M41" s="2"/>
    </row>
    <row r="42" spans="2:13" x14ac:dyDescent="0.25">
      <c r="I42" s="4"/>
      <c r="K42" s="1"/>
    </row>
    <row r="43" spans="2:13" x14ac:dyDescent="0.25">
      <c r="B43" t="s">
        <v>2</v>
      </c>
    </row>
    <row r="51" spans="9:13" x14ac:dyDescent="0.25">
      <c r="I51" s="1">
        <v>5000</v>
      </c>
      <c r="J51">
        <v>0</v>
      </c>
      <c r="K51" s="1">
        <v>5000</v>
      </c>
      <c r="L51">
        <v>5000</v>
      </c>
      <c r="M51" s="2">
        <f>(K51*(2*10^-5)+5.859)</f>
        <v>5.9589999999999996</v>
      </c>
    </row>
    <row r="52" spans="9:13" x14ac:dyDescent="0.25">
      <c r="I52" s="1">
        <v>3567536</v>
      </c>
      <c r="J52">
        <v>75</v>
      </c>
      <c r="K52" s="1">
        <v>3567536</v>
      </c>
      <c r="L52">
        <f>AVERAGE(K52:K54)</f>
        <v>3506183.6666666665</v>
      </c>
      <c r="M52" s="2">
        <f t="shared" ref="M52:M57" si="2">(K52*(2*10^-5)+5.859)</f>
        <v>77.209720000000004</v>
      </c>
    </row>
    <row r="53" spans="9:13" x14ac:dyDescent="0.25">
      <c r="I53" s="1">
        <v>3450770</v>
      </c>
      <c r="J53">
        <v>75</v>
      </c>
      <c r="K53" s="1">
        <v>3450770</v>
      </c>
      <c r="M53" s="2">
        <f t="shared" si="2"/>
        <v>74.874399999999994</v>
      </c>
    </row>
    <row r="54" spans="9:13" x14ac:dyDescent="0.25">
      <c r="I54" s="1">
        <v>3500245</v>
      </c>
      <c r="J54">
        <v>75</v>
      </c>
      <c r="K54" s="1">
        <v>3500245</v>
      </c>
      <c r="M54" s="2">
        <f t="shared" si="2"/>
        <v>75.863900000000001</v>
      </c>
    </row>
    <row r="55" spans="9:13" x14ac:dyDescent="0.25">
      <c r="I55" s="1">
        <v>26210277</v>
      </c>
      <c r="J55">
        <v>500</v>
      </c>
      <c r="K55" s="1">
        <v>26210277</v>
      </c>
      <c r="L55">
        <f>AVERAGE(K55:K57)</f>
        <v>25863728.333333332</v>
      </c>
      <c r="M55" s="2">
        <f t="shared" si="2"/>
        <v>530.06454000000008</v>
      </c>
    </row>
    <row r="56" spans="9:13" x14ac:dyDescent="0.25">
      <c r="I56" s="1">
        <v>25252813</v>
      </c>
      <c r="J56">
        <v>500</v>
      </c>
      <c r="K56" s="1">
        <v>25252813</v>
      </c>
      <c r="M56" s="2">
        <f t="shared" si="2"/>
        <v>510.91526000000005</v>
      </c>
    </row>
    <row r="57" spans="9:13" x14ac:dyDescent="0.25">
      <c r="I57" s="1">
        <v>26128095</v>
      </c>
      <c r="J57">
        <v>500</v>
      </c>
      <c r="K57" s="1">
        <v>26128095</v>
      </c>
      <c r="M57" s="2">
        <f t="shared" si="2"/>
        <v>528.42090000000007</v>
      </c>
    </row>
    <row r="60" spans="9:13" x14ac:dyDescent="0.25">
      <c r="I60" s="5"/>
      <c r="K60" s="1"/>
    </row>
    <row r="61" spans="9:13" x14ac:dyDescent="0.25">
      <c r="I61" s="5"/>
      <c r="K61" s="1"/>
    </row>
    <row r="62" spans="9:13" x14ac:dyDescent="0.25">
      <c r="I62" s="5"/>
      <c r="K6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P121"/>
  <sheetViews>
    <sheetView topLeftCell="B82" workbookViewId="0">
      <selection activeCell="Q92" sqref="Q92"/>
    </sheetView>
  </sheetViews>
  <sheetFormatPr defaultRowHeight="15" x14ac:dyDescent="0.25"/>
  <cols>
    <col min="9" max="9" width="12.42578125" customWidth="1"/>
    <col min="10" max="10" width="12.140625" customWidth="1"/>
    <col min="11" max="11" width="10.28515625" customWidth="1"/>
    <col min="12" max="12" width="14.140625" customWidth="1"/>
    <col min="13" max="13" width="10.42578125" customWidth="1"/>
    <col min="15" max="15" width="11" customWidth="1"/>
  </cols>
  <sheetData>
    <row r="4" spans="3:16" x14ac:dyDescent="0.25">
      <c r="C4" s="6" t="s">
        <v>0</v>
      </c>
    </row>
    <row r="12" spans="3:16" x14ac:dyDescent="0.25">
      <c r="J12" s="1">
        <v>5000</v>
      </c>
      <c r="K12">
        <v>0</v>
      </c>
      <c r="L12" s="1">
        <v>5000</v>
      </c>
      <c r="M12">
        <v>5000</v>
      </c>
      <c r="N12" s="2">
        <f>(L12*(2*10^-5)+6.0307)</f>
        <v>6.1307</v>
      </c>
      <c r="O12" s="7">
        <f>(12.212*(N12^2))+(45158*N12)+5000</f>
        <v>282309.1445121679</v>
      </c>
    </row>
    <row r="13" spans="3:16" x14ac:dyDescent="0.25">
      <c r="J13" s="1">
        <v>3402099</v>
      </c>
      <c r="K13">
        <v>75</v>
      </c>
      <c r="L13" s="1">
        <v>3402099</v>
      </c>
      <c r="M13" s="1">
        <f>AVERAGE(L13:L15)</f>
        <v>3460534.3333333335</v>
      </c>
      <c r="N13" s="2">
        <f>(L13*(2*10^-5)+6.0307)</f>
        <v>74.072680000000005</v>
      </c>
      <c r="O13" s="7">
        <f>(12.212*(N13^2))+(45158*N13)+5000</f>
        <v>3416978.4200361338</v>
      </c>
      <c r="P13" s="7">
        <f>AVERAGE(O13:O15)</f>
        <v>3471910.0778716989</v>
      </c>
    </row>
    <row r="14" spans="3:16" x14ac:dyDescent="0.25">
      <c r="J14" s="1">
        <v>3559440</v>
      </c>
      <c r="K14">
        <v>75</v>
      </c>
      <c r="L14" s="1">
        <v>3559440</v>
      </c>
      <c r="N14" s="2">
        <f t="shared" ref="N14:N18" si="0">(L14*(2*10^-5)+6.0307)</f>
        <v>77.219499999999996</v>
      </c>
      <c r="O14" s="7">
        <f t="shared" ref="O14:O18" si="1">(12.212*(N14^2))+(45158*N14)+5000</f>
        <v>3564896.5196132129</v>
      </c>
    </row>
    <row r="15" spans="3:16" x14ac:dyDescent="0.25">
      <c r="J15" s="1">
        <v>3420064</v>
      </c>
      <c r="K15">
        <v>75</v>
      </c>
      <c r="L15" s="1">
        <v>3420064</v>
      </c>
      <c r="N15" s="2">
        <f t="shared" si="0"/>
        <v>74.431979999999996</v>
      </c>
      <c r="O15" s="7">
        <f t="shared" si="1"/>
        <v>3433855.2939657494</v>
      </c>
    </row>
    <row r="16" spans="3:16" x14ac:dyDescent="0.25">
      <c r="J16" s="1">
        <v>25866725</v>
      </c>
      <c r="K16">
        <v>500</v>
      </c>
      <c r="L16" s="1">
        <v>25866725</v>
      </c>
      <c r="M16" s="1">
        <f>AVERAGE(L16:L18)</f>
        <v>25636884.666666668</v>
      </c>
      <c r="N16" s="2">
        <f t="shared" si="0"/>
        <v>523.36520000000007</v>
      </c>
      <c r="O16" s="7">
        <f t="shared" si="1"/>
        <v>26984128.452557545</v>
      </c>
      <c r="P16" s="7">
        <f>AVERAGE(O16:O18)</f>
        <v>26718572.254325796</v>
      </c>
    </row>
    <row r="17" spans="6:15" x14ac:dyDescent="0.25">
      <c r="J17" s="1">
        <v>25871908</v>
      </c>
      <c r="K17">
        <v>500</v>
      </c>
      <c r="L17" s="1">
        <v>25871908</v>
      </c>
      <c r="N17" s="2">
        <f t="shared" si="0"/>
        <v>523.46886000000006</v>
      </c>
      <c r="O17" s="7">
        <f t="shared" si="1"/>
        <v>26990134.713803016</v>
      </c>
    </row>
    <row r="18" spans="6:15" x14ac:dyDescent="0.25">
      <c r="J18" s="1">
        <v>25172021</v>
      </c>
      <c r="K18">
        <v>500</v>
      </c>
      <c r="L18" s="1">
        <v>25172021</v>
      </c>
      <c r="N18" s="2">
        <f t="shared" si="0"/>
        <v>509.47112000000004</v>
      </c>
      <c r="O18" s="7">
        <f t="shared" si="1"/>
        <v>26181453.596616834</v>
      </c>
    </row>
    <row r="22" spans="6:15" x14ac:dyDescent="0.25">
      <c r="J22" t="s">
        <v>3</v>
      </c>
      <c r="K22" s="2">
        <v>7.45</v>
      </c>
      <c r="L22" s="1">
        <f>(12.212*(K22^2))+(45158*K22)+5000</f>
        <v>342104.89653000003</v>
      </c>
      <c r="N22" s="2"/>
    </row>
    <row r="23" spans="6:15" x14ac:dyDescent="0.25">
      <c r="F23" s="3"/>
      <c r="J23" t="s">
        <v>3</v>
      </c>
      <c r="K23" s="2">
        <v>7.8</v>
      </c>
      <c r="L23" s="1">
        <f t="shared" ref="L23:L41" si="2">(12.212*(K23^2))+(45158*K23)+5000</f>
        <v>357975.37807999994</v>
      </c>
    </row>
    <row r="24" spans="6:15" x14ac:dyDescent="0.25">
      <c r="F24" s="3"/>
      <c r="J24" t="s">
        <v>3</v>
      </c>
      <c r="K24" s="2">
        <v>7.22</v>
      </c>
      <c r="L24" s="1">
        <f t="shared" si="2"/>
        <v>331677.3520208</v>
      </c>
    </row>
    <row r="25" spans="6:15" x14ac:dyDescent="0.25">
      <c r="J25" t="s">
        <v>3</v>
      </c>
      <c r="K25" s="2">
        <v>5.74</v>
      </c>
      <c r="L25" s="1">
        <f t="shared" si="2"/>
        <v>264609.27609120001</v>
      </c>
    </row>
    <row r="26" spans="6:15" x14ac:dyDescent="0.25">
      <c r="J26" t="s">
        <v>3</v>
      </c>
      <c r="K26" s="2">
        <v>6.89</v>
      </c>
      <c r="L26" s="1">
        <f t="shared" si="2"/>
        <v>316718.34928520001</v>
      </c>
    </row>
    <row r="27" spans="6:15" x14ac:dyDescent="0.25">
      <c r="J27" t="s">
        <v>3</v>
      </c>
      <c r="K27" s="2">
        <v>5.51</v>
      </c>
      <c r="L27" s="1">
        <f t="shared" si="2"/>
        <v>254191.33754119999</v>
      </c>
    </row>
    <row r="28" spans="6:15" x14ac:dyDescent="0.25">
      <c r="J28" t="s">
        <v>3</v>
      </c>
      <c r="K28" s="2">
        <v>5.7</v>
      </c>
      <c r="L28" s="1">
        <f t="shared" si="2"/>
        <v>262797.36788000003</v>
      </c>
    </row>
    <row r="29" spans="6:15" x14ac:dyDescent="0.25">
      <c r="J29" t="s">
        <v>3</v>
      </c>
      <c r="K29" s="2">
        <v>5.56</v>
      </c>
      <c r="L29" s="1">
        <f t="shared" si="2"/>
        <v>256455.99688319999</v>
      </c>
    </row>
    <row r="30" spans="6:15" x14ac:dyDescent="0.25">
      <c r="J30" t="s">
        <v>3</v>
      </c>
      <c r="K30" s="2">
        <v>6.45</v>
      </c>
      <c r="L30" s="1">
        <f t="shared" si="2"/>
        <v>296777.14973000006</v>
      </c>
    </row>
    <row r="31" spans="6:15" x14ac:dyDescent="0.25">
      <c r="J31" t="s">
        <v>3</v>
      </c>
      <c r="K31" s="2">
        <v>6.52</v>
      </c>
      <c r="L31" s="1">
        <f t="shared" si="2"/>
        <v>299949.2970048</v>
      </c>
    </row>
    <row r="32" spans="6:15" x14ac:dyDescent="0.25">
      <c r="L32" s="1"/>
    </row>
    <row r="33" spans="3:12" x14ac:dyDescent="0.25">
      <c r="J33" t="s">
        <v>4</v>
      </c>
      <c r="K33">
        <v>139.21</v>
      </c>
      <c r="L33" s="1">
        <f t="shared" si="2"/>
        <v>6528106.7071092008</v>
      </c>
    </row>
    <row r="34" spans="3:12" x14ac:dyDescent="0.25">
      <c r="J34" t="s">
        <v>5</v>
      </c>
      <c r="K34">
        <v>245.8</v>
      </c>
      <c r="L34" s="1">
        <f t="shared" si="2"/>
        <v>11842656.61968</v>
      </c>
    </row>
    <row r="35" spans="3:12" x14ac:dyDescent="0.25">
      <c r="J35" t="s">
        <v>6</v>
      </c>
      <c r="K35">
        <v>433.42</v>
      </c>
      <c r="L35" s="1">
        <f t="shared" si="2"/>
        <v>21871439.9308368</v>
      </c>
    </row>
    <row r="36" spans="3:12" x14ac:dyDescent="0.25">
      <c r="J36" t="s">
        <v>7</v>
      </c>
      <c r="K36">
        <v>110.23</v>
      </c>
      <c r="L36" s="1">
        <f t="shared" si="2"/>
        <v>5131150.1132148001</v>
      </c>
    </row>
    <row r="37" spans="3:12" x14ac:dyDescent="0.25">
      <c r="J37" t="s">
        <v>8</v>
      </c>
      <c r="K37">
        <v>153.4</v>
      </c>
      <c r="L37" s="1">
        <f t="shared" si="2"/>
        <v>7219604.6107200002</v>
      </c>
    </row>
    <row r="38" spans="3:12" x14ac:dyDescent="0.25">
      <c r="J38" t="s">
        <v>9</v>
      </c>
      <c r="K38">
        <v>166.51</v>
      </c>
      <c r="L38" s="1">
        <f t="shared" si="2"/>
        <v>7862843.3641811991</v>
      </c>
    </row>
    <row r="39" spans="3:12" x14ac:dyDescent="0.25">
      <c r="J39" t="s">
        <v>10</v>
      </c>
      <c r="K39">
        <v>273.92</v>
      </c>
      <c r="L39" s="1">
        <f t="shared" si="2"/>
        <v>13290972.176076801</v>
      </c>
    </row>
    <row r="40" spans="3:12" x14ac:dyDescent="0.25">
      <c r="J40" t="s">
        <v>11</v>
      </c>
      <c r="K40">
        <v>436.76</v>
      </c>
      <c r="L40" s="1">
        <f t="shared" si="2"/>
        <v>22057760.6222912</v>
      </c>
    </row>
    <row r="41" spans="3:12" x14ac:dyDescent="0.25">
      <c r="J41" t="s">
        <v>12</v>
      </c>
      <c r="K41">
        <v>186.54</v>
      </c>
      <c r="L41" s="1">
        <f t="shared" si="2"/>
        <v>8853716.3795791995</v>
      </c>
    </row>
    <row r="45" spans="3:12" x14ac:dyDescent="0.25">
      <c r="C45" t="s">
        <v>1</v>
      </c>
    </row>
    <row r="53" spans="10:16" x14ac:dyDescent="0.25">
      <c r="J53" s="1">
        <v>5000</v>
      </c>
      <c r="K53">
        <v>0</v>
      </c>
      <c r="L53" s="1">
        <v>5000</v>
      </c>
      <c r="M53">
        <v>5000</v>
      </c>
      <c r="N53" s="2">
        <f>(L53*(2*10^-5)+5.0283)</f>
        <v>5.1282999999999994</v>
      </c>
      <c r="O53" s="7">
        <f>(8.3627*(N53^2))+(47023*N53)+5000</f>
        <v>246367.98540158477</v>
      </c>
    </row>
    <row r="54" spans="10:16" x14ac:dyDescent="0.25">
      <c r="J54" s="1">
        <v>3623827</v>
      </c>
      <c r="K54">
        <v>75</v>
      </c>
      <c r="L54" s="1">
        <v>3623827</v>
      </c>
      <c r="M54">
        <f>AVERAGE(L54:L56)</f>
        <v>3578728</v>
      </c>
      <c r="N54" s="2">
        <f>(L54*(2*10^-5)+5.0283)</f>
        <v>77.504840000000002</v>
      </c>
      <c r="O54" s="7">
        <f t="shared" ref="O54:O59" si="3">(8.3627*(N54^2))+(47023*N54)+5000</f>
        <v>3699744.8320884416</v>
      </c>
      <c r="P54" s="7">
        <f>AVERAGE(O54:O56)</f>
        <v>3656175.5344268675</v>
      </c>
    </row>
    <row r="55" spans="10:16" x14ac:dyDescent="0.25">
      <c r="J55" s="1">
        <v>3596013</v>
      </c>
      <c r="K55">
        <v>75</v>
      </c>
      <c r="L55" s="1">
        <v>3596013</v>
      </c>
      <c r="N55" s="2">
        <f t="shared" ref="N55:N59" si="4">(L55*(2*10^-5)+5.0283)</f>
        <v>76.948560000000001</v>
      </c>
      <c r="O55" s="7">
        <f t="shared" si="3"/>
        <v>3672868.3600059678</v>
      </c>
    </row>
    <row r="56" spans="10:16" x14ac:dyDescent="0.25">
      <c r="J56" s="1">
        <v>3516344</v>
      </c>
      <c r="K56">
        <v>75</v>
      </c>
      <c r="L56" s="1">
        <v>3516344</v>
      </c>
      <c r="N56" s="2">
        <f t="shared" si="4"/>
        <v>75.355180000000004</v>
      </c>
      <c r="O56" s="7">
        <f t="shared" si="3"/>
        <v>3595913.4111861917</v>
      </c>
    </row>
    <row r="57" spans="10:16" x14ac:dyDescent="0.25">
      <c r="J57" s="1">
        <v>25492991</v>
      </c>
      <c r="K57">
        <v>500</v>
      </c>
      <c r="L57" s="1">
        <v>25492991</v>
      </c>
      <c r="M57">
        <f>AVERAGE(L57:L59)</f>
        <v>25606922.666666668</v>
      </c>
      <c r="N57" s="2">
        <f t="shared" si="4"/>
        <v>514.88811999999996</v>
      </c>
      <c r="O57" s="7">
        <f t="shared" si="3"/>
        <v>26433617.591494761</v>
      </c>
      <c r="P57" s="7">
        <f>AVERAGE(O57:O59)</f>
        <v>26560476.80128108</v>
      </c>
    </row>
    <row r="58" spans="10:16" x14ac:dyDescent="0.25">
      <c r="J58" s="1">
        <v>25562388</v>
      </c>
      <c r="K58">
        <v>500</v>
      </c>
      <c r="L58" s="1">
        <v>25562388</v>
      </c>
      <c r="N58" s="2">
        <f>(L58*(2*10^-5)+5.0283)</f>
        <v>516.27606000000003</v>
      </c>
      <c r="O58" s="7">
        <f t="shared" si="3"/>
        <v>26510851.340278823</v>
      </c>
    </row>
    <row r="59" spans="10:16" x14ac:dyDescent="0.25">
      <c r="J59" s="1">
        <v>26765389</v>
      </c>
      <c r="K59">
        <v>500</v>
      </c>
      <c r="L59" s="1">
        <v>25765389</v>
      </c>
      <c r="N59" s="2">
        <f t="shared" si="4"/>
        <v>520.33608000000004</v>
      </c>
      <c r="O59" s="7">
        <f t="shared" si="3"/>
        <v>26736961.472069651</v>
      </c>
    </row>
    <row r="60" spans="10:16" x14ac:dyDescent="0.25">
      <c r="L60" s="1"/>
    </row>
    <row r="61" spans="10:16" x14ac:dyDescent="0.25">
      <c r="L61" s="1"/>
    </row>
    <row r="62" spans="10:16" x14ac:dyDescent="0.25">
      <c r="J62" t="s">
        <v>3</v>
      </c>
      <c r="K62" s="2">
        <v>5.88</v>
      </c>
      <c r="L62" s="1">
        <f>(8.3627*(K62^2))+(47023*K62)+5000</f>
        <v>281784.37533487997</v>
      </c>
    </row>
    <row r="63" spans="10:16" x14ac:dyDescent="0.25">
      <c r="J63" t="s">
        <v>3</v>
      </c>
      <c r="K63" s="2">
        <v>5.71</v>
      </c>
      <c r="L63" s="1">
        <f t="shared" ref="L63:L81" si="5">(8.3627*(K63^2))+(47023*K63)+5000</f>
        <v>273773.98830707005</v>
      </c>
    </row>
    <row r="64" spans="10:16" x14ac:dyDescent="0.25">
      <c r="J64" t="s">
        <v>3</v>
      </c>
      <c r="K64" s="2">
        <v>7.9</v>
      </c>
      <c r="L64" s="1">
        <f t="shared" si="5"/>
        <v>377003.61610700004</v>
      </c>
    </row>
    <row r="65" spans="10:12" x14ac:dyDescent="0.25">
      <c r="J65" t="s">
        <v>3</v>
      </c>
      <c r="K65" s="2">
        <v>6.19</v>
      </c>
      <c r="L65" s="1">
        <f t="shared" si="5"/>
        <v>296392.79604947002</v>
      </c>
    </row>
    <row r="66" spans="10:12" x14ac:dyDescent="0.25">
      <c r="J66" t="s">
        <v>3</v>
      </c>
      <c r="K66" s="2">
        <v>7.02</v>
      </c>
      <c r="L66" s="1">
        <f t="shared" si="5"/>
        <v>335513.57720107998</v>
      </c>
    </row>
    <row r="67" spans="10:12" x14ac:dyDescent="0.25">
      <c r="J67" t="s">
        <v>3</v>
      </c>
      <c r="K67" s="2">
        <v>7.5</v>
      </c>
      <c r="L67" s="1">
        <f t="shared" si="5"/>
        <v>358142.90187499998</v>
      </c>
    </row>
    <row r="68" spans="10:12" x14ac:dyDescent="0.25">
      <c r="J68" t="s">
        <v>3</v>
      </c>
      <c r="K68" s="2">
        <v>5.82</v>
      </c>
      <c r="L68" s="1">
        <f t="shared" si="5"/>
        <v>278957.12471947999</v>
      </c>
    </row>
    <row r="69" spans="10:12" x14ac:dyDescent="0.25">
      <c r="J69" t="s">
        <v>3</v>
      </c>
      <c r="K69" s="2">
        <v>6.37</v>
      </c>
      <c r="L69" s="1">
        <f t="shared" si="5"/>
        <v>304875.84244163003</v>
      </c>
    </row>
    <row r="70" spans="10:12" x14ac:dyDescent="0.25">
      <c r="J70" t="s">
        <v>3</v>
      </c>
      <c r="K70" s="2">
        <v>6.67</v>
      </c>
      <c r="L70" s="1">
        <f t="shared" si="5"/>
        <v>319015.45732402999</v>
      </c>
    </row>
    <row r="71" spans="10:12" x14ac:dyDescent="0.25">
      <c r="J71" t="s">
        <v>3</v>
      </c>
      <c r="K71" s="2">
        <v>7.34</v>
      </c>
      <c r="L71" s="1">
        <f t="shared" si="5"/>
        <v>350599.36548012</v>
      </c>
    </row>
    <row r="72" spans="10:12" x14ac:dyDescent="0.25">
      <c r="K72" s="2"/>
      <c r="L72" s="1"/>
    </row>
    <row r="73" spans="10:12" x14ac:dyDescent="0.25">
      <c r="J73" t="s">
        <v>4</v>
      </c>
      <c r="K73" s="2">
        <v>135.54</v>
      </c>
      <c r="L73" s="1">
        <f t="shared" si="5"/>
        <v>6532129.3477233201</v>
      </c>
    </row>
    <row r="74" spans="10:12" x14ac:dyDescent="0.25">
      <c r="J74" t="s">
        <v>5</v>
      </c>
      <c r="K74" s="2">
        <v>239.54</v>
      </c>
      <c r="L74" s="1">
        <f t="shared" si="5"/>
        <v>11748736.22538732</v>
      </c>
    </row>
    <row r="75" spans="10:12" x14ac:dyDescent="0.25">
      <c r="J75" t="s">
        <v>6</v>
      </c>
      <c r="K75" s="2">
        <v>425.11</v>
      </c>
      <c r="L75" s="1">
        <f t="shared" si="5"/>
        <v>21506242.231138673</v>
      </c>
    </row>
    <row r="76" spans="10:12" x14ac:dyDescent="0.25">
      <c r="J76" t="s">
        <v>7</v>
      </c>
      <c r="K76" s="2">
        <v>109.57</v>
      </c>
      <c r="L76" s="1">
        <f t="shared" si="5"/>
        <v>5257709.2148432294</v>
      </c>
    </row>
    <row r="77" spans="10:12" x14ac:dyDescent="0.25">
      <c r="J77" t="s">
        <v>8</v>
      </c>
      <c r="K77" s="2">
        <v>146.80000000000001</v>
      </c>
      <c r="L77" s="1">
        <f t="shared" si="5"/>
        <v>7088194.5920480005</v>
      </c>
    </row>
    <row r="78" spans="10:12" x14ac:dyDescent="0.25">
      <c r="J78" t="s">
        <v>9</v>
      </c>
      <c r="K78" s="2">
        <v>161.01</v>
      </c>
      <c r="L78" s="1">
        <f t="shared" si="5"/>
        <v>7792969.7054302692</v>
      </c>
    </row>
    <row r="79" spans="10:12" x14ac:dyDescent="0.25">
      <c r="J79" t="s">
        <v>10</v>
      </c>
      <c r="K79" s="2">
        <v>267.95</v>
      </c>
      <c r="L79" s="1">
        <f t="shared" si="5"/>
        <v>13205231.315346749</v>
      </c>
    </row>
    <row r="80" spans="10:12" x14ac:dyDescent="0.25">
      <c r="J80" t="s">
        <v>11</v>
      </c>
      <c r="K80" s="2">
        <v>458</v>
      </c>
      <c r="L80" s="1">
        <f t="shared" si="5"/>
        <v>23295727.402800001</v>
      </c>
    </row>
    <row r="81" spans="2:15" x14ac:dyDescent="0.25">
      <c r="J81" t="s">
        <v>12</v>
      </c>
      <c r="K81" s="2">
        <v>348.31</v>
      </c>
      <c r="L81" s="1">
        <f t="shared" si="5"/>
        <v>17398142.69060747</v>
      </c>
    </row>
    <row r="83" spans="2:15" s="65" customFormat="1" ht="18.75" x14ac:dyDescent="0.3">
      <c r="B83" s="66" t="s">
        <v>2</v>
      </c>
    </row>
    <row r="91" spans="2:15" x14ac:dyDescent="0.25">
      <c r="I91" s="1">
        <v>5000</v>
      </c>
      <c r="J91">
        <v>0</v>
      </c>
      <c r="K91" s="1">
        <v>5000</v>
      </c>
      <c r="L91">
        <v>5000</v>
      </c>
      <c r="M91" s="2">
        <f>(K91*(2*10^-5)+5.7956)</f>
        <v>5.8956</v>
      </c>
      <c r="N91">
        <f>(11.733*(M91^2))+(46449*M91)+5000</f>
        <v>279252.54117979086</v>
      </c>
    </row>
    <row r="92" spans="2:15" x14ac:dyDescent="0.25">
      <c r="I92" s="1">
        <v>3553390</v>
      </c>
      <c r="J92">
        <v>75</v>
      </c>
      <c r="K92" s="1">
        <v>3553390</v>
      </c>
      <c r="L92" s="1">
        <f>AVERAGE(K92:K94)</f>
        <v>3554684.3333333335</v>
      </c>
      <c r="M92" s="2">
        <f t="shared" ref="M92:M97" si="6">(K92*(2*10^-5)+5.7956)</f>
        <v>76.863400000000013</v>
      </c>
      <c r="N92">
        <f t="shared" ref="N92:N97" si="7">(11.733*(M92^2))+(46449*M92)+5000</f>
        <v>3644546.4224514179</v>
      </c>
      <c r="O92" s="7">
        <f>AVERAGE(N92:N94)</f>
        <v>3645856.4246112225</v>
      </c>
    </row>
    <row r="93" spans="2:15" x14ac:dyDescent="0.25">
      <c r="I93" s="1">
        <v>3694834</v>
      </c>
      <c r="J93">
        <v>75</v>
      </c>
      <c r="K93" s="1">
        <v>3694834</v>
      </c>
      <c r="M93" s="2">
        <f t="shared" si="6"/>
        <v>79.692280000000011</v>
      </c>
      <c r="N93">
        <f t="shared" si="7"/>
        <v>3781141.3481349242</v>
      </c>
    </row>
    <row r="94" spans="2:15" x14ac:dyDescent="0.25">
      <c r="I94" s="1">
        <v>3415829</v>
      </c>
      <c r="J94">
        <v>75</v>
      </c>
      <c r="K94" s="1">
        <v>3415829</v>
      </c>
      <c r="M94" s="2">
        <f t="shared" si="6"/>
        <v>74.112179999999995</v>
      </c>
      <c r="N94">
        <f t="shared" si="7"/>
        <v>3511881.5032473262</v>
      </c>
    </row>
    <row r="95" spans="2:15" x14ac:dyDescent="0.25">
      <c r="I95" s="1">
        <v>25508283</v>
      </c>
      <c r="J95">
        <v>500</v>
      </c>
      <c r="K95" s="1">
        <v>25508283</v>
      </c>
      <c r="L95" s="1">
        <f>AVERAGE(K95:K97)</f>
        <v>26162798.666666668</v>
      </c>
      <c r="M95" s="2">
        <f t="shared" si="6"/>
        <v>515.96126000000004</v>
      </c>
      <c r="N95">
        <f t="shared" si="7"/>
        <v>27094397.149763301</v>
      </c>
      <c r="O95" s="7">
        <f>AVERAGE(N95:N97)</f>
        <v>27864133.982184853</v>
      </c>
    </row>
    <row r="96" spans="2:15" x14ac:dyDescent="0.25">
      <c r="I96" s="1">
        <v>26238813</v>
      </c>
      <c r="J96">
        <v>500</v>
      </c>
      <c r="K96" s="1">
        <v>26238813</v>
      </c>
      <c r="M96" s="2">
        <f t="shared" si="6"/>
        <v>530.57186000000013</v>
      </c>
      <c r="N96">
        <f t="shared" si="7"/>
        <v>27952448.073493753</v>
      </c>
    </row>
    <row r="97" spans="9:14" x14ac:dyDescent="0.25">
      <c r="I97" s="1">
        <v>26741300</v>
      </c>
      <c r="J97">
        <v>500</v>
      </c>
      <c r="K97" s="1">
        <v>26741300</v>
      </c>
      <c r="M97" s="2">
        <f t="shared" si="6"/>
        <v>540.62160000000006</v>
      </c>
      <c r="N97">
        <f t="shared" si="7"/>
        <v>28545556.72329751</v>
      </c>
    </row>
    <row r="98" spans="9:14" x14ac:dyDescent="0.25">
      <c r="K98" s="1"/>
    </row>
    <row r="99" spans="9:14" x14ac:dyDescent="0.25">
      <c r="K99" s="1"/>
    </row>
    <row r="100" spans="9:14" x14ac:dyDescent="0.25">
      <c r="K100" s="1"/>
    </row>
    <row r="101" spans="9:14" x14ac:dyDescent="0.25">
      <c r="K101" s="1"/>
    </row>
    <row r="102" spans="9:14" x14ac:dyDescent="0.25">
      <c r="I102" t="s">
        <v>3</v>
      </c>
      <c r="J102" s="2">
        <v>6.75</v>
      </c>
      <c r="K102" s="1">
        <f>(11.733*(J102^2))+(46449*J102)+5000</f>
        <v>319065.33481249999</v>
      </c>
    </row>
    <row r="103" spans="9:14" x14ac:dyDescent="0.25">
      <c r="I103" t="s">
        <v>3</v>
      </c>
      <c r="J103" s="2">
        <v>6.88</v>
      </c>
      <c r="K103" s="1">
        <f t="shared" ref="K103:K121" si="8">(11.733*(J103^2))+(46449*J103)+5000</f>
        <v>325124.49451519997</v>
      </c>
    </row>
    <row r="104" spans="9:14" x14ac:dyDescent="0.25">
      <c r="I104" t="s">
        <v>3</v>
      </c>
      <c r="J104" s="2">
        <v>5.62</v>
      </c>
      <c r="K104" s="1">
        <f t="shared" si="8"/>
        <v>266413.95976520004</v>
      </c>
    </row>
    <row r="105" spans="9:14" x14ac:dyDescent="0.25">
      <c r="I105" t="s">
        <v>3</v>
      </c>
      <c r="J105" s="2">
        <v>5.83</v>
      </c>
      <c r="K105" s="1">
        <f t="shared" si="8"/>
        <v>276196.4617637</v>
      </c>
    </row>
    <row r="106" spans="9:14" x14ac:dyDescent="0.25">
      <c r="I106" t="s">
        <v>3</v>
      </c>
      <c r="J106" s="2">
        <v>7.96</v>
      </c>
      <c r="K106" s="1">
        <f t="shared" si="8"/>
        <v>375477.46165279998</v>
      </c>
    </row>
    <row r="107" spans="9:14" x14ac:dyDescent="0.25">
      <c r="I107" t="s">
        <v>3</v>
      </c>
      <c r="J107" s="2">
        <v>7.68</v>
      </c>
      <c r="K107" s="1">
        <f t="shared" si="8"/>
        <v>362420.3604992</v>
      </c>
    </row>
    <row r="108" spans="9:14" x14ac:dyDescent="0.25">
      <c r="I108" t="s">
        <v>3</v>
      </c>
      <c r="J108" s="2">
        <v>6.95</v>
      </c>
      <c r="K108" s="1">
        <f t="shared" si="8"/>
        <v>328387.28323249996</v>
      </c>
    </row>
    <row r="109" spans="9:14" x14ac:dyDescent="0.25">
      <c r="I109" t="s">
        <v>3</v>
      </c>
      <c r="J109" s="2">
        <v>7.43</v>
      </c>
      <c r="K109" s="1">
        <f t="shared" si="8"/>
        <v>350763.78909169999</v>
      </c>
    </row>
    <row r="110" spans="9:14" x14ac:dyDescent="0.25">
      <c r="I110" t="s">
        <v>3</v>
      </c>
      <c r="J110" s="2">
        <v>7.75</v>
      </c>
      <c r="K110" s="1">
        <f t="shared" si="8"/>
        <v>365684.46331249998</v>
      </c>
    </row>
    <row r="111" spans="9:14" x14ac:dyDescent="0.25">
      <c r="I111" t="s">
        <v>3</v>
      </c>
      <c r="J111" s="2">
        <v>6.7</v>
      </c>
      <c r="K111" s="1">
        <f t="shared" si="8"/>
        <v>316734.99436999997</v>
      </c>
    </row>
    <row r="112" spans="9:14" x14ac:dyDescent="0.25">
      <c r="K112" s="1"/>
    </row>
    <row r="113" spans="9:11" x14ac:dyDescent="0.25">
      <c r="I113" t="s">
        <v>4</v>
      </c>
      <c r="J113" s="2">
        <v>140.52000000000001</v>
      </c>
      <c r="K113" s="1">
        <f t="shared" si="8"/>
        <v>6763691.7774032</v>
      </c>
    </row>
    <row r="114" spans="9:11" x14ac:dyDescent="0.25">
      <c r="I114" t="s">
        <v>5</v>
      </c>
      <c r="J114" s="2">
        <v>238.64</v>
      </c>
      <c r="K114" s="1">
        <f t="shared" si="8"/>
        <v>11757772.5589568</v>
      </c>
    </row>
    <row r="115" spans="9:11" x14ac:dyDescent="0.25">
      <c r="I115" t="s">
        <v>6</v>
      </c>
      <c r="J115" s="2">
        <v>435.85</v>
      </c>
      <c r="K115" s="1">
        <f t="shared" si="8"/>
        <v>22478658.605592504</v>
      </c>
    </row>
    <row r="116" spans="9:11" x14ac:dyDescent="0.25">
      <c r="I116" t="s">
        <v>7</v>
      </c>
      <c r="J116" s="2">
        <v>105.34</v>
      </c>
      <c r="K116" s="1">
        <f t="shared" si="8"/>
        <v>5028133.0775348004</v>
      </c>
    </row>
    <row r="117" spans="9:11" x14ac:dyDescent="0.25">
      <c r="I117" t="s">
        <v>8</v>
      </c>
      <c r="J117">
        <v>153.84</v>
      </c>
      <c r="K117" s="1">
        <f t="shared" si="8"/>
        <v>7428396.0861248001</v>
      </c>
    </row>
    <row r="118" spans="9:11" x14ac:dyDescent="0.25">
      <c r="I118" t="s">
        <v>9</v>
      </c>
      <c r="J118" s="2">
        <v>162.47999999999999</v>
      </c>
      <c r="K118" s="1">
        <f t="shared" si="8"/>
        <v>7861781.7914431999</v>
      </c>
    </row>
    <row r="119" spans="9:11" x14ac:dyDescent="0.25">
      <c r="I119" t="s">
        <v>10</v>
      </c>
      <c r="J119" s="2">
        <v>276.52</v>
      </c>
      <c r="K119" s="1">
        <f t="shared" si="8"/>
        <v>13746221.500923198</v>
      </c>
    </row>
    <row r="120" spans="9:11" x14ac:dyDescent="0.25">
      <c r="I120" t="s">
        <v>11</v>
      </c>
      <c r="J120" s="2">
        <v>195.46</v>
      </c>
      <c r="K120" s="1">
        <f t="shared" si="8"/>
        <v>9532176.2479028013</v>
      </c>
    </row>
    <row r="121" spans="9:11" x14ac:dyDescent="0.25">
      <c r="I121" t="s">
        <v>12</v>
      </c>
      <c r="J121" s="2">
        <v>350.27</v>
      </c>
      <c r="K121" s="1">
        <f t="shared" si="8"/>
        <v>17714202.122335698</v>
      </c>
    </row>
  </sheetData>
  <phoneticPr fontId="5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T164"/>
  <sheetViews>
    <sheetView topLeftCell="B57" workbookViewId="0">
      <selection activeCell="J61" sqref="J61"/>
    </sheetView>
  </sheetViews>
  <sheetFormatPr defaultRowHeight="15" x14ac:dyDescent="0.25"/>
  <cols>
    <col min="9" max="9" width="12.42578125" customWidth="1"/>
    <col min="11" max="11" width="12" customWidth="1"/>
    <col min="12" max="12" width="10.140625" customWidth="1"/>
    <col min="14" max="14" width="11.140625" customWidth="1"/>
    <col min="15" max="15" width="10.42578125" customWidth="1"/>
  </cols>
  <sheetData>
    <row r="3" spans="2:15" x14ac:dyDescent="0.25">
      <c r="B3" t="s">
        <v>0</v>
      </c>
    </row>
    <row r="8" spans="2:15" s="41" customFormat="1" x14ac:dyDescent="0.25"/>
    <row r="11" spans="2:15" x14ac:dyDescent="0.25">
      <c r="I11" s="1">
        <v>5000</v>
      </c>
      <c r="J11">
        <v>0</v>
      </c>
      <c r="K11" s="1">
        <v>5000</v>
      </c>
      <c r="L11">
        <v>5000</v>
      </c>
      <c r="M11" s="2">
        <f>(K11*(2*10^-5)+5.9086)</f>
        <v>6.0085999999999995</v>
      </c>
      <c r="N11" s="7">
        <f>(12.101*(M11^2))+(46676*M11)+5000</f>
        <v>285894.29931818991</v>
      </c>
    </row>
    <row r="12" spans="2:15" x14ac:dyDescent="0.25">
      <c r="I12" s="1">
        <v>3410237</v>
      </c>
      <c r="J12">
        <v>75</v>
      </c>
      <c r="K12" s="1">
        <v>3510237</v>
      </c>
      <c r="L12" s="1">
        <f>AVERAGE(K12:K14)</f>
        <v>3573755.3333333335</v>
      </c>
      <c r="M12" s="2">
        <f t="shared" ref="M12:M17" si="0">(K12*(2*10^-5)+5.9086)</f>
        <v>76.113339999999994</v>
      </c>
      <c r="N12" s="7">
        <f t="shared" ref="N12:N17" si="1">(12.101*(M12^2))+(46676*M12)+5000</f>
        <v>3627770.2614445882</v>
      </c>
      <c r="O12" s="7">
        <f>AVERAGE(N12:N14)</f>
        <v>3689448.6579822055</v>
      </c>
    </row>
    <row r="13" spans="2:15" x14ac:dyDescent="0.25">
      <c r="I13" s="1">
        <v>3541237</v>
      </c>
      <c r="J13">
        <v>75</v>
      </c>
      <c r="K13" s="1">
        <v>3541237</v>
      </c>
      <c r="M13" s="2">
        <f t="shared" si="0"/>
        <v>76.733339999999998</v>
      </c>
      <c r="N13" s="7">
        <f t="shared" si="1"/>
        <v>3657856.1320028901</v>
      </c>
    </row>
    <row r="14" spans="2:15" x14ac:dyDescent="0.25">
      <c r="I14" s="1">
        <v>3669792</v>
      </c>
      <c r="J14">
        <v>75</v>
      </c>
      <c r="K14" s="1">
        <v>3669792</v>
      </c>
      <c r="M14" s="2">
        <f t="shared" si="0"/>
        <v>79.30444</v>
      </c>
      <c r="N14" s="7">
        <f t="shared" si="1"/>
        <v>3782719.5804991382</v>
      </c>
    </row>
    <row r="15" spans="2:15" x14ac:dyDescent="0.25">
      <c r="I15" s="1">
        <v>25282219</v>
      </c>
      <c r="J15">
        <v>500</v>
      </c>
      <c r="K15" s="1">
        <v>26282219</v>
      </c>
      <c r="L15" s="1">
        <f>AVERAGE(K15:K17)</f>
        <v>26368210.666666668</v>
      </c>
      <c r="M15" s="2">
        <f>(K15*(2*10^-5)+5.9086)</f>
        <v>531.55298000000005</v>
      </c>
      <c r="N15" s="7">
        <f t="shared" si="1"/>
        <v>28234887.146667801</v>
      </c>
      <c r="O15" s="7">
        <f>AVERAGE(N15:N17)</f>
        <v>28338226.125052352</v>
      </c>
    </row>
    <row r="16" spans="2:15" x14ac:dyDescent="0.25">
      <c r="I16" s="1">
        <v>25887424</v>
      </c>
      <c r="J16">
        <v>500</v>
      </c>
      <c r="K16" s="1">
        <v>25887424</v>
      </c>
      <c r="M16" s="2">
        <f t="shared" si="0"/>
        <v>523.65708000000006</v>
      </c>
      <c r="N16" s="7">
        <f t="shared" si="1"/>
        <v>27765514.605770368</v>
      </c>
    </row>
    <row r="17" spans="9:15" x14ac:dyDescent="0.25">
      <c r="I17" s="1">
        <v>26934989</v>
      </c>
      <c r="J17">
        <v>500</v>
      </c>
      <c r="K17" s="1">
        <v>26934989</v>
      </c>
      <c r="M17" s="2">
        <f t="shared" si="0"/>
        <v>544.60838000000001</v>
      </c>
      <c r="N17" s="7">
        <f t="shared" si="1"/>
        <v>29014276.622718886</v>
      </c>
    </row>
    <row r="18" spans="9:15" x14ac:dyDescent="0.25">
      <c r="K18" s="1"/>
    </row>
    <row r="19" spans="9:15" x14ac:dyDescent="0.25">
      <c r="K19" s="1"/>
    </row>
    <row r="20" spans="9:15" x14ac:dyDescent="0.25">
      <c r="I20" t="s">
        <v>60</v>
      </c>
      <c r="J20" s="2">
        <v>8.25</v>
      </c>
      <c r="K20" s="1">
        <f>(12.101*(J20^2))+(46676*J20)+5000</f>
        <v>390900.6243125</v>
      </c>
    </row>
    <row r="21" spans="9:15" x14ac:dyDescent="0.25">
      <c r="I21" t="s">
        <v>61</v>
      </c>
      <c r="J21" s="2">
        <v>5.63</v>
      </c>
      <c r="K21" s="1">
        <f t="shared" ref="K21:K50" si="2">(12.101*(J21^2))+(46676*J21)+5000</f>
        <v>268169.44418689999</v>
      </c>
      <c r="M21" s="2"/>
    </row>
    <row r="22" spans="9:15" x14ac:dyDescent="0.25">
      <c r="I22" t="s">
        <v>62</v>
      </c>
      <c r="J22" s="2">
        <v>6.46</v>
      </c>
      <c r="K22" s="1">
        <f t="shared" si="2"/>
        <v>307031.95409160003</v>
      </c>
    </row>
    <row r="23" spans="9:15" x14ac:dyDescent="0.25">
      <c r="I23" t="s">
        <v>63</v>
      </c>
      <c r="J23" s="2">
        <v>5.0199999999999996</v>
      </c>
      <c r="K23" s="1">
        <f t="shared" si="2"/>
        <v>239618.47004039999</v>
      </c>
    </row>
    <row r="24" spans="9:15" x14ac:dyDescent="0.25">
      <c r="I24" t="s">
        <v>64</v>
      </c>
      <c r="J24" s="2">
        <v>6.61</v>
      </c>
      <c r="K24" s="1">
        <f t="shared" si="2"/>
        <v>314057.0781021</v>
      </c>
    </row>
    <row r="25" spans="9:15" x14ac:dyDescent="0.25">
      <c r="I25" t="s">
        <v>65</v>
      </c>
      <c r="J25" s="2">
        <v>8.42</v>
      </c>
      <c r="K25" s="1">
        <f t="shared" si="2"/>
        <v>398869.8373364</v>
      </c>
    </row>
    <row r="26" spans="9:15" x14ac:dyDescent="0.25">
      <c r="I26" t="s">
        <v>66</v>
      </c>
      <c r="J26" s="2">
        <v>5.35</v>
      </c>
      <c r="K26" s="1">
        <f t="shared" si="2"/>
        <v>255062.96087249997</v>
      </c>
    </row>
    <row r="27" spans="9:15" x14ac:dyDescent="0.25">
      <c r="I27" t="s">
        <v>67</v>
      </c>
      <c r="J27" s="2">
        <v>8.48</v>
      </c>
      <c r="K27" s="1">
        <f t="shared" si="2"/>
        <v>401682.66775040003</v>
      </c>
    </row>
    <row r="28" spans="9:15" x14ac:dyDescent="0.25">
      <c r="I28" t="s">
        <v>68</v>
      </c>
      <c r="J28" s="2">
        <v>6.97</v>
      </c>
      <c r="K28" s="1">
        <f t="shared" si="2"/>
        <v>330919.59747089999</v>
      </c>
      <c r="M28" s="45" t="s">
        <v>55</v>
      </c>
      <c r="N28" s="14">
        <v>179.26</v>
      </c>
      <c r="O28" s="40">
        <f>(12.101*(N28^2))+(46676*N28)+5000</f>
        <v>8760995.0801075995</v>
      </c>
    </row>
    <row r="29" spans="9:15" x14ac:dyDescent="0.25">
      <c r="I29" t="s">
        <v>69</v>
      </c>
      <c r="J29" s="2">
        <v>6.53</v>
      </c>
      <c r="K29" s="1">
        <f t="shared" si="2"/>
        <v>310310.27753090003</v>
      </c>
      <c r="M29" s="45"/>
      <c r="N29" s="14">
        <v>182.84</v>
      </c>
      <c r="O29" s="40">
        <f>(12.101*(N29^2))+(46676*N29)+5000</f>
        <v>8943781.904225599</v>
      </c>
    </row>
    <row r="30" spans="9:15" x14ac:dyDescent="0.25">
      <c r="I30" t="s">
        <v>70</v>
      </c>
      <c r="J30" s="2">
        <v>7.73</v>
      </c>
      <c r="K30" s="1">
        <f t="shared" si="2"/>
        <v>366528.54984290001</v>
      </c>
      <c r="M30" s="45" t="s">
        <v>56</v>
      </c>
      <c r="N30" s="14">
        <v>146.58000000000001</v>
      </c>
      <c r="O30" s="40">
        <f t="shared" ref="O30:O35" si="3">(12.101*(N30^2))+(46676*N30)+5000</f>
        <v>7106766.4921364011</v>
      </c>
    </row>
    <row r="31" spans="9:15" x14ac:dyDescent="0.25">
      <c r="I31" t="s">
        <v>71</v>
      </c>
      <c r="J31" s="2">
        <v>7.48</v>
      </c>
      <c r="K31" s="1">
        <f t="shared" si="2"/>
        <v>354813.53579040006</v>
      </c>
      <c r="M31" s="45"/>
      <c r="N31" s="14">
        <v>147.69</v>
      </c>
      <c r="O31" s="40">
        <f t="shared" si="3"/>
        <v>7162529.5191460997</v>
      </c>
    </row>
    <row r="32" spans="9:15" x14ac:dyDescent="0.25">
      <c r="I32" t="s">
        <v>72</v>
      </c>
      <c r="J32" s="2">
        <v>8.98</v>
      </c>
      <c r="K32" s="1">
        <f t="shared" si="2"/>
        <v>425126.30948040006</v>
      </c>
      <c r="M32" s="45" t="s">
        <v>57</v>
      </c>
      <c r="N32" s="14">
        <v>95.34</v>
      </c>
      <c r="O32" s="40">
        <f t="shared" si="3"/>
        <v>4565084.4884756003</v>
      </c>
    </row>
    <row r="33" spans="9:19" x14ac:dyDescent="0.25">
      <c r="I33" t="s">
        <v>73</v>
      </c>
      <c r="J33" s="2">
        <v>6.79</v>
      </c>
      <c r="K33" s="1">
        <f t="shared" si="2"/>
        <v>322487.94571409997</v>
      </c>
      <c r="M33" s="45"/>
      <c r="N33" s="14">
        <v>93.56</v>
      </c>
      <c r="O33" s="40">
        <f t="shared" si="3"/>
        <v>4477932.3440336008</v>
      </c>
    </row>
    <row r="34" spans="9:19" x14ac:dyDescent="0.25">
      <c r="I34" t="s">
        <v>74</v>
      </c>
      <c r="J34" s="2">
        <v>7.96</v>
      </c>
      <c r="K34" s="1">
        <f t="shared" si="2"/>
        <v>377307.6987216</v>
      </c>
      <c r="M34" s="45" t="s">
        <v>58</v>
      </c>
      <c r="N34" s="14">
        <v>50.96</v>
      </c>
      <c r="O34" s="40">
        <f t="shared" si="3"/>
        <v>2415034.3082816</v>
      </c>
    </row>
    <row r="35" spans="9:19" x14ac:dyDescent="0.25">
      <c r="I35" t="s">
        <v>75</v>
      </c>
      <c r="J35" s="2">
        <v>6.86</v>
      </c>
      <c r="K35" s="1">
        <f t="shared" si="2"/>
        <v>325766.82821959996</v>
      </c>
      <c r="M35" s="45"/>
      <c r="N35" s="14">
        <v>51.26</v>
      </c>
      <c r="O35" s="40">
        <f t="shared" si="3"/>
        <v>2429408.1975475997</v>
      </c>
    </row>
    <row r="36" spans="9:19" x14ac:dyDescent="0.25">
      <c r="I36" t="s">
        <v>76</v>
      </c>
      <c r="J36" s="2">
        <v>7.91</v>
      </c>
      <c r="K36" s="1">
        <f t="shared" si="2"/>
        <v>374964.29657810001</v>
      </c>
    </row>
    <row r="37" spans="9:19" x14ac:dyDescent="0.25">
      <c r="I37" t="s">
        <v>77</v>
      </c>
      <c r="J37" s="2">
        <v>8.41</v>
      </c>
      <c r="K37" s="1">
        <f t="shared" si="2"/>
        <v>398401.04073810001</v>
      </c>
    </row>
    <row r="38" spans="9:19" x14ac:dyDescent="0.25">
      <c r="I38" t="s">
        <v>78</v>
      </c>
      <c r="J38" s="2">
        <v>5.43</v>
      </c>
      <c r="K38" s="1">
        <f t="shared" si="2"/>
        <v>258807.47677489999</v>
      </c>
    </row>
    <row r="39" spans="9:19" x14ac:dyDescent="0.25">
      <c r="I39" t="s">
        <v>79</v>
      </c>
      <c r="J39" s="2">
        <v>5.75</v>
      </c>
      <c r="K39" s="1">
        <f t="shared" si="2"/>
        <v>273787.08931249997</v>
      </c>
      <c r="M39" s="42" t="s">
        <v>4</v>
      </c>
      <c r="N39">
        <v>145.55000000000001</v>
      </c>
      <c r="O39" s="40">
        <f>(12.101*(N39^2))+(46676*N39)+5000</f>
        <v>7055049.0950525012</v>
      </c>
      <c r="Q39" t="s">
        <v>59</v>
      </c>
      <c r="R39">
        <v>6.86</v>
      </c>
      <c r="S39" s="40">
        <f>(12.101*(R39^2))+(46676*R39)+5000</f>
        <v>325766.82821959996</v>
      </c>
    </row>
    <row r="40" spans="9:19" x14ac:dyDescent="0.25">
      <c r="K40" s="1"/>
      <c r="M40" s="42" t="s">
        <v>4</v>
      </c>
      <c r="N40">
        <v>142.53</v>
      </c>
      <c r="O40" s="40">
        <f t="shared" ref="O40:O48" si="4">(12.101*(N40^2))+(46676*N40)+5000</f>
        <v>6903559.6856909003</v>
      </c>
      <c r="Q40" t="s">
        <v>59</v>
      </c>
      <c r="R40">
        <v>6.88</v>
      </c>
      <c r="S40" s="40">
        <f t="shared" ref="S40:S48" si="5">(12.101*(R40^2))+(46676*R40)+5000</f>
        <v>326703.67357440002</v>
      </c>
    </row>
    <row r="41" spans="9:19" x14ac:dyDescent="0.25">
      <c r="I41" t="s">
        <v>14</v>
      </c>
      <c r="J41" s="2">
        <v>135.63</v>
      </c>
      <c r="K41" s="1">
        <f t="shared" si="2"/>
        <v>6558269.7879868997</v>
      </c>
      <c r="M41" s="42" t="s">
        <v>4</v>
      </c>
      <c r="N41">
        <v>135.55000000000001</v>
      </c>
      <c r="O41" s="40">
        <f t="shared" si="4"/>
        <v>6554273.1840525009</v>
      </c>
      <c r="Q41" t="s">
        <v>59</v>
      </c>
      <c r="R41">
        <v>7.01</v>
      </c>
      <c r="S41" s="40">
        <f t="shared" si="5"/>
        <v>332793.40435010003</v>
      </c>
    </row>
    <row r="42" spans="9:19" x14ac:dyDescent="0.25">
      <c r="I42" t="s">
        <v>15</v>
      </c>
      <c r="J42" s="2">
        <v>249.54</v>
      </c>
      <c r="K42" s="1">
        <f t="shared" si="2"/>
        <v>12406060.870571598</v>
      </c>
      <c r="M42" s="42" t="s">
        <v>4</v>
      </c>
      <c r="N42">
        <v>141.16999999999999</v>
      </c>
      <c r="O42" s="40">
        <f t="shared" si="4"/>
        <v>6835411.3726588991</v>
      </c>
      <c r="Q42" t="s">
        <v>59</v>
      </c>
      <c r="R42">
        <v>6.33</v>
      </c>
      <c r="S42" s="40">
        <f t="shared" si="5"/>
        <v>300943.9537589</v>
      </c>
    </row>
    <row r="43" spans="9:19" x14ac:dyDescent="0.25">
      <c r="I43" t="s">
        <v>16</v>
      </c>
      <c r="J43" s="2">
        <v>441</v>
      </c>
      <c r="K43" s="1">
        <f t="shared" si="2"/>
        <v>22942530.581</v>
      </c>
      <c r="M43" s="42" t="s">
        <v>4</v>
      </c>
      <c r="N43">
        <v>144.55000000000001</v>
      </c>
      <c r="O43" s="40">
        <f t="shared" si="4"/>
        <v>7004862.5949525004</v>
      </c>
      <c r="Q43" t="s">
        <v>59</v>
      </c>
      <c r="R43">
        <v>6.27</v>
      </c>
      <c r="S43" s="40">
        <f t="shared" si="5"/>
        <v>298134.24540289998</v>
      </c>
    </row>
    <row r="44" spans="9:19" x14ac:dyDescent="0.25">
      <c r="I44" t="s">
        <v>17</v>
      </c>
      <c r="J44" s="2">
        <v>112.54</v>
      </c>
      <c r="K44" s="1">
        <f t="shared" si="2"/>
        <v>5411179.2496116003</v>
      </c>
      <c r="M44" s="42" t="s">
        <v>4</v>
      </c>
      <c r="N44">
        <v>139.44</v>
      </c>
      <c r="O44" s="40">
        <f t="shared" si="4"/>
        <v>6748787.3980735997</v>
      </c>
      <c r="Q44" t="s">
        <v>59</v>
      </c>
      <c r="R44">
        <v>6.43</v>
      </c>
      <c r="S44" s="40">
        <f t="shared" si="5"/>
        <v>305626.99463490001</v>
      </c>
    </row>
    <row r="45" spans="9:19" x14ac:dyDescent="0.25">
      <c r="I45" t="s">
        <v>18</v>
      </c>
      <c r="J45" s="2">
        <v>159.47</v>
      </c>
      <c r="K45" s="1">
        <f t="shared" si="2"/>
        <v>7756158.3895708993</v>
      </c>
      <c r="M45" s="42" t="s">
        <v>4</v>
      </c>
      <c r="N45">
        <v>142.47999999999999</v>
      </c>
      <c r="O45" s="40">
        <f t="shared" si="4"/>
        <v>6901053.4403903997</v>
      </c>
      <c r="Q45" t="s">
        <v>59</v>
      </c>
      <c r="R45">
        <v>6.52</v>
      </c>
      <c r="S45" s="40">
        <f t="shared" si="5"/>
        <v>309841.93835039996</v>
      </c>
    </row>
    <row r="46" spans="9:19" x14ac:dyDescent="0.25">
      <c r="I46" t="s">
        <v>19</v>
      </c>
      <c r="J46" s="2">
        <v>163.47999999999999</v>
      </c>
      <c r="K46" s="1">
        <f t="shared" si="2"/>
        <v>7959000.3015503995</v>
      </c>
      <c r="M46" s="42" t="s">
        <v>4</v>
      </c>
      <c r="N46">
        <v>133.69</v>
      </c>
      <c r="O46" s="40">
        <f t="shared" si="4"/>
        <v>6461395.8078260999</v>
      </c>
      <c r="Q46" t="s">
        <v>59</v>
      </c>
      <c r="R46">
        <v>6.31</v>
      </c>
      <c r="S46" s="40">
        <f t="shared" si="5"/>
        <v>300007.37462610001</v>
      </c>
    </row>
    <row r="47" spans="9:19" x14ac:dyDescent="0.25">
      <c r="I47" t="s">
        <v>20</v>
      </c>
      <c r="J47" s="2">
        <v>278.52</v>
      </c>
      <c r="K47" s="1">
        <f t="shared" si="2"/>
        <v>13943915.1172304</v>
      </c>
      <c r="M47" s="42" t="s">
        <v>4</v>
      </c>
      <c r="N47">
        <v>143.31</v>
      </c>
      <c r="O47" s="40">
        <f t="shared" si="4"/>
        <v>6942664.9465661002</v>
      </c>
      <c r="Q47" t="s">
        <v>59</v>
      </c>
      <c r="R47">
        <v>6.68</v>
      </c>
      <c r="S47" s="40">
        <f t="shared" si="5"/>
        <v>317335.65566240001</v>
      </c>
    </row>
    <row r="48" spans="9:19" x14ac:dyDescent="0.25">
      <c r="I48" t="s">
        <v>21</v>
      </c>
      <c r="J48" s="2">
        <v>432.56</v>
      </c>
      <c r="K48" s="1">
        <f t="shared" si="2"/>
        <v>22459366.326713599</v>
      </c>
      <c r="M48" s="42" t="s">
        <v>4</v>
      </c>
      <c r="N48">
        <v>137.69</v>
      </c>
      <c r="O48" s="40">
        <f t="shared" si="4"/>
        <v>6661235.6853460995</v>
      </c>
      <c r="Q48" t="s">
        <v>59</v>
      </c>
      <c r="R48">
        <v>6.25</v>
      </c>
      <c r="S48" s="40">
        <f t="shared" si="5"/>
        <v>297197.6953125</v>
      </c>
    </row>
    <row r="49" spans="2:18" x14ac:dyDescent="0.25">
      <c r="I49" t="s">
        <v>22</v>
      </c>
      <c r="J49" s="2">
        <v>186.56</v>
      </c>
      <c r="K49" s="1">
        <f t="shared" si="2"/>
        <v>9134045.4311936013</v>
      </c>
      <c r="N49" s="1">
        <f>AVERAGE(O39:O48)</f>
        <v>6806829.3210609602</v>
      </c>
      <c r="R49" s="1">
        <f>AVERAGE(S39:S48)</f>
        <v>311435.17638922005</v>
      </c>
    </row>
    <row r="50" spans="2:18" x14ac:dyDescent="0.25">
      <c r="I50" t="s">
        <v>23</v>
      </c>
      <c r="J50" s="2">
        <v>340.56</v>
      </c>
      <c r="K50" s="1">
        <f t="shared" si="2"/>
        <v>17304466.0156736</v>
      </c>
      <c r="N50">
        <f>STDEVA(O39:O48)</f>
        <v>196075.01928670605</v>
      </c>
      <c r="R50">
        <f>STDEVA(S39:S48)</f>
        <v>13275.153183597047</v>
      </c>
    </row>
    <row r="51" spans="2:18" x14ac:dyDescent="0.25">
      <c r="N51" s="43">
        <f>N50/N49</f>
        <v>2.8805631820388356E-2</v>
      </c>
      <c r="R51" s="43">
        <f>R50/R49</f>
        <v>4.2625734631229505E-2</v>
      </c>
    </row>
    <row r="57" spans="2:18" s="41" customFormat="1" x14ac:dyDescent="0.25"/>
    <row r="59" spans="2:18" x14ac:dyDescent="0.25">
      <c r="B59" s="6" t="s">
        <v>1</v>
      </c>
    </row>
    <row r="67" spans="9:15" x14ac:dyDescent="0.25">
      <c r="I67" s="1">
        <v>5000</v>
      </c>
      <c r="J67">
        <v>0</v>
      </c>
      <c r="K67" s="1">
        <v>5000</v>
      </c>
      <c r="L67">
        <v>5000</v>
      </c>
      <c r="M67" s="2">
        <f>(K67*(2*10^-5)+5.1426)</f>
        <v>5.2425999999999995</v>
      </c>
      <c r="N67" s="7">
        <f>(10.359*(M67^2))+(45126*M67)+5000</f>
        <v>241862.28321045882</v>
      </c>
    </row>
    <row r="68" spans="9:15" x14ac:dyDescent="0.25">
      <c r="I68" s="1">
        <v>3529542</v>
      </c>
      <c r="J68">
        <v>75</v>
      </c>
      <c r="K68" s="1">
        <v>3529542</v>
      </c>
      <c r="L68" s="1">
        <f>AVERAGE(K68:K70)</f>
        <v>3454491.6666666665</v>
      </c>
      <c r="M68" s="2">
        <f t="shared" ref="M68:M73" si="6">(K68*(2*10^-5)+5.1426)</f>
        <v>75.733440000000002</v>
      </c>
      <c r="N68" s="7">
        <f t="shared" ref="N68:N73" si="7">(10.359*(M68^2))+(45126*M68)+5000</f>
        <v>3481961.8166447259</v>
      </c>
      <c r="O68" s="7">
        <f>AVERAGE(N68:N70)</f>
        <v>3411907.3206562512</v>
      </c>
    </row>
    <row r="69" spans="9:15" x14ac:dyDescent="0.25">
      <c r="I69" s="1">
        <v>3411936</v>
      </c>
      <c r="J69">
        <v>75</v>
      </c>
      <c r="K69" s="1">
        <v>3411936</v>
      </c>
      <c r="M69" s="2">
        <f t="shared" si="6"/>
        <v>73.381320000000002</v>
      </c>
      <c r="N69" s="7">
        <f t="shared" si="7"/>
        <v>3372186.7772762785</v>
      </c>
    </row>
    <row r="70" spans="9:15" x14ac:dyDescent="0.25">
      <c r="I70" s="1">
        <v>3421997</v>
      </c>
      <c r="J70">
        <v>75</v>
      </c>
      <c r="K70" s="1">
        <v>3421997</v>
      </c>
      <c r="M70" s="2">
        <f t="shared" si="6"/>
        <v>73.582540000000009</v>
      </c>
      <c r="N70" s="7">
        <f t="shared" si="7"/>
        <v>3381573.3680477501</v>
      </c>
    </row>
    <row r="71" spans="9:15" x14ac:dyDescent="0.25">
      <c r="I71" s="1">
        <v>25037025</v>
      </c>
      <c r="J71">
        <v>500</v>
      </c>
      <c r="K71" s="1">
        <v>25037025</v>
      </c>
      <c r="L71">
        <f>AVERAGE(K71:K73)</f>
        <v>25202823</v>
      </c>
      <c r="M71" s="2">
        <f t="shared" si="6"/>
        <v>505.88310000000007</v>
      </c>
      <c r="N71" s="7">
        <f t="shared" si="7"/>
        <v>25484532.337456856</v>
      </c>
      <c r="O71" s="7">
        <f>AVERAGE(N71:N73)</f>
        <v>25669159.862396348</v>
      </c>
    </row>
    <row r="72" spans="9:15" x14ac:dyDescent="0.25">
      <c r="I72" s="1">
        <v>25440831</v>
      </c>
      <c r="J72">
        <v>500</v>
      </c>
      <c r="K72" s="1">
        <v>25440831</v>
      </c>
      <c r="M72" s="2">
        <f t="shared" si="6"/>
        <v>513.95922000000007</v>
      </c>
      <c r="N72" s="7">
        <f t="shared" si="7"/>
        <v>25934295.874606546</v>
      </c>
    </row>
    <row r="73" spans="9:15" x14ac:dyDescent="0.25">
      <c r="I73" s="1">
        <v>25130613</v>
      </c>
      <c r="J73">
        <v>500</v>
      </c>
      <c r="K73" s="1">
        <v>25130613</v>
      </c>
      <c r="M73" s="2">
        <f t="shared" si="6"/>
        <v>507.75486000000006</v>
      </c>
      <c r="N73" s="7">
        <f t="shared" si="7"/>
        <v>25588651.37512565</v>
      </c>
    </row>
    <row r="74" spans="9:15" x14ac:dyDescent="0.25">
      <c r="K74" s="1"/>
    </row>
    <row r="75" spans="9:15" x14ac:dyDescent="0.25">
      <c r="K75" s="1"/>
    </row>
    <row r="76" spans="9:15" x14ac:dyDescent="0.25">
      <c r="K76" s="1"/>
    </row>
    <row r="77" spans="9:15" x14ac:dyDescent="0.25">
      <c r="K77" s="1"/>
    </row>
    <row r="78" spans="9:15" x14ac:dyDescent="0.25">
      <c r="I78" t="s">
        <v>60</v>
      </c>
      <c r="J78">
        <v>8.2100000000000009</v>
      </c>
      <c r="K78" s="1">
        <f>(10.359*(J78^2))+(45126*J78)+5000</f>
        <v>376182.69907190005</v>
      </c>
    </row>
    <row r="79" spans="9:15" x14ac:dyDescent="0.25">
      <c r="I79" t="s">
        <v>13</v>
      </c>
      <c r="J79">
        <v>7</v>
      </c>
      <c r="K79" s="1">
        <f t="shared" ref="K79:K108" si="8">(10.359*(J79^2))+(45126*J79)+5000</f>
        <v>321389.59100000001</v>
      </c>
    </row>
    <row r="80" spans="9:15" x14ac:dyDescent="0.25">
      <c r="I80" t="s">
        <v>13</v>
      </c>
      <c r="J80">
        <v>6.89</v>
      </c>
      <c r="K80" s="1">
        <f t="shared" si="8"/>
        <v>316409.90348390001</v>
      </c>
    </row>
    <row r="81" spans="9:20" x14ac:dyDescent="0.25">
      <c r="I81" t="s">
        <v>13</v>
      </c>
      <c r="J81">
        <v>6.43</v>
      </c>
      <c r="K81" s="1">
        <f t="shared" si="8"/>
        <v>295588.47181909997</v>
      </c>
    </row>
    <row r="82" spans="9:20" x14ac:dyDescent="0.25">
      <c r="I82" t="s">
        <v>13</v>
      </c>
      <c r="J82">
        <v>5.01</v>
      </c>
      <c r="K82" s="1">
        <f t="shared" si="8"/>
        <v>231341.27193589997</v>
      </c>
    </row>
    <row r="83" spans="9:20" x14ac:dyDescent="0.25">
      <c r="I83" t="s">
        <v>13</v>
      </c>
      <c r="J83">
        <v>7.49</v>
      </c>
      <c r="K83" s="1">
        <f t="shared" si="8"/>
        <v>343574.88093589997</v>
      </c>
    </row>
    <row r="84" spans="9:20" x14ac:dyDescent="0.25">
      <c r="I84" t="s">
        <v>13</v>
      </c>
      <c r="J84">
        <v>8.8800000000000008</v>
      </c>
      <c r="K84" s="1">
        <f t="shared" si="8"/>
        <v>406535.73272960004</v>
      </c>
    </row>
    <row r="85" spans="9:20" x14ac:dyDescent="0.25">
      <c r="I85" t="s">
        <v>13</v>
      </c>
      <c r="J85">
        <v>5.34</v>
      </c>
      <c r="K85" s="1">
        <f t="shared" si="8"/>
        <v>246268.23310039999</v>
      </c>
    </row>
    <row r="86" spans="9:20" x14ac:dyDescent="0.25">
      <c r="I86" t="s">
        <v>13</v>
      </c>
      <c r="J86">
        <v>5.38</v>
      </c>
      <c r="K86" s="1">
        <f t="shared" si="8"/>
        <v>248077.71503960001</v>
      </c>
      <c r="M86" s="45" t="s">
        <v>55</v>
      </c>
      <c r="N86" s="14">
        <v>185.65</v>
      </c>
      <c r="O86" s="11">
        <f>(10.359*(N86^2))+(45126*N86)+5000</f>
        <v>8739674.3911774997</v>
      </c>
      <c r="P86" s="18"/>
    </row>
    <row r="87" spans="9:20" x14ac:dyDescent="0.25">
      <c r="I87" t="s">
        <v>13</v>
      </c>
      <c r="J87">
        <v>8.1999999999999993</v>
      </c>
      <c r="K87" s="1">
        <f t="shared" si="8"/>
        <v>375729.73915999994</v>
      </c>
      <c r="M87" s="45"/>
      <c r="N87" s="14">
        <v>189.65</v>
      </c>
      <c r="O87" s="11">
        <f t="shared" ref="O87:O93" si="9">(10.359*(N87^2))+(45126*N87)+5000</f>
        <v>8935729.3219774999</v>
      </c>
      <c r="P87" s="44"/>
    </row>
    <row r="88" spans="9:20" x14ac:dyDescent="0.25">
      <c r="I88" t="s">
        <v>13</v>
      </c>
      <c r="J88">
        <v>7.93</v>
      </c>
      <c r="K88" s="1">
        <f t="shared" si="8"/>
        <v>363500.60467909998</v>
      </c>
      <c r="M88" s="45" t="s">
        <v>56</v>
      </c>
      <c r="N88" s="14">
        <v>148.31</v>
      </c>
      <c r="O88" s="11">
        <f t="shared" si="9"/>
        <v>6925492.1333399005</v>
      </c>
      <c r="P88" s="44"/>
    </row>
    <row r="89" spans="9:20" x14ac:dyDescent="0.25">
      <c r="I89" t="s">
        <v>13</v>
      </c>
      <c r="J89">
        <v>5.85</v>
      </c>
      <c r="K89" s="1">
        <f t="shared" si="8"/>
        <v>269341.61087749997</v>
      </c>
      <c r="M89" s="45"/>
      <c r="N89" s="14">
        <v>146.97999999999999</v>
      </c>
      <c r="O89" s="11">
        <f t="shared" si="9"/>
        <v>6861406.2042235993</v>
      </c>
      <c r="P89" s="44"/>
    </row>
    <row r="90" spans="9:20" x14ac:dyDescent="0.25">
      <c r="I90" t="s">
        <v>13</v>
      </c>
      <c r="J90">
        <v>6.34</v>
      </c>
      <c r="K90" s="1">
        <f t="shared" si="8"/>
        <v>291515.22622039996</v>
      </c>
      <c r="M90" s="45" t="s">
        <v>57</v>
      </c>
      <c r="N90" s="14">
        <v>96.48</v>
      </c>
      <c r="O90" s="11">
        <f>(10.359*(N90^2))+(45126*N90)+5000</f>
        <v>4455182.0961536001</v>
      </c>
      <c r="P90" s="44"/>
    </row>
    <row r="91" spans="9:20" x14ac:dyDescent="0.25">
      <c r="I91" t="s">
        <v>13</v>
      </c>
      <c r="J91">
        <v>7.89</v>
      </c>
      <c r="K91" s="1">
        <f t="shared" si="8"/>
        <v>361689.00950390002</v>
      </c>
      <c r="M91" s="45"/>
      <c r="N91" s="14">
        <v>98.21</v>
      </c>
      <c r="O91" s="11">
        <f t="shared" si="9"/>
        <v>4536739.1292719003</v>
      </c>
      <c r="P91" s="18"/>
    </row>
    <row r="92" spans="9:20" x14ac:dyDescent="0.25">
      <c r="I92" t="s">
        <v>13</v>
      </c>
      <c r="J92">
        <v>5.85</v>
      </c>
      <c r="K92" s="1">
        <f t="shared" si="8"/>
        <v>269341.61087749997</v>
      </c>
      <c r="M92" s="45" t="s">
        <v>58</v>
      </c>
      <c r="N92" s="14">
        <v>49.36</v>
      </c>
      <c r="O92" s="11">
        <f t="shared" si="9"/>
        <v>2257658.1270463997</v>
      </c>
    </row>
    <row r="93" spans="9:20" x14ac:dyDescent="0.25">
      <c r="I93" t="s">
        <v>13</v>
      </c>
      <c r="J93">
        <v>6.93</v>
      </c>
      <c r="K93" s="1">
        <f t="shared" si="8"/>
        <v>318220.66993909999</v>
      </c>
      <c r="M93" s="45"/>
      <c r="N93" s="14">
        <v>50.67</v>
      </c>
      <c r="O93" s="11">
        <f t="shared" si="9"/>
        <v>2318130.6231550998</v>
      </c>
    </row>
    <row r="94" spans="9:20" x14ac:dyDescent="0.25">
      <c r="I94" t="s">
        <v>13</v>
      </c>
      <c r="J94">
        <v>8.06</v>
      </c>
      <c r="K94" s="1">
        <f t="shared" si="8"/>
        <v>369388.51793239999</v>
      </c>
    </row>
    <row r="95" spans="9:20" x14ac:dyDescent="0.25">
      <c r="I95" t="s">
        <v>13</v>
      </c>
      <c r="J95">
        <v>8.76</v>
      </c>
      <c r="K95" s="1">
        <f t="shared" si="8"/>
        <v>401098.68479840003</v>
      </c>
      <c r="N95" s="42" t="s">
        <v>4</v>
      </c>
      <c r="O95">
        <v>147.78</v>
      </c>
      <c r="P95" s="11">
        <f>(10.359*(O95^2))+(45126*O95)+5000</f>
        <v>6899949.7392956</v>
      </c>
      <c r="R95" t="s">
        <v>3</v>
      </c>
      <c r="S95">
        <v>6.65</v>
      </c>
      <c r="T95" s="11">
        <f>(10.359*(S95^2))+(45126*S95)+5000</f>
        <v>305546.00087750005</v>
      </c>
    </row>
    <row r="96" spans="9:20" x14ac:dyDescent="0.25">
      <c r="I96" t="s">
        <v>13</v>
      </c>
      <c r="J96">
        <v>7.05</v>
      </c>
      <c r="K96" s="1">
        <f t="shared" si="8"/>
        <v>323653.1681975</v>
      </c>
      <c r="N96" s="42" t="s">
        <v>4</v>
      </c>
      <c r="O96">
        <v>144.07</v>
      </c>
      <c r="P96" s="11">
        <f t="shared" ref="P96:P104" si="10">(10.359*(O96^2))+(45126*O96)+5000</f>
        <v>6721315.9321990991</v>
      </c>
      <c r="R96" t="s">
        <v>3</v>
      </c>
      <c r="S96">
        <v>6.64</v>
      </c>
      <c r="T96" s="11">
        <f t="shared" ref="T96:T104" si="11">(10.359*(S96^2))+(45126*S96)+5000</f>
        <v>305093.36416639999</v>
      </c>
    </row>
    <row r="97" spans="2:20" x14ac:dyDescent="0.25">
      <c r="I97" t="s">
        <v>13</v>
      </c>
      <c r="J97">
        <v>8.0500000000000007</v>
      </c>
      <c r="K97" s="1">
        <f t="shared" si="8"/>
        <v>368935.58909750002</v>
      </c>
      <c r="N97" s="42" t="s">
        <v>4</v>
      </c>
      <c r="O97">
        <v>149.78</v>
      </c>
      <c r="P97" s="11">
        <f t="shared" si="10"/>
        <v>6996366.5873755999</v>
      </c>
      <c r="R97" t="s">
        <v>3</v>
      </c>
      <c r="S97">
        <v>6.27</v>
      </c>
      <c r="T97" s="11">
        <f t="shared" si="11"/>
        <v>288347.26233109995</v>
      </c>
    </row>
    <row r="98" spans="2:20" x14ac:dyDescent="0.25">
      <c r="K98" s="1"/>
      <c r="N98" s="42" t="s">
        <v>4</v>
      </c>
      <c r="O98">
        <v>140.54</v>
      </c>
      <c r="P98" s="11">
        <f t="shared" si="10"/>
        <v>6551613.7414843999</v>
      </c>
      <c r="R98" t="s">
        <v>3</v>
      </c>
      <c r="S98">
        <v>6.24</v>
      </c>
      <c r="T98" s="11">
        <f t="shared" si="11"/>
        <v>286989.5945984</v>
      </c>
    </row>
    <row r="99" spans="2:20" x14ac:dyDescent="0.25">
      <c r="I99" t="s">
        <v>14</v>
      </c>
      <c r="J99">
        <v>142.25</v>
      </c>
      <c r="K99" s="1">
        <f t="shared" si="8"/>
        <v>6633788.5124375001</v>
      </c>
      <c r="N99" s="42" t="s">
        <v>4</v>
      </c>
      <c r="O99">
        <v>146.07</v>
      </c>
      <c r="P99" s="11">
        <f t="shared" si="10"/>
        <v>6817579.0527190994</v>
      </c>
      <c r="R99" t="s">
        <v>3</v>
      </c>
      <c r="S99">
        <v>6.85</v>
      </c>
      <c r="T99" s="11">
        <f t="shared" si="11"/>
        <v>314599.1701775</v>
      </c>
    </row>
    <row r="100" spans="2:20" x14ac:dyDescent="0.25">
      <c r="I100" t="s">
        <v>15</v>
      </c>
      <c r="J100">
        <v>238.46</v>
      </c>
      <c r="K100" s="1">
        <f t="shared" si="8"/>
        <v>11354791.5546044</v>
      </c>
      <c r="N100" s="42" t="s">
        <v>4</v>
      </c>
      <c r="O100">
        <v>143.81</v>
      </c>
      <c r="P100" s="11">
        <f t="shared" si="10"/>
        <v>6708807.8134799004</v>
      </c>
      <c r="R100" t="s">
        <v>3</v>
      </c>
      <c r="S100">
        <v>6.31</v>
      </c>
      <c r="T100" s="11">
        <f t="shared" si="11"/>
        <v>290157.51497989998</v>
      </c>
    </row>
    <row r="101" spans="2:20" x14ac:dyDescent="0.25">
      <c r="I101" t="s">
        <v>16</v>
      </c>
      <c r="J101">
        <v>437.23</v>
      </c>
      <c r="K101" s="1">
        <f t="shared" si="8"/>
        <v>21715771.765171099</v>
      </c>
      <c r="N101" s="42" t="s">
        <v>4</v>
      </c>
      <c r="O101">
        <v>143.86000000000001</v>
      </c>
      <c r="P101" s="11">
        <f t="shared" si="10"/>
        <v>6711213.1121564005</v>
      </c>
      <c r="R101" t="s">
        <v>3</v>
      </c>
      <c r="S101">
        <v>5.75</v>
      </c>
      <c r="T101" s="11">
        <f t="shared" si="11"/>
        <v>264816.99443750002</v>
      </c>
    </row>
    <row r="102" spans="2:20" x14ac:dyDescent="0.25">
      <c r="I102" t="s">
        <v>17</v>
      </c>
      <c r="J102">
        <v>110.96</v>
      </c>
      <c r="K102" s="1">
        <f t="shared" si="8"/>
        <v>5139722.2276544003</v>
      </c>
      <c r="N102" s="42" t="s">
        <v>4</v>
      </c>
      <c r="O102">
        <v>146.09</v>
      </c>
      <c r="P102" s="11">
        <f t="shared" si="10"/>
        <v>6818542.1024278998</v>
      </c>
      <c r="R102" t="s">
        <v>3</v>
      </c>
      <c r="S102">
        <v>5.98</v>
      </c>
      <c r="T102" s="11">
        <f t="shared" si="11"/>
        <v>275223.92198360001</v>
      </c>
    </row>
    <row r="103" spans="2:20" x14ac:dyDescent="0.25">
      <c r="I103" t="s">
        <v>18</v>
      </c>
      <c r="J103">
        <v>156.49</v>
      </c>
      <c r="K103" s="1">
        <f t="shared" si="8"/>
        <v>7320450.5351159004</v>
      </c>
      <c r="N103" s="42" t="s">
        <v>4</v>
      </c>
      <c r="O103">
        <v>141.88999999999999</v>
      </c>
      <c r="P103" s="11">
        <f t="shared" si="10"/>
        <v>6616483.5261838995</v>
      </c>
      <c r="R103" t="s">
        <v>3</v>
      </c>
      <c r="S103">
        <v>6.65</v>
      </c>
      <c r="T103" s="11">
        <f t="shared" si="11"/>
        <v>305546.00087750005</v>
      </c>
    </row>
    <row r="104" spans="2:20" x14ac:dyDescent="0.25">
      <c r="I104" t="s">
        <v>19</v>
      </c>
      <c r="J104">
        <v>163.51</v>
      </c>
      <c r="K104" s="1">
        <f t="shared" si="8"/>
        <v>7660505.5127158994</v>
      </c>
      <c r="N104" s="42" t="s">
        <v>4</v>
      </c>
      <c r="O104">
        <v>144.16999999999999</v>
      </c>
      <c r="P104" s="11">
        <f t="shared" si="10"/>
        <v>6726127.1200150987</v>
      </c>
      <c r="R104" t="s">
        <v>3</v>
      </c>
      <c r="S104">
        <v>6.52</v>
      </c>
      <c r="T104" s="11">
        <f t="shared" si="11"/>
        <v>299661.88523359998</v>
      </c>
    </row>
    <row r="105" spans="2:20" x14ac:dyDescent="0.25">
      <c r="I105" t="s">
        <v>20</v>
      </c>
      <c r="J105">
        <v>278.58999999999997</v>
      </c>
      <c r="K105" s="1">
        <f t="shared" si="8"/>
        <v>13380639.068327898</v>
      </c>
      <c r="O105" s="1">
        <f>AVERAGE(P95:P104)</f>
        <v>6756799.8727337001</v>
      </c>
      <c r="S105" s="1">
        <f>AVERAGE(T95:T104)</f>
        <v>293598.17096630001</v>
      </c>
    </row>
    <row r="106" spans="2:20" x14ac:dyDescent="0.25">
      <c r="I106" t="s">
        <v>21</v>
      </c>
      <c r="J106">
        <v>438.07</v>
      </c>
      <c r="K106" s="1">
        <f t="shared" si="8"/>
        <v>21761294.080639102</v>
      </c>
      <c r="O106">
        <f>STDEVA(P95:P104)</f>
        <v>130708.17816843523</v>
      </c>
      <c r="S106">
        <f>STDEVA(T95:T104)</f>
        <v>15436.262966175789</v>
      </c>
    </row>
    <row r="107" spans="2:20" x14ac:dyDescent="0.25">
      <c r="I107" t="s">
        <v>22</v>
      </c>
      <c r="J107">
        <v>194.62</v>
      </c>
      <c r="K107" s="1">
        <f t="shared" si="8"/>
        <v>9179789.3870396018</v>
      </c>
      <c r="O107" s="43">
        <f>O106/O105</f>
        <v>1.9344686927297235E-2</v>
      </c>
      <c r="S107" s="43">
        <f>S106/S105</f>
        <v>5.2576155074030094E-2</v>
      </c>
    </row>
    <row r="108" spans="2:20" x14ac:dyDescent="0.25">
      <c r="I108" t="s">
        <v>23</v>
      </c>
      <c r="J108">
        <v>348.65</v>
      </c>
      <c r="K108" s="1">
        <f t="shared" si="8"/>
        <v>16997387.024277497</v>
      </c>
    </row>
    <row r="109" spans="2:20" s="41" customFormat="1" x14ac:dyDescent="0.25"/>
    <row r="110" spans="2:20" x14ac:dyDescent="0.25">
      <c r="B110" t="s">
        <v>2</v>
      </c>
    </row>
    <row r="118" spans="9:15" x14ac:dyDescent="0.25">
      <c r="I118" s="1">
        <v>5000</v>
      </c>
      <c r="J118">
        <v>0</v>
      </c>
      <c r="K118" s="1">
        <v>5000</v>
      </c>
      <c r="L118">
        <v>5000</v>
      </c>
      <c r="M118" s="2">
        <f>(K118*(2*10^-5)+6.0732)</f>
        <v>6.1731999999999996</v>
      </c>
      <c r="N118" s="1">
        <f>(13.525*(M118^2))+(45089*M118)+5000</f>
        <v>283858.830886196</v>
      </c>
    </row>
    <row r="119" spans="9:15" x14ac:dyDescent="0.25">
      <c r="I119" s="1">
        <v>3573644</v>
      </c>
      <c r="J119">
        <v>75</v>
      </c>
      <c r="K119" s="1">
        <v>3473644</v>
      </c>
      <c r="L119" s="1">
        <f>AVERAGE(K119:K121)</f>
        <v>3462751</v>
      </c>
      <c r="M119" s="2">
        <f t="shared" ref="M119:M124" si="12">(K119*(2*10^-5)+6.0732)</f>
        <v>75.546080000000003</v>
      </c>
      <c r="N119" s="1">
        <f>(13.525*(M119^2))+(45089*M119)+5000</f>
        <v>3488487.2191205309</v>
      </c>
      <c r="O119" s="1">
        <f>AVERAGE(N119:N121)</f>
        <v>3478227.6162975025</v>
      </c>
    </row>
    <row r="120" spans="9:15" x14ac:dyDescent="0.25">
      <c r="I120" s="1">
        <v>3503586</v>
      </c>
      <c r="J120">
        <v>75</v>
      </c>
      <c r="K120" s="1">
        <v>3503586</v>
      </c>
      <c r="M120" s="2">
        <f t="shared" si="12"/>
        <v>76.144919999999999</v>
      </c>
      <c r="N120" s="1">
        <f>(13.525*(M120^2))+(45089*M120)+5000</f>
        <v>3516716.9084654315</v>
      </c>
    </row>
    <row r="121" spans="9:15" x14ac:dyDescent="0.25">
      <c r="I121" s="1">
        <v>3411023</v>
      </c>
      <c r="J121">
        <v>75</v>
      </c>
      <c r="K121" s="1">
        <v>3411023</v>
      </c>
      <c r="M121" s="2">
        <f t="shared" si="12"/>
        <v>74.293660000000003</v>
      </c>
      <c r="N121" s="1">
        <f>(13.525*(M121^2))+(45089*M121)+5000</f>
        <v>3429478.7213065457</v>
      </c>
    </row>
    <row r="122" spans="9:15" x14ac:dyDescent="0.25">
      <c r="I122" s="1">
        <v>25702111</v>
      </c>
      <c r="J122">
        <v>500</v>
      </c>
      <c r="K122" s="1">
        <v>25702111</v>
      </c>
      <c r="L122" s="1">
        <f>AVERAGE(K122:K124)</f>
        <v>25930825.333333332</v>
      </c>
      <c r="M122" s="2">
        <f t="shared" si="12"/>
        <v>520.11542000000009</v>
      </c>
      <c r="N122" s="1">
        <f>(13.525*(M122^2))+(45089*M122)+5000</f>
        <v>27115267.850277029</v>
      </c>
      <c r="O122" s="1">
        <f>AVERAGE(N122:N124)</f>
        <v>27386612.424097687</v>
      </c>
    </row>
    <row r="123" spans="9:15" x14ac:dyDescent="0.25">
      <c r="I123" s="1">
        <v>26340181</v>
      </c>
      <c r="J123">
        <v>500</v>
      </c>
      <c r="K123" s="1">
        <v>26340181</v>
      </c>
      <c r="M123" s="2">
        <f t="shared" si="12"/>
        <v>532.87682000000007</v>
      </c>
      <c r="N123" s="1">
        <f>(13.525*(M123^2))+(45089*M123)+5000</f>
        <v>27872410.901072055</v>
      </c>
    </row>
    <row r="124" spans="9:15" x14ac:dyDescent="0.25">
      <c r="I124" s="1">
        <v>25750184</v>
      </c>
      <c r="J124">
        <v>500</v>
      </c>
      <c r="K124" s="1">
        <v>25750184</v>
      </c>
      <c r="M124" s="2">
        <f t="shared" si="12"/>
        <v>521.07688000000007</v>
      </c>
      <c r="N124" s="1">
        <f>(13.525*(M124^2))+(45089*M124)+5000</f>
        <v>27172158.520943984</v>
      </c>
    </row>
    <row r="131" spans="9:16" x14ac:dyDescent="0.25">
      <c r="I131" t="s">
        <v>60</v>
      </c>
      <c r="J131">
        <v>6.78</v>
      </c>
      <c r="K131" s="1">
        <f>(13.525*(J131^2))+(45089*J131)+5000</f>
        <v>311325.14260999998</v>
      </c>
    </row>
    <row r="132" spans="9:16" x14ac:dyDescent="0.25">
      <c r="I132" t="s">
        <v>61</v>
      </c>
      <c r="J132">
        <v>8.76</v>
      </c>
      <c r="K132" s="1">
        <f t="shared" ref="K132:K162" si="13">(13.525*(J132^2))+(45089*J132)+5000</f>
        <v>401017.51604000002</v>
      </c>
    </row>
    <row r="133" spans="9:16" x14ac:dyDescent="0.25">
      <c r="I133" t="s">
        <v>62</v>
      </c>
      <c r="J133">
        <v>6.33</v>
      </c>
      <c r="K133" s="1">
        <f t="shared" si="13"/>
        <v>290955.30187249999</v>
      </c>
    </row>
    <row r="134" spans="9:16" x14ac:dyDescent="0.25">
      <c r="I134" t="s">
        <v>63</v>
      </c>
      <c r="J134">
        <v>5.84</v>
      </c>
      <c r="K134" s="1">
        <f t="shared" si="13"/>
        <v>268781.03824000002</v>
      </c>
    </row>
    <row r="135" spans="9:16" x14ac:dyDescent="0.25">
      <c r="I135" t="s">
        <v>64</v>
      </c>
      <c r="J135">
        <v>7.06</v>
      </c>
      <c r="K135" s="1">
        <f t="shared" si="13"/>
        <v>324002.47468999994</v>
      </c>
    </row>
    <row r="136" spans="9:16" x14ac:dyDescent="0.25">
      <c r="I136" t="s">
        <v>65</v>
      </c>
      <c r="J136">
        <v>5.97</v>
      </c>
      <c r="K136" s="1">
        <f t="shared" si="13"/>
        <v>274663.3731725</v>
      </c>
    </row>
    <row r="137" spans="9:16" x14ac:dyDescent="0.25">
      <c r="I137" t="s">
        <v>66</v>
      </c>
      <c r="J137">
        <v>5.26</v>
      </c>
      <c r="K137" s="1">
        <f t="shared" si="13"/>
        <v>242542.34428999998</v>
      </c>
      <c r="M137" s="45" t="s">
        <v>55</v>
      </c>
      <c r="N137" s="14">
        <v>185.73</v>
      </c>
      <c r="O137" s="11">
        <f>(13.525*(N137^2))+(45089*N137)+5000</f>
        <v>8845933.4049724992</v>
      </c>
    </row>
    <row r="138" spans="9:16" x14ac:dyDescent="0.25">
      <c r="I138" t="s">
        <v>67</v>
      </c>
      <c r="J138">
        <v>7.74</v>
      </c>
      <c r="K138" s="1">
        <f t="shared" si="13"/>
        <v>354799.11028999998</v>
      </c>
      <c r="M138" s="45"/>
      <c r="N138" s="14">
        <v>186.95</v>
      </c>
      <c r="O138" s="11">
        <f t="shared" ref="O138:O144" si="14">(13.525*(N138^2))+(45089*N138)+5000</f>
        <v>8907091.3913124986</v>
      </c>
    </row>
    <row r="139" spans="9:16" x14ac:dyDescent="0.25">
      <c r="I139" t="s">
        <v>68</v>
      </c>
      <c r="J139">
        <v>5.71</v>
      </c>
      <c r="K139" s="1">
        <f t="shared" si="13"/>
        <v>262899.16045249999</v>
      </c>
      <c r="M139" s="45" t="s">
        <v>56</v>
      </c>
      <c r="N139" s="14">
        <v>146.34</v>
      </c>
      <c r="O139" s="11">
        <f t="shared" si="14"/>
        <v>6892967.4854899999</v>
      </c>
    </row>
    <row r="140" spans="9:16" x14ac:dyDescent="0.25">
      <c r="I140" t="s">
        <v>69</v>
      </c>
      <c r="J140">
        <v>6.02</v>
      </c>
      <c r="K140" s="1">
        <f t="shared" si="13"/>
        <v>276925.93140999996</v>
      </c>
      <c r="M140" s="45"/>
      <c r="N140" s="14">
        <v>144.97999999999999</v>
      </c>
      <c r="O140" s="11">
        <f t="shared" si="14"/>
        <v>6826287.9054100001</v>
      </c>
    </row>
    <row r="141" spans="9:16" x14ac:dyDescent="0.25">
      <c r="I141" t="s">
        <v>70</v>
      </c>
      <c r="J141">
        <v>6.67</v>
      </c>
      <c r="K141" s="1">
        <f t="shared" si="13"/>
        <v>306345.34237249999</v>
      </c>
      <c r="M141" s="45" t="s">
        <v>57</v>
      </c>
      <c r="N141" s="14">
        <v>93.24</v>
      </c>
      <c r="O141" s="11">
        <f t="shared" si="14"/>
        <v>4326680.6200399995</v>
      </c>
      <c r="P141" s="44"/>
    </row>
    <row r="142" spans="9:16" x14ac:dyDescent="0.25">
      <c r="I142" t="s">
        <v>71</v>
      </c>
      <c r="J142">
        <v>8.32</v>
      </c>
      <c r="K142" s="1">
        <f t="shared" si="13"/>
        <v>381076.71296000003</v>
      </c>
      <c r="M142" s="45"/>
      <c r="N142" s="14">
        <v>95.21</v>
      </c>
      <c r="O142" s="11">
        <f t="shared" si="14"/>
        <v>4420527.0589524992</v>
      </c>
      <c r="P142" s="44"/>
    </row>
    <row r="143" spans="9:16" x14ac:dyDescent="0.25">
      <c r="I143" t="s">
        <v>72</v>
      </c>
      <c r="J143">
        <v>7.82</v>
      </c>
      <c r="K143" s="1">
        <f t="shared" si="13"/>
        <v>358423.06621000002</v>
      </c>
      <c r="M143" s="45" t="s">
        <v>58</v>
      </c>
      <c r="N143" s="14">
        <v>52.04</v>
      </c>
      <c r="O143" s="11">
        <f t="shared" si="14"/>
        <v>2388059.44564</v>
      </c>
      <c r="P143" s="44"/>
    </row>
    <row r="144" spans="9:16" x14ac:dyDescent="0.25">
      <c r="I144" t="s">
        <v>73</v>
      </c>
      <c r="J144">
        <v>6.89</v>
      </c>
      <c r="K144" s="1">
        <f t="shared" si="13"/>
        <v>316305.27015249996</v>
      </c>
      <c r="M144" s="45"/>
      <c r="N144" s="14">
        <v>51.24</v>
      </c>
      <c r="O144" s="11">
        <f t="shared" si="14"/>
        <v>2350870.7560399999</v>
      </c>
      <c r="P144" s="44"/>
    </row>
    <row r="145" spans="9:20" x14ac:dyDescent="0.25">
      <c r="I145" t="s">
        <v>74</v>
      </c>
      <c r="J145">
        <v>6.28</v>
      </c>
      <c r="K145" s="1">
        <f t="shared" si="13"/>
        <v>288692.32435999997</v>
      </c>
    </row>
    <row r="146" spans="9:20" x14ac:dyDescent="0.25">
      <c r="I146" t="s">
        <v>75</v>
      </c>
      <c r="J146">
        <v>9.14</v>
      </c>
      <c r="K146" s="1">
        <f t="shared" si="13"/>
        <v>418243.33309000003</v>
      </c>
      <c r="N146" s="42" t="s">
        <v>4</v>
      </c>
      <c r="O146" s="42">
        <v>140.26</v>
      </c>
      <c r="P146" s="11">
        <f>(13.525*(O146^2))+(45089*O146)+5000</f>
        <v>6595258.6742899995</v>
      </c>
      <c r="R146" t="s">
        <v>3</v>
      </c>
      <c r="S146">
        <v>8.2899999999999991</v>
      </c>
      <c r="T146" s="11">
        <f>(13.525*(S146^2))+(45089*S146)+5000</f>
        <v>379717.30345249997</v>
      </c>
    </row>
    <row r="147" spans="9:20" x14ac:dyDescent="0.25">
      <c r="I147" t="s">
        <v>76</v>
      </c>
      <c r="J147">
        <v>8.0299999999999994</v>
      </c>
      <c r="K147" s="1">
        <f t="shared" si="13"/>
        <v>367936.77417250001</v>
      </c>
      <c r="N147" s="42" t="s">
        <v>4</v>
      </c>
      <c r="O147" s="42">
        <v>143.57</v>
      </c>
      <c r="P147" s="11">
        <f t="shared" ref="P147:P155" si="15">(13.525*(O147^2))+(45089*O147)+5000</f>
        <v>6757209.6947724996</v>
      </c>
      <c r="R147" t="s">
        <v>3</v>
      </c>
      <c r="S147">
        <v>8.89</v>
      </c>
      <c r="T147" s="11">
        <f t="shared" ref="T147:T155" si="16">(13.525*(S147^2))+(45089*S147)+5000</f>
        <v>406910.1191525</v>
      </c>
    </row>
    <row r="148" spans="9:20" x14ac:dyDescent="0.25">
      <c r="I148" t="s">
        <v>77</v>
      </c>
      <c r="J148">
        <v>7.09</v>
      </c>
      <c r="K148" s="1">
        <f t="shared" si="13"/>
        <v>325360.88605249999</v>
      </c>
      <c r="N148" s="42" t="s">
        <v>4</v>
      </c>
      <c r="O148" s="42">
        <v>146.27000000000001</v>
      </c>
      <c r="P148" s="11">
        <f t="shared" si="15"/>
        <v>6889534.2269724999</v>
      </c>
      <c r="R148" t="s">
        <v>3</v>
      </c>
      <c r="S148">
        <v>8.26</v>
      </c>
      <c r="T148" s="11">
        <f t="shared" si="16"/>
        <v>378357.91829</v>
      </c>
    </row>
    <row r="149" spans="9:20" x14ac:dyDescent="0.25">
      <c r="I149" t="s">
        <v>78</v>
      </c>
      <c r="J149">
        <v>6.42</v>
      </c>
      <c r="K149" s="1">
        <f t="shared" si="13"/>
        <v>295028.83181</v>
      </c>
      <c r="N149" s="42" t="s">
        <v>4</v>
      </c>
      <c r="O149" s="42">
        <v>155.44999999999999</v>
      </c>
      <c r="P149" s="11">
        <f t="shared" si="15"/>
        <v>7340912.6513125002</v>
      </c>
      <c r="R149" t="s">
        <v>3</v>
      </c>
      <c r="S149">
        <v>7.87</v>
      </c>
      <c r="T149" s="11">
        <f t="shared" si="16"/>
        <v>360688.12657249998</v>
      </c>
    </row>
    <row r="150" spans="9:20" x14ac:dyDescent="0.25">
      <c r="I150" t="s">
        <v>79</v>
      </c>
      <c r="J150">
        <v>5.41</v>
      </c>
      <c r="K150" s="1">
        <f t="shared" si="13"/>
        <v>249327.34105250001</v>
      </c>
      <c r="N150" s="42" t="s">
        <v>4</v>
      </c>
      <c r="O150" s="42">
        <v>149.24</v>
      </c>
      <c r="P150" s="11">
        <f t="shared" si="15"/>
        <v>7035318.9720400004</v>
      </c>
      <c r="R150" t="s">
        <v>3</v>
      </c>
      <c r="S150">
        <v>8.6199999999999992</v>
      </c>
      <c r="T150" s="11">
        <f t="shared" si="16"/>
        <v>394672.14701000002</v>
      </c>
    </row>
    <row r="151" spans="9:20" x14ac:dyDescent="0.25">
      <c r="K151" s="1"/>
      <c r="N151" s="42" t="s">
        <v>4</v>
      </c>
      <c r="O151" s="42">
        <v>142.27000000000001</v>
      </c>
      <c r="P151" s="11">
        <f t="shared" si="15"/>
        <v>6693568.2129725004</v>
      </c>
      <c r="R151" t="s">
        <v>3</v>
      </c>
      <c r="S151">
        <v>8.14</v>
      </c>
      <c r="T151" s="11">
        <f t="shared" si="16"/>
        <v>372920.62109000003</v>
      </c>
    </row>
    <row r="152" spans="9:20" x14ac:dyDescent="0.25">
      <c r="K152" s="1"/>
      <c r="N152" s="42" t="s">
        <v>4</v>
      </c>
      <c r="O152" s="42">
        <v>146.27000000000001</v>
      </c>
      <c r="P152" s="11">
        <f t="shared" si="15"/>
        <v>6889534.2269724999</v>
      </c>
      <c r="R152" t="s">
        <v>3</v>
      </c>
      <c r="S152">
        <v>7.99</v>
      </c>
      <c r="T152" s="11">
        <f t="shared" si="16"/>
        <v>366124.54735249997</v>
      </c>
    </row>
    <row r="153" spans="9:20" x14ac:dyDescent="0.25">
      <c r="I153" t="s">
        <v>14</v>
      </c>
      <c r="J153">
        <v>145.28</v>
      </c>
      <c r="K153" s="1">
        <f t="shared" si="13"/>
        <v>6840992.3353599999</v>
      </c>
      <c r="N153" s="42" t="s">
        <v>4</v>
      </c>
      <c r="O153" s="42">
        <v>152.19</v>
      </c>
      <c r="P153" s="11">
        <f t="shared" si="15"/>
        <v>7180358.2022524998</v>
      </c>
      <c r="R153" t="s">
        <v>3</v>
      </c>
      <c r="S153">
        <v>8.77</v>
      </c>
      <c r="T153" s="11">
        <f t="shared" si="16"/>
        <v>401470.77697249997</v>
      </c>
    </row>
    <row r="154" spans="9:20" x14ac:dyDescent="0.25">
      <c r="I154" t="s">
        <v>15</v>
      </c>
      <c r="J154">
        <v>245.89</v>
      </c>
      <c r="K154" s="1">
        <f t="shared" si="13"/>
        <v>11909681.300652498</v>
      </c>
      <c r="N154" s="42" t="s">
        <v>4</v>
      </c>
      <c r="O154" s="42">
        <v>151.61000000000001</v>
      </c>
      <c r="P154" s="11">
        <f t="shared" si="15"/>
        <v>7151823.4231525008</v>
      </c>
      <c r="R154" t="s">
        <v>3</v>
      </c>
      <c r="S154">
        <v>8.34</v>
      </c>
      <c r="T154" s="11">
        <f t="shared" si="16"/>
        <v>381982.99949000002</v>
      </c>
    </row>
    <row r="155" spans="9:20" x14ac:dyDescent="0.25">
      <c r="I155" t="s">
        <v>16</v>
      </c>
      <c r="J155">
        <v>436.58</v>
      </c>
      <c r="K155" s="1">
        <f t="shared" si="13"/>
        <v>22267848.973810002</v>
      </c>
      <c r="N155" s="42" t="s">
        <v>4</v>
      </c>
      <c r="O155" s="42">
        <v>143.18</v>
      </c>
      <c r="P155" s="11">
        <f t="shared" si="15"/>
        <v>6738112.4502100004</v>
      </c>
      <c r="R155" t="s">
        <v>3</v>
      </c>
      <c r="S155">
        <v>7.64</v>
      </c>
      <c r="T155" s="11">
        <f t="shared" si="16"/>
        <v>350269.40883999999</v>
      </c>
    </row>
    <row r="156" spans="9:20" x14ac:dyDescent="0.25">
      <c r="I156" t="s">
        <v>17</v>
      </c>
      <c r="J156">
        <v>113.02</v>
      </c>
      <c r="K156" s="1">
        <f t="shared" si="13"/>
        <v>5273720.64341</v>
      </c>
      <c r="O156" s="1">
        <f>AVERAGE(P146:P155)</f>
        <v>6927163.0734947491</v>
      </c>
      <c r="S156" s="1">
        <f>AVERAGE(T146:T155)</f>
        <v>379311.39682224998</v>
      </c>
    </row>
    <row r="157" spans="9:20" x14ac:dyDescent="0.25">
      <c r="I157" t="s">
        <v>18</v>
      </c>
      <c r="J157">
        <v>147.56</v>
      </c>
      <c r="K157" s="1">
        <f t="shared" si="13"/>
        <v>6952825.5624399995</v>
      </c>
      <c r="O157">
        <f>STDEVA(P146:P155)</f>
        <v>242590.1197557587</v>
      </c>
      <c r="S157">
        <f>STDEVA(T146:T155)</f>
        <v>17956.397392042036</v>
      </c>
    </row>
    <row r="158" spans="9:20" x14ac:dyDescent="0.25">
      <c r="I158" t="s">
        <v>19</v>
      </c>
      <c r="J158">
        <v>168.95</v>
      </c>
      <c r="K158" s="1">
        <f t="shared" si="13"/>
        <v>8008845.5363125</v>
      </c>
      <c r="O158" s="43">
        <f>O157/O156</f>
        <v>3.5020125436916003E-2</v>
      </c>
      <c r="S158" s="43">
        <f>S157/S156</f>
        <v>4.7339461831294845E-2</v>
      </c>
    </row>
    <row r="159" spans="9:20" x14ac:dyDescent="0.25">
      <c r="I159" t="s">
        <v>20</v>
      </c>
      <c r="J159">
        <v>278.08999999999997</v>
      </c>
      <c r="K159" s="1">
        <f t="shared" si="13"/>
        <v>13589743.010552499</v>
      </c>
    </row>
    <row r="160" spans="9:20" x14ac:dyDescent="0.25">
      <c r="I160" t="s">
        <v>21</v>
      </c>
      <c r="J160">
        <v>438.64</v>
      </c>
      <c r="K160" s="1">
        <f t="shared" si="13"/>
        <v>22385117.25584</v>
      </c>
    </row>
    <row r="161" spans="9:11" x14ac:dyDescent="0.25">
      <c r="I161" t="s">
        <v>22</v>
      </c>
      <c r="J161">
        <v>199.52</v>
      </c>
      <c r="K161" s="1">
        <f t="shared" si="13"/>
        <v>9539563.5961600021</v>
      </c>
    </row>
    <row r="162" spans="9:11" x14ac:dyDescent="0.25">
      <c r="I162" t="s">
        <v>23</v>
      </c>
      <c r="J162">
        <v>343.56</v>
      </c>
      <c r="K162" s="1">
        <f t="shared" si="13"/>
        <v>17092179.570440002</v>
      </c>
    </row>
    <row r="164" spans="9:11" s="41" customFormat="1" x14ac:dyDescent="0.25"/>
  </sheetData>
  <mergeCells count="12">
    <mergeCell ref="M32:M33"/>
    <mergeCell ref="M34:M35"/>
    <mergeCell ref="M28:M29"/>
    <mergeCell ref="M30:M31"/>
    <mergeCell ref="M137:M138"/>
    <mergeCell ref="M139:M140"/>
    <mergeCell ref="M141:M142"/>
    <mergeCell ref="M143:M144"/>
    <mergeCell ref="M86:M87"/>
    <mergeCell ref="M88:M89"/>
    <mergeCell ref="M90:M91"/>
    <mergeCell ref="M92:M93"/>
  </mergeCells>
  <phoneticPr fontId="5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FE196-B602-4CB2-BDB9-FAA399849C65}">
  <dimension ref="B4:BG113"/>
  <sheetViews>
    <sheetView workbookViewId="0">
      <selection activeCell="H101" sqref="H101"/>
    </sheetView>
  </sheetViews>
  <sheetFormatPr defaultRowHeight="15" x14ac:dyDescent="0.25"/>
  <cols>
    <col min="4" max="4" width="11.7109375" customWidth="1"/>
    <col min="5" max="5" width="9.140625" customWidth="1"/>
    <col min="6" max="6" width="12.42578125" customWidth="1"/>
    <col min="7" max="7" width="14.7109375" customWidth="1"/>
    <col min="8" max="8" width="12.7109375" customWidth="1"/>
    <col min="10" max="10" width="10.42578125" customWidth="1"/>
    <col min="11" max="11" width="11.28515625" customWidth="1"/>
    <col min="14" max="14" width="10" customWidth="1"/>
    <col min="15" max="15" width="10.85546875" customWidth="1"/>
    <col min="23" max="23" width="12.7109375" customWidth="1"/>
    <col min="25" max="25" width="10.42578125" customWidth="1"/>
    <col min="26" max="26" width="11.85546875" customWidth="1"/>
    <col min="28" max="28" width="13" customWidth="1"/>
    <col min="29" max="29" width="5.5703125" customWidth="1"/>
    <col min="30" max="30" width="4.140625" customWidth="1"/>
    <col min="38" max="38" width="10.28515625" customWidth="1"/>
    <col min="40" max="40" width="11.28515625" customWidth="1"/>
    <col min="41" max="41" width="10.42578125" customWidth="1"/>
    <col min="44" max="44" width="5" customWidth="1"/>
    <col min="45" max="45" width="0.140625" hidden="1" customWidth="1"/>
    <col min="54" max="54" width="12.7109375" bestFit="1" customWidth="1"/>
    <col min="56" max="56" width="11.7109375" customWidth="1"/>
    <col min="57" max="57" width="12.28515625" customWidth="1"/>
  </cols>
  <sheetData>
    <row r="4" spans="2:59" x14ac:dyDescent="0.25">
      <c r="B4" t="s">
        <v>0</v>
      </c>
      <c r="P4" t="s">
        <v>0</v>
      </c>
      <c r="AE4" t="s">
        <v>0</v>
      </c>
      <c r="AU4" t="s">
        <v>0</v>
      </c>
    </row>
    <row r="10" spans="2:59" x14ac:dyDescent="0.25">
      <c r="H10" s="9" t="s">
        <v>26</v>
      </c>
      <c r="I10" s="9"/>
      <c r="J10" s="9" t="s">
        <v>27</v>
      </c>
      <c r="K10" s="9"/>
      <c r="L10" s="9"/>
      <c r="M10" s="9"/>
      <c r="W10" s="9" t="s">
        <v>26</v>
      </c>
      <c r="X10" s="49" t="s">
        <v>28</v>
      </c>
      <c r="Y10" s="50"/>
      <c r="Z10" s="50"/>
      <c r="AA10" s="50"/>
      <c r="AB10" s="51"/>
      <c r="AL10" s="9" t="s">
        <v>26</v>
      </c>
      <c r="AM10" s="49" t="s">
        <v>29</v>
      </c>
      <c r="AN10" s="50"/>
      <c r="AO10" s="50"/>
      <c r="AP10" s="50"/>
      <c r="AQ10" s="51"/>
      <c r="BB10" s="9" t="s">
        <v>26</v>
      </c>
      <c r="BC10" s="49" t="s">
        <v>30</v>
      </c>
      <c r="BD10" s="50"/>
      <c r="BE10" s="50"/>
      <c r="BF10" s="50"/>
      <c r="BG10" s="51"/>
    </row>
    <row r="11" spans="2:59" x14ac:dyDescent="0.25">
      <c r="H11" s="9"/>
      <c r="I11" s="9"/>
      <c r="J11" s="9"/>
      <c r="K11" s="9"/>
      <c r="L11" s="9"/>
      <c r="M11" s="9"/>
      <c r="W11" s="9"/>
      <c r="X11" s="9"/>
      <c r="Y11" s="9"/>
      <c r="Z11" s="9"/>
      <c r="AA11" s="9"/>
      <c r="AB11" s="9"/>
      <c r="AL11" s="9"/>
      <c r="AM11" s="9"/>
      <c r="AN11" s="9"/>
      <c r="AO11" s="9"/>
      <c r="AP11" s="9"/>
      <c r="AQ11" s="9"/>
      <c r="BB11" s="9"/>
      <c r="BC11" s="9"/>
      <c r="BD11" s="9"/>
      <c r="BE11" s="9"/>
      <c r="BF11" s="9"/>
      <c r="BG11" s="9"/>
    </row>
    <row r="12" spans="2:59" x14ac:dyDescent="0.25">
      <c r="H12" s="11">
        <v>5000</v>
      </c>
      <c r="I12" s="9">
        <v>0</v>
      </c>
      <c r="J12" s="11">
        <v>5000</v>
      </c>
      <c r="K12" s="9">
        <v>5000</v>
      </c>
      <c r="L12" s="12">
        <f>(J12*(2*10^-5)+5.1431)</f>
        <v>5.2430999999999992</v>
      </c>
      <c r="M12" s="10">
        <f>(10.659*(L12^2))+(47263*L12)+5000</f>
        <v>253097.65225042496</v>
      </c>
      <c r="N12" s="2">
        <f>L12*0.85</f>
        <v>4.4566349999999995</v>
      </c>
      <c r="O12" s="2">
        <f>L12*1.15</f>
        <v>6.029564999999999</v>
      </c>
      <c r="W12" s="11">
        <v>5000</v>
      </c>
      <c r="X12" s="9">
        <v>0</v>
      </c>
      <c r="Y12" s="11">
        <v>5000</v>
      </c>
      <c r="Z12" s="9">
        <v>5000</v>
      </c>
      <c r="AA12" s="12">
        <f>(Y12*(2*10^-5)+4.5517)</f>
        <v>4.6516999999999999</v>
      </c>
      <c r="AB12" s="10">
        <f>(9.1411*(AA12^2))+(46515*AA12)+5000</f>
        <v>221571.62348195878</v>
      </c>
      <c r="AL12" s="11">
        <v>5000</v>
      </c>
      <c r="AM12" s="9">
        <v>0</v>
      </c>
      <c r="AN12" s="11">
        <v>5000</v>
      </c>
      <c r="AO12" s="9">
        <v>5000</v>
      </c>
      <c r="AP12" s="12">
        <f>(AN12*(2*10^-5)+4.2769)</f>
        <v>4.3769</v>
      </c>
      <c r="AQ12" s="10">
        <f>(8.4767*(AP12^2))+(45748*AP12)+5000</f>
        <v>205396.81149167591</v>
      </c>
      <c r="BB12" s="11">
        <v>5000</v>
      </c>
      <c r="BC12" s="9">
        <v>0</v>
      </c>
      <c r="BD12" s="11">
        <v>5000</v>
      </c>
      <c r="BE12" s="9">
        <v>5000</v>
      </c>
      <c r="BF12" s="12">
        <f>(BD12*(2*10^-5)+3.7138)</f>
        <v>3.8138000000000001</v>
      </c>
      <c r="BG12" s="10">
        <f>(6.6521*(BF12^2))+(44585*BF12)+5000</f>
        <v>175135.02826307394</v>
      </c>
    </row>
    <row r="13" spans="2:59" x14ac:dyDescent="0.25">
      <c r="H13" s="11">
        <v>3653696</v>
      </c>
      <c r="I13" s="9">
        <v>75</v>
      </c>
      <c r="J13" s="11">
        <v>3653696</v>
      </c>
      <c r="K13" s="11">
        <f>AVERAGE(J13:J15)</f>
        <v>3609691</v>
      </c>
      <c r="L13" s="12">
        <f t="shared" ref="L13:L18" si="0">(J13*(2*10^-5)+5.1431)</f>
        <v>78.217020000000005</v>
      </c>
      <c r="M13" s="10">
        <f t="shared" ref="M13:M18" si="1">(10.659*(L13^2))+(47263*L13)+5000</f>
        <v>3766981.7359982557</v>
      </c>
      <c r="N13" s="2">
        <f t="shared" ref="N13:N18" si="2">L13*0.85</f>
        <v>66.484467000000009</v>
      </c>
      <c r="O13" s="2">
        <f t="shared" ref="O13:O18" si="3">L13*1.15</f>
        <v>89.949573000000001</v>
      </c>
      <c r="W13" s="11">
        <v>3495809</v>
      </c>
      <c r="X13" s="9">
        <v>75</v>
      </c>
      <c r="Y13" s="11">
        <v>3495809</v>
      </c>
      <c r="Z13" s="11">
        <f>AVERAGE(Y13:Y15)</f>
        <v>3545063.6666666665</v>
      </c>
      <c r="AA13" s="12">
        <f t="shared" ref="AA13:AA18" si="4">(Y13*(2*10^-5)+4.5517)</f>
        <v>74.467880000000008</v>
      </c>
      <c r="AB13" s="10">
        <f t="shared" ref="AB13:AB18" si="5">(9.1411*(AA13^2))+(46515*AA13)+5000</f>
        <v>3519565.089698154</v>
      </c>
      <c r="AL13" s="11">
        <v>3432568</v>
      </c>
      <c r="AM13" s="9">
        <v>75</v>
      </c>
      <c r="AN13" s="11">
        <v>3432568</v>
      </c>
      <c r="AO13" s="11">
        <f>AVERAGE(AN13:AN15)</f>
        <v>3483745.3333333335</v>
      </c>
      <c r="AP13" s="12">
        <f t="shared" ref="AP13:AP18" si="6">(AN13*(2*10^-5)+4.2769)</f>
        <v>72.928260000000009</v>
      </c>
      <c r="AQ13" s="10">
        <f t="shared" ref="AQ13:AQ18" si="7">(8.4767*(AP13^2))+(45748*AP13)+5000</f>
        <v>3386405.6311115506</v>
      </c>
      <c r="BB13" s="11">
        <v>3402315</v>
      </c>
      <c r="BC13" s="9">
        <v>75</v>
      </c>
      <c r="BD13" s="11">
        <v>3402315</v>
      </c>
      <c r="BE13" s="11">
        <f>AVERAGE(BD13:BD15)</f>
        <v>3386286.3333333335</v>
      </c>
      <c r="BF13" s="12">
        <f t="shared" ref="BF13:BF18" si="8">(BD13*(2*10^-5)+3.7138)</f>
        <v>71.760100000000008</v>
      </c>
      <c r="BG13" s="10">
        <f t="shared" ref="BG13:BG18" si="9">(6.6521*(BF13^2))+(44585*BF13)+5000</f>
        <v>3238679.126955966</v>
      </c>
    </row>
    <row r="14" spans="2:59" x14ac:dyDescent="0.25">
      <c r="H14" s="11">
        <v>3576297</v>
      </c>
      <c r="I14" s="9">
        <v>75</v>
      </c>
      <c r="J14" s="11">
        <v>3576297</v>
      </c>
      <c r="K14" s="9"/>
      <c r="L14" s="12">
        <f t="shared" si="0"/>
        <v>76.66904000000001</v>
      </c>
      <c r="M14" s="10">
        <f t="shared" si="1"/>
        <v>3691263.9498419063</v>
      </c>
      <c r="N14" s="2">
        <f t="shared" si="2"/>
        <v>65.168684000000013</v>
      </c>
      <c r="O14" s="2">
        <f t="shared" si="3"/>
        <v>88.169396000000006</v>
      </c>
      <c r="W14" s="11">
        <v>3586931</v>
      </c>
      <c r="X14" s="9">
        <v>75</v>
      </c>
      <c r="Y14" s="11">
        <v>3586931</v>
      </c>
      <c r="Z14" s="9"/>
      <c r="AA14" s="12">
        <f t="shared" si="4"/>
        <v>76.290320000000008</v>
      </c>
      <c r="AB14" s="10">
        <f t="shared" si="5"/>
        <v>3606847.3831751384</v>
      </c>
      <c r="AL14" s="11">
        <v>3498541</v>
      </c>
      <c r="AM14" s="9">
        <v>75</v>
      </c>
      <c r="AN14" s="11">
        <v>3498541</v>
      </c>
      <c r="AO14" s="9"/>
      <c r="AP14" s="12">
        <f t="shared" si="6"/>
        <v>74.247720000000001</v>
      </c>
      <c r="AQ14" s="10">
        <f t="shared" si="7"/>
        <v>3448414.4014567295</v>
      </c>
      <c r="BB14" s="11">
        <v>3398487</v>
      </c>
      <c r="BC14" s="9">
        <v>75</v>
      </c>
      <c r="BD14" s="11">
        <v>3398487</v>
      </c>
      <c r="BE14" s="9"/>
      <c r="BF14" s="12">
        <f t="shared" si="8"/>
        <v>71.683540000000008</v>
      </c>
      <c r="BG14" s="10">
        <f t="shared" si="9"/>
        <v>3235192.6456939001</v>
      </c>
    </row>
    <row r="15" spans="2:59" x14ac:dyDescent="0.25">
      <c r="H15" s="11">
        <v>3599080</v>
      </c>
      <c r="I15" s="9">
        <v>75</v>
      </c>
      <c r="J15" s="11">
        <v>3599080</v>
      </c>
      <c r="K15" s="9"/>
      <c r="L15" s="12">
        <f t="shared" si="0"/>
        <v>77.124700000000004</v>
      </c>
      <c r="M15" s="10">
        <f t="shared" si="1"/>
        <v>3713546.7661526096</v>
      </c>
      <c r="N15" s="2">
        <f t="shared" si="2"/>
        <v>65.555994999999996</v>
      </c>
      <c r="O15" s="2">
        <f t="shared" si="3"/>
        <v>88.693404999999998</v>
      </c>
      <c r="W15" s="11">
        <v>3552451</v>
      </c>
      <c r="X15" s="9">
        <v>75</v>
      </c>
      <c r="Y15" s="11">
        <v>3552451</v>
      </c>
      <c r="Z15" s="9"/>
      <c r="AA15" s="12">
        <f t="shared" si="4"/>
        <v>75.600719999999995</v>
      </c>
      <c r="AB15" s="10">
        <f t="shared" si="5"/>
        <v>3573813.1632374488</v>
      </c>
      <c r="AL15" s="11">
        <v>3520127</v>
      </c>
      <c r="AM15" s="9">
        <v>75</v>
      </c>
      <c r="AN15" s="11">
        <v>3520127</v>
      </c>
      <c r="AO15" s="9"/>
      <c r="AP15" s="12">
        <f t="shared" si="6"/>
        <v>74.67944</v>
      </c>
      <c r="AQ15" s="10">
        <f t="shared" si="7"/>
        <v>3468709.7360319877</v>
      </c>
      <c r="BB15" s="11">
        <v>3358057</v>
      </c>
      <c r="BC15" s="9">
        <v>75</v>
      </c>
      <c r="BD15" s="11">
        <v>3358057</v>
      </c>
      <c r="BE15" s="9"/>
      <c r="BF15" s="12">
        <f t="shared" si="8"/>
        <v>70.874940000000009</v>
      </c>
      <c r="BG15" s="10">
        <f t="shared" si="9"/>
        <v>3198374.4085879764</v>
      </c>
    </row>
    <row r="16" spans="2:59" x14ac:dyDescent="0.25">
      <c r="H16" s="13">
        <v>26143398</v>
      </c>
      <c r="I16" s="9">
        <v>500</v>
      </c>
      <c r="J16" s="13">
        <v>26143398</v>
      </c>
      <c r="K16" s="11">
        <f>AVERAGE(J16:J18)</f>
        <v>26301292.666666668</v>
      </c>
      <c r="L16" s="12">
        <f t="shared" si="0"/>
        <v>528.01106000000004</v>
      </c>
      <c r="M16" s="10">
        <f t="shared" si="1"/>
        <v>27932069.87638209</v>
      </c>
      <c r="N16" s="2">
        <f t="shared" si="2"/>
        <v>448.80940100000004</v>
      </c>
      <c r="O16" s="2">
        <f t="shared" si="3"/>
        <v>607.21271899999999</v>
      </c>
      <c r="W16" s="13">
        <v>25626289</v>
      </c>
      <c r="X16" s="9">
        <v>500</v>
      </c>
      <c r="Y16" s="13">
        <v>25626289</v>
      </c>
      <c r="Z16" s="11">
        <f>AVERAGE(Y16:Y18)</f>
        <v>25547897.666666668</v>
      </c>
      <c r="AA16" s="12">
        <f t="shared" si="4"/>
        <v>517.07748000000004</v>
      </c>
      <c r="AB16" s="10">
        <f t="shared" si="5"/>
        <v>26500906.847985949</v>
      </c>
      <c r="AL16" s="13">
        <v>25390064</v>
      </c>
      <c r="AM16" s="9">
        <v>500</v>
      </c>
      <c r="AN16" s="13">
        <v>25390064</v>
      </c>
      <c r="AO16" s="11">
        <f>AVERAGE(AN16:AN18)</f>
        <v>24997924.666666668</v>
      </c>
      <c r="AP16" s="12">
        <f t="shared" si="6"/>
        <v>512.07817999999997</v>
      </c>
      <c r="AQ16" s="10">
        <f t="shared" si="7"/>
        <v>25654347.288658284</v>
      </c>
      <c r="BB16" s="11">
        <v>24734451</v>
      </c>
      <c r="BC16" s="9">
        <v>500</v>
      </c>
      <c r="BD16" s="11">
        <v>24734451</v>
      </c>
      <c r="BE16" s="11">
        <f>AVERAGE(BD16:BD18)</f>
        <v>23960475.333333332</v>
      </c>
      <c r="BF16" s="12">
        <f t="shared" si="8"/>
        <v>498.40282000000002</v>
      </c>
      <c r="BG16" s="10">
        <f t="shared" si="9"/>
        <v>23878707.098022349</v>
      </c>
    </row>
    <row r="17" spans="2:59" x14ac:dyDescent="0.25">
      <c r="H17" s="11">
        <v>25966600</v>
      </c>
      <c r="I17" s="9">
        <v>500</v>
      </c>
      <c r="J17" s="11">
        <v>25966600</v>
      </c>
      <c r="K17" s="9"/>
      <c r="L17" s="12">
        <f t="shared" si="0"/>
        <v>524.4751</v>
      </c>
      <c r="M17" s="10">
        <f t="shared" si="1"/>
        <v>27725281.808512785</v>
      </c>
      <c r="N17" s="2">
        <f t="shared" si="2"/>
        <v>445.80383499999999</v>
      </c>
      <c r="O17" s="2">
        <f t="shared" si="3"/>
        <v>603.14636499999995</v>
      </c>
      <c r="W17" s="11">
        <v>25068265</v>
      </c>
      <c r="X17" s="9">
        <v>500</v>
      </c>
      <c r="Y17" s="11">
        <v>25068265</v>
      </c>
      <c r="Z17" s="9"/>
      <c r="AA17" s="12">
        <f t="shared" si="4"/>
        <v>505.91700000000003</v>
      </c>
      <c r="AB17" s="10">
        <f t="shared" si="5"/>
        <v>25877412.181737442</v>
      </c>
      <c r="AL17" s="11">
        <v>24703471</v>
      </c>
      <c r="AM17" s="9">
        <v>500</v>
      </c>
      <c r="AN17" s="11">
        <v>24703471</v>
      </c>
      <c r="AO17" s="9"/>
      <c r="AP17" s="12">
        <f t="shared" si="6"/>
        <v>498.34632000000005</v>
      </c>
      <c r="AQ17" s="10">
        <f t="shared" si="7"/>
        <v>24908527.878975593</v>
      </c>
      <c r="BB17" s="11">
        <v>23413967</v>
      </c>
      <c r="BC17" s="9">
        <v>500</v>
      </c>
      <c r="BD17" s="11">
        <v>23413967</v>
      </c>
      <c r="BE17" s="9"/>
      <c r="BF17" s="12">
        <f t="shared" si="8"/>
        <v>471.99314000000004</v>
      </c>
      <c r="BG17" s="10">
        <f t="shared" si="9"/>
        <v>22530752.515677784</v>
      </c>
    </row>
    <row r="18" spans="2:59" x14ac:dyDescent="0.25">
      <c r="H18" s="11">
        <v>26793880</v>
      </c>
      <c r="I18" s="9">
        <v>500</v>
      </c>
      <c r="J18" s="11">
        <v>26793880</v>
      </c>
      <c r="K18" s="9"/>
      <c r="L18" s="12">
        <f t="shared" si="0"/>
        <v>541.02070000000003</v>
      </c>
      <c r="M18" s="10">
        <f t="shared" si="1"/>
        <v>28695186.861553878</v>
      </c>
      <c r="N18" s="2">
        <f t="shared" si="2"/>
        <v>459.86759499999999</v>
      </c>
      <c r="O18" s="2">
        <f t="shared" si="3"/>
        <v>622.17380500000002</v>
      </c>
      <c r="W18" s="11">
        <v>25949139</v>
      </c>
      <c r="X18" s="9">
        <v>500</v>
      </c>
      <c r="Y18" s="11">
        <v>25949139</v>
      </c>
      <c r="Z18" s="9"/>
      <c r="AA18" s="12">
        <f t="shared" si="4"/>
        <v>523.53448000000003</v>
      </c>
      <c r="AB18" s="10">
        <f t="shared" si="5"/>
        <v>26862675.3693716</v>
      </c>
      <c r="AL18" s="11">
        <v>24900239</v>
      </c>
      <c r="AM18" s="9">
        <v>500</v>
      </c>
      <c r="AN18" s="11">
        <v>24900239</v>
      </c>
      <c r="AO18" s="9"/>
      <c r="AP18" s="12">
        <f t="shared" si="6"/>
        <v>502.28168000000005</v>
      </c>
      <c r="AQ18" s="10">
        <f t="shared" si="7"/>
        <v>25121942.543735512</v>
      </c>
      <c r="BB18" s="11">
        <v>23733008</v>
      </c>
      <c r="BC18" s="9">
        <v>500</v>
      </c>
      <c r="BD18" s="11">
        <v>23733008</v>
      </c>
      <c r="BE18" s="9"/>
      <c r="BF18" s="12">
        <f t="shared" si="8"/>
        <v>478.37396000000001</v>
      </c>
      <c r="BG18" s="10">
        <f t="shared" si="9"/>
        <v>22855580.517336216</v>
      </c>
    </row>
    <row r="21" spans="2:59" x14ac:dyDescent="0.25">
      <c r="J21" s="7"/>
      <c r="Y21" s="7"/>
      <c r="AN21" s="7"/>
      <c r="BD21" s="7"/>
    </row>
    <row r="22" spans="2:59" x14ac:dyDescent="0.25">
      <c r="L22" s="2"/>
      <c r="AA22" s="2"/>
    </row>
    <row r="24" spans="2:59" x14ac:dyDescent="0.25">
      <c r="B24" s="8"/>
      <c r="E24" s="8"/>
    </row>
    <row r="25" spans="2:59" ht="15.75" thickBot="1" x14ac:dyDescent="0.3">
      <c r="B25" s="8"/>
    </row>
    <row r="26" spans="2:59" ht="15.75" thickBot="1" x14ac:dyDescent="0.3">
      <c r="B26" s="46" t="s">
        <v>24</v>
      </c>
      <c r="C26" s="47"/>
      <c r="D26" s="48"/>
      <c r="E26" s="46" t="s">
        <v>25</v>
      </c>
      <c r="F26" s="47"/>
      <c r="G26" s="48"/>
      <c r="H26" s="54" t="s">
        <v>29</v>
      </c>
      <c r="I26" s="55"/>
      <c r="J26" s="56"/>
      <c r="K26" s="46" t="s">
        <v>30</v>
      </c>
      <c r="L26" s="47"/>
      <c r="M26" s="48"/>
      <c r="O26" s="53" t="s">
        <v>44</v>
      </c>
      <c r="P26" s="53"/>
    </row>
    <row r="27" spans="2:59" x14ac:dyDescent="0.25">
      <c r="B27" s="29" t="s">
        <v>4</v>
      </c>
      <c r="C27" s="15">
        <v>145.63</v>
      </c>
      <c r="D27" s="30">
        <f>(10.659*(C27^2))+(47263*C27)+5000</f>
        <v>7113967.7948570997</v>
      </c>
      <c r="E27" s="29" t="s">
        <v>4</v>
      </c>
      <c r="F27" s="15">
        <v>140.26</v>
      </c>
      <c r="G27" s="30">
        <f>(9.1411*(F27^2))+(46515*F27)+5000</f>
        <v>6709025.550018359</v>
      </c>
      <c r="H27" s="29" t="s">
        <v>4</v>
      </c>
      <c r="I27" s="15">
        <v>136.41999999999999</v>
      </c>
      <c r="J27" s="30">
        <f>(8.4767*(I27^2))+(45748*I27)+5000</f>
        <v>6403697.0766978795</v>
      </c>
      <c r="K27" s="29" t="s">
        <v>4</v>
      </c>
      <c r="L27" s="15">
        <v>129.25</v>
      </c>
      <c r="M27" s="30">
        <f>(6.6521*(L27^2))+(44585*L27)+5000</f>
        <v>5878738.3223062502</v>
      </c>
      <c r="O27" s="9">
        <f>C27*0.85</f>
        <v>123.7855</v>
      </c>
      <c r="P27" s="9">
        <f>C27*1.15</f>
        <v>167.47449999999998</v>
      </c>
    </row>
    <row r="28" spans="2:59" x14ac:dyDescent="0.25">
      <c r="B28" s="20" t="s">
        <v>39</v>
      </c>
      <c r="C28" s="9">
        <v>149.56</v>
      </c>
      <c r="D28" s="21">
        <f t="shared" ref="D28:D32" si="10">(10.659*(C28^2))+(47263*C28)+5000</f>
        <v>7312076.8555824002</v>
      </c>
      <c r="E28" s="20" t="s">
        <v>39</v>
      </c>
      <c r="F28" s="9">
        <v>142.34</v>
      </c>
      <c r="G28" s="21">
        <f t="shared" ref="G28:G35" si="11">(9.1411*(F28^2))+(46515*F28)+5000</f>
        <v>6811149.961727161</v>
      </c>
      <c r="H28" s="20" t="s">
        <v>39</v>
      </c>
      <c r="I28" s="9">
        <v>134.97999999999999</v>
      </c>
      <c r="J28" s="21">
        <f t="shared" ref="J28:J35" si="12">(8.4767*(I28^2))+(45748*I28)+5000</f>
        <v>6334507.1267106794</v>
      </c>
      <c r="K28" s="20" t="s">
        <v>39</v>
      </c>
      <c r="L28" s="9">
        <v>130.29</v>
      </c>
      <c r="M28" s="21">
        <f t="shared" ref="M28:M35" si="13">(6.6521*(L28^2))+(44585*L28)+5000</f>
        <v>5926902.2677816097</v>
      </c>
      <c r="O28" s="9">
        <f t="shared" ref="O28:O32" si="14">C28*0.85</f>
        <v>127.126</v>
      </c>
      <c r="P28" s="9">
        <f t="shared" ref="P28:P32" si="15">C28*1.15</f>
        <v>171.994</v>
      </c>
    </row>
    <row r="29" spans="2:59" x14ac:dyDescent="0.25">
      <c r="B29" s="20" t="s">
        <v>40</v>
      </c>
      <c r="C29" s="9">
        <v>156.24</v>
      </c>
      <c r="D29" s="21">
        <f t="shared" si="10"/>
        <v>7649567.3038784005</v>
      </c>
      <c r="E29" s="20" t="s">
        <v>40</v>
      </c>
      <c r="F29" s="9">
        <v>151.56</v>
      </c>
      <c r="G29" s="21">
        <f t="shared" si="11"/>
        <v>7264788.4305809606</v>
      </c>
      <c r="H29" s="20" t="s">
        <v>40</v>
      </c>
      <c r="I29" s="9">
        <v>145.65</v>
      </c>
      <c r="J29" s="21">
        <f t="shared" si="12"/>
        <v>6848020.2568557505</v>
      </c>
      <c r="K29" s="20" t="s">
        <v>40</v>
      </c>
      <c r="L29" s="9">
        <v>138.08000000000001</v>
      </c>
      <c r="M29" s="21">
        <f t="shared" si="13"/>
        <v>6288126.3133414406</v>
      </c>
      <c r="O29" s="9">
        <f t="shared" si="14"/>
        <v>132.804</v>
      </c>
      <c r="P29" s="9">
        <f t="shared" si="15"/>
        <v>179.67599999999999</v>
      </c>
    </row>
    <row r="30" spans="2:59" x14ac:dyDescent="0.25">
      <c r="B30" s="20" t="s">
        <v>5</v>
      </c>
      <c r="C30" s="9">
        <v>238.36</v>
      </c>
      <c r="D30" s="21">
        <f t="shared" si="10"/>
        <v>11876204.983646402</v>
      </c>
      <c r="E30" s="20" t="s">
        <v>5</v>
      </c>
      <c r="F30" s="9">
        <v>231.56</v>
      </c>
      <c r="G30" s="21">
        <f t="shared" si="11"/>
        <v>11266159.489140961</v>
      </c>
      <c r="H30" s="20" t="s">
        <v>5</v>
      </c>
      <c r="I30" s="9">
        <v>226.47</v>
      </c>
      <c r="J30" s="21">
        <f t="shared" si="12"/>
        <v>10800308.15185103</v>
      </c>
      <c r="K30" s="20" t="s">
        <v>5</v>
      </c>
      <c r="L30" s="9">
        <v>220.87</v>
      </c>
      <c r="M30" s="21">
        <f t="shared" si="13"/>
        <v>10177002.048854491</v>
      </c>
      <c r="O30" s="9">
        <f t="shared" si="14"/>
        <v>202.60599999999999</v>
      </c>
      <c r="P30" s="9">
        <f t="shared" si="15"/>
        <v>274.11399999999998</v>
      </c>
    </row>
    <row r="31" spans="2:59" x14ac:dyDescent="0.25">
      <c r="B31" s="20" t="s">
        <v>41</v>
      </c>
      <c r="C31" s="9">
        <v>264.83999999999997</v>
      </c>
      <c r="D31" s="21">
        <f t="shared" si="10"/>
        <v>13269757.584670398</v>
      </c>
      <c r="E31" s="20" t="s">
        <v>41</v>
      </c>
      <c r="F31" s="9">
        <v>256.33999999999997</v>
      </c>
      <c r="G31" s="21">
        <f t="shared" si="11"/>
        <v>12529318.56899916</v>
      </c>
      <c r="H31" s="20" t="s">
        <v>41</v>
      </c>
      <c r="I31" s="9">
        <v>249.51</v>
      </c>
      <c r="J31" s="21">
        <f t="shared" si="12"/>
        <v>11947302.473755671</v>
      </c>
      <c r="K31" s="20" t="s">
        <v>41</v>
      </c>
      <c r="L31" s="9">
        <v>242.85</v>
      </c>
      <c r="M31" s="21">
        <f t="shared" si="13"/>
        <v>11224782.314482249</v>
      </c>
      <c r="O31" s="9">
        <f t="shared" si="14"/>
        <v>225.11399999999998</v>
      </c>
      <c r="P31" s="9">
        <f t="shared" si="15"/>
        <v>304.56599999999997</v>
      </c>
    </row>
    <row r="32" spans="2:59" x14ac:dyDescent="0.25">
      <c r="B32" s="20" t="s">
        <v>42</v>
      </c>
      <c r="C32" s="9">
        <v>256.48</v>
      </c>
      <c r="D32" s="21">
        <f t="shared" si="10"/>
        <v>12828184.475673601</v>
      </c>
      <c r="E32" s="20" t="s">
        <v>42</v>
      </c>
      <c r="F32" s="9">
        <v>251.89</v>
      </c>
      <c r="G32" s="21">
        <f t="shared" si="11"/>
        <v>12301653.092423309</v>
      </c>
      <c r="H32" s="20" t="s">
        <v>42</v>
      </c>
      <c r="I32" s="9">
        <v>243.85</v>
      </c>
      <c r="J32" s="21">
        <f t="shared" si="12"/>
        <v>11664698.307485748</v>
      </c>
      <c r="K32" s="20" t="s">
        <v>42</v>
      </c>
      <c r="L32" s="9">
        <v>233.21</v>
      </c>
      <c r="M32" s="21">
        <f t="shared" si="13"/>
        <v>10764454.974763609</v>
      </c>
      <c r="O32" s="9">
        <f t="shared" si="14"/>
        <v>218.00800000000001</v>
      </c>
      <c r="P32" s="9">
        <f t="shared" si="15"/>
        <v>294.952</v>
      </c>
    </row>
    <row r="33" spans="2:47" x14ac:dyDescent="0.25">
      <c r="B33" s="22" t="s">
        <v>43</v>
      </c>
      <c r="C33" s="9">
        <v>5.96</v>
      </c>
      <c r="D33" s="21">
        <f t="shared" ref="D33:D35" si="16">(10.659*(C33^2))+(47263*C33)+5000</f>
        <v>287066.1047344</v>
      </c>
      <c r="E33" s="22" t="s">
        <v>43</v>
      </c>
      <c r="F33" s="19">
        <v>5.23</v>
      </c>
      <c r="G33" s="21">
        <f t="shared" si="11"/>
        <v>248523.48559419002</v>
      </c>
      <c r="H33" s="22" t="s">
        <v>43</v>
      </c>
      <c r="I33" s="9">
        <v>6.25</v>
      </c>
      <c r="J33" s="27">
        <f t="shared" si="12"/>
        <v>291256.12109375</v>
      </c>
      <c r="K33" s="22" t="s">
        <v>43</v>
      </c>
      <c r="L33" s="9">
        <v>6.43</v>
      </c>
      <c r="M33" s="21">
        <f t="shared" si="13"/>
        <v>291956.58040928998</v>
      </c>
    </row>
    <row r="34" spans="2:47" x14ac:dyDescent="0.25">
      <c r="B34" s="22" t="s">
        <v>43</v>
      </c>
      <c r="C34" s="9">
        <v>7.21</v>
      </c>
      <c r="D34" s="21">
        <f t="shared" si="16"/>
        <v>346320.3285219</v>
      </c>
      <c r="E34" s="22" t="s">
        <v>43</v>
      </c>
      <c r="F34" s="19">
        <v>6.89</v>
      </c>
      <c r="G34" s="21">
        <f t="shared" si="11"/>
        <v>325922.29721330997</v>
      </c>
      <c r="H34" s="22" t="s">
        <v>43</v>
      </c>
      <c r="I34" s="9">
        <v>7.29</v>
      </c>
      <c r="J34" s="27">
        <f t="shared" si="12"/>
        <v>338953.40659247001</v>
      </c>
      <c r="K34" s="22" t="s">
        <v>43</v>
      </c>
      <c r="L34" s="9">
        <v>6.86</v>
      </c>
      <c r="M34" s="21">
        <f t="shared" si="13"/>
        <v>311166.14516516001</v>
      </c>
    </row>
    <row r="35" spans="2:47" ht="15.75" thickBot="1" x14ac:dyDescent="0.3">
      <c r="B35" s="23" t="s">
        <v>43</v>
      </c>
      <c r="C35" s="24">
        <v>6.47</v>
      </c>
      <c r="D35" s="25">
        <f t="shared" si="16"/>
        <v>311237.80533309997</v>
      </c>
      <c r="E35" s="23" t="s">
        <v>43</v>
      </c>
      <c r="F35" s="26">
        <v>7.02</v>
      </c>
      <c r="G35" s="25">
        <f t="shared" si="11"/>
        <v>331985.77706444002</v>
      </c>
      <c r="H35" s="23" t="s">
        <v>43</v>
      </c>
      <c r="I35" s="24">
        <v>6.18</v>
      </c>
      <c r="J35" s="28">
        <f t="shared" si="12"/>
        <v>288046.38551708002</v>
      </c>
      <c r="K35" s="23" t="s">
        <v>43</v>
      </c>
      <c r="L35" s="24">
        <v>7.53</v>
      </c>
      <c r="M35" s="25">
        <f t="shared" si="13"/>
        <v>341102.23005689</v>
      </c>
    </row>
    <row r="36" spans="2:47" x14ac:dyDescent="0.25">
      <c r="B36" s="18"/>
      <c r="C36" s="18"/>
      <c r="D36" s="17"/>
      <c r="E36" s="18"/>
    </row>
    <row r="41" spans="2:47" x14ac:dyDescent="0.25">
      <c r="B41" t="s">
        <v>31</v>
      </c>
    </row>
    <row r="45" spans="2:47" x14ac:dyDescent="0.25">
      <c r="B45" t="s">
        <v>0</v>
      </c>
      <c r="P45" t="s">
        <v>0</v>
      </c>
      <c r="AE45" t="s">
        <v>0</v>
      </c>
      <c r="AU45" t="s">
        <v>0</v>
      </c>
    </row>
    <row r="51" spans="8:59" x14ac:dyDescent="0.25">
      <c r="H51" s="9" t="s">
        <v>31</v>
      </c>
      <c r="I51" s="9"/>
      <c r="J51" s="9" t="s">
        <v>27</v>
      </c>
      <c r="K51" s="9"/>
      <c r="L51" s="9"/>
      <c r="M51" s="9"/>
      <c r="W51" s="9" t="s">
        <v>31</v>
      </c>
      <c r="X51" s="49" t="s">
        <v>28</v>
      </c>
      <c r="Y51" s="50"/>
      <c r="Z51" s="50"/>
      <c r="AA51" s="50"/>
      <c r="AB51" s="51"/>
      <c r="AL51" s="9" t="s">
        <v>31</v>
      </c>
      <c r="AM51" s="49" t="s">
        <v>29</v>
      </c>
      <c r="AN51" s="50"/>
      <c r="AO51" s="50"/>
      <c r="AP51" s="50"/>
      <c r="AQ51" s="51"/>
      <c r="BB51" s="9" t="s">
        <v>31</v>
      </c>
      <c r="BC51" s="49" t="s">
        <v>30</v>
      </c>
      <c r="BD51" s="50"/>
      <c r="BE51" s="50"/>
      <c r="BF51" s="50"/>
      <c r="BG51" s="51"/>
    </row>
    <row r="52" spans="8:59" x14ac:dyDescent="0.25">
      <c r="H52" s="9"/>
      <c r="I52" s="9"/>
      <c r="J52" s="9"/>
      <c r="K52" s="9"/>
      <c r="L52" s="9"/>
      <c r="M52" s="9"/>
      <c r="W52" s="9"/>
      <c r="X52" s="9"/>
      <c r="Y52" s="9"/>
      <c r="Z52" s="9"/>
      <c r="AA52" s="9"/>
      <c r="AB52" s="9"/>
      <c r="AL52" s="9"/>
      <c r="AM52" s="9"/>
      <c r="AN52" s="9"/>
      <c r="AO52" s="9"/>
      <c r="AP52" s="9"/>
      <c r="AQ52" s="9"/>
      <c r="BB52" s="9"/>
      <c r="BC52" s="9"/>
      <c r="BD52" s="9"/>
      <c r="BE52" s="9"/>
      <c r="BF52" s="9"/>
      <c r="BG52" s="9"/>
    </row>
    <row r="53" spans="8:59" x14ac:dyDescent="0.25">
      <c r="H53" s="11">
        <v>5000</v>
      </c>
      <c r="I53" s="9">
        <v>0</v>
      </c>
      <c r="J53" s="11">
        <v>5000</v>
      </c>
      <c r="K53" s="9">
        <v>5000</v>
      </c>
      <c r="L53" s="12">
        <f>(J53*(2*10^-5)+5.3866)</f>
        <v>5.4865999999999993</v>
      </c>
      <c r="M53" s="10">
        <f>(11.39*(L53^2))+(47760*L53)+5000</f>
        <v>267382.88665918837</v>
      </c>
      <c r="N53" s="2">
        <f>L53*0.85</f>
        <v>4.6636099999999994</v>
      </c>
      <c r="O53" s="2">
        <f>L53*1.15</f>
        <v>6.3095899999999983</v>
      </c>
      <c r="W53" s="11">
        <v>5000</v>
      </c>
      <c r="X53" s="9">
        <v>0</v>
      </c>
      <c r="Y53" s="11">
        <v>5000</v>
      </c>
      <c r="Z53" s="9">
        <v>5000</v>
      </c>
      <c r="AA53" s="12">
        <f>(Y53*(2*10^-5)+4.5517)</f>
        <v>4.6516999999999999</v>
      </c>
      <c r="AB53" s="10">
        <f>(9.1411*(AA53^2))+(46515*AA53)+5000</f>
        <v>221571.62348195878</v>
      </c>
      <c r="AL53" s="11">
        <v>5000</v>
      </c>
      <c r="AM53" s="9">
        <v>0</v>
      </c>
      <c r="AN53" s="11">
        <v>5000</v>
      </c>
      <c r="AO53" s="9">
        <v>5000</v>
      </c>
      <c r="AP53" s="12">
        <f>(AN53*(2*10^-5)+4.4761)</f>
        <v>4.5760999999999994</v>
      </c>
      <c r="AQ53" s="10">
        <f>(8.8267*(AP53^2))+(45099*AP53)+5000</f>
        <v>211562.3710991033</v>
      </c>
      <c r="BB53" s="11">
        <v>5000</v>
      </c>
      <c r="BC53" s="9">
        <v>0</v>
      </c>
      <c r="BD53" s="11">
        <v>5000</v>
      </c>
      <c r="BE53" s="9">
        <v>5000</v>
      </c>
      <c r="BF53" s="12">
        <f>(BD53*(2*10^-5)+4.2051)</f>
        <v>4.3050999999999995</v>
      </c>
      <c r="BG53" s="10">
        <f>(8.117*(BF53^2))+(43890*BF53)+5000</f>
        <v>194101.27855274314</v>
      </c>
    </row>
    <row r="54" spans="8:59" x14ac:dyDescent="0.25">
      <c r="H54" s="11">
        <v>3672125</v>
      </c>
      <c r="I54" s="9">
        <v>75</v>
      </c>
      <c r="J54" s="11">
        <v>3672125</v>
      </c>
      <c r="K54" s="11">
        <f>AVERAGE(J54:J56)</f>
        <v>3651069</v>
      </c>
      <c r="L54" s="12">
        <f t="shared" ref="L54:L59" si="17">(J54*(2*10^-5)+5.3866)</f>
        <v>78.829100000000011</v>
      </c>
      <c r="M54" s="10">
        <f t="shared" ref="M54:M59" si="18">(11.39*(L54^2))+(47760*L54)+5000</f>
        <v>3840655.5836075665</v>
      </c>
      <c r="N54" s="2">
        <f t="shared" ref="N54:N59" si="19">L54*0.85</f>
        <v>67.004735000000011</v>
      </c>
      <c r="O54" s="2">
        <f t="shared" ref="O54:O59" si="20">L54*1.15</f>
        <v>90.653465000000011</v>
      </c>
      <c r="W54" s="11">
        <v>3495809</v>
      </c>
      <c r="X54" s="9">
        <v>75</v>
      </c>
      <c r="Y54" s="11">
        <v>3495809</v>
      </c>
      <c r="Z54" s="11">
        <f>AVERAGE(Y54:Y56)</f>
        <v>3545063.6666666665</v>
      </c>
      <c r="AA54" s="12">
        <f t="shared" ref="AA54:AA59" si="21">(Y54*(2*10^-5)+4.5517)</f>
        <v>74.467880000000008</v>
      </c>
      <c r="AB54" s="10">
        <f t="shared" ref="AB54:AB59" si="22">(9.1411*(AA54^2))+(46515*AA54)+5000</f>
        <v>3519565.089698154</v>
      </c>
      <c r="AL54" s="11">
        <v>3432568</v>
      </c>
      <c r="AM54" s="9">
        <v>75</v>
      </c>
      <c r="AN54" s="11">
        <v>3432568</v>
      </c>
      <c r="AO54" s="11">
        <f>AVERAGE(AN54:AN56)</f>
        <v>3437078.6666666665</v>
      </c>
      <c r="AP54" s="12">
        <f t="shared" ref="AP54:AP59" si="23">(AN54*(2*10^-5)+4.4761)</f>
        <v>73.127460000000013</v>
      </c>
      <c r="AQ54" s="10">
        <f t="shared" ref="AQ54:AQ59" si="24">(8.8267*(AP54^2))+(45099*AP54)+5000</f>
        <v>3350177.2037115963</v>
      </c>
      <c r="BB54" s="11">
        <v>3280190</v>
      </c>
      <c r="BC54" s="9">
        <v>75</v>
      </c>
      <c r="BD54" s="11">
        <v>3280190</v>
      </c>
      <c r="BE54" s="11">
        <f>AVERAGE(BD54:BD56)</f>
        <v>3342402</v>
      </c>
      <c r="BF54" s="12">
        <f t="shared" ref="BF54:BF59" si="25">(BD54*(2*10^-5)+4.2051)</f>
        <v>69.808900000000008</v>
      </c>
      <c r="BG54" s="10">
        <f t="shared" ref="BG54:BG59" si="26">(8.117*(BF54^2))+(43890*BF54)+5000</f>
        <v>3108469.0552084278</v>
      </c>
    </row>
    <row r="55" spans="8:59" x14ac:dyDescent="0.25">
      <c r="H55" s="11">
        <v>3569407</v>
      </c>
      <c r="I55" s="9">
        <v>75</v>
      </c>
      <c r="J55" s="11">
        <v>3569407</v>
      </c>
      <c r="K55" s="9"/>
      <c r="L55" s="12">
        <f t="shared" si="17"/>
        <v>76.774740000000008</v>
      </c>
      <c r="M55" s="10">
        <f t="shared" si="18"/>
        <v>3738898.35079655</v>
      </c>
      <c r="N55" s="2">
        <f t="shared" si="19"/>
        <v>65.25852900000001</v>
      </c>
      <c r="O55" s="2">
        <f t="shared" si="20"/>
        <v>88.290951000000007</v>
      </c>
      <c r="W55" s="11">
        <v>3586931</v>
      </c>
      <c r="X55" s="9">
        <v>75</v>
      </c>
      <c r="Y55" s="11">
        <v>3586931</v>
      </c>
      <c r="Z55" s="9"/>
      <c r="AA55" s="12">
        <f t="shared" si="21"/>
        <v>76.290320000000008</v>
      </c>
      <c r="AB55" s="10">
        <f t="shared" si="22"/>
        <v>3606847.3831751384</v>
      </c>
      <c r="AL55" s="11">
        <v>3458541</v>
      </c>
      <c r="AM55" s="9">
        <v>75</v>
      </c>
      <c r="AN55" s="11">
        <v>3458541</v>
      </c>
      <c r="AO55" s="9"/>
      <c r="AP55" s="12">
        <f t="shared" si="23"/>
        <v>73.646920000000009</v>
      </c>
      <c r="AQ55" s="10">
        <f t="shared" si="24"/>
        <v>3374277.3080419214</v>
      </c>
      <c r="BB55" s="11">
        <v>3387874</v>
      </c>
      <c r="BC55" s="9">
        <v>75</v>
      </c>
      <c r="BD55" s="11">
        <v>3387874</v>
      </c>
      <c r="BE55" s="9"/>
      <c r="BF55" s="12">
        <f t="shared" si="25"/>
        <v>71.962580000000003</v>
      </c>
      <c r="BG55" s="10">
        <f t="shared" si="26"/>
        <v>3205472.4372737212</v>
      </c>
    </row>
    <row r="56" spans="8:59" x14ac:dyDescent="0.25">
      <c r="H56" s="11">
        <v>3711675</v>
      </c>
      <c r="I56" s="9">
        <v>75</v>
      </c>
      <c r="J56" s="11">
        <v>3711675</v>
      </c>
      <c r="K56" s="9"/>
      <c r="L56" s="12">
        <f t="shared" si="17"/>
        <v>79.620100000000008</v>
      </c>
      <c r="M56" s="10">
        <f t="shared" si="18"/>
        <v>3879861.2900904743</v>
      </c>
      <c r="N56" s="2">
        <f t="shared" si="19"/>
        <v>67.677085000000005</v>
      </c>
      <c r="O56" s="2">
        <f t="shared" si="20"/>
        <v>91.563114999999996</v>
      </c>
      <c r="W56" s="11">
        <v>3552451</v>
      </c>
      <c r="X56" s="9">
        <v>75</v>
      </c>
      <c r="Y56" s="11">
        <v>3552451</v>
      </c>
      <c r="Z56" s="9"/>
      <c r="AA56" s="12">
        <f t="shared" si="21"/>
        <v>75.600719999999995</v>
      </c>
      <c r="AB56" s="10">
        <f t="shared" si="22"/>
        <v>3573813.1632374488</v>
      </c>
      <c r="AL56" s="11">
        <v>3420127</v>
      </c>
      <c r="AM56" s="9">
        <v>75</v>
      </c>
      <c r="AN56" s="11">
        <v>3420127</v>
      </c>
      <c r="AO56" s="9"/>
      <c r="AP56" s="12">
        <f t="shared" si="23"/>
        <v>72.878640000000004</v>
      </c>
      <c r="AQ56" s="10">
        <f t="shared" si="24"/>
        <v>3338635.0032482888</v>
      </c>
      <c r="BB56" s="11">
        <v>3359142</v>
      </c>
      <c r="BC56" s="9">
        <v>75</v>
      </c>
      <c r="BD56" s="11">
        <v>3359142</v>
      </c>
      <c r="BE56" s="9"/>
      <c r="BF56" s="12">
        <f t="shared" si="25"/>
        <v>71.38794</v>
      </c>
      <c r="BG56" s="10">
        <f t="shared" si="26"/>
        <v>3179582.8502629097</v>
      </c>
    </row>
    <row r="57" spans="8:59" x14ac:dyDescent="0.25">
      <c r="H57" s="13">
        <v>26613730</v>
      </c>
      <c r="I57" s="9">
        <v>500</v>
      </c>
      <c r="J57" s="13">
        <v>26613730</v>
      </c>
      <c r="K57" s="11">
        <f>AVERAGE(J57:J59)</f>
        <v>26732484</v>
      </c>
      <c r="L57" s="12">
        <f t="shared" si="17"/>
        <v>537.66120000000012</v>
      </c>
      <c r="M57" s="10">
        <f t="shared" si="18"/>
        <v>28976315.168574166</v>
      </c>
      <c r="N57" s="2">
        <f t="shared" si="19"/>
        <v>457.01202000000006</v>
      </c>
      <c r="O57" s="2">
        <f t="shared" si="20"/>
        <v>618.31038000000012</v>
      </c>
      <c r="W57" s="13">
        <v>25626289</v>
      </c>
      <c r="X57" s="9">
        <v>500</v>
      </c>
      <c r="Y57" s="13">
        <v>25626289</v>
      </c>
      <c r="Z57" s="11">
        <f>AVERAGE(Y57:Y59)</f>
        <v>25547897.666666668</v>
      </c>
      <c r="AA57" s="12">
        <f t="shared" si="21"/>
        <v>517.07748000000004</v>
      </c>
      <c r="AB57" s="10">
        <f t="shared" si="22"/>
        <v>26500906.847985949</v>
      </c>
      <c r="AL57" s="13">
        <v>24415637</v>
      </c>
      <c r="AM57" s="9">
        <v>500</v>
      </c>
      <c r="AN57" s="13">
        <v>24415637</v>
      </c>
      <c r="AO57" s="11">
        <f>AVERAGE(AN57:AN59)</f>
        <v>24761194.666666668</v>
      </c>
      <c r="AP57" s="12">
        <f t="shared" si="23"/>
        <v>492.78883999999999</v>
      </c>
      <c r="AQ57" s="10">
        <f t="shared" si="24"/>
        <v>24372767.144901324</v>
      </c>
      <c r="BB57" s="11">
        <v>24111253</v>
      </c>
      <c r="BC57" s="9">
        <v>500</v>
      </c>
      <c r="BD57" s="11">
        <v>24111253</v>
      </c>
      <c r="BE57" s="11">
        <f>AVERAGE(BD57:BD59)</f>
        <v>23979209.333333332</v>
      </c>
      <c r="BF57" s="12">
        <f t="shared" si="25"/>
        <v>486.43016000000006</v>
      </c>
      <c r="BG57" s="10">
        <f t="shared" si="26"/>
        <v>23275018.000026248</v>
      </c>
    </row>
    <row r="58" spans="8:59" x14ac:dyDescent="0.25">
      <c r="H58" s="11">
        <v>27164754</v>
      </c>
      <c r="I58" s="9">
        <v>500</v>
      </c>
      <c r="J58" s="11">
        <v>27164754</v>
      </c>
      <c r="K58" s="9"/>
      <c r="L58" s="12">
        <f t="shared" si="17"/>
        <v>548.68168000000014</v>
      </c>
      <c r="M58" s="10">
        <f t="shared" si="18"/>
        <v>29639014.600971229</v>
      </c>
      <c r="N58" s="2">
        <f t="shared" si="19"/>
        <v>466.37942800000013</v>
      </c>
      <c r="O58" s="2">
        <f t="shared" si="20"/>
        <v>630.9839320000001</v>
      </c>
      <c r="W58" s="11">
        <v>25068265</v>
      </c>
      <c r="X58" s="9">
        <v>500</v>
      </c>
      <c r="Y58" s="11">
        <v>25068265</v>
      </c>
      <c r="Z58" s="9"/>
      <c r="AA58" s="12">
        <f t="shared" si="21"/>
        <v>505.91700000000003</v>
      </c>
      <c r="AB58" s="10">
        <f t="shared" si="22"/>
        <v>25877412.181737442</v>
      </c>
      <c r="AL58" s="11">
        <v>24916080</v>
      </c>
      <c r="AM58" s="9">
        <v>500</v>
      </c>
      <c r="AN58" s="11">
        <v>24916080</v>
      </c>
      <c r="AO58" s="9"/>
      <c r="AP58" s="12">
        <f t="shared" si="23"/>
        <v>502.79770000000002</v>
      </c>
      <c r="AQ58" s="10">
        <f t="shared" si="24"/>
        <v>24912112.018576797</v>
      </c>
      <c r="BB58" s="11">
        <v>23873417</v>
      </c>
      <c r="BC58" s="9">
        <v>500</v>
      </c>
      <c r="BD58" s="11">
        <v>23873417</v>
      </c>
      <c r="BE58" s="9"/>
      <c r="BF58" s="12">
        <f t="shared" si="25"/>
        <v>481.67344000000003</v>
      </c>
      <c r="BG58" s="10">
        <f t="shared" si="26"/>
        <v>23028866.792439237</v>
      </c>
    </row>
    <row r="59" spans="8:59" x14ac:dyDescent="0.25">
      <c r="H59" s="11">
        <v>26418968</v>
      </c>
      <c r="I59" s="9">
        <v>500</v>
      </c>
      <c r="J59" s="11">
        <v>26418968</v>
      </c>
      <c r="K59" s="9"/>
      <c r="L59" s="12">
        <f t="shared" si="17"/>
        <v>533.76596000000006</v>
      </c>
      <c r="M59" s="10">
        <f t="shared" si="18"/>
        <v>28742742.729223285</v>
      </c>
      <c r="N59" s="2">
        <f t="shared" si="19"/>
        <v>453.70106600000003</v>
      </c>
      <c r="O59" s="2">
        <f t="shared" si="20"/>
        <v>613.83085400000004</v>
      </c>
      <c r="W59" s="11">
        <v>25949139</v>
      </c>
      <c r="X59" s="9">
        <v>500</v>
      </c>
      <c r="Y59" s="11">
        <v>25949139</v>
      </c>
      <c r="Z59" s="9"/>
      <c r="AA59" s="12">
        <f t="shared" si="21"/>
        <v>523.53448000000003</v>
      </c>
      <c r="AB59" s="10">
        <f t="shared" si="22"/>
        <v>26862675.3693716</v>
      </c>
      <c r="AL59" s="11">
        <v>24951867</v>
      </c>
      <c r="AM59" s="9">
        <v>500</v>
      </c>
      <c r="AN59" s="11">
        <v>24951867</v>
      </c>
      <c r="AO59" s="9"/>
      <c r="AP59" s="12">
        <f t="shared" si="23"/>
        <v>503.51344</v>
      </c>
      <c r="AQ59" s="10">
        <f t="shared" si="24"/>
        <v>24950748.670493335</v>
      </c>
      <c r="BB59" s="11">
        <v>23952958</v>
      </c>
      <c r="BC59" s="9">
        <v>500</v>
      </c>
      <c r="BD59" s="11">
        <v>23952958</v>
      </c>
      <c r="BE59" s="9"/>
      <c r="BF59" s="12">
        <f t="shared" si="25"/>
        <v>483.26426000000004</v>
      </c>
      <c r="BG59" s="10">
        <f t="shared" si="26"/>
        <v>23111147.819711007</v>
      </c>
    </row>
    <row r="62" spans="8:59" x14ac:dyDescent="0.25">
      <c r="J62" s="7"/>
      <c r="Y62" s="7"/>
      <c r="AN62" s="7"/>
      <c r="BD62" s="7"/>
    </row>
    <row r="63" spans="8:59" x14ac:dyDescent="0.25">
      <c r="L63" s="2"/>
      <c r="AA63" s="2"/>
    </row>
    <row r="65" spans="2:16" x14ac:dyDescent="0.25">
      <c r="B65" s="8"/>
      <c r="E65" s="8"/>
    </row>
    <row r="66" spans="2:16" ht="15.75" thickBot="1" x14ac:dyDescent="0.3">
      <c r="B66" s="8"/>
    </row>
    <row r="67" spans="2:16" ht="15.75" thickBot="1" x14ac:dyDescent="0.3">
      <c r="B67" s="46" t="s">
        <v>24</v>
      </c>
      <c r="C67" s="47"/>
      <c r="D67" s="48"/>
      <c r="E67" s="46" t="s">
        <v>25</v>
      </c>
      <c r="F67" s="47"/>
      <c r="G67" s="48"/>
      <c r="H67" s="46" t="s">
        <v>29</v>
      </c>
      <c r="I67" s="47"/>
      <c r="J67" s="48"/>
      <c r="K67" s="46" t="s">
        <v>30</v>
      </c>
      <c r="L67" s="47"/>
      <c r="M67" s="48"/>
      <c r="O67" s="53" t="s">
        <v>44</v>
      </c>
      <c r="P67" s="53"/>
    </row>
    <row r="68" spans="2:16" x14ac:dyDescent="0.25">
      <c r="B68" s="29" t="s">
        <v>4</v>
      </c>
      <c r="C68" s="15">
        <v>135.88999999999999</v>
      </c>
      <c r="D68" s="30">
        <f>(11.39*(C68^2))+(47760*C68)+5000</f>
        <v>6705435.1890189992</v>
      </c>
      <c r="E68" s="29" t="s">
        <v>4</v>
      </c>
      <c r="F68" s="15">
        <v>131.47</v>
      </c>
      <c r="G68" s="30">
        <f t="shared" ref="G68:G76" si="27">(9.1411*(F68^2))+(46515*F68)+5000</f>
        <v>6278325.1214229902</v>
      </c>
      <c r="H68" s="29" t="s">
        <v>4</v>
      </c>
      <c r="I68" s="15">
        <v>127.31</v>
      </c>
      <c r="J68" s="30">
        <f>(8.8267*(I68^2))+(45099*I68)+5000</f>
        <v>5889615.3969038706</v>
      </c>
      <c r="K68" s="29" t="s">
        <v>4</v>
      </c>
      <c r="L68" s="15">
        <v>120.87</v>
      </c>
      <c r="M68" s="30">
        <f>(8.117*(L68^2))+(43890*L68)+5000</f>
        <v>5428570.0733572999</v>
      </c>
      <c r="O68" s="9">
        <f>C68*0.85</f>
        <v>115.50649999999999</v>
      </c>
      <c r="P68" s="9">
        <f>C68*1.15</f>
        <v>156.27349999999998</v>
      </c>
    </row>
    <row r="69" spans="2:16" x14ac:dyDescent="0.25">
      <c r="B69" s="20" t="s">
        <v>39</v>
      </c>
      <c r="C69" s="9">
        <v>142.35</v>
      </c>
      <c r="D69" s="21">
        <f t="shared" ref="D69:D76" si="28">(11.39*(C69^2))+(47760*C69)+5000</f>
        <v>7034437.5212749997</v>
      </c>
      <c r="E69" s="20" t="s">
        <v>39</v>
      </c>
      <c r="F69" s="9">
        <v>138.09</v>
      </c>
      <c r="G69" s="21">
        <f t="shared" si="27"/>
        <v>6602566.5973669104</v>
      </c>
      <c r="H69" s="20" t="s">
        <v>39</v>
      </c>
      <c r="I69" s="9">
        <v>133.47999999999999</v>
      </c>
      <c r="J69" s="21">
        <f t="shared" ref="J69:J76" si="29">(8.8267*(I69^2))+(45099*I69)+5000</f>
        <v>6182079.0430276794</v>
      </c>
      <c r="K69" s="20" t="s">
        <v>39</v>
      </c>
      <c r="L69" s="9">
        <v>127.54</v>
      </c>
      <c r="M69" s="21">
        <f t="shared" ref="M69:M76" si="30">(8.117*(L69^2))+(43890*L69)+5000</f>
        <v>5734765.3876372008</v>
      </c>
      <c r="O69" s="9">
        <f t="shared" ref="O69:O73" si="31">C69*0.85</f>
        <v>120.99749999999999</v>
      </c>
      <c r="P69" s="9">
        <f t="shared" ref="P69:P73" si="32">C69*1.15</f>
        <v>163.70249999999999</v>
      </c>
    </row>
    <row r="70" spans="2:16" x14ac:dyDescent="0.25">
      <c r="B70" s="20" t="s">
        <v>40</v>
      </c>
      <c r="C70" s="9">
        <v>145.28</v>
      </c>
      <c r="D70" s="21">
        <f t="shared" si="28"/>
        <v>7183973.3109759996</v>
      </c>
      <c r="E70" s="20" t="s">
        <v>40</v>
      </c>
      <c r="F70" s="9">
        <v>140.57</v>
      </c>
      <c r="G70" s="21">
        <f t="shared" si="27"/>
        <v>6724240.9995033899</v>
      </c>
      <c r="H70" s="20" t="s">
        <v>40</v>
      </c>
      <c r="I70" s="9">
        <v>138.94999999999999</v>
      </c>
      <c r="J70" s="21">
        <f t="shared" si="29"/>
        <v>6441924.0516367499</v>
      </c>
      <c r="K70" s="20" t="s">
        <v>40</v>
      </c>
      <c r="L70" s="9">
        <v>130.53</v>
      </c>
      <c r="M70" s="21">
        <f t="shared" si="30"/>
        <v>5872259.8026653007</v>
      </c>
      <c r="O70" s="9">
        <f t="shared" si="31"/>
        <v>123.488</v>
      </c>
      <c r="P70" s="9">
        <f t="shared" si="32"/>
        <v>167.07199999999997</v>
      </c>
    </row>
    <row r="71" spans="2:16" x14ac:dyDescent="0.25">
      <c r="B71" s="20" t="s">
        <v>5</v>
      </c>
      <c r="C71" s="9">
        <v>234.2</v>
      </c>
      <c r="D71" s="21">
        <f t="shared" si="28"/>
        <v>11815129.399599999</v>
      </c>
      <c r="E71" s="20" t="s">
        <v>5</v>
      </c>
      <c r="F71" s="9">
        <v>230.25</v>
      </c>
      <c r="G71" s="21">
        <f t="shared" si="27"/>
        <v>11199694.73781875</v>
      </c>
      <c r="H71" s="20" t="s">
        <v>5</v>
      </c>
      <c r="I71" s="9">
        <v>226.14</v>
      </c>
      <c r="J71" s="21">
        <f t="shared" si="29"/>
        <v>10655079.11577932</v>
      </c>
      <c r="K71" s="20" t="s">
        <v>5</v>
      </c>
      <c r="L71" s="9">
        <v>218.07</v>
      </c>
      <c r="M71" s="21">
        <f>(8.117*(L71^2))+(43890*L71)+5000</f>
        <v>9962092.3786132988</v>
      </c>
      <c r="O71" s="9">
        <f t="shared" si="31"/>
        <v>199.07</v>
      </c>
      <c r="P71" s="9">
        <f t="shared" si="32"/>
        <v>269.33</v>
      </c>
    </row>
    <row r="72" spans="2:16" x14ac:dyDescent="0.25">
      <c r="B72" s="20" t="s">
        <v>41</v>
      </c>
      <c r="C72" s="9">
        <v>276.45999999999998</v>
      </c>
      <c r="D72" s="21">
        <f t="shared" si="28"/>
        <v>14079268.798923999</v>
      </c>
      <c r="E72" s="20" t="s">
        <v>41</v>
      </c>
      <c r="F72" s="9">
        <v>272.48</v>
      </c>
      <c r="G72" s="21">
        <f t="shared" si="27"/>
        <v>13358091.372541441</v>
      </c>
      <c r="H72" s="20" t="s">
        <v>41</v>
      </c>
      <c r="I72" s="9">
        <v>267.25</v>
      </c>
      <c r="J72" s="21">
        <f t="shared" si="29"/>
        <v>12688133.28241875</v>
      </c>
      <c r="K72" s="20" t="s">
        <v>41</v>
      </c>
      <c r="L72" s="9">
        <v>259.41000000000003</v>
      </c>
      <c r="M72" s="21">
        <f t="shared" si="30"/>
        <v>11936726.6299277</v>
      </c>
      <c r="O72" s="9">
        <f t="shared" si="31"/>
        <v>234.99099999999999</v>
      </c>
      <c r="P72" s="9">
        <f t="shared" si="32"/>
        <v>317.92899999999997</v>
      </c>
    </row>
    <row r="73" spans="2:16" x14ac:dyDescent="0.25">
      <c r="B73" s="20" t="s">
        <v>42</v>
      </c>
      <c r="C73" s="9">
        <v>245.68</v>
      </c>
      <c r="D73" s="21">
        <f t="shared" si="28"/>
        <v>12426161.964736002</v>
      </c>
      <c r="E73" s="20" t="s">
        <v>42</v>
      </c>
      <c r="F73" s="9">
        <v>242.57</v>
      </c>
      <c r="G73" s="21">
        <f t="shared" si="27"/>
        <v>11826007.74701139</v>
      </c>
      <c r="H73" s="20" t="s">
        <v>42</v>
      </c>
      <c r="I73" s="9">
        <v>236.5</v>
      </c>
      <c r="J73" s="21">
        <f t="shared" si="29"/>
        <v>11164610.691075001</v>
      </c>
      <c r="K73" s="20" t="s">
        <v>42</v>
      </c>
      <c r="L73" s="9">
        <v>236.81</v>
      </c>
      <c r="M73" s="21">
        <f t="shared" si="30"/>
        <v>10853783.9490037</v>
      </c>
      <c r="O73" s="9">
        <f t="shared" si="31"/>
        <v>208.828</v>
      </c>
      <c r="P73" s="9">
        <f t="shared" si="32"/>
        <v>282.53199999999998</v>
      </c>
    </row>
    <row r="74" spans="2:16" x14ac:dyDescent="0.25">
      <c r="B74" s="22" t="s">
        <v>43</v>
      </c>
      <c r="C74" s="9">
        <v>8.56</v>
      </c>
      <c r="D74" s="21">
        <f t="shared" si="28"/>
        <v>414660.18630400003</v>
      </c>
      <c r="E74" s="22" t="s">
        <v>43</v>
      </c>
      <c r="F74" s="9">
        <v>5.96</v>
      </c>
      <c r="G74" s="21">
        <f t="shared" si="27"/>
        <v>282554.10649776005</v>
      </c>
      <c r="H74" s="22" t="s">
        <v>43</v>
      </c>
      <c r="I74" s="9">
        <v>6.21</v>
      </c>
      <c r="J74" s="21">
        <f t="shared" si="29"/>
        <v>285405.18374146998</v>
      </c>
      <c r="K74" s="22" t="s">
        <v>43</v>
      </c>
      <c r="L74" s="19">
        <v>5.98</v>
      </c>
      <c r="M74" s="21">
        <f t="shared" si="30"/>
        <v>267752.46716679999</v>
      </c>
    </row>
    <row r="75" spans="2:16" x14ac:dyDescent="0.25">
      <c r="B75" s="22" t="s">
        <v>43</v>
      </c>
      <c r="C75" s="9">
        <v>5.25</v>
      </c>
      <c r="D75" s="21">
        <f t="shared" si="28"/>
        <v>256053.93687500001</v>
      </c>
      <c r="E75" s="22" t="s">
        <v>43</v>
      </c>
      <c r="F75" s="9">
        <v>6.49</v>
      </c>
      <c r="G75" s="21">
        <f t="shared" si="27"/>
        <v>307267.37404611002</v>
      </c>
      <c r="H75" s="22" t="s">
        <v>43</v>
      </c>
      <c r="I75" s="9">
        <v>7.18</v>
      </c>
      <c r="J75" s="21">
        <f t="shared" si="29"/>
        <v>329265.85756908002</v>
      </c>
      <c r="K75" s="22" t="s">
        <v>43</v>
      </c>
      <c r="L75" s="19">
        <v>7.89</v>
      </c>
      <c r="M75" s="21">
        <f t="shared" si="30"/>
        <v>351797.4002957</v>
      </c>
    </row>
    <row r="76" spans="2:16" ht="15.75" thickBot="1" x14ac:dyDescent="0.3">
      <c r="B76" s="23" t="s">
        <v>43</v>
      </c>
      <c r="C76" s="24">
        <v>6.21</v>
      </c>
      <c r="D76" s="25">
        <f t="shared" si="28"/>
        <v>302028.84509899997</v>
      </c>
      <c r="E76" s="23" t="s">
        <v>43</v>
      </c>
      <c r="F76" s="24">
        <v>7.25</v>
      </c>
      <c r="G76" s="25">
        <f t="shared" si="27"/>
        <v>342714.22906874999</v>
      </c>
      <c r="H76" s="23" t="s">
        <v>43</v>
      </c>
      <c r="I76" s="24">
        <v>6.48</v>
      </c>
      <c r="J76" s="25">
        <f t="shared" si="29"/>
        <v>297612.15666368004</v>
      </c>
      <c r="K76" s="23" t="s">
        <v>43</v>
      </c>
      <c r="L76" s="26">
        <v>6.45</v>
      </c>
      <c r="M76" s="25">
        <f t="shared" si="30"/>
        <v>288428.1874925</v>
      </c>
    </row>
    <row r="78" spans="2:16" x14ac:dyDescent="0.25">
      <c r="B78" t="s">
        <v>32</v>
      </c>
    </row>
    <row r="82" spans="2:59" x14ac:dyDescent="0.25">
      <c r="B82" t="s">
        <v>0</v>
      </c>
      <c r="P82" t="s">
        <v>0</v>
      </c>
      <c r="AE82" t="s">
        <v>0</v>
      </c>
      <c r="AU82" t="s">
        <v>0</v>
      </c>
    </row>
    <row r="88" spans="2:59" x14ac:dyDescent="0.25">
      <c r="H88" s="9" t="s">
        <v>32</v>
      </c>
      <c r="I88" s="9"/>
      <c r="J88" s="9" t="s">
        <v>27</v>
      </c>
      <c r="K88" s="9"/>
      <c r="L88" s="9"/>
      <c r="M88" s="9"/>
      <c r="W88" s="9" t="s">
        <v>32</v>
      </c>
      <c r="X88" s="49" t="s">
        <v>28</v>
      </c>
      <c r="Y88" s="50"/>
      <c r="Z88" s="50"/>
      <c r="AA88" s="50"/>
      <c r="AB88" s="51"/>
      <c r="AL88" s="9" t="s">
        <v>26</v>
      </c>
      <c r="AM88" s="49" t="s">
        <v>29</v>
      </c>
      <c r="AN88" s="50"/>
      <c r="AO88" s="50"/>
      <c r="AP88" s="50"/>
      <c r="AQ88" s="51"/>
      <c r="BB88" s="9" t="s">
        <v>26</v>
      </c>
      <c r="BC88" s="49" t="s">
        <v>30</v>
      </c>
      <c r="BD88" s="50"/>
      <c r="BE88" s="50"/>
      <c r="BF88" s="50"/>
      <c r="BG88" s="51"/>
    </row>
    <row r="89" spans="2:59" x14ac:dyDescent="0.25">
      <c r="H89" s="9"/>
      <c r="I89" s="9"/>
      <c r="J89" s="9"/>
      <c r="K89" s="9"/>
      <c r="L89" s="9"/>
      <c r="M89" s="9"/>
      <c r="W89" s="9"/>
      <c r="X89" s="9"/>
      <c r="Y89" s="9"/>
      <c r="Z89" s="9"/>
      <c r="AA89" s="9"/>
      <c r="AB89" s="9"/>
      <c r="AL89" s="9"/>
      <c r="AM89" s="9"/>
      <c r="AN89" s="9"/>
      <c r="AO89" s="9"/>
      <c r="AP89" s="9"/>
      <c r="AQ89" s="9"/>
      <c r="BB89" s="9"/>
      <c r="BC89" s="9"/>
      <c r="BD89" s="9"/>
      <c r="BE89" s="9"/>
      <c r="BF89" s="9"/>
      <c r="BG89" s="9"/>
    </row>
    <row r="90" spans="2:59" x14ac:dyDescent="0.25">
      <c r="H90" s="11">
        <v>5000</v>
      </c>
      <c r="I90" s="9">
        <v>0</v>
      </c>
      <c r="J90" s="11">
        <v>5000</v>
      </c>
      <c r="K90" s="9">
        <v>5000</v>
      </c>
      <c r="L90" s="12">
        <f>(J90*(2*10^-5)+5.072)</f>
        <v>5.1719999999999997</v>
      </c>
      <c r="M90" s="10">
        <f>(10.983*(L90^2))+(48910*L90)+5000</f>
        <v>258256.31068107198</v>
      </c>
      <c r="N90" s="2">
        <f>L90*0.85</f>
        <v>4.3961999999999994</v>
      </c>
      <c r="O90" s="2">
        <f>L90*1.15</f>
        <v>5.9477999999999991</v>
      </c>
      <c r="W90" s="11">
        <v>5000</v>
      </c>
      <c r="X90" s="9">
        <v>0</v>
      </c>
      <c r="Y90" s="11">
        <v>5000</v>
      </c>
      <c r="Z90" s="9">
        <v>5000</v>
      </c>
      <c r="AA90" s="12">
        <f>(Y90*(2*10^-5)+4.6374)</f>
        <v>4.7374000000000001</v>
      </c>
      <c r="AB90" s="10">
        <f>(9.4802*(AA90^2))+(47972*AA90)+5000</f>
        <v>232475.31653763657</v>
      </c>
      <c r="AL90" s="11">
        <v>5000</v>
      </c>
      <c r="AM90" s="9">
        <v>0</v>
      </c>
      <c r="AN90" s="11">
        <v>5000</v>
      </c>
      <c r="AO90" s="9">
        <v>5000</v>
      </c>
      <c r="AP90" s="12">
        <f>(AN90*(2*10^-5)+6.8348)</f>
        <v>6.9348000000000001</v>
      </c>
      <c r="AQ90" s="10">
        <f>(13.472*(AP90^2))+(45111*AP90)+5000</f>
        <v>318483.65082841093</v>
      </c>
      <c r="BB90" s="11">
        <v>5000</v>
      </c>
      <c r="BC90" s="9">
        <v>0</v>
      </c>
      <c r="BD90" s="11">
        <v>5000</v>
      </c>
      <c r="BE90" s="9">
        <v>5000</v>
      </c>
      <c r="BF90" s="12">
        <f>(BD90*(2*10^-5)+4.6548)</f>
        <v>4.7547999999999995</v>
      </c>
      <c r="BG90" s="10">
        <f>(8.9238*(BF90^2))+(44556*BF90)+5000</f>
        <v>217056.61916838432</v>
      </c>
    </row>
    <row r="91" spans="2:59" x14ac:dyDescent="0.25">
      <c r="H91" s="11">
        <v>3682003</v>
      </c>
      <c r="I91" s="9">
        <v>75</v>
      </c>
      <c r="J91" s="11">
        <v>3682003</v>
      </c>
      <c r="K91" s="11">
        <f>AVERAGE(J91:J93)</f>
        <v>3734992</v>
      </c>
      <c r="L91" s="12">
        <f t="shared" ref="L91:L96" si="33">(J91*(2*10^-5)+5.072)</f>
        <v>78.712060000000008</v>
      </c>
      <c r="M91" s="10">
        <f t="shared" ref="M91:M96" si="34">(10.983*(L91^2))+(48910*L91)+5000</f>
        <v>3922853.0018812595</v>
      </c>
      <c r="N91" s="2">
        <f t="shared" ref="N91:N96" si="35">L91*0.85</f>
        <v>66.905251000000007</v>
      </c>
      <c r="O91" s="2">
        <f t="shared" ref="O91:O96" si="36">L91*1.15</f>
        <v>90.518869000000009</v>
      </c>
      <c r="W91" s="11">
        <v>3595712</v>
      </c>
      <c r="X91" s="9">
        <v>75</v>
      </c>
      <c r="Y91" s="11">
        <v>3595712</v>
      </c>
      <c r="Z91" s="11">
        <f>AVERAGE(Y91:Y93)</f>
        <v>3656213.6666666665</v>
      </c>
      <c r="AA91" s="12">
        <f t="shared" ref="AA91:AA96" si="37">(Y91*(2*10^-5)+4.6374)</f>
        <v>76.551640000000006</v>
      </c>
      <c r="AB91" s="10">
        <f t="shared" ref="AB91:AB96" si="38">(9.4802*(AA91^2))+(47972*AA91)+5000</f>
        <v>3732890.702112535</v>
      </c>
      <c r="AL91" s="11">
        <v>3419092</v>
      </c>
      <c r="AM91" s="9">
        <v>75</v>
      </c>
      <c r="AN91" s="11">
        <v>3419092</v>
      </c>
      <c r="AO91" s="11">
        <f>AVERAGE(AN91:AN93)</f>
        <v>3464120.6666666665</v>
      </c>
      <c r="AP91" s="12">
        <f t="shared" ref="AP91:AP96" si="39">(AN91*(2*10^-5)+6.8348)</f>
        <v>75.216640000000012</v>
      </c>
      <c r="AQ91" s="10">
        <f t="shared" ref="AQ91:AQ96" si="40">(13.472*(AP91^2))+(45111*AP91)+5000</f>
        <v>3474316.2654318889</v>
      </c>
      <c r="BB91" s="11">
        <v>3379690</v>
      </c>
      <c r="BC91" s="9">
        <v>75</v>
      </c>
      <c r="BD91" s="11">
        <v>3379690</v>
      </c>
      <c r="BE91" s="11">
        <f>AVERAGE(BD91:BD93)</f>
        <v>3396874.6666666665</v>
      </c>
      <c r="BF91" s="12">
        <f t="shared" ref="BF91:BF96" si="41">(BD91*(2*10^-5)+4.6548)</f>
        <v>72.248599999999996</v>
      </c>
      <c r="BG91" s="10">
        <f t="shared" ref="BG91:BG96" si="42">(8.9238*(BF91^2))+(44556*BF91)+5000</f>
        <v>3270689.6100702505</v>
      </c>
    </row>
    <row r="92" spans="2:59" x14ac:dyDescent="0.25">
      <c r="H92" s="11">
        <v>3780993</v>
      </c>
      <c r="I92" s="9">
        <v>75</v>
      </c>
      <c r="J92" s="11">
        <v>3780993</v>
      </c>
      <c r="K92" s="9"/>
      <c r="L92" s="12">
        <f t="shared" si="33"/>
        <v>80.691860000000005</v>
      </c>
      <c r="M92" s="10">
        <f t="shared" si="34"/>
        <v>4023151.1215762617</v>
      </c>
      <c r="N92" s="2">
        <f t="shared" si="35"/>
        <v>68.588081000000003</v>
      </c>
      <c r="O92" s="2">
        <f t="shared" si="36"/>
        <v>92.795638999999994</v>
      </c>
      <c r="W92" s="11">
        <v>3692841</v>
      </c>
      <c r="X92" s="9">
        <v>75</v>
      </c>
      <c r="Y92" s="11">
        <v>3692841</v>
      </c>
      <c r="Z92" s="9"/>
      <c r="AA92" s="12">
        <f t="shared" si="37"/>
        <v>78.494219999999999</v>
      </c>
      <c r="AB92" s="10">
        <f t="shared" si="38"/>
        <v>3828935.481704426</v>
      </c>
      <c r="AL92" s="11">
        <v>3432957</v>
      </c>
      <c r="AM92" s="9">
        <v>75</v>
      </c>
      <c r="AN92" s="11">
        <v>3432957</v>
      </c>
      <c r="AO92" s="9"/>
      <c r="AP92" s="12">
        <f t="shared" si="39"/>
        <v>75.493940000000009</v>
      </c>
      <c r="AQ92" s="10">
        <f t="shared" si="40"/>
        <v>3487388.5681464211</v>
      </c>
      <c r="BB92" s="11">
        <v>3444246</v>
      </c>
      <c r="BC92" s="9">
        <v>75</v>
      </c>
      <c r="BD92" s="11">
        <v>3444246</v>
      </c>
      <c r="BE92" s="9"/>
      <c r="BF92" s="12">
        <f t="shared" si="41"/>
        <v>73.539720000000003</v>
      </c>
      <c r="BG92" s="10">
        <f t="shared" si="42"/>
        <v>3329896.4815892787</v>
      </c>
    </row>
    <row r="93" spans="2:59" x14ac:dyDescent="0.25">
      <c r="H93" s="11">
        <v>3741980</v>
      </c>
      <c r="I93" s="9">
        <v>75</v>
      </c>
      <c r="J93" s="11">
        <v>3741980</v>
      </c>
      <c r="K93" s="9"/>
      <c r="L93" s="12">
        <f t="shared" si="33"/>
        <v>79.911600000000007</v>
      </c>
      <c r="M93" s="10">
        <f t="shared" si="34"/>
        <v>3983612.2982753124</v>
      </c>
      <c r="N93" s="2">
        <f t="shared" si="35"/>
        <v>67.92486000000001</v>
      </c>
      <c r="O93" s="2">
        <f t="shared" si="36"/>
        <v>91.898340000000005</v>
      </c>
      <c r="W93" s="11">
        <v>3680088</v>
      </c>
      <c r="X93" s="9">
        <v>75</v>
      </c>
      <c r="Y93" s="11">
        <v>3680088</v>
      </c>
      <c r="Z93" s="9"/>
      <c r="AA93" s="12">
        <f t="shared" si="37"/>
        <v>78.239160000000012</v>
      </c>
      <c r="AB93" s="10">
        <f t="shared" si="38"/>
        <v>3816320.7589663854</v>
      </c>
      <c r="AL93" s="11">
        <v>3540313</v>
      </c>
      <c r="AM93" s="9">
        <v>75</v>
      </c>
      <c r="AN93" s="11">
        <v>3540313</v>
      </c>
      <c r="AO93" s="9"/>
      <c r="AP93" s="12">
        <f t="shared" si="39"/>
        <v>77.64106000000001</v>
      </c>
      <c r="AQ93" s="10">
        <f t="shared" si="40"/>
        <v>3588676.8815744272</v>
      </c>
      <c r="BB93" s="11">
        <v>3366688</v>
      </c>
      <c r="BC93" s="9">
        <v>75</v>
      </c>
      <c r="BD93" s="11">
        <v>3366688</v>
      </c>
      <c r="BE93" s="9"/>
      <c r="BF93" s="12">
        <f t="shared" si="41"/>
        <v>71.988560000000007</v>
      </c>
      <c r="BG93" s="10">
        <f t="shared" si="42"/>
        <v>3258768.5590167223</v>
      </c>
    </row>
    <row r="94" spans="2:59" x14ac:dyDescent="0.25">
      <c r="H94" s="13">
        <v>26876542</v>
      </c>
      <c r="I94" s="9">
        <v>500</v>
      </c>
      <c r="J94" s="13">
        <v>26876542</v>
      </c>
      <c r="K94" s="11">
        <f>AVERAGE(J94:J96)</f>
        <v>27205407.666666668</v>
      </c>
      <c r="L94" s="12">
        <f t="shared" si="33"/>
        <v>542.60284000000001</v>
      </c>
      <c r="M94" s="10">
        <f t="shared" si="34"/>
        <v>29777296.062823132</v>
      </c>
      <c r="N94" s="2">
        <f t="shared" si="35"/>
        <v>461.21241400000002</v>
      </c>
      <c r="O94" s="2">
        <f t="shared" si="36"/>
        <v>623.99326599999995</v>
      </c>
      <c r="W94" s="13">
        <v>26028579</v>
      </c>
      <c r="X94" s="9">
        <v>500</v>
      </c>
      <c r="Y94" s="13">
        <v>26028579</v>
      </c>
      <c r="Z94" s="11">
        <f>AVERAGE(Y94:Y96)</f>
        <v>26360963.666666668</v>
      </c>
      <c r="AA94" s="12">
        <f t="shared" si="37"/>
        <v>525.20898</v>
      </c>
      <c r="AB94" s="10">
        <f t="shared" si="38"/>
        <v>27815385.958391167</v>
      </c>
      <c r="AL94" s="13">
        <v>25760003</v>
      </c>
      <c r="AM94" s="9">
        <v>500</v>
      </c>
      <c r="AN94" s="13">
        <v>25760003</v>
      </c>
      <c r="AO94" s="11">
        <f>AVERAGE(AN94:AN96)</f>
        <v>25928660.666666668</v>
      </c>
      <c r="AP94" s="12">
        <f t="shared" si="39"/>
        <v>522.03485999999998</v>
      </c>
      <c r="AQ94" s="10">
        <f t="shared" si="40"/>
        <v>27225909.33164392</v>
      </c>
      <c r="BB94" s="11">
        <v>24048503</v>
      </c>
      <c r="BC94" s="9">
        <v>500</v>
      </c>
      <c r="BD94" s="11">
        <v>24048503</v>
      </c>
      <c r="BE94" s="11">
        <f>AVERAGE(BD94:BD96)</f>
        <v>24513804</v>
      </c>
      <c r="BF94" s="12">
        <f t="shared" si="41"/>
        <v>485.62486000000007</v>
      </c>
      <c r="BG94" s="10">
        <f t="shared" si="42"/>
        <v>23747014.443355847</v>
      </c>
    </row>
    <row r="95" spans="2:59" x14ac:dyDescent="0.25">
      <c r="H95" s="11">
        <v>27439579</v>
      </c>
      <c r="I95" s="9">
        <v>500</v>
      </c>
      <c r="J95" s="11">
        <v>27439579</v>
      </c>
      <c r="K95" s="9"/>
      <c r="L95" s="12">
        <f t="shared" si="33"/>
        <v>553.86358000000007</v>
      </c>
      <c r="M95" s="10">
        <f t="shared" si="34"/>
        <v>30463666.212845325</v>
      </c>
      <c r="N95" s="2">
        <f t="shared" si="35"/>
        <v>470.78404300000005</v>
      </c>
      <c r="O95" s="2">
        <f t="shared" si="36"/>
        <v>636.94311700000003</v>
      </c>
      <c r="W95" s="11">
        <v>26029991</v>
      </c>
      <c r="X95" s="9">
        <v>500</v>
      </c>
      <c r="Y95" s="11">
        <v>26029991</v>
      </c>
      <c r="Z95" s="9"/>
      <c r="AA95" s="12">
        <f t="shared" si="37"/>
        <v>525.23721999999998</v>
      </c>
      <c r="AB95" s="10">
        <f t="shared" si="38"/>
        <v>27817021.914018609</v>
      </c>
      <c r="AL95" s="11">
        <v>25203454</v>
      </c>
      <c r="AM95" s="9">
        <v>500</v>
      </c>
      <c r="AN95" s="11">
        <v>25203454</v>
      </c>
      <c r="AO95" s="9"/>
      <c r="AP95" s="12">
        <f t="shared" si="39"/>
        <v>510.90388000000002</v>
      </c>
      <c r="AQ95" s="10">
        <f t="shared" si="40"/>
        <v>26568883.750078462</v>
      </c>
      <c r="BB95" s="11">
        <v>25010776</v>
      </c>
      <c r="BC95" s="9">
        <v>500</v>
      </c>
      <c r="BD95" s="11">
        <v>25010776</v>
      </c>
      <c r="BE95" s="9"/>
      <c r="BF95" s="12">
        <f t="shared" si="41"/>
        <v>504.87032000000005</v>
      </c>
      <c r="BG95" s="10">
        <f t="shared" si="42"/>
        <v>24774625.412222836</v>
      </c>
    </row>
    <row r="96" spans="2:59" x14ac:dyDescent="0.25">
      <c r="H96" s="11">
        <v>27300102</v>
      </c>
      <c r="I96" s="9">
        <v>500</v>
      </c>
      <c r="J96" s="11">
        <v>27300102</v>
      </c>
      <c r="K96" s="9"/>
      <c r="L96" s="12">
        <f t="shared" si="33"/>
        <v>551.07404000000008</v>
      </c>
      <c r="M96" s="10">
        <f t="shared" si="34"/>
        <v>30293377.26542259</v>
      </c>
      <c r="N96" s="2">
        <f t="shared" si="35"/>
        <v>468.41293400000006</v>
      </c>
      <c r="O96" s="2">
        <f t="shared" si="36"/>
        <v>633.7351460000001</v>
      </c>
      <c r="W96" s="11">
        <v>27024321</v>
      </c>
      <c r="X96" s="9">
        <v>500</v>
      </c>
      <c r="Y96" s="11">
        <v>27024321</v>
      </c>
      <c r="Z96" s="9"/>
      <c r="AA96" s="12">
        <f t="shared" si="37"/>
        <v>545.12382000000002</v>
      </c>
      <c r="AB96" s="10">
        <f t="shared" si="38"/>
        <v>28972815.927201428</v>
      </c>
      <c r="AL96" s="11">
        <v>26822525</v>
      </c>
      <c r="AM96" s="9">
        <v>500</v>
      </c>
      <c r="AN96" s="11">
        <v>26822525</v>
      </c>
      <c r="AO96" s="9"/>
      <c r="AP96" s="12">
        <f t="shared" si="39"/>
        <v>543.28530000000001</v>
      </c>
      <c r="AQ96" s="10">
        <f t="shared" si="40"/>
        <v>28489524.100765724</v>
      </c>
      <c r="BB96" s="11">
        <v>24482133</v>
      </c>
      <c r="BC96" s="9">
        <v>500</v>
      </c>
      <c r="BD96" s="11">
        <v>24482133</v>
      </c>
      <c r="BE96" s="9"/>
      <c r="BF96" s="12">
        <f t="shared" si="41"/>
        <v>494.29746000000006</v>
      </c>
      <c r="BG96" s="10">
        <f t="shared" si="42"/>
        <v>24209269.49402513</v>
      </c>
    </row>
    <row r="99" spans="2:56" x14ac:dyDescent="0.25">
      <c r="J99" s="7"/>
      <c r="Y99" s="7"/>
      <c r="AN99" s="7"/>
      <c r="BD99" s="7"/>
    </row>
    <row r="100" spans="2:56" x14ac:dyDescent="0.25">
      <c r="L100" s="2"/>
      <c r="AA100" s="2"/>
    </row>
    <row r="102" spans="2:56" x14ac:dyDescent="0.25">
      <c r="B102" s="8"/>
      <c r="E102" s="8"/>
    </row>
    <row r="103" spans="2:56" x14ac:dyDescent="0.25">
      <c r="B103" s="8"/>
    </row>
    <row r="104" spans="2:56" x14ac:dyDescent="0.25">
      <c r="B104" s="52" t="s">
        <v>24</v>
      </c>
      <c r="C104" s="52"/>
      <c r="D104" s="52"/>
      <c r="E104" s="52" t="s">
        <v>25</v>
      </c>
      <c r="F104" s="52"/>
      <c r="G104" s="52"/>
      <c r="H104" s="52" t="s">
        <v>29</v>
      </c>
      <c r="I104" s="52"/>
      <c r="J104" s="52"/>
      <c r="K104" s="52" t="s">
        <v>30</v>
      </c>
      <c r="L104" s="52"/>
      <c r="M104" s="52"/>
      <c r="O104" s="53" t="s">
        <v>44</v>
      </c>
      <c r="P104" s="53"/>
    </row>
    <row r="105" spans="2:56" x14ac:dyDescent="0.25">
      <c r="B105" s="14" t="s">
        <v>4</v>
      </c>
      <c r="C105" s="9">
        <v>138.52000000000001</v>
      </c>
      <c r="D105" s="10">
        <f>(10.983*(C105^2))+(48910*C105)+5000</f>
        <v>6990752.7019632002</v>
      </c>
      <c r="E105" s="14" t="s">
        <v>4</v>
      </c>
      <c r="F105" s="9">
        <v>135.84</v>
      </c>
      <c r="G105" s="10">
        <f>(9.4802*(F105^2))+(47972*F105)+5000</f>
        <v>6696449.9235891206</v>
      </c>
      <c r="H105" s="14" t="s">
        <v>4</v>
      </c>
      <c r="I105" s="9">
        <v>127.4</v>
      </c>
      <c r="J105" s="10">
        <f>(13.472*(I105^2))+(45111*I105)+5000</f>
        <v>5970802.1987200007</v>
      </c>
      <c r="K105" s="14" t="s">
        <v>4</v>
      </c>
      <c r="L105" s="9">
        <v>121.84</v>
      </c>
      <c r="M105" s="10">
        <f>(8.9238*(L105^2))+(44556*L105)+5000</f>
        <v>5566176.7224972798</v>
      </c>
      <c r="O105" s="9">
        <f>C105*0.85</f>
        <v>117.742</v>
      </c>
      <c r="P105" s="9">
        <f>C105*1.15</f>
        <v>159.298</v>
      </c>
    </row>
    <row r="106" spans="2:56" x14ac:dyDescent="0.25">
      <c r="B106" s="14" t="s">
        <v>39</v>
      </c>
      <c r="C106" s="9">
        <v>148.57</v>
      </c>
      <c r="D106" s="10">
        <f t="shared" ref="D106:D113" si="43">(10.983*(C106^2))+(48910*C106)+5000</f>
        <v>7513986.9521366991</v>
      </c>
      <c r="E106" s="14" t="s">
        <v>39</v>
      </c>
      <c r="F106" s="9">
        <v>144.79</v>
      </c>
      <c r="G106" s="10">
        <f t="shared" ref="G106:G113" si="44">(9.4802*(F106^2))+(47972*F106)+5000</f>
        <v>7149610.1588968197</v>
      </c>
      <c r="H106" s="14" t="s">
        <v>39</v>
      </c>
      <c r="I106" s="9">
        <v>138.63</v>
      </c>
      <c r="J106" s="10">
        <f t="shared" ref="J106:J113" si="45">(13.472*(I106^2))+(45111*I106)+5000</f>
        <v>6517646.5563968001</v>
      </c>
      <c r="K106" s="14" t="s">
        <v>39</v>
      </c>
      <c r="L106" s="9">
        <v>130.24</v>
      </c>
      <c r="M106" s="10">
        <f t="shared" ref="M106:M113" si="46">(8.9238*(L106^2))+(44556*L106)+5000</f>
        <v>5959343.01913088</v>
      </c>
      <c r="O106" s="9">
        <f t="shared" ref="O106:O110" si="47">C106*0.85</f>
        <v>126.28449999999999</v>
      </c>
      <c r="P106" s="9">
        <f t="shared" ref="P106:P110" si="48">C106*1.15</f>
        <v>170.85549999999998</v>
      </c>
    </row>
    <row r="107" spans="2:56" x14ac:dyDescent="0.25">
      <c r="B107" s="14" t="s">
        <v>40</v>
      </c>
      <c r="C107" s="9">
        <v>156.32</v>
      </c>
      <c r="D107" s="10">
        <f t="shared" si="43"/>
        <v>7918991.1553791994</v>
      </c>
      <c r="E107" s="14" t="s">
        <v>40</v>
      </c>
      <c r="F107" s="9">
        <v>152.41</v>
      </c>
      <c r="G107" s="10">
        <f t="shared" si="44"/>
        <v>7536626.2665496198</v>
      </c>
      <c r="H107" s="14" t="s">
        <v>40</v>
      </c>
      <c r="I107" s="9">
        <v>147.24</v>
      </c>
      <c r="J107" s="10">
        <f t="shared" si="45"/>
        <v>6939211.4483072003</v>
      </c>
      <c r="K107" s="14" t="s">
        <v>40</v>
      </c>
      <c r="L107" s="9">
        <v>142.54</v>
      </c>
      <c r="M107" s="10">
        <f t="shared" si="46"/>
        <v>6537322.8993480792</v>
      </c>
      <c r="O107" s="9">
        <f t="shared" si="47"/>
        <v>132.87199999999999</v>
      </c>
      <c r="P107" s="9">
        <f t="shared" si="48"/>
        <v>179.76799999999997</v>
      </c>
    </row>
    <row r="108" spans="2:56" x14ac:dyDescent="0.25">
      <c r="B108" s="14" t="s">
        <v>5</v>
      </c>
      <c r="C108" s="9">
        <v>230.25</v>
      </c>
      <c r="D108" s="10">
        <f t="shared" si="43"/>
        <v>11848791.9314375</v>
      </c>
      <c r="E108" s="14" t="s">
        <v>5</v>
      </c>
      <c r="F108" s="9">
        <v>226.56</v>
      </c>
      <c r="G108" s="10">
        <f t="shared" si="44"/>
        <v>11360149.61641472</v>
      </c>
      <c r="H108" s="14" t="s">
        <v>5</v>
      </c>
      <c r="I108" s="9">
        <v>219.74</v>
      </c>
      <c r="J108" s="10">
        <f t="shared" si="45"/>
        <v>10568195.6539072</v>
      </c>
      <c r="K108" s="14" t="s">
        <v>5</v>
      </c>
      <c r="L108" s="9">
        <v>211.89</v>
      </c>
      <c r="M108" s="10">
        <f t="shared" si="46"/>
        <v>9846626.0091459788</v>
      </c>
      <c r="O108" s="9">
        <f t="shared" si="47"/>
        <v>195.71250000000001</v>
      </c>
      <c r="P108" s="9">
        <f t="shared" si="48"/>
        <v>264.78749999999997</v>
      </c>
    </row>
    <row r="109" spans="2:56" x14ac:dyDescent="0.25">
      <c r="B109" s="14" t="s">
        <v>41</v>
      </c>
      <c r="C109" s="9">
        <v>275.33999999999997</v>
      </c>
      <c r="D109" s="10">
        <f t="shared" si="43"/>
        <v>14304523.865634799</v>
      </c>
      <c r="E109" s="14" t="s">
        <v>41</v>
      </c>
      <c r="F109" s="9">
        <v>270.26</v>
      </c>
      <c r="G109" s="10">
        <f t="shared" si="44"/>
        <v>13662350.96094152</v>
      </c>
      <c r="H109" s="14" t="s">
        <v>41</v>
      </c>
      <c r="I109" s="9">
        <v>263.45</v>
      </c>
      <c r="J109" s="10">
        <f t="shared" si="45"/>
        <v>12824529.268479999</v>
      </c>
      <c r="K109" s="14" t="s">
        <v>41</v>
      </c>
      <c r="L109" s="9">
        <v>255.62</v>
      </c>
      <c r="M109" s="10">
        <f t="shared" si="46"/>
        <v>11977499.95086872</v>
      </c>
      <c r="O109" s="9">
        <f t="shared" si="47"/>
        <v>234.03899999999996</v>
      </c>
      <c r="P109" s="9">
        <f t="shared" si="48"/>
        <v>316.64099999999996</v>
      </c>
    </row>
    <row r="110" spans="2:56" x14ac:dyDescent="0.25">
      <c r="B110" s="14" t="s">
        <v>42</v>
      </c>
      <c r="C110" s="9">
        <v>245.25</v>
      </c>
      <c r="D110" s="10">
        <f t="shared" si="43"/>
        <v>12660778.1789375</v>
      </c>
      <c r="E110" s="14" t="s">
        <v>42</v>
      </c>
      <c r="F110" s="9">
        <v>239.84</v>
      </c>
      <c r="G110" s="10">
        <f t="shared" si="44"/>
        <v>12055936.16333312</v>
      </c>
      <c r="H110" s="14" t="s">
        <v>42</v>
      </c>
      <c r="I110" s="9">
        <v>232.89</v>
      </c>
      <c r="J110" s="10">
        <f t="shared" si="45"/>
        <v>11241591.786291199</v>
      </c>
      <c r="K110" s="14" t="s">
        <v>42</v>
      </c>
      <c r="L110" s="9">
        <v>224.84</v>
      </c>
      <c r="M110" s="10">
        <f t="shared" si="46"/>
        <v>10474096.129849281</v>
      </c>
      <c r="O110" s="9">
        <f t="shared" si="47"/>
        <v>208.46250000000001</v>
      </c>
      <c r="P110" s="9">
        <f t="shared" si="48"/>
        <v>282.03749999999997</v>
      </c>
    </row>
    <row r="111" spans="2:56" x14ac:dyDescent="0.25">
      <c r="B111" s="16" t="s">
        <v>43</v>
      </c>
      <c r="C111" s="9">
        <v>6.47</v>
      </c>
      <c r="D111" s="10">
        <f t="shared" si="43"/>
        <v>321907.45826470002</v>
      </c>
      <c r="E111" s="16" t="s">
        <v>43</v>
      </c>
      <c r="F111" s="9">
        <v>7.02</v>
      </c>
      <c r="G111" s="10">
        <f t="shared" si="44"/>
        <v>342230.62804808002</v>
      </c>
      <c r="H111" s="16" t="s">
        <v>43</v>
      </c>
      <c r="I111" s="9">
        <v>6.85</v>
      </c>
      <c r="J111" s="10">
        <f t="shared" si="45"/>
        <v>314642.48991999996</v>
      </c>
      <c r="K111" s="16" t="s">
        <v>43</v>
      </c>
      <c r="L111" s="9">
        <v>6.47</v>
      </c>
      <c r="M111" s="10">
        <f t="shared" si="46"/>
        <v>293650.87829942</v>
      </c>
    </row>
    <row r="112" spans="2:56" x14ac:dyDescent="0.25">
      <c r="B112" s="16" t="s">
        <v>43</v>
      </c>
      <c r="C112" s="9">
        <v>5.67</v>
      </c>
      <c r="D112" s="10">
        <f t="shared" si="43"/>
        <v>282672.79136870004</v>
      </c>
      <c r="E112" s="16" t="s">
        <v>43</v>
      </c>
      <c r="F112" s="9">
        <v>5.86</v>
      </c>
      <c r="G112" s="10">
        <f t="shared" si="44"/>
        <v>286441.46627592004</v>
      </c>
      <c r="H112" s="16" t="s">
        <v>43</v>
      </c>
      <c r="I112" s="9">
        <v>7.26</v>
      </c>
      <c r="J112" s="10">
        <f t="shared" si="45"/>
        <v>333215.93678719999</v>
      </c>
      <c r="K112" s="16" t="s">
        <v>43</v>
      </c>
      <c r="L112" s="9">
        <v>5.94</v>
      </c>
      <c r="M112" s="10">
        <f t="shared" si="46"/>
        <v>269977.50378968002</v>
      </c>
    </row>
    <row r="113" spans="2:13" x14ac:dyDescent="0.25">
      <c r="B113" s="16" t="s">
        <v>43</v>
      </c>
      <c r="C113" s="9">
        <v>7.84</v>
      </c>
      <c r="D113" s="10">
        <f t="shared" si="43"/>
        <v>389129.47668479994</v>
      </c>
      <c r="E113" s="16" t="s">
        <v>43</v>
      </c>
      <c r="F113" s="9">
        <v>5.48</v>
      </c>
      <c r="G113" s="10">
        <f t="shared" si="44"/>
        <v>268171.25419807999</v>
      </c>
      <c r="H113" s="16" t="s">
        <v>43</v>
      </c>
      <c r="I113" s="9">
        <v>5.97</v>
      </c>
      <c r="J113" s="10">
        <f t="shared" si="45"/>
        <v>274792.82420480001</v>
      </c>
      <c r="K113" s="16" t="s">
        <v>43</v>
      </c>
      <c r="L113" s="9">
        <v>5.21</v>
      </c>
      <c r="M113" s="10">
        <f t="shared" si="46"/>
        <v>237378.98851958002</v>
      </c>
    </row>
  </sheetData>
  <mergeCells count="24">
    <mergeCell ref="B26:D26"/>
    <mergeCell ref="E26:G26"/>
    <mergeCell ref="X10:AB10"/>
    <mergeCell ref="AM10:AQ10"/>
    <mergeCell ref="H26:J26"/>
    <mergeCell ref="BC10:BG10"/>
    <mergeCell ref="K26:M26"/>
    <mergeCell ref="X51:AB51"/>
    <mergeCell ref="AM51:AQ51"/>
    <mergeCell ref="BC51:BG51"/>
    <mergeCell ref="O26:P26"/>
    <mergeCell ref="K67:M67"/>
    <mergeCell ref="X88:AB88"/>
    <mergeCell ref="AM88:AQ88"/>
    <mergeCell ref="BC88:BG88"/>
    <mergeCell ref="B104:D104"/>
    <mergeCell ref="E104:G104"/>
    <mergeCell ref="H104:J104"/>
    <mergeCell ref="K104:M104"/>
    <mergeCell ref="B67:D67"/>
    <mergeCell ref="E67:G67"/>
    <mergeCell ref="H67:J67"/>
    <mergeCell ref="O67:P67"/>
    <mergeCell ref="O104:P104"/>
  </mergeCells>
  <phoneticPr fontId="5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A8048-9F05-47B4-9537-4F5E51256588}">
  <dimension ref="A4:BX108"/>
  <sheetViews>
    <sheetView tabSelected="1" topLeftCell="BF19" workbookViewId="0">
      <selection activeCell="BQ32" sqref="BQ32"/>
    </sheetView>
  </sheetViews>
  <sheetFormatPr defaultRowHeight="15" x14ac:dyDescent="0.25"/>
  <cols>
    <col min="8" max="8" width="10.42578125" customWidth="1"/>
    <col min="10" max="10" width="11.140625" customWidth="1"/>
    <col min="11" max="11" width="11.5703125" customWidth="1"/>
    <col min="13" max="13" width="10.85546875" customWidth="1"/>
    <col min="14" max="14" width="14.140625" customWidth="1"/>
    <col min="15" max="15" width="14" customWidth="1"/>
    <col min="23" max="23" width="11.140625" customWidth="1"/>
    <col min="24" max="24" width="11.85546875" customWidth="1"/>
    <col min="25" max="25" width="10.7109375" customWidth="1"/>
    <col min="26" max="26" width="10.42578125" customWidth="1"/>
    <col min="27" max="27" width="10.28515625" customWidth="1"/>
    <col min="38" max="38" width="11" customWidth="1"/>
    <col min="39" max="39" width="12" customWidth="1"/>
    <col min="40" max="40" width="11.42578125" customWidth="1"/>
    <col min="41" max="41" width="10.42578125" customWidth="1"/>
    <col min="42" max="42" width="11.28515625" customWidth="1"/>
    <col min="54" max="54" width="12.28515625" customWidth="1"/>
    <col min="56" max="56" width="10.42578125" customWidth="1"/>
    <col min="57" max="57" width="12.140625" customWidth="1"/>
    <col min="68" max="68" width="12.140625" customWidth="1"/>
    <col min="70" max="70" width="11.5703125" customWidth="1"/>
    <col min="71" max="71" width="10.85546875" customWidth="1"/>
  </cols>
  <sheetData>
    <row r="4" spans="1:73" x14ac:dyDescent="0.25">
      <c r="A4" t="s">
        <v>33</v>
      </c>
    </row>
    <row r="6" spans="1:73" x14ac:dyDescent="0.25">
      <c r="A6" s="6" t="s">
        <v>34</v>
      </c>
    </row>
    <row r="10" spans="1:73" x14ac:dyDescent="0.25">
      <c r="B10" t="s">
        <v>0</v>
      </c>
      <c r="P10" t="s">
        <v>0</v>
      </c>
      <c r="AE10" t="s">
        <v>0</v>
      </c>
      <c r="AU10" t="s">
        <v>0</v>
      </c>
      <c r="BI10" t="s">
        <v>0</v>
      </c>
    </row>
    <row r="15" spans="1:73" x14ac:dyDescent="0.25">
      <c r="N15" t="s">
        <v>80</v>
      </c>
    </row>
    <row r="16" spans="1:73" x14ac:dyDescent="0.25">
      <c r="H16" s="9" t="s">
        <v>26</v>
      </c>
      <c r="I16" s="57" t="s">
        <v>27</v>
      </c>
      <c r="J16" s="58"/>
      <c r="K16" s="58"/>
      <c r="L16" s="58"/>
      <c r="M16" s="59"/>
      <c r="W16" s="9" t="s">
        <v>26</v>
      </c>
      <c r="X16" s="57" t="s">
        <v>35</v>
      </c>
      <c r="Y16" s="58"/>
      <c r="Z16" s="58"/>
      <c r="AA16" s="58"/>
      <c r="AB16" s="59"/>
      <c r="AL16" s="9" t="s">
        <v>26</v>
      </c>
      <c r="AM16" s="57" t="s">
        <v>36</v>
      </c>
      <c r="AN16" s="58"/>
      <c r="AO16" s="58"/>
      <c r="AP16" s="58"/>
      <c r="AQ16" s="59"/>
      <c r="BB16" s="9" t="s">
        <v>26</v>
      </c>
      <c r="BC16" s="57" t="s">
        <v>37</v>
      </c>
      <c r="BD16" s="58"/>
      <c r="BE16" s="58"/>
      <c r="BF16" s="58"/>
      <c r="BG16" s="59"/>
      <c r="BP16" s="9" t="s">
        <v>26</v>
      </c>
      <c r="BQ16" s="57" t="s">
        <v>38</v>
      </c>
      <c r="BR16" s="58"/>
      <c r="BS16" s="58"/>
      <c r="BT16" s="58"/>
      <c r="BU16" s="59"/>
    </row>
    <row r="17" spans="8:76" x14ac:dyDescent="0.25">
      <c r="H17" s="9"/>
      <c r="I17" s="9"/>
      <c r="J17" s="9"/>
      <c r="K17" s="9"/>
      <c r="L17" s="9"/>
      <c r="M17" s="9"/>
      <c r="W17" s="9"/>
      <c r="X17" s="9"/>
      <c r="Y17" s="9"/>
      <c r="Z17" s="9"/>
      <c r="AA17" s="9"/>
      <c r="AB17" s="9"/>
      <c r="AL17" s="9"/>
      <c r="AM17" s="9"/>
      <c r="AN17" s="9"/>
      <c r="AO17" s="9"/>
      <c r="AP17" s="9"/>
      <c r="AQ17" s="9"/>
      <c r="BB17" s="9"/>
      <c r="BC17" s="9"/>
      <c r="BD17" s="9"/>
      <c r="BE17" s="9"/>
      <c r="BF17" s="9"/>
      <c r="BG17" s="9"/>
      <c r="BP17" s="9"/>
      <c r="BQ17" s="9"/>
      <c r="BR17" s="9"/>
      <c r="BS17" s="9"/>
      <c r="BT17" s="9"/>
      <c r="BU17" s="9"/>
    </row>
    <row r="18" spans="8:76" x14ac:dyDescent="0.25">
      <c r="H18" s="11">
        <v>5000</v>
      </c>
      <c r="I18" s="9">
        <v>0</v>
      </c>
      <c r="J18" s="11">
        <v>5000</v>
      </c>
      <c r="K18" s="9">
        <v>5000</v>
      </c>
      <c r="L18" s="12">
        <f>(J18*(2*10^-5)+5.4992)</f>
        <v>5.5991999999999997</v>
      </c>
      <c r="M18" s="10">
        <f>(12.068*(L18^2))+(48754*L18)+5000</f>
        <v>278361.7411584435</v>
      </c>
      <c r="N18" s="2"/>
      <c r="O18" s="2"/>
      <c r="W18" s="11">
        <v>5000</v>
      </c>
      <c r="X18" s="9">
        <v>0</v>
      </c>
      <c r="Y18" s="11">
        <v>5000</v>
      </c>
      <c r="Z18" s="9">
        <v>5000</v>
      </c>
      <c r="AA18" s="12">
        <f>(Y18*(2*10^-5)+5.0729)</f>
        <v>5.1728999999999994</v>
      </c>
      <c r="AB18" s="10">
        <f>(10.573*(AA18^2))+(48351*AA18)+5000</f>
        <v>255397.80969059691</v>
      </c>
      <c r="AL18" s="11">
        <v>5000</v>
      </c>
      <c r="AM18" s="9">
        <v>0</v>
      </c>
      <c r="AN18" s="11">
        <v>5000</v>
      </c>
      <c r="AO18" s="9">
        <v>5000</v>
      </c>
      <c r="AP18" s="12">
        <f>(AN18*(2*10^-5)+5.5082)</f>
        <v>5.6082000000000001</v>
      </c>
      <c r="AQ18" s="10">
        <f>(11.446*(AP18^2))+(46648*AP18)+5000</f>
        <v>266971.31213026901</v>
      </c>
      <c r="BB18" s="11">
        <v>5000</v>
      </c>
      <c r="BC18" s="9">
        <v>0</v>
      </c>
      <c r="BD18" s="11">
        <v>5000</v>
      </c>
      <c r="BE18" s="9">
        <v>5000</v>
      </c>
      <c r="BF18" s="12">
        <f>(BD18*(2*10^-5)+4.9448)</f>
        <v>5.0447999999999995</v>
      </c>
      <c r="BG18" s="10">
        <f>(10.12*(BF18^2))+(46747*BF18)+5000</f>
        <v>241086.8196712448</v>
      </c>
      <c r="BP18" s="11">
        <v>5000</v>
      </c>
      <c r="BQ18" s="9">
        <v>0</v>
      </c>
      <c r="BR18" s="11">
        <v>5000</v>
      </c>
      <c r="BS18" s="9">
        <v>5000</v>
      </c>
      <c r="BT18" s="12">
        <f>(BR18*(2*10^-5)+5.2091)</f>
        <v>5.3090999999999999</v>
      </c>
      <c r="BU18" s="10">
        <f>(10.67*(BT18^2))+(46104*BT18)+5000</f>
        <v>250071.49681178271</v>
      </c>
      <c r="BV18" s="2"/>
      <c r="BW18" s="2"/>
    </row>
    <row r="19" spans="8:76" x14ac:dyDescent="0.25">
      <c r="H19" s="11">
        <v>3744993</v>
      </c>
      <c r="I19" s="9">
        <v>75</v>
      </c>
      <c r="J19" s="11">
        <v>3744993</v>
      </c>
      <c r="K19" s="11">
        <f>AVERAGE(J19:J21)</f>
        <v>3729407</v>
      </c>
      <c r="L19" s="12">
        <f>(J19*(2*10^-5)+5.4992)</f>
        <v>80.399060000000006</v>
      </c>
      <c r="M19" s="10">
        <f t="shared" ref="M19:M34" si="0">(12.068*(L19^2))+(48754*L19)+5000</f>
        <v>4002783.4300283273</v>
      </c>
      <c r="N19" s="68">
        <f>AVERAGE(M19:M21)</f>
        <v>3986983.3328745826</v>
      </c>
      <c r="O19" s="69"/>
      <c r="W19" s="11">
        <v>3732176</v>
      </c>
      <c r="X19" s="9">
        <v>75</v>
      </c>
      <c r="Y19" s="11">
        <v>3732176</v>
      </c>
      <c r="Z19" s="11">
        <f>AVERAGE(Y19:Y21)</f>
        <v>3690771</v>
      </c>
      <c r="AA19" s="12">
        <f t="shared" ref="AA19:AA24" si="1">(Y19*(2*10^-5)+5.0729)</f>
        <v>79.716420000000014</v>
      </c>
      <c r="AB19" s="10">
        <f t="shared" ref="AB19:AB34" si="2">(10.573*(AA19^2))+(48351*AA19)+5000</f>
        <v>3926556.9470610586</v>
      </c>
      <c r="AL19" s="11">
        <v>3555051</v>
      </c>
      <c r="AM19" s="9">
        <v>75</v>
      </c>
      <c r="AN19" s="11">
        <v>3555051</v>
      </c>
      <c r="AO19" s="11">
        <f>AVERAGE(AN19:AN21)</f>
        <v>3568003</v>
      </c>
      <c r="AP19" s="12">
        <f t="shared" ref="AP19:AP24" si="3">(AN19*(2*10^-5)+5.5082)</f>
        <v>76.609220000000008</v>
      </c>
      <c r="AQ19" s="10">
        <f t="shared" ref="AQ19:AQ34" si="4">(11.446*(AP19^2))+(46648*AP19)+5000</f>
        <v>3645843.1548137907</v>
      </c>
      <c r="BB19" s="11">
        <v>3555051</v>
      </c>
      <c r="BC19" s="9">
        <v>75</v>
      </c>
      <c r="BD19" s="11">
        <v>3555051</v>
      </c>
      <c r="BE19" s="11">
        <f>AVERAGE(BD19:BD21)</f>
        <v>3568003</v>
      </c>
      <c r="BF19" s="12">
        <f t="shared" ref="BF19:BF24" si="5">(BD19*(2*10^-5)+4.9448)</f>
        <v>76.045820000000006</v>
      </c>
      <c r="BG19" s="10">
        <f t="shared" ref="BG19:BG34" si="6">(10.12*(BF19^2))+(46747*BF19)+5000</f>
        <v>3618437.5709434608</v>
      </c>
      <c r="BP19" s="11">
        <v>3491894</v>
      </c>
      <c r="BQ19" s="9">
        <v>75</v>
      </c>
      <c r="BR19" s="11">
        <v>3491894</v>
      </c>
      <c r="BS19" s="11">
        <f>AVERAGE(BR19:BR21)</f>
        <v>3522816</v>
      </c>
      <c r="BT19" s="12">
        <f t="shared" ref="BT19:BT24" si="7">(BR19*(2*10^-5)+5.2091)</f>
        <v>75.046980000000019</v>
      </c>
      <c r="BU19" s="10">
        <f t="shared" ref="BU19:BU34" si="8">(10.67*(BT19^2))+(46104*BT19)+5000</f>
        <v>3525059.9309599753</v>
      </c>
      <c r="BV19" s="2"/>
      <c r="BW19" s="2"/>
    </row>
    <row r="20" spans="8:76" x14ac:dyDescent="0.25">
      <c r="H20" s="11">
        <v>3707544</v>
      </c>
      <c r="I20" s="9">
        <v>75</v>
      </c>
      <c r="J20" s="11">
        <v>3707544</v>
      </c>
      <c r="K20" s="9"/>
      <c r="L20" s="12">
        <f t="shared" ref="L19:L24" si="9">(J20*(2*10^-5)+5.4992)</f>
        <v>79.650080000000003</v>
      </c>
      <c r="M20" s="10">
        <f t="shared" si="0"/>
        <v>3964821.0244446695</v>
      </c>
      <c r="N20" s="68">
        <f>N19*0.85</f>
        <v>3388935.8329433952</v>
      </c>
      <c r="O20" s="68">
        <f>N19*1.15</f>
        <v>4585030.8328057695</v>
      </c>
      <c r="W20" s="11">
        <v>3666985</v>
      </c>
      <c r="X20" s="9">
        <v>75</v>
      </c>
      <c r="Y20" s="11">
        <v>3666985</v>
      </c>
      <c r="Z20" s="9"/>
      <c r="AA20" s="12">
        <f t="shared" si="1"/>
        <v>78.412600000000012</v>
      </c>
      <c r="AB20" s="10">
        <f t="shared" si="2"/>
        <v>3861336.0920232097</v>
      </c>
      <c r="AL20" s="11">
        <v>3562476</v>
      </c>
      <c r="AM20" s="9">
        <v>75</v>
      </c>
      <c r="AN20" s="11">
        <v>3562476</v>
      </c>
      <c r="AO20" s="9"/>
      <c r="AP20" s="12">
        <f t="shared" si="3"/>
        <v>76.757720000000006</v>
      </c>
      <c r="AQ20" s="10">
        <f t="shared" si="4"/>
        <v>3653031.0653560837</v>
      </c>
      <c r="BB20" s="11">
        <v>3562476</v>
      </c>
      <c r="BC20" s="9">
        <v>75</v>
      </c>
      <c r="BD20" s="11">
        <v>3562476</v>
      </c>
      <c r="BE20" s="9"/>
      <c r="BF20" s="12">
        <f t="shared" si="5"/>
        <v>76.194320000000005</v>
      </c>
      <c r="BG20" s="10">
        <f t="shared" si="6"/>
        <v>3625608.2899706555</v>
      </c>
      <c r="BP20" s="11">
        <v>3496698</v>
      </c>
      <c r="BQ20" s="9">
        <v>75</v>
      </c>
      <c r="BR20" s="11">
        <v>3496698</v>
      </c>
      <c r="BS20" s="9"/>
      <c r="BT20" s="12">
        <f t="shared" si="7"/>
        <v>75.143060000000006</v>
      </c>
      <c r="BU20" s="10">
        <f t="shared" si="8"/>
        <v>3529643.5741439657</v>
      </c>
      <c r="BV20" s="2"/>
      <c r="BW20" s="2"/>
    </row>
    <row r="21" spans="8:76" x14ac:dyDescent="0.25">
      <c r="H21" s="11">
        <v>3735684</v>
      </c>
      <c r="I21" s="9">
        <v>75</v>
      </c>
      <c r="J21" s="11">
        <v>3735684</v>
      </c>
      <c r="K21" s="9"/>
      <c r="L21" s="12">
        <f t="shared" si="9"/>
        <v>80.212880000000013</v>
      </c>
      <c r="M21" s="10">
        <f t="shared" si="0"/>
        <v>3993345.5441507502</v>
      </c>
      <c r="N21" s="69"/>
      <c r="O21" s="69"/>
      <c r="W21" s="11">
        <v>3673152</v>
      </c>
      <c r="X21" s="9">
        <v>75</v>
      </c>
      <c r="Y21" s="11">
        <v>3673152</v>
      </c>
      <c r="Z21" s="9"/>
      <c r="AA21" s="12">
        <f t="shared" si="1"/>
        <v>78.535940000000011</v>
      </c>
      <c r="AB21" s="10">
        <f t="shared" si="2"/>
        <v>3867504.3768453109</v>
      </c>
      <c r="AL21" s="11">
        <v>3586482</v>
      </c>
      <c r="AM21" s="9">
        <v>75</v>
      </c>
      <c r="AN21" s="11">
        <v>3586482</v>
      </c>
      <c r="AO21" s="9"/>
      <c r="AP21" s="12">
        <f t="shared" si="3"/>
        <v>77.237840000000006</v>
      </c>
      <c r="AQ21" s="10">
        <f t="shared" si="4"/>
        <v>3676273.9785583499</v>
      </c>
      <c r="BB21" s="11">
        <v>3586482</v>
      </c>
      <c r="BC21" s="9">
        <v>75</v>
      </c>
      <c r="BD21" s="11">
        <v>3586482</v>
      </c>
      <c r="BE21" s="9"/>
      <c r="BF21" s="12">
        <f t="shared" si="5"/>
        <v>76.674440000000004</v>
      </c>
      <c r="BG21" s="10">
        <f t="shared" si="6"/>
        <v>3648795.2205430539</v>
      </c>
      <c r="BP21" s="11">
        <v>3579856</v>
      </c>
      <c r="BQ21" s="9">
        <v>75</v>
      </c>
      <c r="BR21" s="11">
        <v>3579856</v>
      </c>
      <c r="BS21" s="9"/>
      <c r="BT21" s="12">
        <f t="shared" si="7"/>
        <v>76.80622000000001</v>
      </c>
      <c r="BU21" s="10">
        <f t="shared" si="8"/>
        <v>3609018.3821254461</v>
      </c>
      <c r="BV21" s="2"/>
      <c r="BW21" s="2"/>
    </row>
    <row r="22" spans="8:76" x14ac:dyDescent="0.25">
      <c r="H22" s="13">
        <v>27348816</v>
      </c>
      <c r="I22" s="9">
        <v>500</v>
      </c>
      <c r="J22" s="13">
        <v>27348816</v>
      </c>
      <c r="K22" s="11">
        <f>AVERAGE(J22:J24)</f>
        <v>27398748</v>
      </c>
      <c r="L22" s="12">
        <f t="shared" si="9"/>
        <v>552.47552000000007</v>
      </c>
      <c r="M22" s="10">
        <f t="shared" si="0"/>
        <v>30623897.490084801</v>
      </c>
      <c r="N22" s="68">
        <f>AVERAGE(M22:M24)</f>
        <v>30685939.467897397</v>
      </c>
      <c r="O22" s="69"/>
      <c r="W22" s="13">
        <v>27494791</v>
      </c>
      <c r="X22" s="9">
        <v>500</v>
      </c>
      <c r="Y22" s="13">
        <v>27494791</v>
      </c>
      <c r="Z22" s="11">
        <f>AVERAGE(Y22:Y24)</f>
        <v>26823653.666666668</v>
      </c>
      <c r="AA22" s="12">
        <f t="shared" si="1"/>
        <v>554.96872000000008</v>
      </c>
      <c r="AB22" s="10">
        <f t="shared" si="2"/>
        <v>30094673.813046634</v>
      </c>
      <c r="AL22" s="13">
        <v>26589037</v>
      </c>
      <c r="AM22" s="9">
        <v>500</v>
      </c>
      <c r="AN22" s="13">
        <v>26589037</v>
      </c>
      <c r="AO22" s="11">
        <f>AVERAGE(AN22:AN24)</f>
        <v>26190656.333333332</v>
      </c>
      <c r="AP22" s="12">
        <f t="shared" si="3"/>
        <v>537.28894000000003</v>
      </c>
      <c r="AQ22" s="10">
        <f t="shared" si="4"/>
        <v>28372678.94328022</v>
      </c>
      <c r="BB22" s="13">
        <v>26289037</v>
      </c>
      <c r="BC22" s="9">
        <v>500</v>
      </c>
      <c r="BD22" s="13">
        <v>26289037</v>
      </c>
      <c r="BE22" s="11">
        <f>AVERAGE(BD22:BD24)</f>
        <v>25910653.333333332</v>
      </c>
      <c r="BF22" s="12">
        <f t="shared" si="5"/>
        <v>530.72554000000002</v>
      </c>
      <c r="BG22" s="10">
        <f t="shared" si="6"/>
        <v>27665323.158319913</v>
      </c>
      <c r="BP22" s="11">
        <v>25556215</v>
      </c>
      <c r="BQ22" s="9">
        <v>500</v>
      </c>
      <c r="BR22" s="11">
        <v>25556215</v>
      </c>
      <c r="BS22" s="11">
        <f>AVERAGE(BR22:BR24)</f>
        <v>25724435.666666668</v>
      </c>
      <c r="BT22" s="12">
        <f t="shared" si="7"/>
        <v>516.3334000000001</v>
      </c>
      <c r="BU22" s="10">
        <f t="shared" si="8"/>
        <v>26654658.993725833</v>
      </c>
      <c r="BV22" s="2"/>
      <c r="BW22" s="2"/>
    </row>
    <row r="23" spans="8:76" x14ac:dyDescent="0.25">
      <c r="H23" s="11">
        <v>27502185</v>
      </c>
      <c r="I23" s="9">
        <v>500</v>
      </c>
      <c r="J23" s="11">
        <v>27502185</v>
      </c>
      <c r="K23" s="9"/>
      <c r="L23" s="12">
        <f t="shared" si="9"/>
        <v>555.54290000000003</v>
      </c>
      <c r="M23" s="10">
        <f t="shared" si="0"/>
        <v>30814460.209619273</v>
      </c>
      <c r="N23" s="68">
        <f>N22*0.85</f>
        <v>26083048.547712788</v>
      </c>
      <c r="O23" s="68">
        <f>N22*1.15</f>
        <v>35288830.388082005</v>
      </c>
      <c r="W23" s="11">
        <v>26515881</v>
      </c>
      <c r="X23" s="9">
        <v>500</v>
      </c>
      <c r="Y23" s="11">
        <v>26515881</v>
      </c>
      <c r="Z23" s="9"/>
      <c r="AA23" s="12">
        <f t="shared" si="1"/>
        <v>535.39052000000004</v>
      </c>
      <c r="AB23" s="10">
        <f t="shared" si="2"/>
        <v>28922343.56568177</v>
      </c>
      <c r="AL23" s="11">
        <v>25990165</v>
      </c>
      <c r="AM23" s="9">
        <v>500</v>
      </c>
      <c r="AN23" s="11">
        <v>25990165</v>
      </c>
      <c r="AO23" s="9"/>
      <c r="AP23" s="12">
        <f t="shared" si="3"/>
        <v>525.31150000000002</v>
      </c>
      <c r="AQ23" s="10">
        <f t="shared" si="4"/>
        <v>27668279.413081136</v>
      </c>
      <c r="BB23" s="11">
        <v>25940156</v>
      </c>
      <c r="BC23" s="9">
        <v>500</v>
      </c>
      <c r="BD23" s="11">
        <v>25940156</v>
      </c>
      <c r="BE23" s="9"/>
      <c r="BF23" s="12">
        <f t="shared" si="5"/>
        <v>523.74792000000002</v>
      </c>
      <c r="BG23" s="10">
        <f t="shared" si="6"/>
        <v>27264680.279327784</v>
      </c>
      <c r="BP23" s="11">
        <v>25563524</v>
      </c>
      <c r="BQ23" s="9">
        <v>500</v>
      </c>
      <c r="BR23" s="11">
        <v>25563524</v>
      </c>
      <c r="BS23" s="9"/>
      <c r="BT23" s="12">
        <f t="shared" si="7"/>
        <v>516.47958000000006</v>
      </c>
      <c r="BU23" s="10">
        <f t="shared" si="8"/>
        <v>26663009.396782942</v>
      </c>
      <c r="BV23" s="2"/>
      <c r="BW23" s="2"/>
    </row>
    <row r="24" spans="8:76" x14ac:dyDescent="0.25">
      <c r="H24" s="11">
        <v>27345243</v>
      </c>
      <c r="I24" s="9">
        <v>500</v>
      </c>
      <c r="J24" s="11">
        <v>27345243</v>
      </c>
      <c r="K24" s="9"/>
      <c r="L24" s="12">
        <f t="shared" si="9"/>
        <v>552.40406000000007</v>
      </c>
      <c r="M24" s="10">
        <f t="shared" si="0"/>
        <v>30619460.703988113</v>
      </c>
      <c r="N24" s="2"/>
      <c r="O24" s="2"/>
      <c r="W24" s="11">
        <v>26460289</v>
      </c>
      <c r="X24" s="9">
        <v>500</v>
      </c>
      <c r="Y24" s="11">
        <v>26460289</v>
      </c>
      <c r="Z24" s="9"/>
      <c r="AA24" s="12">
        <f t="shared" si="1"/>
        <v>534.27868000000001</v>
      </c>
      <c r="AB24" s="10">
        <f t="shared" si="2"/>
        <v>28856010.510333583</v>
      </c>
      <c r="AL24" s="11">
        <v>25992767</v>
      </c>
      <c r="AM24" s="9">
        <v>500</v>
      </c>
      <c r="AN24" s="11">
        <v>25992767</v>
      </c>
      <c r="AO24" s="9"/>
      <c r="AP24" s="12">
        <f t="shared" si="3"/>
        <v>525.36354000000006</v>
      </c>
      <c r="AQ24" s="10">
        <f t="shared" si="4"/>
        <v>27671332.809420608</v>
      </c>
      <c r="BB24" s="11">
        <v>25502767</v>
      </c>
      <c r="BC24" s="9">
        <v>500</v>
      </c>
      <c r="BD24" s="11">
        <v>25502767</v>
      </c>
      <c r="BE24" s="9"/>
      <c r="BF24" s="12">
        <f t="shared" si="5"/>
        <v>515.0001400000001</v>
      </c>
      <c r="BG24" s="10">
        <f t="shared" si="6"/>
        <v>26763790.003884204</v>
      </c>
      <c r="BP24" s="11">
        <v>26053568</v>
      </c>
      <c r="BQ24" s="9">
        <v>500</v>
      </c>
      <c r="BR24" s="11">
        <v>26053568</v>
      </c>
      <c r="BS24" s="9"/>
      <c r="BT24" s="12">
        <f t="shared" si="7"/>
        <v>526.28046000000006</v>
      </c>
      <c r="BU24" s="10">
        <f t="shared" si="8"/>
        <v>27223916.205745254</v>
      </c>
      <c r="BV24" s="2"/>
      <c r="BW24" s="60" t="s">
        <v>45</v>
      </c>
      <c r="BX24" s="60"/>
    </row>
    <row r="25" spans="8:76" x14ac:dyDescent="0.25">
      <c r="M25" s="10"/>
      <c r="AB25" s="10"/>
      <c r="AQ25" s="10"/>
      <c r="BG25" s="10"/>
      <c r="BU25" s="10"/>
    </row>
    <row r="26" spans="8:76" x14ac:dyDescent="0.25">
      <c r="K26" s="9" t="s">
        <v>4</v>
      </c>
      <c r="L26" s="9">
        <v>138.09</v>
      </c>
      <c r="M26" s="10">
        <f>(12.068*(L26^2))+(48754*L26)+5000</f>
        <v>6967562.7188708</v>
      </c>
      <c r="N26" s="2"/>
      <c r="O26" s="2"/>
      <c r="Z26" s="9" t="s">
        <v>4</v>
      </c>
      <c r="AA26" s="9">
        <v>136.27000000000001</v>
      </c>
      <c r="AB26" s="10">
        <f t="shared" si="2"/>
        <v>6790126.2298917007</v>
      </c>
      <c r="AO26" s="9" t="s">
        <v>4</v>
      </c>
      <c r="AP26" s="9">
        <v>132.03</v>
      </c>
      <c r="AQ26" s="10">
        <f t="shared" si="4"/>
        <v>6363461.2066214001</v>
      </c>
      <c r="BE26" s="39" t="s">
        <v>4</v>
      </c>
      <c r="BF26" s="9">
        <v>130.69</v>
      </c>
      <c r="BG26" s="10">
        <f t="shared" si="6"/>
        <v>6287213.7761319997</v>
      </c>
      <c r="BS26" s="9" t="s">
        <v>4</v>
      </c>
      <c r="BT26" s="9">
        <v>131.52000000000001</v>
      </c>
      <c r="BU26" s="10">
        <f t="shared" si="8"/>
        <v>6253162.5159680005</v>
      </c>
      <c r="BW26" s="2">
        <f>L26*0.85</f>
        <v>117.37649999999999</v>
      </c>
      <c r="BX26" s="2">
        <f>L26*1.15</f>
        <v>158.80349999999999</v>
      </c>
    </row>
    <row r="27" spans="8:76" x14ac:dyDescent="0.25">
      <c r="J27" s="7"/>
      <c r="K27" s="9" t="s">
        <v>39</v>
      </c>
      <c r="L27" s="9">
        <v>146.85</v>
      </c>
      <c r="M27" s="10">
        <f t="shared" si="0"/>
        <v>7424770.3847299991</v>
      </c>
      <c r="N27" s="2"/>
      <c r="O27" s="2"/>
      <c r="Y27" s="7"/>
      <c r="Z27" s="9" t="s">
        <v>39</v>
      </c>
      <c r="AA27" s="9">
        <v>143.86000000000001</v>
      </c>
      <c r="AB27" s="10">
        <f t="shared" si="2"/>
        <v>7179590.4918708</v>
      </c>
      <c r="AN27" s="7"/>
      <c r="AO27" s="9" t="s">
        <v>39</v>
      </c>
      <c r="AP27" s="9">
        <v>139.68</v>
      </c>
      <c r="AQ27" s="10">
        <f t="shared" si="4"/>
        <v>6744109.8504704004</v>
      </c>
      <c r="BD27" s="7"/>
      <c r="BE27" s="39" t="s">
        <v>39</v>
      </c>
      <c r="BF27" s="9">
        <v>135.16</v>
      </c>
      <c r="BG27" s="10">
        <f t="shared" si="6"/>
        <v>6508198.9630719991</v>
      </c>
      <c r="BR27" s="7"/>
      <c r="BS27" s="9" t="s">
        <v>39</v>
      </c>
      <c r="BT27" s="9">
        <v>128.56</v>
      </c>
      <c r="BU27" s="10">
        <f t="shared" si="8"/>
        <v>6108480.5173120005</v>
      </c>
      <c r="BW27" s="2">
        <f t="shared" ref="BW27:BW31" si="10">L27*0.85</f>
        <v>124.82249999999999</v>
      </c>
      <c r="BX27" s="2">
        <f t="shared" ref="BX27:BX31" si="11">L27*1.15</f>
        <v>168.87749999999997</v>
      </c>
    </row>
    <row r="28" spans="8:76" x14ac:dyDescent="0.25">
      <c r="K28" s="9" t="s">
        <v>40</v>
      </c>
      <c r="L28" s="12">
        <v>153.56</v>
      </c>
      <c r="M28" s="10">
        <f t="shared" si="0"/>
        <v>7776235.8090048004</v>
      </c>
      <c r="N28" s="2"/>
      <c r="O28" s="67"/>
      <c r="Z28" s="9" t="s">
        <v>40</v>
      </c>
      <c r="AA28" s="12">
        <v>150.47999999999999</v>
      </c>
      <c r="AB28" s="10">
        <f t="shared" si="2"/>
        <v>7520275.9280191995</v>
      </c>
      <c r="AO28" s="9" t="s">
        <v>40</v>
      </c>
      <c r="AP28" s="12">
        <v>146.25</v>
      </c>
      <c r="AQ28" s="10">
        <f t="shared" si="4"/>
        <v>7072089.2093749996</v>
      </c>
      <c r="BE28" s="39" t="s">
        <v>40</v>
      </c>
      <c r="BF28" s="12">
        <v>142.84</v>
      </c>
      <c r="BG28" s="10">
        <f t="shared" si="6"/>
        <v>6888822.5278720008</v>
      </c>
      <c r="BS28" s="9" t="s">
        <v>40</v>
      </c>
      <c r="BT28" s="9">
        <v>137.74</v>
      </c>
      <c r="BU28" s="10">
        <f t="shared" si="8"/>
        <v>6557799.4820919996</v>
      </c>
      <c r="BW28" s="2">
        <f t="shared" si="10"/>
        <v>130.52600000000001</v>
      </c>
      <c r="BX28" s="2">
        <f t="shared" si="11"/>
        <v>176.59399999999999</v>
      </c>
    </row>
    <row r="29" spans="8:76" x14ac:dyDescent="0.25">
      <c r="K29" s="9" t="s">
        <v>5</v>
      </c>
      <c r="L29" s="9">
        <v>234.89</v>
      </c>
      <c r="M29" s="10">
        <f t="shared" si="0"/>
        <v>12122658.590422798</v>
      </c>
      <c r="N29" s="2"/>
      <c r="O29" s="2"/>
      <c r="Z29" s="9" t="s">
        <v>5</v>
      </c>
      <c r="AA29" s="9">
        <v>230.27</v>
      </c>
      <c r="AB29" s="10">
        <f t="shared" si="2"/>
        <v>11699410.407371702</v>
      </c>
      <c r="AO29" s="9" t="s">
        <v>5</v>
      </c>
      <c r="AP29" s="9">
        <v>225</v>
      </c>
      <c r="AQ29" s="10">
        <f t="shared" si="4"/>
        <v>11080253.75</v>
      </c>
      <c r="BE29" s="39" t="s">
        <v>5</v>
      </c>
      <c r="BF29" s="9">
        <v>219</v>
      </c>
      <c r="BG29" s="10">
        <f t="shared" si="6"/>
        <v>10727958.32</v>
      </c>
      <c r="BS29" s="9" t="s">
        <v>5</v>
      </c>
      <c r="BT29" s="9">
        <v>213.32</v>
      </c>
      <c r="BU29" s="10">
        <f t="shared" si="8"/>
        <v>10325448.137008</v>
      </c>
      <c r="BW29" s="2">
        <f t="shared" si="10"/>
        <v>199.65649999999999</v>
      </c>
      <c r="BX29" s="2">
        <f t="shared" si="11"/>
        <v>270.12349999999998</v>
      </c>
    </row>
    <row r="30" spans="8:76" x14ac:dyDescent="0.25">
      <c r="K30" s="9" t="s">
        <v>41</v>
      </c>
      <c r="L30" s="9">
        <v>272.69</v>
      </c>
      <c r="M30" s="10">
        <f t="shared" si="0"/>
        <v>14197102.762054799</v>
      </c>
      <c r="N30" s="2"/>
      <c r="O30" s="2"/>
      <c r="Z30" s="9" t="s">
        <v>41</v>
      </c>
      <c r="AA30" s="9">
        <v>269.52999999999997</v>
      </c>
      <c r="AB30" s="10">
        <f t="shared" si="2"/>
        <v>13805135.6381757</v>
      </c>
      <c r="AO30" s="9" t="s">
        <v>41</v>
      </c>
      <c r="AP30" s="9">
        <v>265.98</v>
      </c>
      <c r="AQ30" s="10">
        <f t="shared" si="4"/>
        <v>13222186.435138401</v>
      </c>
      <c r="BE30" s="39" t="s">
        <v>41</v>
      </c>
      <c r="BF30" s="9">
        <v>261.99</v>
      </c>
      <c r="BG30" s="10">
        <f t="shared" si="6"/>
        <v>12946870.782212</v>
      </c>
      <c r="BS30" s="9" t="s">
        <v>41</v>
      </c>
      <c r="BT30" s="9">
        <v>254.57</v>
      </c>
      <c r="BU30" s="10">
        <f t="shared" si="8"/>
        <v>12433174.071882999</v>
      </c>
      <c r="BW30" s="2">
        <f t="shared" si="10"/>
        <v>231.78649999999999</v>
      </c>
      <c r="BX30" s="2">
        <f t="shared" si="11"/>
        <v>313.59349999999995</v>
      </c>
    </row>
    <row r="31" spans="8:76" x14ac:dyDescent="0.25">
      <c r="K31" s="9" t="s">
        <v>42</v>
      </c>
      <c r="L31" s="9">
        <v>245.67</v>
      </c>
      <c r="M31" s="10">
        <f t="shared" si="0"/>
        <v>12710744.221725199</v>
      </c>
      <c r="N31" s="2"/>
      <c r="O31" s="2"/>
      <c r="Z31" s="9" t="s">
        <v>42</v>
      </c>
      <c r="AA31" s="9">
        <v>245.96</v>
      </c>
      <c r="AB31" s="10">
        <f t="shared" si="2"/>
        <v>12537039.5682768</v>
      </c>
      <c r="AO31" s="9" t="s">
        <v>42</v>
      </c>
      <c r="AP31" s="9">
        <v>242.63</v>
      </c>
      <c r="AQ31" s="10">
        <f t="shared" si="4"/>
        <v>11997022.441237399</v>
      </c>
      <c r="BE31" s="39" t="s">
        <v>42</v>
      </c>
      <c r="BF31" s="9">
        <v>237.25</v>
      </c>
      <c r="BG31" s="10">
        <f t="shared" si="6"/>
        <v>11665355.8825</v>
      </c>
      <c r="BS31" s="9" t="s">
        <v>42</v>
      </c>
      <c r="BT31" s="9">
        <v>229.02</v>
      </c>
      <c r="BU31" s="10">
        <f t="shared" si="8"/>
        <v>11123381.291468</v>
      </c>
      <c r="BW31" s="2">
        <f t="shared" si="10"/>
        <v>208.81949999999998</v>
      </c>
      <c r="BX31" s="2">
        <f t="shared" si="11"/>
        <v>282.52049999999997</v>
      </c>
    </row>
    <row r="32" spans="8:76" x14ac:dyDescent="0.25">
      <c r="K32" s="9" t="s">
        <v>43</v>
      </c>
      <c r="L32" s="9">
        <v>5.52</v>
      </c>
      <c r="M32" s="10">
        <f t="shared" si="0"/>
        <v>274489.79678719997</v>
      </c>
      <c r="N32" s="2"/>
      <c r="O32" s="2"/>
      <c r="Z32" s="9" t="s">
        <v>43</v>
      </c>
      <c r="AA32" s="9">
        <v>6.58</v>
      </c>
      <c r="AB32" s="10">
        <f t="shared" si="2"/>
        <v>323607.35283720004</v>
      </c>
      <c r="AO32" s="9" t="s">
        <v>43</v>
      </c>
      <c r="AP32" s="9">
        <v>7.15</v>
      </c>
      <c r="AQ32" s="10">
        <f t="shared" si="4"/>
        <v>339118.34813500004</v>
      </c>
      <c r="BE32" s="39" t="s">
        <v>43</v>
      </c>
      <c r="BF32" s="9">
        <v>6.96</v>
      </c>
      <c r="BG32" s="10">
        <f t="shared" si="6"/>
        <v>330849.34899199998</v>
      </c>
      <c r="BS32" s="9" t="s">
        <v>43</v>
      </c>
      <c r="BT32" s="9">
        <v>7.36</v>
      </c>
      <c r="BU32" s="10">
        <f t="shared" si="8"/>
        <v>344903.42963199998</v>
      </c>
    </row>
    <row r="33" spans="2:73" x14ac:dyDescent="0.25">
      <c r="K33" s="9" t="s">
        <v>43</v>
      </c>
      <c r="L33" s="9">
        <v>7.59</v>
      </c>
      <c r="M33" s="10">
        <f t="shared" si="0"/>
        <v>375738.07455079997</v>
      </c>
      <c r="N33" s="2"/>
      <c r="O33" s="2"/>
      <c r="Z33" s="9" t="s">
        <v>43</v>
      </c>
      <c r="AA33" s="9">
        <v>6.89</v>
      </c>
      <c r="AB33" s="10">
        <f t="shared" si="2"/>
        <v>338640.31251329998</v>
      </c>
      <c r="AO33" s="9" t="s">
        <v>43</v>
      </c>
      <c r="AP33" s="9">
        <v>6.84</v>
      </c>
      <c r="AQ33" s="10">
        <f t="shared" si="4"/>
        <v>324607.82797759998</v>
      </c>
      <c r="BE33" s="39" t="s">
        <v>43</v>
      </c>
      <c r="BF33" s="9">
        <v>6.54</v>
      </c>
      <c r="BG33" s="10">
        <f t="shared" si="6"/>
        <v>311158.22859200003</v>
      </c>
      <c r="BS33" s="9" t="s">
        <v>43</v>
      </c>
      <c r="BT33" s="9">
        <v>6.06</v>
      </c>
      <c r="BU33" s="10">
        <f t="shared" si="8"/>
        <v>284782.08081199997</v>
      </c>
    </row>
    <row r="34" spans="2:73" x14ac:dyDescent="0.25">
      <c r="K34" s="9" t="s">
        <v>43</v>
      </c>
      <c r="L34" s="9">
        <v>8.52</v>
      </c>
      <c r="M34" s="10">
        <f t="shared" si="0"/>
        <v>421260.10094719997</v>
      </c>
      <c r="N34" s="2"/>
      <c r="O34" s="2"/>
      <c r="Z34" s="9" t="s">
        <v>43</v>
      </c>
      <c r="AA34" s="9">
        <v>5.14</v>
      </c>
      <c r="AB34" s="10">
        <f t="shared" si="2"/>
        <v>253803.47443079998</v>
      </c>
      <c r="AO34" s="9" t="s">
        <v>43</v>
      </c>
      <c r="AP34" s="9">
        <v>6.64</v>
      </c>
      <c r="AQ34" s="10">
        <f t="shared" si="4"/>
        <v>315247.36956159997</v>
      </c>
      <c r="BE34" s="39" t="s">
        <v>43</v>
      </c>
      <c r="BF34" s="9">
        <v>7.16</v>
      </c>
      <c r="BG34" s="10">
        <f t="shared" si="6"/>
        <v>340227.32787199999</v>
      </c>
      <c r="BS34" s="9" t="s">
        <v>43</v>
      </c>
      <c r="BT34" s="9">
        <v>7.98</v>
      </c>
      <c r="BU34" s="10">
        <f t="shared" si="8"/>
        <v>373589.38986800006</v>
      </c>
    </row>
    <row r="44" spans="2:73" x14ac:dyDescent="0.25">
      <c r="B44" t="s">
        <v>0</v>
      </c>
      <c r="AU44" t="s">
        <v>0</v>
      </c>
      <c r="BI44" t="s">
        <v>0</v>
      </c>
    </row>
    <row r="45" spans="2:73" x14ac:dyDescent="0.25">
      <c r="Q45" t="s">
        <v>0</v>
      </c>
      <c r="AE45" t="s">
        <v>0</v>
      </c>
    </row>
    <row r="50" spans="8:75" x14ac:dyDescent="0.25">
      <c r="H50" s="9" t="s">
        <v>31</v>
      </c>
      <c r="I50" s="57" t="s">
        <v>27</v>
      </c>
      <c r="J50" s="58"/>
      <c r="K50" s="58"/>
      <c r="L50" s="58"/>
      <c r="M50" s="59"/>
      <c r="BB50" s="9" t="s">
        <v>31</v>
      </c>
      <c r="BC50" s="57" t="s">
        <v>37</v>
      </c>
      <c r="BD50" s="58"/>
      <c r="BE50" s="58"/>
      <c r="BF50" s="58"/>
      <c r="BG50" s="59"/>
      <c r="BP50" s="9" t="s">
        <v>31</v>
      </c>
      <c r="BQ50" s="57" t="s">
        <v>38</v>
      </c>
      <c r="BR50" s="58"/>
      <c r="BS50" s="58"/>
      <c r="BT50" s="58"/>
      <c r="BU50" s="59"/>
    </row>
    <row r="51" spans="8:75" x14ac:dyDescent="0.25">
      <c r="H51" s="9"/>
      <c r="I51" s="9"/>
      <c r="J51" s="9"/>
      <c r="K51" s="9"/>
      <c r="L51" s="9"/>
      <c r="M51" s="9"/>
      <c r="X51" s="9" t="s">
        <v>32</v>
      </c>
      <c r="Y51" s="57" t="s">
        <v>35</v>
      </c>
      <c r="Z51" s="58"/>
      <c r="AA51" s="58"/>
      <c r="AB51" s="58"/>
      <c r="AC51" s="59"/>
      <c r="AL51" s="9" t="s">
        <v>32</v>
      </c>
      <c r="AM51" s="57" t="s">
        <v>36</v>
      </c>
      <c r="AN51" s="58"/>
      <c r="AO51" s="58"/>
      <c r="AP51" s="58"/>
      <c r="AQ51" s="59"/>
      <c r="BB51" s="9"/>
      <c r="BC51" s="9"/>
      <c r="BD51" s="9"/>
      <c r="BE51" s="9"/>
      <c r="BF51" s="9"/>
      <c r="BG51" s="9"/>
      <c r="BP51" s="9"/>
      <c r="BQ51" s="9"/>
      <c r="BR51" s="9"/>
      <c r="BS51" s="9"/>
      <c r="BT51" s="9"/>
      <c r="BU51" s="9"/>
    </row>
    <row r="52" spans="8:75" x14ac:dyDescent="0.25">
      <c r="H52" s="11">
        <v>5000</v>
      </c>
      <c r="I52" s="9">
        <v>0</v>
      </c>
      <c r="J52" s="11">
        <v>5000</v>
      </c>
      <c r="K52" s="9">
        <v>5000</v>
      </c>
      <c r="L52" s="12">
        <f>(J52*(2*10^-5)+5.3414)</f>
        <v>5.4413999999999998</v>
      </c>
      <c r="M52" s="10">
        <f>(11.497*(L52^2))+(48776*L52)+5000</f>
        <v>270750.13916403812</v>
      </c>
      <c r="N52" s="2">
        <f>L52*0.85</f>
        <v>4.6251899999999999</v>
      </c>
      <c r="O52" s="2">
        <f>L52*1.15</f>
        <v>6.2576099999999997</v>
      </c>
      <c r="X52" s="9"/>
      <c r="Y52" s="9"/>
      <c r="Z52" s="9"/>
      <c r="AA52" s="9"/>
      <c r="AB52" s="9"/>
      <c r="AC52" s="9"/>
      <c r="AL52" s="9"/>
      <c r="AM52" s="9"/>
      <c r="AN52" s="9"/>
      <c r="AO52" s="9"/>
      <c r="AP52" s="9"/>
      <c r="AQ52" s="9"/>
      <c r="BB52" s="11">
        <v>5000</v>
      </c>
      <c r="BC52" s="9">
        <v>0</v>
      </c>
      <c r="BD52" s="11">
        <v>5000</v>
      </c>
      <c r="BE52" s="9">
        <v>5000</v>
      </c>
      <c r="BF52" s="12">
        <f>(BD52*(2*10^-5)+4.3692)</f>
        <v>4.4691999999999998</v>
      </c>
      <c r="BG52" s="10">
        <f>(7.4812*(BF52^2))+(46330*BF52)+5000</f>
        <v>212207.46360832555</v>
      </c>
      <c r="BP52" s="11">
        <v>5000</v>
      </c>
      <c r="BQ52" s="9">
        <v>0</v>
      </c>
      <c r="BR52" s="11">
        <v>5000</v>
      </c>
      <c r="BS52" s="9">
        <v>5000</v>
      </c>
      <c r="BT52" s="12">
        <f>(BR52*(2*10^-5)+3.3813)</f>
        <v>3.4813000000000001</v>
      </c>
      <c r="BU52" s="10">
        <f>(6.275*(BT52^2))+(45038*BT52)+5000</f>
        <v>161866.83894680475</v>
      </c>
      <c r="BV52" s="2">
        <v>4.3651749999999998</v>
      </c>
      <c r="BW52" s="2">
        <v>5.9058249999999992</v>
      </c>
    </row>
    <row r="53" spans="8:75" x14ac:dyDescent="0.25">
      <c r="H53" s="11">
        <v>3780780</v>
      </c>
      <c r="I53" s="9">
        <v>75</v>
      </c>
      <c r="J53" s="11">
        <v>3780780</v>
      </c>
      <c r="K53" s="11">
        <f>AVERAGE(J53:J55)</f>
        <v>3727875</v>
      </c>
      <c r="L53" s="12">
        <f t="shared" ref="L53:L58" si="12">(J53*(2*10^-5)+5.3414)</f>
        <v>80.956999999999994</v>
      </c>
      <c r="M53" s="10">
        <f t="shared" ref="M53:M58" si="13">(11.497*(L53^2))+(48776*L53)+5000</f>
        <v>4029110.382155953</v>
      </c>
      <c r="N53" s="2">
        <f t="shared" ref="N53:N58" si="14">L53*0.85</f>
        <v>68.813449999999989</v>
      </c>
      <c r="O53" s="2">
        <f t="shared" ref="O53:O58" si="15">L53*1.15</f>
        <v>93.100549999999984</v>
      </c>
      <c r="X53" s="11">
        <v>5000</v>
      </c>
      <c r="Y53" s="9">
        <v>0</v>
      </c>
      <c r="Z53" s="11">
        <v>5000</v>
      </c>
      <c r="AA53" s="9">
        <v>5000</v>
      </c>
      <c r="AB53" s="12">
        <f>(Z53*(2*10^-5)+5.2006)</f>
        <v>5.3005999999999993</v>
      </c>
      <c r="AC53" s="10">
        <f>(10.572*(AB53^2))+(47072*AB53)+5000</f>
        <v>254806.87792172589</v>
      </c>
      <c r="AL53" s="11">
        <v>5000</v>
      </c>
      <c r="AM53" s="9">
        <v>0</v>
      </c>
      <c r="AN53" s="11">
        <v>5000</v>
      </c>
      <c r="AO53" s="9">
        <v>5000</v>
      </c>
      <c r="AP53" s="12">
        <f t="shared" ref="AP53:AP59" si="16">(AN53*(2*10^-5)+4.8462)</f>
        <v>4.9461999999999993</v>
      </c>
      <c r="AQ53" s="10">
        <f t="shared" ref="AQ53:AQ69" si="17">(9.0331*(AP53^2))+(46733*AP53)+5000</f>
        <v>236371.75843796594</v>
      </c>
      <c r="BB53" s="11">
        <v>3496235</v>
      </c>
      <c r="BC53" s="9">
        <v>75</v>
      </c>
      <c r="BD53" s="11">
        <v>3496235</v>
      </c>
      <c r="BE53" s="11">
        <f>AVERAGE(BD53:BD55)</f>
        <v>3521839.6666666665</v>
      </c>
      <c r="BF53" s="12">
        <f t="shared" ref="BF53:BF58" si="18">(BD53*(2*10^-5)+4.3692)</f>
        <v>74.293900000000008</v>
      </c>
      <c r="BG53" s="10">
        <f t="shared" ref="BG53:BG58" si="19">(7.4812*(BF53^2))+(46330*BF53)+5000</f>
        <v>3488329.495657824</v>
      </c>
      <c r="BP53" s="11">
        <v>3389254</v>
      </c>
      <c r="BQ53" s="9">
        <v>75</v>
      </c>
      <c r="BR53" s="11">
        <v>3389254</v>
      </c>
      <c r="BS53" s="11">
        <f>AVERAGE(BR53:BR55)</f>
        <v>3418149.3333333335</v>
      </c>
      <c r="BT53" s="12">
        <f t="shared" ref="BT53:BT58" si="20">(BR53*(2*10^-5)+3.3813)</f>
        <v>71.166380000000004</v>
      </c>
      <c r="BU53" s="10">
        <f t="shared" ref="BU53:BU58" si="21">(6.275*(BT53^2))+(45038*BT53)+5000</f>
        <v>3241972.1240454605</v>
      </c>
      <c r="BV53" s="2">
        <v>68.717026000000004</v>
      </c>
      <c r="BW53" s="2">
        <v>92.970094000000003</v>
      </c>
    </row>
    <row r="54" spans="8:75" x14ac:dyDescent="0.25">
      <c r="H54" s="11">
        <v>3689624</v>
      </c>
      <c r="I54" s="9">
        <v>75</v>
      </c>
      <c r="J54" s="11">
        <v>3689624</v>
      </c>
      <c r="K54" s="9"/>
      <c r="L54" s="12">
        <f t="shared" si="12"/>
        <v>79.133880000000005</v>
      </c>
      <c r="M54" s="10">
        <f t="shared" si="13"/>
        <v>3936830.310451434</v>
      </c>
      <c r="N54" s="2">
        <f t="shared" si="14"/>
        <v>67.263798000000008</v>
      </c>
      <c r="O54" s="2">
        <f t="shared" si="15"/>
        <v>91.003962000000001</v>
      </c>
      <c r="X54" s="11">
        <v>3596216</v>
      </c>
      <c r="Y54" s="9">
        <v>75</v>
      </c>
      <c r="Z54" s="11">
        <v>3596216</v>
      </c>
      <c r="AA54" s="11">
        <f>AVERAGE(Z54:Z56)</f>
        <v>3594871.6666666665</v>
      </c>
      <c r="AB54" s="12">
        <f t="shared" ref="AB54:AB59" si="22">(Z54*(2*10^-5)+5.2006)</f>
        <v>77.124920000000003</v>
      </c>
      <c r="AC54" s="10">
        <f t="shared" ref="AC54:AC59" si="23">(10.572*(AB54^2))+(47072*AB54)+5000</f>
        <v>3698309.1679690876</v>
      </c>
      <c r="AL54" s="11">
        <v>3556528</v>
      </c>
      <c r="AM54" s="9">
        <v>75</v>
      </c>
      <c r="AN54" s="11">
        <v>3556528</v>
      </c>
      <c r="AO54" s="11">
        <f>AVERAGE(AN54:AN56)</f>
        <v>3560776.6666666665</v>
      </c>
      <c r="AP54" s="12">
        <f t="shared" si="16"/>
        <v>75.976759999999999</v>
      </c>
      <c r="AQ54" s="10">
        <f t="shared" si="17"/>
        <v>3607765.2063136674</v>
      </c>
      <c r="BB54" s="11">
        <v>3489652</v>
      </c>
      <c r="BC54" s="9">
        <v>75</v>
      </c>
      <c r="BD54" s="11">
        <v>3489652</v>
      </c>
      <c r="BE54" s="9"/>
      <c r="BF54" s="12">
        <f t="shared" si="18"/>
        <v>74.162240000000011</v>
      </c>
      <c r="BG54" s="10">
        <f t="shared" si="19"/>
        <v>3482083.4623022065</v>
      </c>
      <c r="BP54" s="11">
        <v>3406398</v>
      </c>
      <c r="BQ54" s="9">
        <v>75</v>
      </c>
      <c r="BR54" s="11">
        <v>3406398</v>
      </c>
      <c r="BS54" s="9"/>
      <c r="BT54" s="12">
        <f t="shared" si="20"/>
        <v>71.509259999999998</v>
      </c>
      <c r="BU54" s="10">
        <f t="shared" si="21"/>
        <v>3257721.7303975658</v>
      </c>
      <c r="BV54" s="2">
        <v>66.80064999999999</v>
      </c>
      <c r="BW54" s="2">
        <v>90.377349999999993</v>
      </c>
    </row>
    <row r="55" spans="8:75" x14ac:dyDescent="0.25">
      <c r="H55" s="11">
        <v>3713221</v>
      </c>
      <c r="I55" s="9">
        <v>75</v>
      </c>
      <c r="J55" s="11">
        <v>3713221</v>
      </c>
      <c r="K55" s="9"/>
      <c r="L55" s="12">
        <f t="shared" si="12"/>
        <v>79.605819999999994</v>
      </c>
      <c r="M55" s="10">
        <f t="shared" si="13"/>
        <v>3960710.9607057991</v>
      </c>
      <c r="N55" s="2">
        <f t="shared" si="14"/>
        <v>67.664946999999998</v>
      </c>
      <c r="O55" s="2">
        <f t="shared" si="15"/>
        <v>91.546692999999991</v>
      </c>
      <c r="X55" s="11">
        <v>3561574</v>
      </c>
      <c r="Y55" s="9">
        <v>75</v>
      </c>
      <c r="Z55" s="11">
        <v>3561574</v>
      </c>
      <c r="AA55" s="9"/>
      <c r="AB55" s="12">
        <f t="shared" si="22"/>
        <v>76.432079999999999</v>
      </c>
      <c r="AC55" s="10">
        <f t="shared" si="23"/>
        <v>3664571.0438432526</v>
      </c>
      <c r="AL55" s="11">
        <v>3521568</v>
      </c>
      <c r="AM55" s="9">
        <v>75</v>
      </c>
      <c r="AN55" s="11">
        <v>3521568</v>
      </c>
      <c r="AO55" s="9"/>
      <c r="AP55" s="12">
        <f t="shared" si="16"/>
        <v>75.277560000000008</v>
      </c>
      <c r="AQ55" s="10">
        <f t="shared" si="17"/>
        <v>3574134.1789713921</v>
      </c>
      <c r="BB55" s="11">
        <v>3579632</v>
      </c>
      <c r="BC55" s="9">
        <v>75</v>
      </c>
      <c r="BD55" s="11">
        <v>3579632</v>
      </c>
      <c r="BE55" s="9"/>
      <c r="BF55" s="12">
        <f t="shared" si="18"/>
        <v>75.961840000000009</v>
      </c>
      <c r="BG55" s="10">
        <f t="shared" si="19"/>
        <v>3567480.075940032</v>
      </c>
      <c r="BP55" s="11">
        <v>3458796</v>
      </c>
      <c r="BQ55" s="9">
        <v>75</v>
      </c>
      <c r="BR55" s="11">
        <v>3458796</v>
      </c>
      <c r="BS55" s="9"/>
      <c r="BT55" s="12">
        <f t="shared" si="20"/>
        <v>72.557220000000001</v>
      </c>
      <c r="BU55" s="10">
        <f t="shared" si="21"/>
        <v>3305867.1267026556</v>
      </c>
      <c r="BV55" s="2">
        <v>67.272093999999996</v>
      </c>
      <c r="BW55" s="2">
        <v>91.015186</v>
      </c>
    </row>
    <row r="56" spans="8:75" x14ac:dyDescent="0.25">
      <c r="H56" s="13">
        <v>26780055</v>
      </c>
      <c r="I56" s="9">
        <v>500</v>
      </c>
      <c r="J56" s="13">
        <v>26780055</v>
      </c>
      <c r="K56" s="11">
        <f>AVERAGE(J56:J58)</f>
        <v>27267268.333333332</v>
      </c>
      <c r="L56" s="12">
        <f t="shared" si="12"/>
        <v>540.94250000000011</v>
      </c>
      <c r="M56" s="10">
        <f t="shared" si="13"/>
        <v>29754249.589156963</v>
      </c>
      <c r="N56" s="2">
        <f t="shared" si="14"/>
        <v>459.80112500000007</v>
      </c>
      <c r="O56" s="2">
        <f t="shared" si="15"/>
        <v>622.08387500000003</v>
      </c>
      <c r="X56" s="11">
        <v>3626825</v>
      </c>
      <c r="Y56" s="9">
        <v>75</v>
      </c>
      <c r="Z56" s="11">
        <v>3626825</v>
      </c>
      <c r="AA56" s="9"/>
      <c r="AB56" s="12">
        <f t="shared" si="22"/>
        <v>77.737099999999998</v>
      </c>
      <c r="AC56" s="10">
        <f t="shared" si="23"/>
        <v>3728127.9668058865</v>
      </c>
      <c r="AL56" s="11">
        <v>3604234</v>
      </c>
      <c r="AM56" s="9">
        <v>75</v>
      </c>
      <c r="AN56" s="11">
        <v>3604234</v>
      </c>
      <c r="AO56" s="9"/>
      <c r="AP56" s="12">
        <f t="shared" si="16"/>
        <v>76.930880000000002</v>
      </c>
      <c r="AQ56" s="10">
        <f t="shared" si="17"/>
        <v>3653671.9554440198</v>
      </c>
      <c r="BB56" s="11">
        <v>26178564</v>
      </c>
      <c r="BC56" s="9">
        <v>500</v>
      </c>
      <c r="BD56" s="11">
        <v>26178564</v>
      </c>
      <c r="BE56" s="11">
        <f>AVERAGE(BD56:BD58)</f>
        <v>25040352.333333332</v>
      </c>
      <c r="BF56" s="12">
        <f t="shared" si="18"/>
        <v>527.94047999999998</v>
      </c>
      <c r="BG56" s="10">
        <f t="shared" si="19"/>
        <v>26549651.108941782</v>
      </c>
      <c r="BP56" s="11">
        <v>24263251</v>
      </c>
      <c r="BQ56" s="9">
        <v>500</v>
      </c>
      <c r="BR56" s="11">
        <v>24263251</v>
      </c>
      <c r="BS56" s="11">
        <f>AVERAGE(BR56:BR58)</f>
        <v>24092759.666666668</v>
      </c>
      <c r="BT56" s="12">
        <f t="shared" si="20"/>
        <v>488.64632000000006</v>
      </c>
      <c r="BU56" s="10">
        <f t="shared" si="21"/>
        <v>23510967.503620882</v>
      </c>
      <c r="BV56" s="2">
        <v>475.69700900000004</v>
      </c>
      <c r="BW56" s="2">
        <v>643.59007099999997</v>
      </c>
    </row>
    <row r="57" spans="8:75" x14ac:dyDescent="0.25">
      <c r="H57" s="11">
        <v>27522040</v>
      </c>
      <c r="I57" s="9">
        <v>500</v>
      </c>
      <c r="J57" s="11">
        <v>27522040</v>
      </c>
      <c r="K57" s="9"/>
      <c r="L57" s="12">
        <f t="shared" si="12"/>
        <v>555.7822000000001</v>
      </c>
      <c r="M57" s="10">
        <f t="shared" si="13"/>
        <v>30665185.224762157</v>
      </c>
      <c r="N57" s="2">
        <f>L57*0.85</f>
        <v>472.41487000000006</v>
      </c>
      <c r="O57" s="2">
        <f t="shared" si="15"/>
        <v>639.14953000000003</v>
      </c>
      <c r="X57" s="13">
        <v>26844761</v>
      </c>
      <c r="Y57" s="9">
        <v>500</v>
      </c>
      <c r="Z57" s="13">
        <v>26844761</v>
      </c>
      <c r="AA57" s="11">
        <f>AVERAGE(Z57:Z59)</f>
        <v>26184132.666666668</v>
      </c>
      <c r="AB57" s="12">
        <f t="shared" si="22"/>
        <v>542.09582</v>
      </c>
      <c r="AC57" s="10">
        <f t="shared" si="23"/>
        <v>28629305.645905886</v>
      </c>
      <c r="AL57" s="13">
        <v>26566523</v>
      </c>
      <c r="AM57" s="9">
        <v>500</v>
      </c>
      <c r="AN57" s="13">
        <v>26566523</v>
      </c>
      <c r="AO57" s="11">
        <f>AVERAGE(AN57:AN59)</f>
        <v>25629704</v>
      </c>
      <c r="AP57" s="12">
        <f t="shared" si="16"/>
        <v>536.17665999999997</v>
      </c>
      <c r="AQ57" s="10">
        <f t="shared" si="17"/>
        <v>27659028.315433919</v>
      </c>
      <c r="BB57" s="11">
        <v>23986349</v>
      </c>
      <c r="BC57" s="9">
        <v>500</v>
      </c>
      <c r="BD57" s="11">
        <v>23986349</v>
      </c>
      <c r="BE57" s="9"/>
      <c r="BF57" s="12">
        <f t="shared" si="18"/>
        <v>484.09618</v>
      </c>
      <c r="BG57" s="10">
        <f t="shared" si="19"/>
        <v>24186388.59228342</v>
      </c>
      <c r="BP57" s="11">
        <v>23492014</v>
      </c>
      <c r="BQ57" s="9">
        <v>500</v>
      </c>
      <c r="BR57" s="11">
        <v>23492014</v>
      </c>
      <c r="BS57" s="9"/>
      <c r="BT57" s="12">
        <f t="shared" si="20"/>
        <v>473.22158000000007</v>
      </c>
      <c r="BU57" s="10">
        <f t="shared" si="21"/>
        <v>22723168.635245048</v>
      </c>
      <c r="BV57" s="2">
        <v>460.95894399999992</v>
      </c>
      <c r="BW57" s="2">
        <v>623.65033599999992</v>
      </c>
    </row>
    <row r="58" spans="8:75" x14ac:dyDescent="0.25">
      <c r="H58" s="11">
        <v>27499710</v>
      </c>
      <c r="I58" s="9">
        <v>500</v>
      </c>
      <c r="J58" s="11">
        <v>27499710</v>
      </c>
      <c r="K58" s="9"/>
      <c r="L58" s="12">
        <f t="shared" si="12"/>
        <v>555.33560000000011</v>
      </c>
      <c r="M58" s="10">
        <f t="shared" si="13"/>
        <v>30637696.761928763</v>
      </c>
      <c r="N58" s="2">
        <f t="shared" si="14"/>
        <v>472.03526000000011</v>
      </c>
      <c r="O58" s="2">
        <f t="shared" si="15"/>
        <v>638.63594000000012</v>
      </c>
      <c r="X58" s="11">
        <v>25739587</v>
      </c>
      <c r="Y58" s="9">
        <v>500</v>
      </c>
      <c r="Z58" s="11">
        <v>25739587</v>
      </c>
      <c r="AA58" s="9"/>
      <c r="AB58" s="12">
        <f t="shared" si="22"/>
        <v>519.99234000000001</v>
      </c>
      <c r="AC58" s="10">
        <f t="shared" si="23"/>
        <v>27340664.008319519</v>
      </c>
      <c r="AL58" s="11">
        <v>24685732</v>
      </c>
      <c r="AM58" s="9">
        <v>500</v>
      </c>
      <c r="AN58" s="11">
        <v>24685732</v>
      </c>
      <c r="AO58" s="9"/>
      <c r="AP58" s="12">
        <f t="shared" si="16"/>
        <v>498.56084000000004</v>
      </c>
      <c r="AQ58" s="10">
        <f t="shared" si="17"/>
        <v>25549537.368713658</v>
      </c>
      <c r="BB58" s="11">
        <v>24956144</v>
      </c>
      <c r="BC58" s="9">
        <v>500</v>
      </c>
      <c r="BD58" s="11">
        <v>24956144</v>
      </c>
      <c r="BE58" s="9"/>
      <c r="BF58" s="12">
        <f t="shared" si="18"/>
        <v>503.49208000000004</v>
      </c>
      <c r="BG58" s="10">
        <f t="shared" si="19"/>
        <v>25228304.245707545</v>
      </c>
      <c r="BP58" s="11">
        <v>24523014</v>
      </c>
      <c r="BQ58" s="9">
        <v>500</v>
      </c>
      <c r="BR58" s="11">
        <v>24523014</v>
      </c>
      <c r="BS58" s="9"/>
      <c r="BT58" s="12">
        <f t="shared" si="20"/>
        <v>493.84158000000008</v>
      </c>
      <c r="BU58" s="10">
        <f t="shared" si="21"/>
        <v>23776980.981049031</v>
      </c>
      <c r="BV58" s="2">
        <v>455.20396799999997</v>
      </c>
      <c r="BW58" s="2">
        <v>615.864192</v>
      </c>
    </row>
    <row r="59" spans="8:75" x14ac:dyDescent="0.25">
      <c r="X59" s="11">
        <v>25968050</v>
      </c>
      <c r="Y59" s="9">
        <v>500</v>
      </c>
      <c r="Z59" s="11">
        <v>25968050</v>
      </c>
      <c r="AA59" s="9"/>
      <c r="AB59" s="12">
        <f t="shared" si="22"/>
        <v>524.5616</v>
      </c>
      <c r="AC59" s="10">
        <f t="shared" si="23"/>
        <v>27606206.66404089</v>
      </c>
      <c r="AL59" s="11">
        <v>25636857</v>
      </c>
      <c r="AM59" s="9">
        <v>500</v>
      </c>
      <c r="AN59" s="11">
        <v>25636857</v>
      </c>
      <c r="AO59" s="9"/>
      <c r="AP59" s="12">
        <f t="shared" si="16"/>
        <v>517.58334000000002</v>
      </c>
      <c r="AQ59" s="10">
        <f t="shared" si="17"/>
        <v>26613122.095038287</v>
      </c>
      <c r="BT59" s="12"/>
    </row>
    <row r="60" spans="8:75" x14ac:dyDescent="0.25">
      <c r="K60" s="9" t="s">
        <v>4</v>
      </c>
      <c r="L60" s="9">
        <v>135.32</v>
      </c>
      <c r="M60" s="10">
        <f>(11.497*(L60^2))+(48776*L60)+5000</f>
        <v>6815895.6630927995</v>
      </c>
      <c r="BS60" s="9" t="s">
        <v>4</v>
      </c>
      <c r="BT60" s="9">
        <v>118.34</v>
      </c>
      <c r="BU60" s="10">
        <f>(6.275*(BT60^2))+(45038*BT60)+5000</f>
        <v>5422674.2513899999</v>
      </c>
      <c r="BV60">
        <f>L60*0.85</f>
        <v>115.02199999999999</v>
      </c>
      <c r="BW60">
        <f>L60*1.15</f>
        <v>155.61799999999997</v>
      </c>
    </row>
    <row r="61" spans="8:75" x14ac:dyDescent="0.25">
      <c r="J61" s="7"/>
      <c r="K61" s="9" t="s">
        <v>39</v>
      </c>
      <c r="L61" s="9">
        <v>140.36000000000001</v>
      </c>
      <c r="M61" s="10">
        <f t="shared" ref="M61:M68" si="24">(11.497*(L61^2))+(48776*L61)+5000</f>
        <v>7077700.9476112006</v>
      </c>
      <c r="AA61" s="9" t="s">
        <v>4</v>
      </c>
      <c r="AB61" s="9">
        <v>131.02000000000001</v>
      </c>
      <c r="AC61" s="10">
        <f>(10.572*(AB61^2))+(47072*AB61)+5000</f>
        <v>6353854.9335088003</v>
      </c>
      <c r="AO61" s="9" t="s">
        <v>4</v>
      </c>
      <c r="AP61" s="9">
        <v>126.81</v>
      </c>
      <c r="AQ61" s="10">
        <f t="shared" si="17"/>
        <v>6076470.9885889105</v>
      </c>
      <c r="BD61" s="7"/>
      <c r="BE61" s="39" t="s">
        <v>4</v>
      </c>
      <c r="BF61" s="9">
        <v>123.25</v>
      </c>
      <c r="BG61" s="10">
        <f>(7.4812*(BF61^2))+(46330*BF61)+5000</f>
        <v>5828816.1361750001</v>
      </c>
      <c r="BR61" s="7"/>
      <c r="BS61" s="9" t="s">
        <v>39</v>
      </c>
      <c r="BT61" s="9">
        <v>124.1</v>
      </c>
      <c r="BU61" s="10">
        <f t="shared" ref="BU61:BU68" si="25">(6.275*(BT61^2))+(45038*BT61)+5000</f>
        <v>5690855.8827499999</v>
      </c>
      <c r="BV61">
        <f t="shared" ref="BV61:BV65" si="26">L61*0.85</f>
        <v>119.30600000000001</v>
      </c>
      <c r="BW61">
        <f t="shared" ref="BW61:BW65" si="27">L61*1.15</f>
        <v>161.41400000000002</v>
      </c>
    </row>
    <row r="62" spans="8:75" x14ac:dyDescent="0.25">
      <c r="K62" s="9" t="s">
        <v>40</v>
      </c>
      <c r="L62" s="12">
        <v>153.47</v>
      </c>
      <c r="M62" s="10">
        <f t="shared" si="24"/>
        <v>7761442.0312272999</v>
      </c>
      <c r="Z62" s="7"/>
      <c r="AA62" s="9" t="s">
        <v>39</v>
      </c>
      <c r="AB62" s="9">
        <v>142.87</v>
      </c>
      <c r="AC62" s="10">
        <f>(10.572*(AB62^2))+(47072*AB62)+5000</f>
        <v>6945970.5797068002</v>
      </c>
      <c r="AN62" s="7"/>
      <c r="AO62" s="9" t="s">
        <v>39</v>
      </c>
      <c r="AP62" s="9">
        <v>137.6</v>
      </c>
      <c r="AQ62" s="10">
        <f t="shared" si="17"/>
        <v>6606491.3474559998</v>
      </c>
      <c r="BE62" s="39" t="s">
        <v>39</v>
      </c>
      <c r="BF62" s="9">
        <v>132.66999999999999</v>
      </c>
      <c r="BG62" s="10">
        <f t="shared" ref="BG62:BG69" si="28">(7.4812*(BF62^2))+(46330*BF62)+5000</f>
        <v>6283280.16176668</v>
      </c>
      <c r="BS62" s="9" t="s">
        <v>40</v>
      </c>
      <c r="BT62" s="9">
        <v>132.84</v>
      </c>
      <c r="BU62" s="10">
        <f t="shared" si="25"/>
        <v>6098579.4916399997</v>
      </c>
      <c r="BV62">
        <f t="shared" si="26"/>
        <v>130.4495</v>
      </c>
      <c r="BW62">
        <f t="shared" si="27"/>
        <v>176.4905</v>
      </c>
    </row>
    <row r="63" spans="8:75" x14ac:dyDescent="0.25">
      <c r="K63" s="9" t="s">
        <v>5</v>
      </c>
      <c r="L63" s="9">
        <v>239.05</v>
      </c>
      <c r="M63" s="10">
        <f t="shared" si="24"/>
        <v>12321897.744042501</v>
      </c>
      <c r="AA63" s="9" t="s">
        <v>40</v>
      </c>
      <c r="AB63" s="12">
        <v>148.63999999999999</v>
      </c>
      <c r="AC63" s="10">
        <f t="shared" ref="AC63:AC69" si="29">(10.572*(AB63^2))+(47072*AB63)+5000</f>
        <v>7235358.2579711992</v>
      </c>
      <c r="AO63" s="9" t="s">
        <v>40</v>
      </c>
      <c r="AP63" s="9">
        <v>143.22</v>
      </c>
      <c r="AQ63" s="10">
        <f t="shared" si="17"/>
        <v>6883386.9217540398</v>
      </c>
      <c r="BE63" s="39" t="s">
        <v>40</v>
      </c>
      <c r="BF63" s="9">
        <v>137.65</v>
      </c>
      <c r="BG63" s="10">
        <f t="shared" si="28"/>
        <v>6524074.7053270005</v>
      </c>
      <c r="BS63" s="9" t="s">
        <v>5</v>
      </c>
      <c r="BT63" s="9">
        <v>216.27</v>
      </c>
      <c r="BU63" s="10">
        <f t="shared" si="25"/>
        <v>10038867.0334475</v>
      </c>
      <c r="BV63">
        <f t="shared" si="26"/>
        <v>203.1925</v>
      </c>
      <c r="BW63">
        <f t="shared" si="27"/>
        <v>274.90749999999997</v>
      </c>
    </row>
    <row r="64" spans="8:75" x14ac:dyDescent="0.25">
      <c r="K64" s="9" t="s">
        <v>41</v>
      </c>
      <c r="L64" s="9">
        <v>269.54000000000002</v>
      </c>
      <c r="M64" s="10">
        <f t="shared" si="24"/>
        <v>13987360.917965202</v>
      </c>
      <c r="AA64" s="9" t="s">
        <v>5</v>
      </c>
      <c r="AB64" s="9">
        <v>235.84</v>
      </c>
      <c r="AC64" s="10">
        <f t="shared" si="29"/>
        <v>11694480.4652032</v>
      </c>
      <c r="AO64" s="9" t="s">
        <v>5</v>
      </c>
      <c r="AP64" s="9">
        <v>228.31</v>
      </c>
      <c r="AQ64" s="10">
        <f t="shared" si="17"/>
        <v>11145465.68749691</v>
      </c>
      <c r="BE64" s="39" t="s">
        <v>5</v>
      </c>
      <c r="BF64" s="9">
        <v>223.4</v>
      </c>
      <c r="BG64" s="10">
        <f t="shared" si="28"/>
        <v>10728490.437872</v>
      </c>
      <c r="BS64" s="9" t="s">
        <v>41</v>
      </c>
      <c r="BT64" s="9">
        <v>245.64</v>
      </c>
      <c r="BU64" s="10">
        <f t="shared" si="25"/>
        <v>11446761.60524</v>
      </c>
      <c r="BV64">
        <f t="shared" si="26"/>
        <v>229.10900000000001</v>
      </c>
      <c r="BW64">
        <f t="shared" si="27"/>
        <v>309.971</v>
      </c>
    </row>
    <row r="65" spans="11:75" x14ac:dyDescent="0.25">
      <c r="K65" s="9" t="s">
        <v>42</v>
      </c>
      <c r="L65" s="9">
        <v>249.52</v>
      </c>
      <c r="M65" s="10">
        <f>(11.497*(L65^2))+(48776*L65)+5000</f>
        <v>12891393.388908802</v>
      </c>
      <c r="AA65" s="9" t="s">
        <v>41</v>
      </c>
      <c r="AB65" s="9">
        <v>264.24</v>
      </c>
      <c r="AC65" s="10">
        <f t="shared" si="29"/>
        <v>13181471.684787201</v>
      </c>
      <c r="AO65" s="9" t="s">
        <v>41</v>
      </c>
      <c r="AP65" s="9">
        <v>257.45</v>
      </c>
      <c r="AQ65" s="10">
        <f t="shared" si="17"/>
        <v>12635129.25713275</v>
      </c>
      <c r="BE65" s="39" t="s">
        <v>41</v>
      </c>
      <c r="BF65" s="9">
        <v>251.67</v>
      </c>
      <c r="BG65" s="10">
        <f t="shared" si="28"/>
        <v>12138713.766318679</v>
      </c>
      <c r="BS65" s="9" t="s">
        <v>42</v>
      </c>
      <c r="BT65" s="9">
        <v>224.5</v>
      </c>
      <c r="BU65" s="10">
        <f t="shared" si="25"/>
        <v>10432292.56875</v>
      </c>
      <c r="BV65">
        <f t="shared" si="26"/>
        <v>212.09200000000001</v>
      </c>
      <c r="BW65">
        <f t="shared" si="27"/>
        <v>286.94799999999998</v>
      </c>
    </row>
    <row r="66" spans="11:75" x14ac:dyDescent="0.25">
      <c r="K66" s="9" t="s">
        <v>43</v>
      </c>
      <c r="L66" s="9">
        <v>7.5</v>
      </c>
      <c r="M66" s="10">
        <f t="shared" si="24"/>
        <v>371466.70624999999</v>
      </c>
      <c r="AA66" s="9" t="s">
        <v>42</v>
      </c>
      <c r="AB66" s="9">
        <v>243.43</v>
      </c>
      <c r="AC66" s="10">
        <f>(10.572*(AB66^2))+(47072*AB66)+5000</f>
        <v>12090214.279322801</v>
      </c>
      <c r="AO66" s="9" t="s">
        <v>42</v>
      </c>
      <c r="AP66" s="9">
        <v>238.57</v>
      </c>
      <c r="AQ66" s="10">
        <f t="shared" si="17"/>
        <v>11668216.52194619</v>
      </c>
      <c r="BE66" s="39" t="s">
        <v>42</v>
      </c>
      <c r="BF66" s="9">
        <v>231.97</v>
      </c>
      <c r="BG66" s="10">
        <f t="shared" si="28"/>
        <v>11154734.077229079</v>
      </c>
      <c r="BS66" s="9" t="s">
        <v>43</v>
      </c>
      <c r="BT66" s="9">
        <v>6.85</v>
      </c>
      <c r="BU66" s="10">
        <f t="shared" si="25"/>
        <v>313804.73868750001</v>
      </c>
    </row>
    <row r="67" spans="11:75" x14ac:dyDescent="0.25">
      <c r="K67" s="9" t="s">
        <v>43</v>
      </c>
      <c r="L67" s="9">
        <v>6.52</v>
      </c>
      <c r="M67" s="10">
        <f>(11.497*(L67^2))+(48776*L67)+5000</f>
        <v>323508.26206879999</v>
      </c>
      <c r="AA67" s="9" t="s">
        <v>43</v>
      </c>
      <c r="AB67" s="9">
        <v>6.42</v>
      </c>
      <c r="AC67" s="10">
        <f t="shared" si="29"/>
        <v>307637.9797808</v>
      </c>
      <c r="AO67" s="9" t="s">
        <v>43</v>
      </c>
      <c r="AP67" s="9">
        <v>6.83</v>
      </c>
      <c r="AQ67" s="10">
        <f t="shared" si="17"/>
        <v>324607.77417858999</v>
      </c>
      <c r="BE67" s="39" t="s">
        <v>43</v>
      </c>
      <c r="BF67" s="9">
        <v>7.29</v>
      </c>
      <c r="BG67" s="10">
        <f t="shared" si="28"/>
        <v>343143.28164092003</v>
      </c>
      <c r="BS67" s="9" t="s">
        <v>43</v>
      </c>
      <c r="BT67" s="9">
        <v>7.16</v>
      </c>
      <c r="BU67" s="10">
        <f t="shared" si="25"/>
        <v>327793.77163999999</v>
      </c>
    </row>
    <row r="68" spans="11:75" x14ac:dyDescent="0.25">
      <c r="K68" s="9" t="s">
        <v>43</v>
      </c>
      <c r="L68" s="9">
        <v>7.74</v>
      </c>
      <c r="M68" s="10">
        <f t="shared" si="24"/>
        <v>383214.99767720001</v>
      </c>
      <c r="AA68" s="9" t="s">
        <v>43</v>
      </c>
      <c r="AB68" s="9">
        <v>8.57</v>
      </c>
      <c r="AC68" s="10">
        <f t="shared" si="29"/>
        <v>409183.49948280002</v>
      </c>
      <c r="AO68" s="9" t="s">
        <v>43</v>
      </c>
      <c r="AP68" s="9">
        <v>7.16</v>
      </c>
      <c r="AQ68" s="10">
        <f t="shared" si="17"/>
        <v>340071.36729136005</v>
      </c>
      <c r="BE68" s="39" t="s">
        <v>43</v>
      </c>
      <c r="BF68" s="9">
        <v>6.84</v>
      </c>
      <c r="BG68" s="10">
        <f t="shared" si="28"/>
        <v>322247.21243071998</v>
      </c>
      <c r="BS68" s="9" t="s">
        <v>43</v>
      </c>
      <c r="BT68" s="9">
        <v>6.56</v>
      </c>
      <c r="BU68" s="10">
        <f t="shared" si="25"/>
        <v>300719.31584</v>
      </c>
    </row>
    <row r="69" spans="11:75" x14ac:dyDescent="0.25">
      <c r="AA69" s="9" t="s">
        <v>43</v>
      </c>
      <c r="AB69" s="9">
        <v>7.2</v>
      </c>
      <c r="AC69" s="10">
        <f t="shared" si="29"/>
        <v>344466.45248000004</v>
      </c>
      <c r="AO69" s="9" t="s">
        <v>43</v>
      </c>
      <c r="AP69" s="9">
        <v>8.67</v>
      </c>
      <c r="AQ69" s="10">
        <f t="shared" si="17"/>
        <v>410854.11819059</v>
      </c>
      <c r="BE69" s="39" t="s">
        <v>43</v>
      </c>
      <c r="BF69" s="9">
        <v>8.49</v>
      </c>
      <c r="BG69" s="10">
        <f t="shared" si="28"/>
        <v>398880.94564411999</v>
      </c>
    </row>
    <row r="81" spans="2:75" x14ac:dyDescent="0.25">
      <c r="B81" t="s">
        <v>0</v>
      </c>
      <c r="AF81" t="s">
        <v>0</v>
      </c>
      <c r="AU81" t="s">
        <v>0</v>
      </c>
      <c r="BI81" t="s">
        <v>0</v>
      </c>
    </row>
    <row r="84" spans="2:75" x14ac:dyDescent="0.25">
      <c r="Q84" t="s">
        <v>0</v>
      </c>
    </row>
    <row r="87" spans="2:75" x14ac:dyDescent="0.25">
      <c r="H87" s="9" t="s">
        <v>32</v>
      </c>
      <c r="I87" s="57" t="s">
        <v>27</v>
      </c>
      <c r="J87" s="58"/>
      <c r="K87" s="58"/>
      <c r="L87" s="58"/>
      <c r="M87" s="59"/>
      <c r="AM87" s="9" t="s">
        <v>31</v>
      </c>
      <c r="AN87" s="57" t="s">
        <v>36</v>
      </c>
      <c r="AO87" s="58"/>
      <c r="AP87" s="58"/>
      <c r="AQ87" s="58"/>
      <c r="AR87" s="59"/>
      <c r="BB87" s="9" t="s">
        <v>32</v>
      </c>
      <c r="BC87" s="57" t="s">
        <v>37</v>
      </c>
      <c r="BD87" s="58"/>
      <c r="BE87" s="58"/>
      <c r="BF87" s="58"/>
      <c r="BG87" s="59"/>
      <c r="BP87" s="9" t="s">
        <v>32</v>
      </c>
      <c r="BQ87" s="57" t="s">
        <v>38</v>
      </c>
      <c r="BR87" s="58"/>
      <c r="BS87" s="58"/>
      <c r="BT87" s="58"/>
      <c r="BU87" s="59"/>
    </row>
    <row r="88" spans="2:75" x14ac:dyDescent="0.25">
      <c r="H88" s="9"/>
      <c r="I88" s="9"/>
      <c r="J88" s="9"/>
      <c r="K88" s="9"/>
      <c r="L88" s="9"/>
      <c r="M88" s="9"/>
      <c r="AM88" s="9"/>
      <c r="AN88" s="9"/>
      <c r="AO88" s="9"/>
      <c r="AP88" s="9"/>
      <c r="AQ88" s="9"/>
      <c r="AR88" s="9"/>
      <c r="BB88" s="9"/>
      <c r="BC88" s="9"/>
      <c r="BD88" s="9"/>
      <c r="BE88" s="9"/>
      <c r="BF88" s="9"/>
      <c r="BG88" s="9"/>
      <c r="BP88" s="9"/>
      <c r="BQ88" s="9"/>
      <c r="BR88" s="9"/>
      <c r="BS88" s="9"/>
      <c r="BT88" s="9"/>
      <c r="BU88" s="9"/>
    </row>
    <row r="89" spans="2:75" x14ac:dyDescent="0.25">
      <c r="H89" s="11">
        <v>5000</v>
      </c>
      <c r="I89" s="9">
        <v>0</v>
      </c>
      <c r="J89" s="11">
        <v>5000</v>
      </c>
      <c r="K89" s="9">
        <v>5000</v>
      </c>
      <c r="L89" s="12">
        <f>(J89*(2*10^-5)+5.0355)</f>
        <v>5.1354999999999995</v>
      </c>
      <c r="M89" s="10">
        <f>(10.532*(L89^2))+(48803*L89)+5000</f>
        <v>255905.57073015298</v>
      </c>
      <c r="N89" s="2">
        <f>L89*0.85</f>
        <v>4.3651749999999998</v>
      </c>
      <c r="O89" s="2">
        <f>L89*1.15</f>
        <v>5.9058249999999992</v>
      </c>
      <c r="AM89" s="11">
        <v>5000</v>
      </c>
      <c r="AN89" s="9">
        <v>0</v>
      </c>
      <c r="AO89" s="11">
        <v>5000</v>
      </c>
      <c r="AP89" s="9">
        <v>5000</v>
      </c>
      <c r="AQ89" s="12">
        <f>(AO89*(2*10^-5)+4.0928)</f>
        <v>4.1928000000000001</v>
      </c>
      <c r="AR89" s="10">
        <f>(8.1652*(AQ89^2))+(45799*AQ89)+5000</f>
        <v>197169.58791998797</v>
      </c>
      <c r="BB89" s="11">
        <v>5000</v>
      </c>
      <c r="BC89" s="9">
        <v>0</v>
      </c>
      <c r="BD89" s="11">
        <v>5000</v>
      </c>
      <c r="BE89" s="9">
        <v>5000</v>
      </c>
      <c r="BF89" s="12">
        <f>(BD89*(2*10^-5)+3.9934)</f>
        <v>4.0933999999999999</v>
      </c>
      <c r="BG89" s="10">
        <f>(7.8328*(BF89^2))+(45053*BF89)+5000</f>
        <v>189551.19599806075</v>
      </c>
      <c r="BP89" s="11">
        <v>5000</v>
      </c>
      <c r="BQ89" s="9">
        <v>0</v>
      </c>
      <c r="BR89" s="11">
        <v>5000</v>
      </c>
      <c r="BS89" s="9">
        <v>5000</v>
      </c>
      <c r="BT89" s="12">
        <f>(BR89*(2*10^-5)+3.6741)</f>
        <v>3.7741000000000002</v>
      </c>
      <c r="BU89" s="10">
        <f>(6.9573*(BT89^2))+(44286*BT89)+5000</f>
        <v>172238.89120409443</v>
      </c>
      <c r="BV89" s="2">
        <v>4.3651749999999998</v>
      </c>
      <c r="BW89" s="2">
        <v>5.9058249999999992</v>
      </c>
    </row>
    <row r="90" spans="2:75" x14ac:dyDescent="0.25">
      <c r="H90" s="11">
        <v>3790403</v>
      </c>
      <c r="I90" s="9">
        <v>75</v>
      </c>
      <c r="J90" s="11">
        <v>3790403</v>
      </c>
      <c r="K90" s="11">
        <f>AVERAGE(J90:J92)</f>
        <v>3724495</v>
      </c>
      <c r="L90" s="12">
        <f t="shared" ref="L90:L95" si="30">(J90*(2*10^-5)+5.0355)</f>
        <v>80.843560000000011</v>
      </c>
      <c r="M90" s="10">
        <f t="shared" ref="M90:M95" si="31">(10.532*(L90^2))+(48803*L90)+5000</f>
        <v>4019242.0530096646</v>
      </c>
      <c r="N90" s="2">
        <f t="shared" ref="N90:N95" si="32">L90*0.85</f>
        <v>68.717026000000004</v>
      </c>
      <c r="O90" s="2">
        <f t="shared" ref="O90:O95" si="33">L90*1.15</f>
        <v>92.970094000000003</v>
      </c>
      <c r="X90" s="9" t="s">
        <v>31</v>
      </c>
      <c r="Y90" s="57" t="s">
        <v>35</v>
      </c>
      <c r="Z90" s="58"/>
      <c r="AA90" s="58"/>
      <c r="AB90" s="58"/>
      <c r="AC90" s="59"/>
      <c r="AM90" s="11">
        <v>3486528</v>
      </c>
      <c r="AN90" s="9">
        <v>75</v>
      </c>
      <c r="AO90" s="11">
        <v>3486528</v>
      </c>
      <c r="AP90" s="11">
        <f>AVERAGE(AO90:AO92)</f>
        <v>3485887</v>
      </c>
      <c r="AQ90" s="12">
        <f t="shared" ref="AQ90:AQ95" si="34">(AO90*(2*10^-5)+4.0928)</f>
        <v>73.823360000000008</v>
      </c>
      <c r="AR90" s="10">
        <f t="shared" ref="AR90:AR95" si="35">(8.1652*(AQ90^2))+(45799*AQ90)+5000</f>
        <v>3430535.4940706925</v>
      </c>
      <c r="BB90" s="11">
        <v>3396567</v>
      </c>
      <c r="BC90" s="9">
        <v>75</v>
      </c>
      <c r="BD90" s="11">
        <v>3396567</v>
      </c>
      <c r="BE90" s="11">
        <f>AVERAGE(BD90:BD92)</f>
        <v>3428060.6666666665</v>
      </c>
      <c r="BF90" s="12">
        <f t="shared" ref="BF90:BF95" si="36">(BD90*(2*10^-5)+3.9934)</f>
        <v>71.92474</v>
      </c>
      <c r="BG90" s="10">
        <f t="shared" ref="BG90:BG95" si="37">(7.8328*(BF90^2))+(45053*BF90)+5000</f>
        <v>3285945.7032854767</v>
      </c>
      <c r="BP90" s="11">
        <v>3351895</v>
      </c>
      <c r="BQ90" s="9">
        <v>75</v>
      </c>
      <c r="BR90" s="11">
        <v>3351895</v>
      </c>
      <c r="BS90" s="11">
        <f>AVERAGE(BR90:BR92)</f>
        <v>3365552.6666666665</v>
      </c>
      <c r="BT90" s="12">
        <f t="shared" ref="BT90:BT95" si="38">(BR90*(2*10^-5)+3.6741)</f>
        <v>70.712000000000003</v>
      </c>
      <c r="BU90" s="10">
        <f t="shared" ref="BU90:BU95" si="39">(6.9573*(BT90^2))+(44286*BT90)+5000</f>
        <v>3171339.4326254916</v>
      </c>
      <c r="BV90" s="2">
        <v>68.717026000000004</v>
      </c>
      <c r="BW90" s="2">
        <v>92.970094000000003</v>
      </c>
    </row>
    <row r="91" spans="2:75" x14ac:dyDescent="0.25">
      <c r="H91" s="11">
        <v>3677675</v>
      </c>
      <c r="I91" s="9">
        <v>75</v>
      </c>
      <c r="J91" s="11">
        <v>3677675</v>
      </c>
      <c r="K91" s="9"/>
      <c r="L91" s="12">
        <f t="shared" si="30"/>
        <v>78.588999999999999</v>
      </c>
      <c r="M91" s="10">
        <f t="shared" si="31"/>
        <v>3905427.0310599715</v>
      </c>
      <c r="N91" s="2">
        <f t="shared" si="32"/>
        <v>66.80064999999999</v>
      </c>
      <c r="O91" s="2">
        <f t="shared" si="33"/>
        <v>90.377349999999993</v>
      </c>
      <c r="X91" s="9"/>
      <c r="Y91" s="9"/>
      <c r="Z91" s="9"/>
      <c r="AA91" s="9"/>
      <c r="AB91" s="9"/>
      <c r="AC91" s="9"/>
      <c r="AM91" s="11">
        <v>3451899</v>
      </c>
      <c r="AN91" s="9">
        <v>75</v>
      </c>
      <c r="AO91" s="11">
        <v>3451899</v>
      </c>
      <c r="AP91" s="9"/>
      <c r="AQ91" s="12">
        <f t="shared" si="34"/>
        <v>73.130780000000001</v>
      </c>
      <c r="AR91" s="10">
        <f t="shared" si="35"/>
        <v>3397984.9890217264</v>
      </c>
      <c r="BB91" s="11">
        <v>3400257</v>
      </c>
      <c r="BC91" s="9">
        <v>75</v>
      </c>
      <c r="BD91" s="11">
        <v>3400257</v>
      </c>
      <c r="BE91" s="9"/>
      <c r="BF91" s="12">
        <f t="shared" si="36"/>
        <v>71.998540000000006</v>
      </c>
      <c r="BG91" s="10">
        <f t="shared" si="37"/>
        <v>3289353.8110688245</v>
      </c>
      <c r="BP91" s="11">
        <v>3346214</v>
      </c>
      <c r="BQ91" s="9">
        <v>75</v>
      </c>
      <c r="BR91" s="11">
        <v>3346214</v>
      </c>
      <c r="BS91" s="9"/>
      <c r="BT91" s="12">
        <f t="shared" si="38"/>
        <v>70.598380000000006</v>
      </c>
      <c r="BU91" s="10">
        <f t="shared" si="39"/>
        <v>3166195.9530856279</v>
      </c>
      <c r="BV91" s="2">
        <v>66.80064999999999</v>
      </c>
      <c r="BW91" s="2">
        <v>90.377349999999993</v>
      </c>
    </row>
    <row r="92" spans="2:75" x14ac:dyDescent="0.25">
      <c r="H92" s="11">
        <v>3705407</v>
      </c>
      <c r="I92" s="9">
        <v>75</v>
      </c>
      <c r="J92" s="11">
        <v>3705407</v>
      </c>
      <c r="K92" s="9"/>
      <c r="L92" s="12">
        <f t="shared" si="30"/>
        <v>79.143640000000005</v>
      </c>
      <c r="M92" s="10">
        <f t="shared" si="31"/>
        <v>3933416.5172247994</v>
      </c>
      <c r="N92" s="2">
        <f t="shared" si="32"/>
        <v>67.272093999999996</v>
      </c>
      <c r="O92" s="2">
        <f t="shared" si="33"/>
        <v>91.015186</v>
      </c>
      <c r="X92" s="11">
        <v>5000</v>
      </c>
      <c r="Y92" s="9">
        <v>0</v>
      </c>
      <c r="Z92" s="11">
        <v>5000</v>
      </c>
      <c r="AA92" s="9">
        <v>5000</v>
      </c>
      <c r="AB92" s="12">
        <f>(Z92*(2*10^-5)+5.0543)</f>
        <v>5.1542999999999992</v>
      </c>
      <c r="AC92" s="10">
        <f>(10.474*(AB92^2))+(47146*AB92)+5000</f>
        <v>248282.8885521242</v>
      </c>
      <c r="AM92" s="11">
        <v>3519234</v>
      </c>
      <c r="AN92" s="9">
        <v>75</v>
      </c>
      <c r="AO92" s="11">
        <v>3519234</v>
      </c>
      <c r="AP92" s="9"/>
      <c r="AQ92" s="12">
        <f t="shared" si="34"/>
        <v>74.47748</v>
      </c>
      <c r="AR92" s="10">
        <f t="shared" si="35"/>
        <v>3461285.6137956884</v>
      </c>
      <c r="BB92" s="11">
        <v>3487358</v>
      </c>
      <c r="BC92" s="9">
        <v>75</v>
      </c>
      <c r="BD92" s="11">
        <v>3487358</v>
      </c>
      <c r="BE92" s="9"/>
      <c r="BF92" s="12">
        <f t="shared" si="36"/>
        <v>73.740560000000002</v>
      </c>
      <c r="BG92" s="10">
        <f t="shared" si="37"/>
        <v>3369825.6327372892</v>
      </c>
      <c r="BP92" s="11">
        <v>3398549</v>
      </c>
      <c r="BQ92" s="9">
        <v>75</v>
      </c>
      <c r="BR92" s="11">
        <v>3398549</v>
      </c>
      <c r="BS92" s="9"/>
      <c r="BT92" s="12">
        <f t="shared" si="38"/>
        <v>71.645080000000007</v>
      </c>
      <c r="BU92" s="10">
        <f t="shared" si="39"/>
        <v>3213585.9554506987</v>
      </c>
      <c r="BV92" s="2">
        <v>67.272093999999996</v>
      </c>
      <c r="BW92" s="2">
        <v>91.015186</v>
      </c>
    </row>
    <row r="93" spans="2:75" x14ac:dyDescent="0.25">
      <c r="H93" s="13">
        <v>27730402</v>
      </c>
      <c r="I93" s="9">
        <v>500</v>
      </c>
      <c r="J93" s="13">
        <v>27730402</v>
      </c>
      <c r="K93" s="11">
        <f>AVERAGE(J93:J95)</f>
        <v>27039596</v>
      </c>
      <c r="L93" s="12">
        <f t="shared" si="30"/>
        <v>559.64354000000003</v>
      </c>
      <c r="M93" s="10">
        <f t="shared" si="31"/>
        <v>30615915.475728821</v>
      </c>
      <c r="N93" s="2">
        <f t="shared" si="32"/>
        <v>475.69700900000004</v>
      </c>
      <c r="O93" s="2">
        <f t="shared" si="33"/>
        <v>643.59007099999997</v>
      </c>
      <c r="X93" s="11">
        <v>3628717</v>
      </c>
      <c r="Y93" s="9">
        <v>75</v>
      </c>
      <c r="Z93" s="11">
        <v>3628717</v>
      </c>
      <c r="AA93" s="11">
        <f>AVERAGE(Z93:Z95)</f>
        <v>3599837</v>
      </c>
      <c r="AB93" s="12">
        <f t="shared" ref="AB93:AB98" si="40">(Z93*(2*10^-5)+5.0543)</f>
        <v>77.628640000000004</v>
      </c>
      <c r="AC93" s="10">
        <f t="shared" ref="AC93:AC98" si="41">(10.474*(AB93^2))+(47146*AB93)+5000</f>
        <v>3727998.3404471665</v>
      </c>
      <c r="AM93" s="13">
        <v>24697221</v>
      </c>
      <c r="AN93" s="9">
        <v>500</v>
      </c>
      <c r="AO93" s="13">
        <v>24697221</v>
      </c>
      <c r="AP93" s="11">
        <f>AVERAGE(AO93:AO95)</f>
        <v>24946023.666666668</v>
      </c>
      <c r="AQ93" s="12">
        <f t="shared" si="34"/>
        <v>498.03722000000005</v>
      </c>
      <c r="AR93" s="10">
        <f t="shared" si="35"/>
        <v>24839911.604000509</v>
      </c>
      <c r="BB93" s="11">
        <v>24489842</v>
      </c>
      <c r="BC93" s="9">
        <v>500</v>
      </c>
      <c r="BD93" s="11">
        <v>24489842</v>
      </c>
      <c r="BE93" s="11">
        <f>AVERAGE(BD93:BD95)</f>
        <v>24489879.666666668</v>
      </c>
      <c r="BF93" s="12">
        <f t="shared" si="36"/>
        <v>493.79024000000004</v>
      </c>
      <c r="BG93" s="10">
        <f t="shared" si="37"/>
        <v>24161593.916126922</v>
      </c>
      <c r="BP93" s="11">
        <v>23892540</v>
      </c>
      <c r="BQ93" s="9">
        <v>500</v>
      </c>
      <c r="BR93" s="11">
        <v>23892540</v>
      </c>
      <c r="BS93" s="11">
        <f>AVERAGE(BR93:BR95)</f>
        <v>23887105</v>
      </c>
      <c r="BT93" s="12">
        <f t="shared" si="38"/>
        <v>481.52490000000006</v>
      </c>
      <c r="BU93" s="10">
        <f t="shared" si="39"/>
        <v>22942974.638648111</v>
      </c>
      <c r="BV93" s="2">
        <v>475.69700900000004</v>
      </c>
      <c r="BW93" s="2">
        <v>643.59007099999997</v>
      </c>
    </row>
    <row r="94" spans="2:75" x14ac:dyDescent="0.25">
      <c r="H94" s="11">
        <v>26863457</v>
      </c>
      <c r="I94" s="9">
        <v>500</v>
      </c>
      <c r="J94" s="11">
        <v>26863457</v>
      </c>
      <c r="K94" s="9"/>
      <c r="L94" s="12">
        <f t="shared" si="30"/>
        <v>542.30463999999995</v>
      </c>
      <c r="M94" s="10">
        <f t="shared" si="31"/>
        <v>29568494.751180153</v>
      </c>
      <c r="N94" s="2">
        <f t="shared" si="32"/>
        <v>460.95894399999992</v>
      </c>
      <c r="O94" s="2">
        <f t="shared" si="33"/>
        <v>623.65033599999992</v>
      </c>
      <c r="X94" s="11">
        <v>3561574</v>
      </c>
      <c r="Y94" s="9">
        <v>75</v>
      </c>
      <c r="Z94" s="11">
        <v>3561574</v>
      </c>
      <c r="AA94" s="9"/>
      <c r="AB94" s="12">
        <f t="shared" si="40"/>
        <v>76.285780000000003</v>
      </c>
      <c r="AC94" s="10">
        <f t="shared" si="41"/>
        <v>3662523.0387712028</v>
      </c>
      <c r="AM94" s="11">
        <v>25199589</v>
      </c>
      <c r="AN94" s="9">
        <v>500</v>
      </c>
      <c r="AO94" s="11">
        <v>25199589</v>
      </c>
      <c r="AP94" s="9"/>
      <c r="AQ94" s="12">
        <f t="shared" si="34"/>
        <v>508.08458000000007</v>
      </c>
      <c r="AR94" s="10">
        <f t="shared" si="35"/>
        <v>25382611.573049873</v>
      </c>
      <c r="BB94" s="11">
        <v>24722561</v>
      </c>
      <c r="BC94" s="9">
        <v>500</v>
      </c>
      <c r="BD94" s="11">
        <v>24722561</v>
      </c>
      <c r="BE94" s="9"/>
      <c r="BF94" s="12">
        <f t="shared" si="36"/>
        <v>498.44462000000004</v>
      </c>
      <c r="BG94" s="10">
        <f t="shared" si="37"/>
        <v>24407461.433560159</v>
      </c>
      <c r="BP94" s="11">
        <v>24240214</v>
      </c>
      <c r="BQ94" s="9">
        <v>500</v>
      </c>
      <c r="BR94" s="11">
        <v>24240214</v>
      </c>
      <c r="BS94" s="9"/>
      <c r="BT94" s="12">
        <f t="shared" si="38"/>
        <v>488.47838000000007</v>
      </c>
      <c r="BU94" s="10">
        <f t="shared" si="39"/>
        <v>23297842.73561801</v>
      </c>
      <c r="BV94" s="2">
        <v>460.95894399999992</v>
      </c>
      <c r="BW94" s="2">
        <v>623.65033599999992</v>
      </c>
    </row>
    <row r="95" spans="2:75" x14ac:dyDescent="0.25">
      <c r="H95" s="11">
        <v>26524929</v>
      </c>
      <c r="I95" s="9">
        <v>500</v>
      </c>
      <c r="J95" s="11">
        <v>26524929</v>
      </c>
      <c r="K95" s="9"/>
      <c r="L95" s="12">
        <f t="shared" si="30"/>
        <v>535.53408000000002</v>
      </c>
      <c r="M95" s="10">
        <f t="shared" si="31"/>
        <v>29161213.086102117</v>
      </c>
      <c r="N95" s="2">
        <f t="shared" si="32"/>
        <v>455.20396799999997</v>
      </c>
      <c r="O95" s="2">
        <f t="shared" si="33"/>
        <v>615.864192</v>
      </c>
      <c r="X95" s="11">
        <v>3609220</v>
      </c>
      <c r="Y95" s="9">
        <v>75</v>
      </c>
      <c r="Z95" s="11">
        <v>3609220</v>
      </c>
      <c r="AA95" s="9"/>
      <c r="AB95" s="12">
        <f t="shared" si="40"/>
        <v>77.238700000000009</v>
      </c>
      <c r="AC95" s="10">
        <f t="shared" si="41"/>
        <v>3708981.7151295259</v>
      </c>
      <c r="AM95" s="11">
        <v>24941261</v>
      </c>
      <c r="AN95" s="9">
        <v>500</v>
      </c>
      <c r="AO95" s="11">
        <v>24941261</v>
      </c>
      <c r="AP95" s="9"/>
      <c r="AQ95" s="12">
        <f t="shared" si="34"/>
        <v>502.91802000000007</v>
      </c>
      <c r="AR95" s="10">
        <f t="shared" si="35"/>
        <v>25103338.140261456</v>
      </c>
      <c r="BB95" s="11">
        <v>24257236</v>
      </c>
      <c r="BC95" s="9">
        <v>500</v>
      </c>
      <c r="BD95" s="11">
        <v>24257236</v>
      </c>
      <c r="BE95" s="9"/>
      <c r="BF95" s="12">
        <f t="shared" si="36"/>
        <v>489.13812000000007</v>
      </c>
      <c r="BG95" s="10">
        <f t="shared" si="37"/>
        <v>23916184.903863989</v>
      </c>
      <c r="BP95" s="11">
        <v>23528561</v>
      </c>
      <c r="BQ95" s="9">
        <v>500</v>
      </c>
      <c r="BR95" s="11">
        <v>23528561</v>
      </c>
      <c r="BS95" s="9"/>
      <c r="BT95" s="12">
        <f t="shared" si="38"/>
        <v>474.24532000000005</v>
      </c>
      <c r="BU95" s="10">
        <f t="shared" si="39"/>
        <v>22572185.008088082</v>
      </c>
      <c r="BV95" s="2">
        <v>455.20396799999997</v>
      </c>
      <c r="BW95" s="2">
        <v>615.864192</v>
      </c>
    </row>
    <row r="96" spans="2:75" x14ac:dyDescent="0.25">
      <c r="X96" s="11">
        <v>25877572</v>
      </c>
      <c r="Y96" s="9">
        <v>500</v>
      </c>
      <c r="Z96" s="11">
        <v>25877572</v>
      </c>
      <c r="AA96" s="11">
        <f>AVERAGE(Z96:Z98)</f>
        <v>26196205.666666668</v>
      </c>
      <c r="AB96" s="12">
        <f t="shared" si="40"/>
        <v>522.60574000000008</v>
      </c>
      <c r="AC96" s="10">
        <f t="shared" si="41"/>
        <v>27504395.15684345</v>
      </c>
      <c r="BT96" s="12"/>
    </row>
    <row r="97" spans="10:75" x14ac:dyDescent="0.25">
      <c r="K97" s="9" t="s">
        <v>4</v>
      </c>
      <c r="L97" s="9">
        <v>141.25</v>
      </c>
      <c r="M97" s="10">
        <f>(10.532*(L97^2))+(48803*L97)+5000</f>
        <v>7108553.6062500002</v>
      </c>
      <c r="X97" s="11">
        <v>26084360</v>
      </c>
      <c r="Y97" s="9">
        <v>500</v>
      </c>
      <c r="Z97" s="11">
        <v>26084360</v>
      </c>
      <c r="AA97" s="9"/>
      <c r="AB97" s="12">
        <f t="shared" si="40"/>
        <v>526.74150000000009</v>
      </c>
      <c r="AC97" s="10">
        <f t="shared" si="41"/>
        <v>27744835.269330252</v>
      </c>
      <c r="AP97" s="9" t="s">
        <v>4</v>
      </c>
      <c r="AQ97" s="9">
        <v>132.25</v>
      </c>
      <c r="AR97" s="10">
        <f>(8.1652*(AQ97^2))+(45799*AQ97)+5000</f>
        <v>6204727.6083249999</v>
      </c>
      <c r="BE97" s="39" t="s">
        <v>4</v>
      </c>
      <c r="BF97" s="9">
        <v>127.85</v>
      </c>
      <c r="BG97" s="10">
        <f>(7.8328*(BF97^2))+(45053*BF97)+5000</f>
        <v>5893058.0419180002</v>
      </c>
    </row>
    <row r="98" spans="10:75" x14ac:dyDescent="0.25">
      <c r="J98" s="7"/>
      <c r="K98" s="9" t="s">
        <v>39</v>
      </c>
      <c r="L98" s="9">
        <v>149.84</v>
      </c>
      <c r="M98" s="10">
        <f t="shared" ref="M98:M105" si="42">(10.532*(L98^2))+(48803*L98)+5000</f>
        <v>7554106.2536192006</v>
      </c>
      <c r="X98" s="11">
        <v>26626685</v>
      </c>
      <c r="Y98" s="9">
        <v>500</v>
      </c>
      <c r="Z98" s="11">
        <v>26626685</v>
      </c>
      <c r="AA98" s="9"/>
      <c r="AB98" s="12">
        <f t="shared" si="40"/>
        <v>537.58800000000008</v>
      </c>
      <c r="AC98" s="10">
        <f t="shared" si="41"/>
        <v>28377118.83201066</v>
      </c>
      <c r="AO98" s="7"/>
      <c r="AP98" s="9" t="s">
        <v>39</v>
      </c>
      <c r="AQ98" s="9">
        <v>141.22999999999999</v>
      </c>
      <c r="AR98" s="10">
        <f t="shared" ref="AR98:AR105" si="43">(8.1652*(AQ98^2))+(45799*AQ98)+5000</f>
        <v>6636055.1380110793</v>
      </c>
      <c r="BD98" s="7"/>
      <c r="BE98" s="39" t="s">
        <v>39</v>
      </c>
      <c r="BF98" s="9">
        <v>135.27000000000001</v>
      </c>
      <c r="BG98" s="10">
        <f t="shared" ref="BG98:BG105" si="44">(7.8328*(BF98^2))+(45053*BF98)+5000</f>
        <v>6242643.6721311202</v>
      </c>
      <c r="BR98" s="7"/>
      <c r="BS98" s="9" t="s">
        <v>4</v>
      </c>
      <c r="BT98" s="9">
        <v>122.43</v>
      </c>
      <c r="BU98" s="10">
        <f>(6.9573*(BT98^2))+(44286*BT98)+5000</f>
        <v>5531218.6795207709</v>
      </c>
      <c r="BV98" s="2">
        <f>L97*0.85</f>
        <v>120.0625</v>
      </c>
      <c r="BW98" s="2">
        <f>L97*1.15</f>
        <v>162.4375</v>
      </c>
    </row>
    <row r="99" spans="10:75" x14ac:dyDescent="0.25">
      <c r="K99" s="9" t="s">
        <v>40</v>
      </c>
      <c r="L99" s="12">
        <v>146.24</v>
      </c>
      <c r="M99" s="10">
        <f t="shared" si="42"/>
        <v>7367189.5212032003</v>
      </c>
      <c r="AP99" s="9" t="s">
        <v>40</v>
      </c>
      <c r="AQ99" s="9">
        <v>137.06</v>
      </c>
      <c r="AR99" s="10">
        <f t="shared" si="43"/>
        <v>6435597.8440827206</v>
      </c>
      <c r="BE99" s="39" t="s">
        <v>40</v>
      </c>
      <c r="BF99" s="9">
        <v>130.1</v>
      </c>
      <c r="BG99" s="10">
        <f t="shared" si="44"/>
        <v>5998973.3511279998</v>
      </c>
      <c r="BS99" s="9" t="s">
        <v>39</v>
      </c>
      <c r="BT99" s="9">
        <v>129.97999999999999</v>
      </c>
      <c r="BU99" s="10">
        <f t="shared" ref="BU99:BU106" si="45">(6.9573*(BT99^2))+(44286*BT99)+5000</f>
        <v>5878836.4748229189</v>
      </c>
      <c r="BV99" s="2">
        <f t="shared" ref="BV99:BV103" si="46">L98*0.85</f>
        <v>127.364</v>
      </c>
      <c r="BW99" s="2">
        <f t="shared" ref="BW99:BW103" si="47">L98*1.15</f>
        <v>172.316</v>
      </c>
    </row>
    <row r="100" spans="10:75" x14ac:dyDescent="0.25">
      <c r="K100" s="9" t="s">
        <v>5</v>
      </c>
      <c r="L100" s="9">
        <v>239.47</v>
      </c>
      <c r="M100" s="10">
        <f t="shared" si="42"/>
        <v>12295821.2276388</v>
      </c>
      <c r="AA100" s="9" t="s">
        <v>4</v>
      </c>
      <c r="AB100" s="9">
        <v>137.94999999999999</v>
      </c>
      <c r="AC100" s="10">
        <f>(10.474*(AB100^2))+(47146*AB100)+5000</f>
        <v>6708113.0409849994</v>
      </c>
      <c r="AP100" s="9" t="s">
        <v>5</v>
      </c>
      <c r="AQ100" s="9">
        <v>228.45</v>
      </c>
      <c r="AR100" s="10">
        <f t="shared" si="43"/>
        <v>10893918.459292999</v>
      </c>
      <c r="BE100" s="39" t="s">
        <v>5</v>
      </c>
      <c r="BF100" s="9">
        <v>221.84</v>
      </c>
      <c r="BG100" s="10">
        <f t="shared" si="44"/>
        <v>10385032.993607679</v>
      </c>
      <c r="BS100" s="9" t="s">
        <v>40</v>
      </c>
      <c r="BT100" s="9">
        <v>127.51</v>
      </c>
      <c r="BU100" s="10">
        <f t="shared" si="45"/>
        <v>5765025.2099357303</v>
      </c>
      <c r="BV100" s="2">
        <f t="shared" si="46"/>
        <v>124.304</v>
      </c>
      <c r="BW100" s="2">
        <f t="shared" si="47"/>
        <v>168.17599999999999</v>
      </c>
    </row>
    <row r="101" spans="10:75" x14ac:dyDescent="0.25">
      <c r="K101" s="9" t="s">
        <v>41</v>
      </c>
      <c r="L101" s="9">
        <v>274.23</v>
      </c>
      <c r="M101" s="10">
        <f t="shared" si="42"/>
        <v>14180275.132422801</v>
      </c>
      <c r="Z101" s="7"/>
      <c r="AA101" s="9" t="s">
        <v>39</v>
      </c>
      <c r="AB101" s="9">
        <v>146.15</v>
      </c>
      <c r="AC101" s="10">
        <f t="shared" ref="AC101:AC108" si="48">(10.474*(AB101^2))+(47146*AB101)+5000</f>
        <v>7119110.680865</v>
      </c>
      <c r="AP101" s="9" t="s">
        <v>41</v>
      </c>
      <c r="AQ101" s="9">
        <v>262.16000000000003</v>
      </c>
      <c r="AR101" s="10">
        <f t="shared" si="43"/>
        <v>12572842.608197123</v>
      </c>
      <c r="BE101" s="39" t="s">
        <v>41</v>
      </c>
      <c r="BF101" s="9">
        <v>255.56</v>
      </c>
      <c r="BG101" s="10">
        <f t="shared" si="44"/>
        <v>12030312.004046079</v>
      </c>
      <c r="BS101" s="9" t="s">
        <v>5</v>
      </c>
      <c r="BT101" s="9">
        <v>216.84</v>
      </c>
      <c r="BU101" s="10">
        <f t="shared" si="45"/>
        <v>9935105.6028948799</v>
      </c>
      <c r="BV101" s="2">
        <f t="shared" si="46"/>
        <v>203.54949999999999</v>
      </c>
      <c r="BW101" s="2">
        <f t="shared" si="47"/>
        <v>275.39049999999997</v>
      </c>
    </row>
    <row r="102" spans="10:75" x14ac:dyDescent="0.25">
      <c r="K102" s="9" t="s">
        <v>42</v>
      </c>
      <c r="L102" s="9">
        <v>242.56</v>
      </c>
      <c r="M102" s="10">
        <f>(10.532*(L102^2))+(48803*L102)+5000</f>
        <v>12462309.624115199</v>
      </c>
      <c r="AA102" s="9" t="s">
        <v>40</v>
      </c>
      <c r="AB102" s="9">
        <v>141.58000000000001</v>
      </c>
      <c r="AC102" s="10">
        <f t="shared" si="48"/>
        <v>6889880.9248936009</v>
      </c>
      <c r="AP102" s="9" t="s">
        <v>42</v>
      </c>
      <c r="AQ102" s="9">
        <v>233.84</v>
      </c>
      <c r="AR102" s="10">
        <f t="shared" si="43"/>
        <v>11161120.650053121</v>
      </c>
      <c r="BE102" s="39" t="s">
        <v>42</v>
      </c>
      <c r="BF102" s="9">
        <v>227.64</v>
      </c>
      <c r="BG102" s="10">
        <f t="shared" si="44"/>
        <v>10666760.377882879</v>
      </c>
      <c r="BS102" s="9" t="s">
        <v>41</v>
      </c>
      <c r="BT102" s="9">
        <v>247.21</v>
      </c>
      <c r="BU102" s="10">
        <f t="shared" si="45"/>
        <v>11378122.03281893</v>
      </c>
      <c r="BV102" s="2">
        <f t="shared" si="46"/>
        <v>233.09550000000002</v>
      </c>
      <c r="BW102" s="2">
        <f t="shared" si="47"/>
        <v>315.36450000000002</v>
      </c>
    </row>
    <row r="103" spans="10:75" x14ac:dyDescent="0.25">
      <c r="K103" s="9" t="s">
        <v>43</v>
      </c>
      <c r="L103" s="9">
        <v>7.84</v>
      </c>
      <c r="M103" s="10">
        <f t="shared" si="42"/>
        <v>388262.87569920003</v>
      </c>
      <c r="AA103" s="9" t="s">
        <v>5</v>
      </c>
      <c r="AB103" s="9">
        <v>233.41</v>
      </c>
      <c r="AC103" s="10">
        <f t="shared" si="48"/>
        <v>11579973.769119399</v>
      </c>
      <c r="AP103" s="9" t="s">
        <v>43</v>
      </c>
      <c r="AQ103" s="9">
        <v>7.2</v>
      </c>
      <c r="AR103" s="10">
        <f t="shared" si="43"/>
        <v>335176.08396799996</v>
      </c>
      <c r="BE103" s="39" t="s">
        <v>43</v>
      </c>
      <c r="BF103" s="9">
        <v>6.8</v>
      </c>
      <c r="BG103" s="10">
        <f t="shared" si="44"/>
        <v>311722.58867199998</v>
      </c>
      <c r="BS103" s="9" t="s">
        <v>42</v>
      </c>
      <c r="BT103" s="9">
        <v>218</v>
      </c>
      <c r="BU103" s="10">
        <f t="shared" si="45"/>
        <v>9989986.7251999993</v>
      </c>
      <c r="BV103" s="2">
        <f t="shared" si="46"/>
        <v>206.17599999999999</v>
      </c>
      <c r="BW103" s="2">
        <f t="shared" si="47"/>
        <v>278.94399999999996</v>
      </c>
    </row>
    <row r="104" spans="10:75" x14ac:dyDescent="0.25">
      <c r="K104" s="9" t="s">
        <v>43</v>
      </c>
      <c r="L104" s="9">
        <v>5.87</v>
      </c>
      <c r="M104" s="10">
        <f t="shared" si="42"/>
        <v>291836.51007079997</v>
      </c>
      <c r="AA104" s="9" t="s">
        <v>41</v>
      </c>
      <c r="AB104" s="9">
        <v>268.3</v>
      </c>
      <c r="AC104" s="10">
        <f t="shared" si="48"/>
        <v>13408241.537860001</v>
      </c>
      <c r="AP104" s="9" t="s">
        <v>43</v>
      </c>
      <c r="AQ104" s="9">
        <v>8.17</v>
      </c>
      <c r="AR104" s="10">
        <f t="shared" si="43"/>
        <v>379722.84811828</v>
      </c>
      <c r="BE104" s="39" t="s">
        <v>43</v>
      </c>
      <c r="BF104" s="9">
        <v>7.15</v>
      </c>
      <c r="BG104" s="10">
        <f t="shared" si="44"/>
        <v>327529.38231800002</v>
      </c>
      <c r="BS104" s="9" t="s">
        <v>43</v>
      </c>
      <c r="BT104" s="9">
        <v>7.21</v>
      </c>
      <c r="BU104" s="10">
        <f t="shared" si="45"/>
        <v>324663.72897892998</v>
      </c>
    </row>
    <row r="105" spans="10:75" x14ac:dyDescent="0.25">
      <c r="K105" s="9" t="s">
        <v>43</v>
      </c>
      <c r="L105" s="9">
        <v>8.94</v>
      </c>
      <c r="M105" s="10">
        <f t="shared" si="42"/>
        <v>442140.57535519992</v>
      </c>
      <c r="AA105" s="9" t="s">
        <v>42</v>
      </c>
      <c r="AB105" s="9">
        <v>238.16</v>
      </c>
      <c r="AC105" s="10">
        <f t="shared" si="48"/>
        <v>11827378.583974399</v>
      </c>
      <c r="AP105" s="9" t="s">
        <v>43</v>
      </c>
      <c r="AQ105" s="9">
        <v>6.89</v>
      </c>
      <c r="AR105" s="10">
        <f t="shared" si="43"/>
        <v>320942.72919092001</v>
      </c>
      <c r="BE105" s="39" t="s">
        <v>43</v>
      </c>
      <c r="BF105" s="9">
        <v>6.24</v>
      </c>
      <c r="BG105" s="10">
        <f t="shared" si="44"/>
        <v>286435.71043328004</v>
      </c>
      <c r="BS105" s="9" t="s">
        <v>43</v>
      </c>
      <c r="BT105" s="9">
        <v>6.84</v>
      </c>
      <c r="BU105" s="10">
        <f t="shared" si="45"/>
        <v>308241.74145487999</v>
      </c>
    </row>
    <row r="106" spans="10:75" x14ac:dyDescent="0.25">
      <c r="AA106" s="9" t="s">
        <v>43</v>
      </c>
      <c r="AB106" s="9">
        <v>8.25</v>
      </c>
      <c r="AC106" s="32">
        <f t="shared" si="48"/>
        <v>394667.38662499998</v>
      </c>
      <c r="BS106" s="9" t="s">
        <v>43</v>
      </c>
      <c r="BT106" s="9">
        <v>7.15</v>
      </c>
      <c r="BU106" s="10">
        <f t="shared" si="45"/>
        <v>322000.57456925005</v>
      </c>
    </row>
    <row r="107" spans="10:75" x14ac:dyDescent="0.25">
      <c r="AA107" s="9" t="s">
        <v>43</v>
      </c>
      <c r="AB107" s="9">
        <v>6.47</v>
      </c>
      <c r="AC107" s="32">
        <f t="shared" si="48"/>
        <v>310473.07106659998</v>
      </c>
    </row>
    <row r="108" spans="10:75" x14ac:dyDescent="0.25">
      <c r="AA108" s="9" t="s">
        <v>43</v>
      </c>
      <c r="AB108" s="9">
        <v>7.64</v>
      </c>
      <c r="AC108" s="32">
        <f t="shared" si="48"/>
        <v>365806.80319040001</v>
      </c>
    </row>
  </sheetData>
  <mergeCells count="16">
    <mergeCell ref="BW24:BX24"/>
    <mergeCell ref="BQ87:BU87"/>
    <mergeCell ref="I50:M50"/>
    <mergeCell ref="Y90:AC90"/>
    <mergeCell ref="BC50:BG50"/>
    <mergeCell ref="BQ50:BU50"/>
    <mergeCell ref="AN87:AR87"/>
    <mergeCell ref="I87:M87"/>
    <mergeCell ref="Y51:AC51"/>
    <mergeCell ref="AM51:AQ51"/>
    <mergeCell ref="BC87:BG87"/>
    <mergeCell ref="X16:AB16"/>
    <mergeCell ref="AM16:AQ16"/>
    <mergeCell ref="BC16:BG16"/>
    <mergeCell ref="BQ16:BU16"/>
    <mergeCell ref="I16:M16"/>
  </mergeCells>
  <phoneticPr fontId="5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818A1-4C2B-4C4C-A1CB-3E333C7A74E2}">
  <dimension ref="B3:AB102"/>
  <sheetViews>
    <sheetView topLeftCell="I31" workbookViewId="0">
      <selection activeCell="P111" sqref="P111"/>
    </sheetView>
  </sheetViews>
  <sheetFormatPr defaultRowHeight="15" x14ac:dyDescent="0.25"/>
  <cols>
    <col min="9" max="9" width="10.7109375" customWidth="1"/>
    <col min="10" max="10" width="11.5703125" customWidth="1"/>
    <col min="11" max="11" width="11" customWidth="1"/>
    <col min="12" max="12" width="10.7109375" customWidth="1"/>
    <col min="14" max="14" width="13.42578125" customWidth="1"/>
    <col min="16" max="16" width="11.28515625" customWidth="1"/>
    <col min="18" max="18" width="10.5703125" customWidth="1"/>
    <col min="20" max="20" width="10.140625" customWidth="1"/>
    <col min="22" max="22" width="11.42578125" customWidth="1"/>
    <col min="24" max="24" width="11" customWidth="1"/>
  </cols>
  <sheetData>
    <row r="3" spans="2:14" x14ac:dyDescent="0.25">
      <c r="B3" s="6" t="s">
        <v>34</v>
      </c>
    </row>
    <row r="7" spans="2:14" x14ac:dyDescent="0.25">
      <c r="C7" t="s">
        <v>0</v>
      </c>
    </row>
    <row r="13" spans="2:14" x14ac:dyDescent="0.25">
      <c r="I13" s="9" t="s">
        <v>26</v>
      </c>
      <c r="J13" s="57" t="s">
        <v>27</v>
      </c>
      <c r="K13" s="58"/>
      <c r="L13" s="58"/>
      <c r="M13" s="58"/>
      <c r="N13" s="59"/>
    </row>
    <row r="14" spans="2:14" x14ac:dyDescent="0.25">
      <c r="I14" s="9"/>
      <c r="J14" s="9"/>
      <c r="K14" s="9"/>
      <c r="L14" s="9"/>
      <c r="M14" s="9"/>
      <c r="N14" s="9"/>
    </row>
    <row r="15" spans="2:14" x14ac:dyDescent="0.25">
      <c r="I15" s="11">
        <v>5000</v>
      </c>
      <c r="J15" s="9">
        <v>0</v>
      </c>
      <c r="K15" s="11">
        <v>5000</v>
      </c>
      <c r="L15" s="9">
        <v>5000</v>
      </c>
      <c r="M15" s="12">
        <f>(K15*(2*10^-5)+5.5289)</f>
        <v>5.6288999999999998</v>
      </c>
      <c r="N15" s="10">
        <f>(11.836*(M15^2))+(47836*M15)+5000</f>
        <v>274639.0783220256</v>
      </c>
    </row>
    <row r="16" spans="2:14" x14ac:dyDescent="0.25">
      <c r="I16" s="11">
        <v>3694980</v>
      </c>
      <c r="J16" s="9">
        <v>75</v>
      </c>
      <c r="K16" s="11">
        <v>3694980</v>
      </c>
      <c r="L16" s="11">
        <f>AVERAGE(K16:K18)</f>
        <v>3659266.6666666665</v>
      </c>
      <c r="M16" s="12">
        <f t="shared" ref="M16:M21" si="0">(K16*(2*10^-5)+5.5289)</f>
        <v>79.428500000000014</v>
      </c>
      <c r="N16" s="10">
        <f t="shared" ref="N16:N21" si="1">(11.836*(M16^2))+(47836*M16)+5000</f>
        <v>3879213.707942592</v>
      </c>
    </row>
    <row r="17" spans="9:28" x14ac:dyDescent="0.25">
      <c r="I17" s="11">
        <v>3631367</v>
      </c>
      <c r="J17" s="9">
        <v>75</v>
      </c>
      <c r="K17" s="11">
        <v>3631367</v>
      </c>
      <c r="L17" s="9"/>
      <c r="M17" s="12">
        <f t="shared" si="0"/>
        <v>78.156239999999997</v>
      </c>
      <c r="N17" s="10">
        <f t="shared" si="1"/>
        <v>3815980.8936036974</v>
      </c>
    </row>
    <row r="18" spans="9:28" x14ac:dyDescent="0.25">
      <c r="I18" s="11">
        <v>3651453</v>
      </c>
      <c r="J18" s="9">
        <v>75</v>
      </c>
      <c r="K18" s="11">
        <v>3651453</v>
      </c>
      <c r="L18" s="9"/>
      <c r="M18" s="12">
        <f t="shared" si="0"/>
        <v>78.557960000000008</v>
      </c>
      <c r="N18" s="10">
        <f t="shared" si="1"/>
        <v>3835942.7096073246</v>
      </c>
    </row>
    <row r="19" spans="9:28" x14ac:dyDescent="0.25">
      <c r="I19" s="13">
        <v>26567822</v>
      </c>
      <c r="J19" s="9">
        <v>500</v>
      </c>
      <c r="K19" s="13">
        <v>26567822</v>
      </c>
      <c r="L19" s="11">
        <f>AVERAGE(K19:K21)</f>
        <v>26881875.666666668</v>
      </c>
      <c r="M19" s="12">
        <f t="shared" si="0"/>
        <v>536.88534000000004</v>
      </c>
      <c r="N19" s="10">
        <f t="shared" si="1"/>
        <v>29099125.221520655</v>
      </c>
    </row>
    <row r="20" spans="9:28" x14ac:dyDescent="0.25">
      <c r="I20" s="11">
        <v>27093177</v>
      </c>
      <c r="J20" s="9">
        <v>500</v>
      </c>
      <c r="K20" s="11">
        <v>27093177</v>
      </c>
      <c r="L20" s="9"/>
      <c r="M20" s="12">
        <f t="shared" si="0"/>
        <v>547.39244000000008</v>
      </c>
      <c r="N20" s="10">
        <f t="shared" si="1"/>
        <v>29736585.848997306</v>
      </c>
    </row>
    <row r="21" spans="9:28" x14ac:dyDescent="0.25">
      <c r="I21" s="11">
        <v>26984628</v>
      </c>
      <c r="J21" s="9">
        <v>500</v>
      </c>
      <c r="K21" s="11">
        <v>26984628</v>
      </c>
      <c r="L21" s="9"/>
      <c r="M21" s="12">
        <f t="shared" si="0"/>
        <v>545.22146000000009</v>
      </c>
      <c r="N21" s="10">
        <f t="shared" si="1"/>
        <v>29604659.349661484</v>
      </c>
    </row>
    <row r="24" spans="9:28" x14ac:dyDescent="0.25">
      <c r="I24" s="36"/>
      <c r="J24" s="52">
        <v>3</v>
      </c>
      <c r="K24" s="52"/>
      <c r="L24" s="52">
        <v>7</v>
      </c>
      <c r="M24" s="52"/>
      <c r="N24" s="52">
        <v>10</v>
      </c>
      <c r="O24" s="52"/>
      <c r="P24" s="52">
        <v>14</v>
      </c>
      <c r="Q24" s="52"/>
      <c r="R24" s="52">
        <v>17</v>
      </c>
      <c r="S24" s="52"/>
      <c r="T24" s="52">
        <v>20</v>
      </c>
      <c r="U24" s="52"/>
      <c r="V24" s="52">
        <v>24</v>
      </c>
      <c r="W24" s="52"/>
      <c r="X24" s="52">
        <v>28</v>
      </c>
      <c r="Y24" s="52"/>
      <c r="Z24" s="6"/>
      <c r="AA24" s="61" t="s">
        <v>45</v>
      </c>
      <c r="AB24" s="61"/>
    </row>
    <row r="25" spans="9:28" x14ac:dyDescent="0.25">
      <c r="I25" s="34" t="s">
        <v>7</v>
      </c>
      <c r="J25" s="34">
        <v>125.84</v>
      </c>
      <c r="K25" s="10">
        <f t="shared" ref="K25:K31" si="2">(11.836*(J25^2))+(47836*J25)+5000</f>
        <v>6212113.6514816005</v>
      </c>
      <c r="L25" s="33">
        <v>123.81</v>
      </c>
      <c r="M25" s="10">
        <f t="shared" ref="M25:M31" si="3">(11.836*(L25^2))+(47836*L25)+5000</f>
        <v>6109008.2109596003</v>
      </c>
      <c r="N25" s="33">
        <v>120.25</v>
      </c>
      <c r="O25" s="10">
        <f t="shared" ref="O25:O31" si="4">(11.836*(N25^2))+(47836*N25)+5000</f>
        <v>5928428.2997500002</v>
      </c>
      <c r="P25" s="33">
        <v>117.98</v>
      </c>
      <c r="Q25" s="10">
        <f t="shared" ref="Q25:Q31" si="5">(11.836*(P25^2))+(47836*P25)+5000</f>
        <v>5813439.8828143999</v>
      </c>
      <c r="R25" s="33">
        <v>115.77</v>
      </c>
      <c r="S25" s="10">
        <f t="shared" ref="S25:S31" si="6">(11.836*(R25^2))+(47836*R25)+5000</f>
        <v>5701607.9931643996</v>
      </c>
      <c r="T25" s="33">
        <v>113.86</v>
      </c>
      <c r="U25" s="10">
        <f t="shared" ref="U25:U31" si="7">(11.836*(T25^2))+(47836*T25)+5000</f>
        <v>5605050.0428656004</v>
      </c>
      <c r="V25" s="33">
        <v>111.84</v>
      </c>
      <c r="W25" s="10">
        <f t="shared" ref="W25:W31" si="8">(11.836*(V25^2))+(47836*V25)+5000</f>
        <v>5503025.1247616</v>
      </c>
      <c r="X25" s="33">
        <v>108.37</v>
      </c>
      <c r="Y25" s="10">
        <f t="shared" ref="Y25:Y31" si="9">(11.836*(X25^2))+(47836*X25)+5000</f>
        <v>5327989.9774684003</v>
      </c>
      <c r="Z25" s="6"/>
      <c r="AA25" s="35">
        <f>J25*0.85</f>
        <v>106.964</v>
      </c>
      <c r="AB25" s="35">
        <f>J25*1.15</f>
        <v>144.71599999999998</v>
      </c>
    </row>
    <row r="26" spans="9:28" x14ac:dyDescent="0.25">
      <c r="I26" s="34" t="s">
        <v>8</v>
      </c>
      <c r="J26" s="34">
        <v>156.54</v>
      </c>
      <c r="K26" s="10">
        <f t="shared" si="2"/>
        <v>7783285.9166575996</v>
      </c>
      <c r="L26" s="33">
        <v>154.16</v>
      </c>
      <c r="M26" s="10">
        <f t="shared" si="3"/>
        <v>7660683.9170816001</v>
      </c>
      <c r="N26" s="33">
        <v>151.86000000000001</v>
      </c>
      <c r="O26" s="10">
        <f t="shared" si="4"/>
        <v>7542330.3958256012</v>
      </c>
      <c r="P26" s="33">
        <v>148.63999999999999</v>
      </c>
      <c r="Q26" s="10">
        <f t="shared" si="5"/>
        <v>7376845.8438655995</v>
      </c>
      <c r="R26" s="33">
        <v>145.66999999999999</v>
      </c>
      <c r="S26" s="10">
        <f t="shared" si="6"/>
        <v>7224427.0679803994</v>
      </c>
      <c r="T26" s="33">
        <v>144.01</v>
      </c>
      <c r="U26" s="10">
        <f t="shared" si="7"/>
        <v>7139327.7448635995</v>
      </c>
      <c r="V26" s="33">
        <v>141.05000000000001</v>
      </c>
      <c r="W26" s="10">
        <f t="shared" si="8"/>
        <v>6987746.233190001</v>
      </c>
      <c r="X26" s="33">
        <v>138.16999999999999</v>
      </c>
      <c r="Y26" s="10">
        <f t="shared" si="9"/>
        <v>6840460.5911803991</v>
      </c>
      <c r="Z26" s="6"/>
      <c r="AA26" s="35">
        <f t="shared" ref="AA26:AA28" si="10">J26*0.85</f>
        <v>133.059</v>
      </c>
      <c r="AB26" s="35">
        <f t="shared" ref="AB26:AB28" si="11">J26*1.15</f>
        <v>180.02099999999999</v>
      </c>
    </row>
    <row r="27" spans="9:28" x14ac:dyDescent="0.25">
      <c r="I27" s="34" t="s">
        <v>9</v>
      </c>
      <c r="J27" s="34">
        <v>170.4</v>
      </c>
      <c r="K27" s="10">
        <f t="shared" si="2"/>
        <v>8499926.3897600006</v>
      </c>
      <c r="L27" s="33">
        <v>167.21</v>
      </c>
      <c r="M27" s="10">
        <f t="shared" si="3"/>
        <v>8334582.463007601</v>
      </c>
      <c r="N27" s="33">
        <v>164.26</v>
      </c>
      <c r="O27" s="10">
        <f t="shared" si="4"/>
        <v>8181892.5901935995</v>
      </c>
      <c r="P27" s="33">
        <v>161.27000000000001</v>
      </c>
      <c r="Q27" s="10">
        <f t="shared" si="5"/>
        <v>8027342.5606844006</v>
      </c>
      <c r="R27" s="33">
        <v>158.62</v>
      </c>
      <c r="S27" s="10">
        <f t="shared" si="6"/>
        <v>7890543.6828784002</v>
      </c>
      <c r="T27" s="33">
        <v>156.16999999999999</v>
      </c>
      <c r="U27" s="10">
        <f t="shared" si="7"/>
        <v>7764217.1395003991</v>
      </c>
      <c r="V27" s="33">
        <v>152.37</v>
      </c>
      <c r="W27" s="10">
        <f t="shared" si="8"/>
        <v>7568563.1976284003</v>
      </c>
      <c r="X27" s="33">
        <v>149.21</v>
      </c>
      <c r="Y27" s="10">
        <f t="shared" si="9"/>
        <v>7406121.8148476006</v>
      </c>
      <c r="Z27" s="6"/>
      <c r="AA27" s="35">
        <f t="shared" si="10"/>
        <v>144.84</v>
      </c>
      <c r="AB27" s="35">
        <f t="shared" si="11"/>
        <v>195.95999999999998</v>
      </c>
    </row>
    <row r="28" spans="9:28" x14ac:dyDescent="0.25">
      <c r="I28" s="34" t="s">
        <v>10</v>
      </c>
      <c r="J28" s="34">
        <v>276.14</v>
      </c>
      <c r="K28" s="10">
        <f t="shared" si="2"/>
        <v>14116967.094065599</v>
      </c>
      <c r="L28" s="33">
        <v>273.29000000000002</v>
      </c>
      <c r="M28" s="10">
        <f t="shared" si="3"/>
        <v>13962100.791647602</v>
      </c>
      <c r="N28" s="33">
        <v>270.77</v>
      </c>
      <c r="O28" s="10">
        <f t="shared" si="4"/>
        <v>13825326.546364399</v>
      </c>
      <c r="P28" s="33">
        <v>268.49</v>
      </c>
      <c r="Q28" s="10">
        <f t="shared" si="5"/>
        <v>13701707.9528636</v>
      </c>
      <c r="R28" s="33">
        <v>265.83999999999997</v>
      </c>
      <c r="S28" s="10">
        <f t="shared" si="6"/>
        <v>13558183.078681597</v>
      </c>
      <c r="T28" s="33">
        <v>263.08999999999997</v>
      </c>
      <c r="U28" s="10">
        <f t="shared" si="7"/>
        <v>13409417.936111599</v>
      </c>
      <c r="V28" s="33">
        <v>260.20999999999998</v>
      </c>
      <c r="W28" s="10">
        <f t="shared" si="8"/>
        <v>13253812.173167599</v>
      </c>
      <c r="X28" s="33">
        <v>257.19</v>
      </c>
      <c r="Y28" s="10">
        <f t="shared" si="9"/>
        <v>13090853.1350396</v>
      </c>
      <c r="AA28" s="35">
        <f t="shared" si="10"/>
        <v>234.71899999999999</v>
      </c>
      <c r="AB28" s="35">
        <f t="shared" si="11"/>
        <v>317.56099999999998</v>
      </c>
    </row>
    <row r="29" spans="9:28" x14ac:dyDescent="0.25">
      <c r="I29" s="34" t="s">
        <v>46</v>
      </c>
      <c r="J29" s="34">
        <v>5.16</v>
      </c>
      <c r="K29" s="10">
        <f t="shared" si="2"/>
        <v>252148.90060160001</v>
      </c>
      <c r="L29" s="33">
        <v>6.09</v>
      </c>
      <c r="M29" s="10">
        <f t="shared" si="3"/>
        <v>296760.2147516</v>
      </c>
      <c r="N29" s="33">
        <v>5.63</v>
      </c>
      <c r="O29" s="10">
        <f t="shared" si="4"/>
        <v>274691.84450840001</v>
      </c>
      <c r="P29" s="33">
        <v>6.16</v>
      </c>
      <c r="Q29" s="10">
        <f t="shared" si="5"/>
        <v>300118.88412160001</v>
      </c>
      <c r="R29" s="33">
        <v>7.49</v>
      </c>
      <c r="S29" s="10">
        <f t="shared" si="6"/>
        <v>363955.64078359999</v>
      </c>
      <c r="T29" s="33">
        <v>5.48</v>
      </c>
      <c r="U29" s="10">
        <f t="shared" si="7"/>
        <v>267496.71981440001</v>
      </c>
      <c r="V29" s="33">
        <v>6.49</v>
      </c>
      <c r="W29" s="10">
        <f t="shared" si="8"/>
        <v>315954.1735036</v>
      </c>
      <c r="X29" s="33">
        <v>5.39</v>
      </c>
      <c r="Y29" s="10">
        <f t="shared" si="9"/>
        <v>263179.90065560001</v>
      </c>
      <c r="AA29" s="2"/>
      <c r="AB29" s="2"/>
    </row>
    <row r="30" spans="9:28" x14ac:dyDescent="0.25">
      <c r="I30" s="34" t="s">
        <v>46</v>
      </c>
      <c r="J30" s="34">
        <v>8.16</v>
      </c>
      <c r="K30" s="10">
        <f t="shared" si="2"/>
        <v>396129.86716160004</v>
      </c>
      <c r="L30" s="33">
        <v>7.15</v>
      </c>
      <c r="M30" s="10">
        <f t="shared" si="3"/>
        <v>347632.48591000005</v>
      </c>
      <c r="N30" s="33">
        <v>7.85</v>
      </c>
      <c r="O30" s="10">
        <f t="shared" si="4"/>
        <v>381241.96390999999</v>
      </c>
      <c r="P30" s="33">
        <v>7.68</v>
      </c>
      <c r="Q30" s="10">
        <f t="shared" si="5"/>
        <v>373078.59568639996</v>
      </c>
      <c r="R30" s="33">
        <v>8.1300000000000008</v>
      </c>
      <c r="S30" s="10">
        <f t="shared" si="6"/>
        <v>394689.00290840003</v>
      </c>
      <c r="T30" s="33">
        <v>6.76</v>
      </c>
      <c r="U30" s="10">
        <f t="shared" si="7"/>
        <v>328912.23679359996</v>
      </c>
      <c r="V30" s="33">
        <v>5.61</v>
      </c>
      <c r="W30" s="10">
        <f t="shared" si="8"/>
        <v>273732.46377560002</v>
      </c>
      <c r="X30" s="33">
        <v>6.17</v>
      </c>
      <c r="Y30" s="10">
        <f t="shared" si="9"/>
        <v>300598.70350040001</v>
      </c>
      <c r="AA30" s="2"/>
      <c r="AB30" s="2"/>
    </row>
    <row r="31" spans="9:28" x14ac:dyDescent="0.25">
      <c r="I31" s="34" t="s">
        <v>46</v>
      </c>
      <c r="J31" s="34">
        <v>7.17</v>
      </c>
      <c r="K31" s="10">
        <f t="shared" si="2"/>
        <v>348592.59574040002</v>
      </c>
      <c r="L31" s="33">
        <v>7.98</v>
      </c>
      <c r="M31" s="10">
        <f t="shared" si="3"/>
        <v>387485.00121440005</v>
      </c>
      <c r="N31" s="33">
        <v>6.89</v>
      </c>
      <c r="O31" s="10">
        <f t="shared" si="4"/>
        <v>335151.91977559996</v>
      </c>
      <c r="P31" s="33">
        <v>8.17</v>
      </c>
      <c r="Q31" s="10">
        <f t="shared" si="5"/>
        <v>396610.1599804</v>
      </c>
      <c r="R31" s="33">
        <v>7.16</v>
      </c>
      <c r="S31" s="10">
        <f t="shared" si="6"/>
        <v>348112.53964159999</v>
      </c>
      <c r="T31" s="33">
        <v>6.89</v>
      </c>
      <c r="U31" s="10">
        <f t="shared" si="7"/>
        <v>335151.91977559996</v>
      </c>
      <c r="V31" s="33">
        <v>7.58</v>
      </c>
      <c r="W31" s="10">
        <f t="shared" si="8"/>
        <v>368276.93395039998</v>
      </c>
      <c r="X31" s="33">
        <v>6.97</v>
      </c>
      <c r="Y31" s="10">
        <f t="shared" si="9"/>
        <v>338991.92353239999</v>
      </c>
      <c r="AA31" s="2"/>
      <c r="AB31" s="2"/>
    </row>
    <row r="32" spans="9:28" x14ac:dyDescent="0.25">
      <c r="J32" s="1"/>
      <c r="K32" s="10"/>
      <c r="L32" s="1"/>
      <c r="M32" s="12"/>
      <c r="N32" s="1"/>
      <c r="O32" s="12"/>
      <c r="P32" s="1"/>
      <c r="Q32" s="12"/>
      <c r="R32" s="1"/>
      <c r="S32" s="12"/>
      <c r="T32" s="1"/>
      <c r="U32" s="12"/>
      <c r="V32" s="1"/>
      <c r="W32" s="12"/>
      <c r="X32" s="1"/>
      <c r="Y32" s="12"/>
      <c r="AA32" s="2"/>
      <c r="AB32" s="2"/>
    </row>
    <row r="33" spans="3:25" x14ac:dyDescent="0.25">
      <c r="J33" s="1"/>
      <c r="K33" s="10"/>
      <c r="L33" s="1"/>
      <c r="M33" s="12"/>
      <c r="N33" s="1"/>
      <c r="O33" s="12"/>
      <c r="P33" s="1"/>
      <c r="Q33" s="12"/>
      <c r="R33" s="1"/>
      <c r="S33" s="12"/>
      <c r="T33" s="1"/>
      <c r="U33" s="12"/>
      <c r="V33" s="1"/>
      <c r="W33" s="12"/>
      <c r="X33" s="1"/>
      <c r="Y33" s="12"/>
    </row>
    <row r="41" spans="3:25" x14ac:dyDescent="0.25">
      <c r="C41" t="s">
        <v>0</v>
      </c>
    </row>
    <row r="47" spans="3:25" x14ac:dyDescent="0.25">
      <c r="I47" s="9" t="s">
        <v>31</v>
      </c>
      <c r="J47" s="57" t="s">
        <v>27</v>
      </c>
      <c r="K47" s="58"/>
      <c r="L47" s="58"/>
      <c r="M47" s="58"/>
      <c r="N47" s="59"/>
    </row>
    <row r="48" spans="3:25" x14ac:dyDescent="0.25">
      <c r="I48" s="9"/>
      <c r="J48" s="9"/>
      <c r="K48" s="9"/>
      <c r="L48" s="9"/>
      <c r="M48" s="9"/>
      <c r="N48" s="9"/>
    </row>
    <row r="49" spans="9:28" x14ac:dyDescent="0.25">
      <c r="I49" s="11">
        <v>5000</v>
      </c>
      <c r="J49" s="9">
        <v>0</v>
      </c>
      <c r="K49" s="11">
        <v>5000</v>
      </c>
      <c r="L49" s="9">
        <v>5000</v>
      </c>
      <c r="M49" s="12">
        <f>(K49*(2*10^-5)+4.8222)</f>
        <v>4.9221999999999992</v>
      </c>
      <c r="N49" s="10">
        <f>(9.6652*(M49^2))+(48773*M49)+5000</f>
        <v>245304.62957630912</v>
      </c>
    </row>
    <row r="50" spans="9:28" x14ac:dyDescent="0.25">
      <c r="I50" s="11">
        <v>3615599</v>
      </c>
      <c r="J50" s="9">
        <v>75</v>
      </c>
      <c r="K50" s="11">
        <v>3615599</v>
      </c>
      <c r="L50" s="11">
        <f>AVERAGE(K50:K52)</f>
        <v>3717350.3333333335</v>
      </c>
      <c r="M50" s="12">
        <f t="shared" ref="M50:M55" si="12">(K50*(2*10^-5)+4.8222)</f>
        <v>77.134180000000001</v>
      </c>
      <c r="N50" s="10">
        <f t="shared" ref="N50:N55" si="13">(9.6652*(M50^2))+(48773*M50)+5000</f>
        <v>3824570.2249414376</v>
      </c>
    </row>
    <row r="51" spans="9:28" x14ac:dyDescent="0.25">
      <c r="I51" s="11">
        <v>3739070</v>
      </c>
      <c r="J51" s="9">
        <v>75</v>
      </c>
      <c r="K51" s="11">
        <v>3739070</v>
      </c>
      <c r="L51" s="9"/>
      <c r="M51" s="12">
        <f t="shared" si="12"/>
        <v>79.6036</v>
      </c>
      <c r="N51" s="10">
        <f t="shared" si="13"/>
        <v>3948752.175876685</v>
      </c>
    </row>
    <row r="52" spans="9:28" x14ac:dyDescent="0.25">
      <c r="I52" s="11">
        <v>3797382</v>
      </c>
      <c r="J52" s="9">
        <v>75</v>
      </c>
      <c r="K52" s="11">
        <v>3797382</v>
      </c>
      <c r="L52" s="9"/>
      <c r="M52" s="12">
        <f t="shared" si="12"/>
        <v>80.769840000000002</v>
      </c>
      <c r="N52" s="10">
        <f t="shared" si="13"/>
        <v>4007440.9196467022</v>
      </c>
    </row>
    <row r="53" spans="9:28" x14ac:dyDescent="0.25">
      <c r="I53" s="13">
        <v>26534490</v>
      </c>
      <c r="J53" s="9">
        <v>500</v>
      </c>
      <c r="K53" s="13">
        <v>26534490</v>
      </c>
      <c r="L53" s="11">
        <f>AVERAGE(K53:K55)</f>
        <v>26807853.333333332</v>
      </c>
      <c r="M53" s="12">
        <f t="shared" si="12"/>
        <v>535.51199999999994</v>
      </c>
      <c r="N53" s="10">
        <f t="shared" si="13"/>
        <v>28895246.162842184</v>
      </c>
    </row>
    <row r="54" spans="9:28" x14ac:dyDescent="0.25">
      <c r="I54" s="11">
        <v>26147583</v>
      </c>
      <c r="J54" s="9">
        <v>500</v>
      </c>
      <c r="K54" s="11">
        <v>26147583</v>
      </c>
      <c r="L54" s="9"/>
      <c r="M54" s="12">
        <f t="shared" si="12"/>
        <v>527.77386000000001</v>
      </c>
      <c r="N54" s="10">
        <f t="shared" si="13"/>
        <v>28438309.997977193</v>
      </c>
    </row>
    <row r="55" spans="9:28" x14ac:dyDescent="0.25">
      <c r="I55" s="11">
        <v>27741487</v>
      </c>
      <c r="J55" s="9">
        <v>500</v>
      </c>
      <c r="K55" s="11">
        <v>27741487</v>
      </c>
      <c r="L55" s="9"/>
      <c r="M55" s="12">
        <f t="shared" si="12"/>
        <v>559.65193999999997</v>
      </c>
      <c r="N55" s="10">
        <f t="shared" si="13"/>
        <v>30328144.202664591</v>
      </c>
    </row>
    <row r="58" spans="9:28" x14ac:dyDescent="0.25">
      <c r="I58" s="36"/>
      <c r="J58" s="52">
        <v>3</v>
      </c>
      <c r="K58" s="52"/>
      <c r="L58" s="52">
        <v>7</v>
      </c>
      <c r="M58" s="52"/>
      <c r="N58" s="52">
        <v>10</v>
      </c>
      <c r="O58" s="52"/>
      <c r="P58" s="52">
        <v>14</v>
      </c>
      <c r="Q58" s="52"/>
      <c r="R58" s="52">
        <v>17</v>
      </c>
      <c r="S58" s="52"/>
      <c r="T58" s="52">
        <v>20</v>
      </c>
      <c r="U58" s="52"/>
      <c r="V58" s="52">
        <v>24</v>
      </c>
      <c r="W58" s="52"/>
      <c r="X58" s="52">
        <v>28</v>
      </c>
      <c r="Y58" s="52"/>
      <c r="Z58" s="6"/>
      <c r="AA58" s="61" t="s">
        <v>45</v>
      </c>
      <c r="AB58" s="61"/>
    </row>
    <row r="59" spans="9:28" x14ac:dyDescent="0.25">
      <c r="I59" s="34" t="s">
        <v>7</v>
      </c>
      <c r="J59" s="34">
        <v>115.83</v>
      </c>
      <c r="K59" s="10">
        <f>(9.6652*(J59^2))+(48773*J59)+5000</f>
        <v>5784050.6050362801</v>
      </c>
      <c r="L59" s="33">
        <v>113.43</v>
      </c>
      <c r="M59" s="10">
        <f>(9.6652*(L59^2))+(48773*L59)+5000</f>
        <v>5661677.3800314805</v>
      </c>
      <c r="N59" s="33">
        <v>111.56</v>
      </c>
      <c r="O59" s="10">
        <f>(9.6652*(N59^2))+(48773*N59)+5000</f>
        <v>5566405.4178707199</v>
      </c>
      <c r="P59" s="33">
        <v>109.95</v>
      </c>
      <c r="Q59" s="10">
        <f>(9.6652*(P59^2))+(48773*P59)+5000</f>
        <v>5484433.9769630004</v>
      </c>
      <c r="R59" s="33">
        <v>108.34</v>
      </c>
      <c r="S59" s="10">
        <f>(9.6652*(R59^2))+(48773*R59)+5000</f>
        <v>5402512.6423851205</v>
      </c>
      <c r="T59" s="33">
        <v>106.48</v>
      </c>
      <c r="U59" s="10">
        <f>(9.6652*(T59^2))+(48773*T59)+5000</f>
        <v>5307932.9848140804</v>
      </c>
      <c r="V59" s="33">
        <v>105.15</v>
      </c>
      <c r="W59" s="10">
        <f>(9.6652*(V59^2))+(48773*V59)+5000</f>
        <v>5240344.4512670003</v>
      </c>
      <c r="X59" s="33">
        <v>103.03</v>
      </c>
      <c r="Y59" s="10">
        <f>(9.6652*(X59^2))+(48773*X59)+5000</f>
        <v>5132680.0364346802</v>
      </c>
      <c r="Z59" s="6"/>
      <c r="AA59" s="35">
        <f>J59*0.85</f>
        <v>98.455500000000001</v>
      </c>
      <c r="AB59" s="35">
        <f>J59*1.15</f>
        <v>133.2045</v>
      </c>
    </row>
    <row r="60" spans="9:28" x14ac:dyDescent="0.25">
      <c r="I60" s="34" t="s">
        <v>8</v>
      </c>
      <c r="J60" s="34">
        <v>156.19999999999999</v>
      </c>
      <c r="K60" s="10">
        <f t="shared" ref="K60:M65" si="14">(9.6652*(J60^2))+(48773*J60)+5000</f>
        <v>7859158.4022879992</v>
      </c>
      <c r="L60" s="33">
        <v>155.03</v>
      </c>
      <c r="M60" s="10">
        <f t="shared" si="14"/>
        <v>7798574.5150586804</v>
      </c>
      <c r="N60" s="33">
        <v>153.49</v>
      </c>
      <c r="O60" s="10">
        <f t="shared" ref="O60" si="15">(9.6652*(N60^2))+(48773*N60)+5000</f>
        <v>7718871.9575025206</v>
      </c>
      <c r="P60" s="33">
        <v>152.13999999999999</v>
      </c>
      <c r="Q60" s="10">
        <f t="shared" ref="Q60" si="16">(9.6652*(P60^2))+(48773*P60)+5000</f>
        <v>7649040.5411499199</v>
      </c>
      <c r="R60" s="33">
        <v>150.66999999999999</v>
      </c>
      <c r="S60" s="10">
        <f t="shared" ref="S60" si="17">(9.6652*(R60^2))+(48773*R60)+5000</f>
        <v>7573041.9539082795</v>
      </c>
      <c r="T60" s="33">
        <v>147.63999999999999</v>
      </c>
      <c r="U60" s="10">
        <f t="shared" ref="U60" si="18">(9.6652*(T60^2))+(48773*T60)+5000</f>
        <v>7416523.5896979198</v>
      </c>
      <c r="V60" s="33">
        <v>145.19</v>
      </c>
      <c r="W60" s="10">
        <f t="shared" ref="W60" si="19">(9.6652*(V60^2))+(48773*V60)+5000</f>
        <v>7290095.6014337204</v>
      </c>
      <c r="X60" s="33">
        <v>140.85</v>
      </c>
      <c r="Y60" s="10">
        <f t="shared" ref="Y60" si="20">(9.6652*(X60^2))+(48773*X60)+5000</f>
        <v>7066422.270707</v>
      </c>
      <c r="Z60" s="6"/>
      <c r="AA60" s="35">
        <f t="shared" ref="AA60:AA62" si="21">J60*0.85</f>
        <v>132.76999999999998</v>
      </c>
      <c r="AB60" s="35">
        <f t="shared" ref="AB60:AB62" si="22">J60*1.15</f>
        <v>179.62999999999997</v>
      </c>
    </row>
    <row r="61" spans="9:28" x14ac:dyDescent="0.25">
      <c r="I61" s="34" t="s">
        <v>9</v>
      </c>
      <c r="J61" s="34">
        <v>165.85</v>
      </c>
      <c r="K61" s="10">
        <f t="shared" si="14"/>
        <v>8359855.1917070001</v>
      </c>
      <c r="L61" s="33">
        <v>162.57</v>
      </c>
      <c r="M61" s="10">
        <f t="shared" si="14"/>
        <v>8189468.2281594798</v>
      </c>
      <c r="N61" s="33">
        <v>160.85</v>
      </c>
      <c r="O61" s="10">
        <f t="shared" ref="O61" si="23">(9.6652*(N61^2))+(48773*N61)+5000</f>
        <v>8100202.0875070002</v>
      </c>
      <c r="P61" s="33">
        <v>158.75</v>
      </c>
      <c r="Q61" s="10">
        <f t="shared" ref="Q61" si="24">(9.6652*(P61^2))+(48773*P61)+5000</f>
        <v>7991291.8918749997</v>
      </c>
      <c r="R61" s="33">
        <v>155.97999999999999</v>
      </c>
      <c r="S61" s="10">
        <f t="shared" ref="S61" si="25">(9.6652*(R61^2))+(48773*R61)+5000</f>
        <v>7847764.5402180795</v>
      </c>
      <c r="T61" s="33">
        <v>153.51</v>
      </c>
      <c r="U61" s="10">
        <f t="shared" ref="U61" si="26">(9.6652*(T61^2))+(48773*T61)+5000</f>
        <v>7719906.7618305199</v>
      </c>
      <c r="V61" s="33">
        <v>152.13999999999999</v>
      </c>
      <c r="W61" s="10">
        <f t="shared" ref="W61" si="27">(9.6652*(V61^2))+(48773*V61)+5000</f>
        <v>7649040.5411499199</v>
      </c>
      <c r="X61" s="33">
        <v>148.34</v>
      </c>
      <c r="Y61" s="10">
        <f t="shared" ref="Y61" si="28">(9.6652*(X61^2))+(48773*X61)+5000</f>
        <v>7452667.1838251203</v>
      </c>
      <c r="Z61" s="6"/>
      <c r="AA61" s="35">
        <f t="shared" si="21"/>
        <v>140.9725</v>
      </c>
      <c r="AB61" s="35">
        <f t="shared" si="22"/>
        <v>190.72749999999999</v>
      </c>
    </row>
    <row r="62" spans="9:28" x14ac:dyDescent="0.25">
      <c r="I62" s="34" t="s">
        <v>10</v>
      </c>
      <c r="J62" s="34">
        <v>278.64999999999998</v>
      </c>
      <c r="K62" s="10">
        <f t="shared" si="14"/>
        <v>14346058.853627</v>
      </c>
      <c r="L62" s="33">
        <v>276.2</v>
      </c>
      <c r="M62" s="10">
        <f t="shared" si="14"/>
        <v>14213426.299888</v>
      </c>
      <c r="N62" s="33">
        <v>275.02</v>
      </c>
      <c r="O62" s="10">
        <f t="shared" ref="O62" si="29">(9.6652*(N62^2))+(48773*N62)+5000</f>
        <v>14149587.531066079</v>
      </c>
      <c r="P62" s="33">
        <v>274.86</v>
      </c>
      <c r="Q62" s="10">
        <f t="shared" ref="Q62" si="30">(9.6652*(P62^2))+(48773*P62)+5000</f>
        <v>14140933.499037921</v>
      </c>
      <c r="R62" s="33">
        <v>271.56</v>
      </c>
      <c r="S62" s="10">
        <f t="shared" ref="S62" si="31">(9.6652*(R62^2))+(48773*R62)+5000</f>
        <v>13962554.44571072</v>
      </c>
      <c r="T62" s="33">
        <v>267.14999999999998</v>
      </c>
      <c r="U62" s="10">
        <f t="shared" ref="U62" si="32">(9.6652*(T62^2))+(48773*T62)+5000</f>
        <v>13724503.792786999</v>
      </c>
      <c r="V62" s="33">
        <v>265.20999999999998</v>
      </c>
      <c r="W62" s="10">
        <f t="shared" ref="W62" si="33">(9.6652*(V62^2))+(48773*V62)+5000</f>
        <v>13619902.162995318</v>
      </c>
      <c r="X62" s="33">
        <v>260.05</v>
      </c>
      <c r="Y62" s="10">
        <f t="shared" ref="Y62" si="34">(9.6652*(X62^2))+(48773*X62)+5000</f>
        <v>13342037.489363</v>
      </c>
      <c r="AA62" s="35">
        <f t="shared" si="21"/>
        <v>236.85249999999996</v>
      </c>
      <c r="AB62" s="35">
        <f t="shared" si="22"/>
        <v>320.44749999999993</v>
      </c>
    </row>
    <row r="63" spans="9:28" x14ac:dyDescent="0.25">
      <c r="I63" s="34" t="s">
        <v>46</v>
      </c>
      <c r="J63" s="34">
        <v>5.96</v>
      </c>
      <c r="K63" s="10">
        <f t="shared" si="14"/>
        <v>296030.40336832003</v>
      </c>
      <c r="L63" s="33">
        <v>6.48</v>
      </c>
      <c r="M63" s="10">
        <f t="shared" si="14"/>
        <v>321454.88561408006</v>
      </c>
      <c r="N63" s="33">
        <v>6.93</v>
      </c>
      <c r="O63" s="10">
        <f t="shared" ref="O63" si="35">(9.6652*(N63^2))+(48773*N63)+5000</f>
        <v>343461.06026348</v>
      </c>
      <c r="P63" s="33">
        <v>8.51</v>
      </c>
      <c r="Q63" s="10">
        <f t="shared" ref="Q63" si="36">(9.6652*(P63^2))+(48773*P63)+5000</f>
        <v>420758.18475051998</v>
      </c>
      <c r="R63" s="33">
        <v>6.84</v>
      </c>
      <c r="S63" s="10">
        <f t="shared" ref="S63" si="37">(9.6652*(R63^2))+(48773*R63)+5000</f>
        <v>339059.51218111999</v>
      </c>
      <c r="T63" s="33">
        <v>7.26</v>
      </c>
      <c r="U63" s="10">
        <f t="shared" ref="U63" si="38">(9.6652*(T63^2))+(48773*T63)+5000</f>
        <v>359601.40949552</v>
      </c>
      <c r="V63" s="33">
        <v>5.62</v>
      </c>
      <c r="W63" s="10">
        <f t="shared" ref="W63" si="39">(9.6652*(V63^2))+(48773*V63)+5000</f>
        <v>279409.52954288002</v>
      </c>
      <c r="X63" s="33">
        <v>6.48</v>
      </c>
      <c r="Y63" s="10">
        <f t="shared" ref="Y63" si="40">(9.6652*(X63^2))+(48773*X63)+5000</f>
        <v>321454.88561408006</v>
      </c>
      <c r="AA63" s="2"/>
      <c r="AB63" s="2"/>
    </row>
    <row r="64" spans="9:28" ht="15.75" customHeight="1" x14ac:dyDescent="0.25">
      <c r="I64" s="34" t="s">
        <v>46</v>
      </c>
      <c r="J64" s="34">
        <v>7.54</v>
      </c>
      <c r="K64" s="10">
        <f t="shared" si="14"/>
        <v>373297.90208431997</v>
      </c>
      <c r="L64" s="33">
        <v>7.34</v>
      </c>
      <c r="M64" s="10">
        <f t="shared" si="14"/>
        <v>363514.53844912001</v>
      </c>
      <c r="N64" s="33">
        <v>5.17</v>
      </c>
      <c r="O64" s="10">
        <f t="shared" ref="O64" si="41">(9.6652*(N64^2))+(48773*N64)+5000</f>
        <v>257414.75016428001</v>
      </c>
      <c r="P64" s="33">
        <v>7.61</v>
      </c>
      <c r="Q64" s="10">
        <f t="shared" ref="Q64" si="42">(9.6652*(P64^2))+(48773*P64)+5000</f>
        <v>376722.26202892006</v>
      </c>
      <c r="R64" s="33">
        <v>8.26</v>
      </c>
      <c r="S64" s="10">
        <f t="shared" ref="S64" si="43">(9.6652*(R64^2))+(48773*R64)+5000</f>
        <v>408524.41339951998</v>
      </c>
      <c r="T64" s="33">
        <v>8.64</v>
      </c>
      <c r="U64" s="10">
        <f t="shared" ref="U64" si="44">(9.6652*(T64^2))+(48773*T64)+5000</f>
        <v>427120.22331392003</v>
      </c>
      <c r="V64" s="33">
        <v>8.1</v>
      </c>
      <c r="W64" s="10">
        <f t="shared" ref="W64" si="45">(9.6652*(V64^2))+(48773*V64)+5000</f>
        <v>400695.43377199996</v>
      </c>
      <c r="X64" s="33">
        <v>8.16</v>
      </c>
      <c r="Y64" s="10">
        <f t="shared" ref="Y64" si="46">(9.6652*(X64^2))+(48773*X64)+5000</f>
        <v>403631.24314112001</v>
      </c>
      <c r="AA64" s="2"/>
      <c r="AB64" s="2"/>
    </row>
    <row r="65" spans="3:28" x14ac:dyDescent="0.25">
      <c r="I65" s="34" t="s">
        <v>46</v>
      </c>
      <c r="J65" s="34">
        <v>5.98</v>
      </c>
      <c r="K65" s="10">
        <f t="shared" si="14"/>
        <v>297008.17141808005</v>
      </c>
      <c r="L65" s="33">
        <v>6.47</v>
      </c>
      <c r="M65" s="10">
        <f t="shared" si="14"/>
        <v>320965.90397068002</v>
      </c>
      <c r="N65" s="33">
        <v>6.96</v>
      </c>
      <c r="O65" s="10">
        <f t="shared" ref="O65" si="47">(9.6652*(N65^2))+(48773*N65)+5000</f>
        <v>344928.27775231999</v>
      </c>
      <c r="P65" s="33">
        <v>6.73</v>
      </c>
      <c r="Q65" s="10">
        <f t="shared" ref="Q65" si="48">(9.6652*(P65^2))+(48773*P65)+5000</f>
        <v>333680.05493708001</v>
      </c>
      <c r="R65" s="33">
        <v>7.15</v>
      </c>
      <c r="S65" s="10">
        <f t="shared" ref="S65" si="49">(9.6652*(R65^2))+(48773*R65)+5000</f>
        <v>354221.05918700004</v>
      </c>
      <c r="T65" s="33">
        <v>6.17</v>
      </c>
      <c r="U65" s="10">
        <f t="shared" ref="U65" si="50">(9.6652*(T65^2))+(48773*T65)+5000</f>
        <v>306297.35353227996</v>
      </c>
      <c r="V65" s="33">
        <v>7.36</v>
      </c>
      <c r="W65" s="10">
        <f t="shared" ref="W65" si="51">(9.6652*(V65^2))+(48773*V65)+5000</f>
        <v>364492.84001792001</v>
      </c>
      <c r="X65" s="33">
        <v>5.98</v>
      </c>
      <c r="Y65" s="10">
        <f t="shared" ref="Y65" si="52">(9.6652*(X65^2))+(48773*X65)+5000</f>
        <v>297008.17141808005</v>
      </c>
      <c r="AA65" s="2"/>
      <c r="AB65" s="2"/>
    </row>
    <row r="78" spans="3:28" x14ac:dyDescent="0.25">
      <c r="C78" t="s">
        <v>0</v>
      </c>
    </row>
    <row r="84" spans="9:28" x14ac:dyDescent="0.25">
      <c r="I84" s="9" t="s">
        <v>32</v>
      </c>
      <c r="J84" s="57" t="s">
        <v>27</v>
      </c>
      <c r="K84" s="58"/>
      <c r="L84" s="58"/>
      <c r="M84" s="58"/>
      <c r="N84" s="59"/>
    </row>
    <row r="85" spans="9:28" x14ac:dyDescent="0.25">
      <c r="I85" s="9"/>
      <c r="J85" s="9"/>
      <c r="K85" s="9"/>
      <c r="L85" s="9"/>
      <c r="M85" s="9"/>
      <c r="N85" s="9"/>
    </row>
    <row r="86" spans="9:28" x14ac:dyDescent="0.25">
      <c r="I86" s="11">
        <v>5000</v>
      </c>
      <c r="J86" s="9">
        <v>0</v>
      </c>
      <c r="K86" s="11">
        <v>5000</v>
      </c>
      <c r="L86" s="9">
        <v>5000</v>
      </c>
      <c r="M86" s="12">
        <f>(K86*(2*10^-5)+5.1325)</f>
        <v>5.2324999999999999</v>
      </c>
      <c r="N86" s="10">
        <f>(10.604*(M86^2))+(47974*M86)+5000</f>
        <v>256314.28251247498</v>
      </c>
    </row>
    <row r="87" spans="9:28" x14ac:dyDescent="0.25">
      <c r="I87" s="11">
        <v>3678624</v>
      </c>
      <c r="J87" s="9">
        <v>75</v>
      </c>
      <c r="K87" s="11">
        <v>3678624</v>
      </c>
      <c r="L87" s="11">
        <f>AVERAGE(K87:K89)</f>
        <v>3662686.6666666665</v>
      </c>
      <c r="M87" s="12">
        <f t="shared" ref="M87:M92" si="53">(K87*(2*10^-5)+5.1325)</f>
        <v>78.704980000000006</v>
      </c>
      <c r="N87" s="10">
        <f t="shared" ref="N87:N92" si="54">(10.604*(M87^2))+(47974*M87)+5000</f>
        <v>3846478.9115095916</v>
      </c>
    </row>
    <row r="88" spans="9:28" x14ac:dyDescent="0.25">
      <c r="I88" s="11">
        <v>3639404</v>
      </c>
      <c r="J88" s="9">
        <v>75</v>
      </c>
      <c r="K88" s="11">
        <v>3639404</v>
      </c>
      <c r="L88" s="9"/>
      <c r="M88" s="12">
        <f t="shared" si="53"/>
        <v>77.920580000000001</v>
      </c>
      <c r="N88" s="10">
        <f t="shared" si="54"/>
        <v>3807545.3293350362</v>
      </c>
    </row>
    <row r="89" spans="9:28" x14ac:dyDescent="0.25">
      <c r="I89" s="11">
        <v>3670032</v>
      </c>
      <c r="J89" s="9">
        <v>75</v>
      </c>
      <c r="K89" s="11">
        <v>3670032</v>
      </c>
      <c r="L89" s="9"/>
      <c r="M89" s="12">
        <f t="shared" si="53"/>
        <v>78.533140000000003</v>
      </c>
      <c r="N89" s="10">
        <f t="shared" si="54"/>
        <v>3837948.5414058645</v>
      </c>
    </row>
    <row r="90" spans="9:28" x14ac:dyDescent="0.25">
      <c r="I90" s="13">
        <v>27213368</v>
      </c>
      <c r="J90" s="9">
        <v>500</v>
      </c>
      <c r="K90" s="13">
        <v>27213368</v>
      </c>
      <c r="L90" s="11">
        <f>AVERAGE(K90:K92)</f>
        <v>26642861.666666668</v>
      </c>
      <c r="M90" s="12">
        <f t="shared" si="53"/>
        <v>549.3998600000001</v>
      </c>
      <c r="N90" s="10">
        <f t="shared" si="54"/>
        <v>29562622.429845687</v>
      </c>
    </row>
    <row r="91" spans="9:28" x14ac:dyDescent="0.25">
      <c r="I91" s="11">
        <v>26697701</v>
      </c>
      <c r="J91" s="9">
        <v>500</v>
      </c>
      <c r="K91" s="11">
        <v>26697701</v>
      </c>
      <c r="L91" s="9"/>
      <c r="M91" s="12">
        <f t="shared" si="53"/>
        <v>539.08652000000006</v>
      </c>
      <c r="N91" s="10">
        <f t="shared" si="54"/>
        <v>28948810.49366872</v>
      </c>
    </row>
    <row r="92" spans="9:28" x14ac:dyDescent="0.25">
      <c r="I92" s="11">
        <v>26017516</v>
      </c>
      <c r="J92" s="9">
        <v>500</v>
      </c>
      <c r="K92" s="11">
        <v>26017516</v>
      </c>
      <c r="L92" s="9"/>
      <c r="M92" s="12">
        <f t="shared" si="53"/>
        <v>525.48282000000006</v>
      </c>
      <c r="N92" s="10">
        <f t="shared" si="54"/>
        <v>28142618.593077078</v>
      </c>
    </row>
    <row r="95" spans="9:28" x14ac:dyDescent="0.25">
      <c r="I95" s="36"/>
      <c r="J95" s="52">
        <v>3</v>
      </c>
      <c r="K95" s="52"/>
      <c r="L95" s="52">
        <v>7</v>
      </c>
      <c r="M95" s="52"/>
      <c r="N95" s="52">
        <v>10</v>
      </c>
      <c r="O95" s="52"/>
      <c r="P95" s="52">
        <v>14</v>
      </c>
      <c r="Q95" s="52"/>
      <c r="R95" s="52">
        <v>17</v>
      </c>
      <c r="S95" s="52"/>
      <c r="T95" s="52">
        <v>20</v>
      </c>
      <c r="U95" s="52"/>
      <c r="V95" s="52">
        <v>24</v>
      </c>
      <c r="W95" s="52"/>
      <c r="X95" s="52">
        <v>28</v>
      </c>
      <c r="Y95" s="52"/>
      <c r="Z95" s="6"/>
      <c r="AA95" s="61" t="s">
        <v>45</v>
      </c>
      <c r="AB95" s="61"/>
    </row>
    <row r="96" spans="9:28" x14ac:dyDescent="0.25">
      <c r="I96" s="34" t="s">
        <v>7</v>
      </c>
      <c r="J96" s="34">
        <v>128.15</v>
      </c>
      <c r="K96" s="10">
        <f>(10.604*(J96^2))+(47974*J96)+5000</f>
        <v>6327011.4681900004</v>
      </c>
      <c r="L96" s="33">
        <v>126.25</v>
      </c>
      <c r="M96" s="10">
        <f>(10.604*(L96^2))+(47974*L96)+5000</f>
        <v>6230735.3187499996</v>
      </c>
      <c r="N96" s="33">
        <v>125.03</v>
      </c>
      <c r="O96" s="10">
        <f>(10.604*(N96^2))+(47974*N96)+5000</f>
        <v>6168956.2595435996</v>
      </c>
      <c r="P96" s="33">
        <v>123.27</v>
      </c>
      <c r="Q96" s="10">
        <f>(10.604*(P96^2))+(47974*P96)+5000</f>
        <v>6079887.9867115999</v>
      </c>
      <c r="R96" s="33">
        <v>121.08</v>
      </c>
      <c r="S96" s="10">
        <f>(10.604*(R96^2))+(47974*R96)+5000</f>
        <v>5969150.4453055998</v>
      </c>
      <c r="T96" s="33">
        <v>119.97</v>
      </c>
      <c r="U96" s="10">
        <f>(10.604*(T96^2))+(47974*T96)+5000</f>
        <v>5913062.0407436006</v>
      </c>
      <c r="V96" s="33">
        <v>116.53</v>
      </c>
      <c r="W96" s="10">
        <f>(10.604*(V96^2))+(47974*V96)+5000</f>
        <v>5739404.4905035999</v>
      </c>
      <c r="X96" s="33">
        <v>110.89</v>
      </c>
      <c r="Y96" s="10">
        <f>(10.604*(X96^2))+(47974*X96)+5000</f>
        <v>5455229.9226283999</v>
      </c>
      <c r="Z96" s="6"/>
      <c r="AA96" s="35">
        <f>J96*0.85</f>
        <v>108.92750000000001</v>
      </c>
      <c r="AB96" s="35">
        <f>J96*1.15</f>
        <v>147.3725</v>
      </c>
    </row>
    <row r="97" spans="9:28" x14ac:dyDescent="0.25">
      <c r="I97" s="34" t="s">
        <v>8</v>
      </c>
      <c r="J97" s="34">
        <v>167.37</v>
      </c>
      <c r="K97" s="10">
        <f t="shared" ref="K97:M102" si="55">(10.604*(J97^2))+(47974*J97)+5000</f>
        <v>8331455.2300076</v>
      </c>
      <c r="L97" s="33">
        <v>166.58</v>
      </c>
      <c r="M97" s="10">
        <f t="shared" si="55"/>
        <v>8290758.2174256006</v>
      </c>
      <c r="N97" s="33">
        <v>166.18</v>
      </c>
      <c r="O97" s="10">
        <f t="shared" ref="O97" si="56">(10.604*(N97^2))+(47974*N97)+5000</f>
        <v>8270157.1826096</v>
      </c>
      <c r="P97" s="33">
        <v>163.47</v>
      </c>
      <c r="Q97" s="10">
        <f t="shared" ref="Q97" si="57">(10.604*(P97^2))+(47974*P97)+5000</f>
        <v>8130674.5433036005</v>
      </c>
      <c r="R97" s="33">
        <v>160.57</v>
      </c>
      <c r="S97" s="10">
        <f t="shared" ref="S97" si="58">(10.604*(R97^2))+(47974*R97)+5000</f>
        <v>7981585.1948395995</v>
      </c>
      <c r="T97" s="33">
        <v>158.46</v>
      </c>
      <c r="U97" s="10">
        <f t="shared" ref="U97" si="59">(10.604*(T97^2))+(47974*T97)+5000</f>
        <v>7873221.9372463999</v>
      </c>
      <c r="V97" s="33">
        <v>156.37</v>
      </c>
      <c r="W97" s="10">
        <f t="shared" ref="W97" si="60">(10.604*(V97^2))+(47974*V97)+5000</f>
        <v>7765978.9014475998</v>
      </c>
      <c r="X97" s="33">
        <v>151.63</v>
      </c>
      <c r="Y97" s="10">
        <f t="shared" ref="Y97" si="61">(10.604*(X97^2))+(47974*X97)+5000</f>
        <v>7523101.1497676</v>
      </c>
      <c r="Z97" s="6"/>
      <c r="AA97" s="35">
        <f t="shared" ref="AA97:AA99" si="62">J97*0.85</f>
        <v>142.2645</v>
      </c>
      <c r="AB97" s="35">
        <f t="shared" ref="AB97:AB99" si="63">J97*1.15</f>
        <v>192.47549999999998</v>
      </c>
    </row>
    <row r="98" spans="9:28" x14ac:dyDescent="0.25">
      <c r="I98" s="34" t="s">
        <v>9</v>
      </c>
      <c r="J98" s="34">
        <v>176.14</v>
      </c>
      <c r="K98" s="10">
        <f t="shared" si="55"/>
        <v>8784132.6369583998</v>
      </c>
      <c r="L98" s="33">
        <v>174.67</v>
      </c>
      <c r="M98" s="10">
        <f t="shared" si="55"/>
        <v>8708142.472775599</v>
      </c>
      <c r="N98" s="33">
        <v>173.02</v>
      </c>
      <c r="O98" s="10">
        <f t="shared" ref="O98" si="64">(10.604*(N98^2))+(47974*N98)+5000</f>
        <v>8622901.9799215999</v>
      </c>
      <c r="P98" s="33">
        <v>171.96</v>
      </c>
      <c r="Q98" s="10">
        <f t="shared" ref="Q98" si="65">(10.604*(P98^2))+(47974*P98)+5000</f>
        <v>8568171.8819264006</v>
      </c>
      <c r="R98" s="33">
        <v>169.45</v>
      </c>
      <c r="S98" s="10">
        <f t="shared" ref="S98" si="66">(10.604*(R98^2))+(47974*R98)+5000</f>
        <v>8438670.1597099993</v>
      </c>
      <c r="T98" s="33">
        <v>165.84</v>
      </c>
      <c r="U98" s="10">
        <f t="shared" ref="U98" si="67">(10.604*(T98^2))+(47974*T98)+5000</f>
        <v>8252648.9709823998</v>
      </c>
      <c r="V98" s="33">
        <v>160.49</v>
      </c>
      <c r="W98" s="10">
        <f t="shared" ref="W98" si="68">(10.604*(V98^2))+(47974*V98)+5000</f>
        <v>7977474.9132204009</v>
      </c>
      <c r="X98" s="33">
        <v>157.24</v>
      </c>
      <c r="Y98" s="10">
        <f t="shared" ref="Y98" si="69">(10.604*(X98^2))+(47974*X98)+5000</f>
        <v>7810609.484230401</v>
      </c>
      <c r="Z98" s="6"/>
      <c r="AA98" s="35">
        <f t="shared" si="62"/>
        <v>149.71899999999999</v>
      </c>
      <c r="AB98" s="35">
        <f t="shared" si="63"/>
        <v>202.56099999999998</v>
      </c>
    </row>
    <row r="99" spans="9:28" x14ac:dyDescent="0.25">
      <c r="I99" s="34" t="s">
        <v>10</v>
      </c>
      <c r="J99" s="34">
        <v>279.18</v>
      </c>
      <c r="K99" s="10">
        <f t="shared" si="55"/>
        <v>14224872.693329601</v>
      </c>
      <c r="L99" s="33">
        <v>276.17</v>
      </c>
      <c r="M99" s="10">
        <f t="shared" si="55"/>
        <v>14062745.2698156</v>
      </c>
      <c r="N99" s="33">
        <v>275.18</v>
      </c>
      <c r="O99" s="10">
        <f t="shared" ref="O99" si="70">(10.604*(N99^2))+(47974*N99)+5000</f>
        <v>14009462.959569599</v>
      </c>
      <c r="P99" s="33">
        <v>273.68</v>
      </c>
      <c r="Q99" s="10">
        <f t="shared" ref="Q99" si="71">(10.604*(P99^2))+(47974*P99)+5000</f>
        <v>13928771.792409601</v>
      </c>
      <c r="R99" s="33">
        <v>271.08</v>
      </c>
      <c r="S99" s="10">
        <f t="shared" ref="S99" si="72">(10.604*(R99^2))+(47974*R99)+5000</f>
        <v>13789020.141305599</v>
      </c>
      <c r="T99" s="33">
        <v>267.18</v>
      </c>
      <c r="U99" s="10">
        <f t="shared" ref="U99" si="73">(10.604*(T99^2))+(47974*T99)+5000</f>
        <v>13579661.4760496</v>
      </c>
      <c r="V99" s="33">
        <v>264.72000000000003</v>
      </c>
      <c r="W99" s="10">
        <f t="shared" ref="W99" si="74">(10.604*(V99^2))+(47974*V99)+5000</f>
        <v>13447770.3777536</v>
      </c>
      <c r="X99" s="33">
        <v>260.79000000000002</v>
      </c>
      <c r="Y99" s="10">
        <f t="shared" ref="Y99" si="75">(10.604*(X99^2))+(47974*X99)+5000</f>
        <v>13237332.601156401</v>
      </c>
      <c r="AA99" s="35">
        <f t="shared" si="62"/>
        <v>237.303</v>
      </c>
      <c r="AB99" s="35">
        <f t="shared" si="63"/>
        <v>321.05699999999996</v>
      </c>
    </row>
    <row r="100" spans="9:28" x14ac:dyDescent="0.25">
      <c r="I100" s="34" t="s">
        <v>46</v>
      </c>
      <c r="J100" s="34">
        <v>7.64</v>
      </c>
      <c r="K100" s="10">
        <f t="shared" si="55"/>
        <v>372140.3112384</v>
      </c>
      <c r="L100" s="33">
        <v>6.09</v>
      </c>
      <c r="M100" s="10">
        <f t="shared" si="55"/>
        <v>297554.94221239997</v>
      </c>
      <c r="N100" s="33">
        <v>5.95</v>
      </c>
      <c r="O100" s="10">
        <f t="shared" ref="O100" si="76">(10.604*(N100^2))+(47974*N100)+5000</f>
        <v>290820.70811000001</v>
      </c>
      <c r="P100" s="33">
        <v>7.84</v>
      </c>
      <c r="Q100" s="10">
        <f t="shared" ref="Q100" si="77">(10.604*(P100^2))+(47974*P100)+5000</f>
        <v>381767.9412224</v>
      </c>
      <c r="R100" s="33">
        <v>6.4</v>
      </c>
      <c r="S100" s="10">
        <f t="shared" ref="S100" si="78">(10.604*(R100^2))+(47974*R100)+5000</f>
        <v>312467.93984000001</v>
      </c>
      <c r="T100" s="33">
        <v>8.17</v>
      </c>
      <c r="U100" s="10">
        <f t="shared" ref="U100" si="79">(10.604*(T100^2))+(47974*T100)+5000</f>
        <v>397655.3853356</v>
      </c>
      <c r="V100" s="33">
        <v>6.09</v>
      </c>
      <c r="W100" s="10">
        <f t="shared" ref="W100" si="80">(10.604*(V100^2))+(47974*V100)+5000</f>
        <v>297554.94221239997</v>
      </c>
      <c r="X100" s="33">
        <v>7.38</v>
      </c>
      <c r="Y100" s="10">
        <f t="shared" ref="Y100" si="81">(10.604*(X100^2))+(47974*X100)+5000</f>
        <v>359625.66049759998</v>
      </c>
      <c r="AA100" s="2"/>
      <c r="AB100" s="2"/>
    </row>
    <row r="101" spans="9:28" x14ac:dyDescent="0.25">
      <c r="I101" s="34" t="s">
        <v>46</v>
      </c>
      <c r="J101" s="34">
        <v>5.47</v>
      </c>
      <c r="K101" s="10">
        <f t="shared" si="55"/>
        <v>267735.06122359994</v>
      </c>
      <c r="L101" s="33">
        <v>6.76</v>
      </c>
      <c r="M101" s="10">
        <f t="shared" si="55"/>
        <v>329788.81735039997</v>
      </c>
      <c r="N101" s="33">
        <v>6.17</v>
      </c>
      <c r="O101" s="10">
        <f t="shared" ref="O101" si="82">(10.604*(N101^2))+(47974*N101)+5000</f>
        <v>301403.26261560002</v>
      </c>
      <c r="P101" s="33">
        <v>6.59</v>
      </c>
      <c r="Q101" s="10">
        <f t="shared" ref="Q101" si="83">(10.604*(P101^2))+(47974*P101)+5000</f>
        <v>321609.17157239997</v>
      </c>
      <c r="R101" s="33">
        <v>7.22</v>
      </c>
      <c r="S101" s="10">
        <f t="shared" ref="S101" si="84">(10.604*(R101^2))+(47974*R101)+5000</f>
        <v>351925.04955359997</v>
      </c>
      <c r="T101" s="33">
        <v>5.94</v>
      </c>
      <c r="U101" s="10">
        <f t="shared" ref="U101" si="85">(10.604*(T101^2))+(47974*T101)+5000</f>
        <v>290339.70729440002</v>
      </c>
      <c r="V101" s="33">
        <v>5.97</v>
      </c>
      <c r="W101" s="10">
        <f t="shared" ref="W101" si="86">(10.604*(V101^2))+(47974*V101)+5000</f>
        <v>291782.71610359999</v>
      </c>
      <c r="X101" s="33">
        <v>6.49</v>
      </c>
      <c r="Y101" s="10">
        <f t="shared" ref="Y101" si="87">(10.604*(X101^2))+(47974*X101)+5000</f>
        <v>316797.90154039999</v>
      </c>
      <c r="AA101" s="2"/>
      <c r="AB101" s="2"/>
    </row>
    <row r="102" spans="9:28" x14ac:dyDescent="0.25">
      <c r="I102" s="34" t="s">
        <v>46</v>
      </c>
      <c r="J102" s="34">
        <v>6.37</v>
      </c>
      <c r="K102" s="10">
        <f t="shared" si="55"/>
        <v>311024.65744759998</v>
      </c>
      <c r="L102" s="33">
        <v>7.64</v>
      </c>
      <c r="M102" s="10">
        <f t="shared" si="55"/>
        <v>372140.3112384</v>
      </c>
      <c r="N102" s="33">
        <v>6.13</v>
      </c>
      <c r="O102" s="10">
        <f t="shared" ref="O102" si="88">(10.604*(N102^2))+(47974*N102)+5000</f>
        <v>299479.08544759999</v>
      </c>
      <c r="P102" s="33">
        <v>7.46</v>
      </c>
      <c r="Q102" s="10">
        <f t="shared" ref="Q102" si="89">(10.604*(P102^2))+(47974*P102)+5000</f>
        <v>363476.1695664</v>
      </c>
      <c r="R102" s="33">
        <v>7.63</v>
      </c>
      <c r="S102" s="10">
        <f t="shared" ref="S102" si="90">(10.604*(R102^2))+(47974*R102)+5000</f>
        <v>371658.95200759999</v>
      </c>
      <c r="T102" s="33">
        <v>6.19</v>
      </c>
      <c r="U102" s="10">
        <f t="shared" ref="U102" si="91">(10.604*(T102^2))+(47974*T102)+5000</f>
        <v>302365.36392440001</v>
      </c>
      <c r="V102" s="33">
        <v>7.34</v>
      </c>
      <c r="W102" s="10">
        <f t="shared" ref="W102" si="92">(10.604*(V102^2))+(47974*V102)+5000</f>
        <v>357700.45686239999</v>
      </c>
      <c r="X102" s="33">
        <v>7.86</v>
      </c>
      <c r="Y102" s="10">
        <f t="shared" ref="Y102" si="93">(10.604*(X102^2))+(47974*X102)+5000</f>
        <v>382730.75087839999</v>
      </c>
      <c r="AA102" s="2"/>
      <c r="AB102" s="2"/>
    </row>
  </sheetData>
  <mergeCells count="30">
    <mergeCell ref="AA58:AB58"/>
    <mergeCell ref="J95:K95"/>
    <mergeCell ref="L95:M95"/>
    <mergeCell ref="N95:O95"/>
    <mergeCell ref="P95:Q95"/>
    <mergeCell ref="R95:S95"/>
    <mergeCell ref="T95:U95"/>
    <mergeCell ref="V95:W95"/>
    <mergeCell ref="X95:Y95"/>
    <mergeCell ref="AA95:AB95"/>
    <mergeCell ref="P58:Q58"/>
    <mergeCell ref="R58:S58"/>
    <mergeCell ref="T58:U58"/>
    <mergeCell ref="V58:W58"/>
    <mergeCell ref="X58:Y58"/>
    <mergeCell ref="AA24:AB24"/>
    <mergeCell ref="J24:K24"/>
    <mergeCell ref="L24:M24"/>
    <mergeCell ref="N24:O24"/>
    <mergeCell ref="P24:Q24"/>
    <mergeCell ref="R24:S24"/>
    <mergeCell ref="T24:U24"/>
    <mergeCell ref="V24:W24"/>
    <mergeCell ref="X24:Y24"/>
    <mergeCell ref="J13:N13"/>
    <mergeCell ref="J47:N47"/>
    <mergeCell ref="J84:N84"/>
    <mergeCell ref="J58:K58"/>
    <mergeCell ref="L58:M58"/>
    <mergeCell ref="N58:O58"/>
  </mergeCells>
  <phoneticPr fontId="5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19F8B-8453-4108-8515-467B70C64D22}">
  <dimension ref="B4:AR33"/>
  <sheetViews>
    <sheetView topLeftCell="Z4" workbookViewId="0">
      <selection activeCell="AN33" sqref="AN33"/>
    </sheetView>
  </sheetViews>
  <sheetFormatPr defaultRowHeight="15" x14ac:dyDescent="0.25"/>
  <cols>
    <col min="9" max="9" width="11" customWidth="1"/>
    <col min="11" max="11" width="13" customWidth="1"/>
    <col min="12" max="12" width="11.28515625" customWidth="1"/>
    <col min="16" max="16" width="5" customWidth="1"/>
    <col min="25" max="25" width="10" customWidth="1"/>
    <col min="27" max="27" width="10.5703125" customWidth="1"/>
    <col min="28" max="28" width="10.28515625" customWidth="1"/>
    <col min="39" max="39" width="11.7109375" customWidth="1"/>
    <col min="41" max="41" width="11.140625" customWidth="1"/>
    <col min="42" max="42" width="10.42578125" customWidth="1"/>
  </cols>
  <sheetData>
    <row r="4" spans="2:44" ht="15.75" x14ac:dyDescent="0.25">
      <c r="B4" s="6" t="s">
        <v>34</v>
      </c>
      <c r="R4" s="37" t="s">
        <v>48</v>
      </c>
      <c r="AF4" s="37" t="s">
        <v>48</v>
      </c>
    </row>
    <row r="5" spans="2:44" x14ac:dyDescent="0.25">
      <c r="R5" s="6" t="s">
        <v>47</v>
      </c>
      <c r="AF5" s="6" t="s">
        <v>49</v>
      </c>
    </row>
    <row r="8" spans="2:44" x14ac:dyDescent="0.25">
      <c r="C8" t="s">
        <v>0</v>
      </c>
    </row>
    <row r="9" spans="2:44" x14ac:dyDescent="0.25">
      <c r="S9" t="s">
        <v>0</v>
      </c>
      <c r="AG9" t="s">
        <v>0</v>
      </c>
    </row>
    <row r="14" spans="2:44" x14ac:dyDescent="0.25">
      <c r="I14" s="9" t="s">
        <v>26</v>
      </c>
      <c r="J14" s="57" t="s">
        <v>27</v>
      </c>
      <c r="K14" s="58"/>
      <c r="L14" s="58"/>
      <c r="M14" s="58"/>
      <c r="N14" s="59"/>
    </row>
    <row r="15" spans="2:44" x14ac:dyDescent="0.25">
      <c r="I15" s="9"/>
      <c r="J15" s="9"/>
      <c r="K15" s="9"/>
      <c r="L15" s="9"/>
      <c r="M15" s="9"/>
      <c r="N15" s="9"/>
      <c r="Y15" s="9" t="s">
        <v>26</v>
      </c>
      <c r="Z15" s="62" t="s">
        <v>53</v>
      </c>
      <c r="AA15" s="63"/>
      <c r="AB15" s="63"/>
      <c r="AC15" s="63"/>
      <c r="AD15" s="64"/>
      <c r="AM15" s="9" t="s">
        <v>26</v>
      </c>
      <c r="AN15" s="62" t="s">
        <v>54</v>
      </c>
      <c r="AO15" s="63"/>
      <c r="AP15" s="63"/>
      <c r="AQ15" s="63"/>
      <c r="AR15" s="64"/>
    </row>
    <row r="16" spans="2:44" x14ac:dyDescent="0.25">
      <c r="I16" s="11">
        <v>5000</v>
      </c>
      <c r="J16" s="9">
        <v>0</v>
      </c>
      <c r="K16" s="11">
        <v>5000</v>
      </c>
      <c r="L16" s="9">
        <v>5000</v>
      </c>
      <c r="M16" s="12">
        <f>(K16*(2*10^-5)+5.0846)</f>
        <v>5.1845999999999997</v>
      </c>
      <c r="N16" s="10">
        <f>(10.568*(M16^2))+(48098*M16)+5000</f>
        <v>254652.95945542687</v>
      </c>
      <c r="Y16" s="9"/>
      <c r="Z16" s="9"/>
      <c r="AA16" s="9"/>
      <c r="AB16" s="9"/>
      <c r="AC16" s="9"/>
      <c r="AD16" s="9"/>
      <c r="AM16" s="9"/>
      <c r="AN16" s="9"/>
      <c r="AO16" s="9"/>
      <c r="AP16" s="9"/>
      <c r="AQ16" s="9"/>
      <c r="AR16" s="9"/>
    </row>
    <row r="17" spans="9:44" x14ac:dyDescent="0.25">
      <c r="I17" s="11">
        <v>3655852</v>
      </c>
      <c r="J17" s="9">
        <v>75</v>
      </c>
      <c r="K17" s="11">
        <v>3655852</v>
      </c>
      <c r="L17" s="11">
        <f>AVERAGE(K17:K19)</f>
        <v>3671772</v>
      </c>
      <c r="M17" s="12">
        <f t="shared" ref="M17:M22" si="0">(K17*(2*10^-5)+5.0846)</f>
        <v>78.201639999999998</v>
      </c>
      <c r="N17" s="10">
        <f t="shared" ref="N17:N32" si="1">(10.568*(M17^2))+(48098*M17)+5000</f>
        <v>3830971.0477181515</v>
      </c>
      <c r="Y17" s="11">
        <v>5000</v>
      </c>
      <c r="Z17" s="9">
        <v>0</v>
      </c>
      <c r="AA17" s="11">
        <v>5000</v>
      </c>
      <c r="AB17" s="9">
        <v>5000</v>
      </c>
      <c r="AC17" s="12">
        <f>(AA17*(2*10^-5)+5.6776)</f>
        <v>5.7775999999999996</v>
      </c>
      <c r="AD17" s="10">
        <f>(11.918*(AC17^2))+(47925*AC17)+5000</f>
        <v>282289.31072685565</v>
      </c>
      <c r="AM17" s="11">
        <v>5000</v>
      </c>
      <c r="AN17" s="9">
        <v>0</v>
      </c>
      <c r="AO17" s="11">
        <v>5000</v>
      </c>
      <c r="AP17" s="9">
        <v>5000</v>
      </c>
      <c r="AQ17" s="12">
        <f>(AO17*(2*10^-5)+4.959)</f>
        <v>5.0589999999999993</v>
      </c>
      <c r="AR17" s="10">
        <f>(10.122*(AQ17^2))+(48517*AQ17)+5000</f>
        <v>250706.56021468196</v>
      </c>
    </row>
    <row r="18" spans="9:44" x14ac:dyDescent="0.25">
      <c r="I18" s="11">
        <v>3717248</v>
      </c>
      <c r="J18" s="9">
        <v>75</v>
      </c>
      <c r="K18" s="11">
        <v>3717248</v>
      </c>
      <c r="L18" s="9"/>
      <c r="M18" s="12">
        <f t="shared" si="0"/>
        <v>79.429559999999995</v>
      </c>
      <c r="N18" s="10">
        <f t="shared" si="1"/>
        <v>3892077.0701389546</v>
      </c>
      <c r="Y18" s="11">
        <v>3750990</v>
      </c>
      <c r="Z18" s="9">
        <v>75</v>
      </c>
      <c r="AA18" s="11">
        <v>3750990</v>
      </c>
      <c r="AB18" s="11">
        <f>AVERAGE(AA18:AA20)</f>
        <v>3666395</v>
      </c>
      <c r="AC18" s="12">
        <f t="shared" ref="AC18:AC23" si="2">(AA18*(2*10^-5)+5.0846)</f>
        <v>80.104399999999998</v>
      </c>
      <c r="AD18" s="10">
        <f t="shared" ref="AD18:AD23" si="3">(11.918*(AC18^2))+(47925*AC18)+5000</f>
        <v>3920477.7781705726</v>
      </c>
      <c r="AM18" s="11">
        <v>3696061</v>
      </c>
      <c r="AN18" s="9">
        <v>75</v>
      </c>
      <c r="AO18" s="11">
        <v>3696061</v>
      </c>
      <c r="AP18" s="11">
        <f>AVERAGE(AO18:AO20)</f>
        <v>3700710</v>
      </c>
      <c r="AQ18" s="12">
        <f t="shared" ref="AQ18:AQ23" si="4">(AO18*(2*10^-5)+4.959)</f>
        <v>78.880220000000008</v>
      </c>
      <c r="AR18" s="10">
        <f t="shared" ref="AR18:AR23" si="5">(10.122*(AQ18^2))+(48517*AQ18)+5000</f>
        <v>3895011.6196835688</v>
      </c>
    </row>
    <row r="19" spans="9:44" x14ac:dyDescent="0.25">
      <c r="I19" s="11">
        <v>3642216</v>
      </c>
      <c r="J19" s="9">
        <v>75</v>
      </c>
      <c r="K19" s="11">
        <v>3642216</v>
      </c>
      <c r="L19" s="9"/>
      <c r="M19" s="12">
        <f t="shared" si="0"/>
        <v>77.928920000000005</v>
      </c>
      <c r="N19" s="10">
        <f t="shared" si="1"/>
        <v>3817403.7764967685</v>
      </c>
      <c r="Y19" s="11">
        <v>3646942</v>
      </c>
      <c r="Z19" s="9">
        <v>75</v>
      </c>
      <c r="AA19" s="11">
        <v>3646942</v>
      </c>
      <c r="AB19" s="9"/>
      <c r="AC19" s="12">
        <f t="shared" si="2"/>
        <v>78.023439999999994</v>
      </c>
      <c r="AD19" s="10">
        <f t="shared" si="3"/>
        <v>3816826.0603836696</v>
      </c>
      <c r="AM19" s="11">
        <v>3730897</v>
      </c>
      <c r="AN19" s="9">
        <v>75</v>
      </c>
      <c r="AO19" s="11">
        <v>3730897</v>
      </c>
      <c r="AP19" s="9"/>
      <c r="AQ19" s="12">
        <f t="shared" si="4"/>
        <v>79.576940000000008</v>
      </c>
      <c r="AR19" s="10">
        <f t="shared" si="5"/>
        <v>3929931.8554819673</v>
      </c>
    </row>
    <row r="20" spans="9:44" x14ac:dyDescent="0.25">
      <c r="I20" s="13">
        <v>26667848</v>
      </c>
      <c r="J20" s="9">
        <v>500</v>
      </c>
      <c r="K20" s="13">
        <v>26667848</v>
      </c>
      <c r="L20" s="11">
        <f>AVERAGE(K20:K22)</f>
        <v>26695911</v>
      </c>
      <c r="M20" s="12">
        <f t="shared" si="0"/>
        <v>538.44156000000009</v>
      </c>
      <c r="N20" s="10">
        <f t="shared" si="1"/>
        <v>28966829.458320357</v>
      </c>
      <c r="Y20" s="11">
        <v>3601253</v>
      </c>
      <c r="Z20" s="9">
        <v>75</v>
      </c>
      <c r="AA20" s="11">
        <v>3601253</v>
      </c>
      <c r="AB20" s="9"/>
      <c r="AC20" s="12">
        <f t="shared" si="2"/>
        <v>77.109660000000005</v>
      </c>
      <c r="AD20" s="10">
        <f t="shared" si="3"/>
        <v>3771343.6877112314</v>
      </c>
      <c r="AM20" s="11">
        <v>3675172</v>
      </c>
      <c r="AN20" s="9">
        <v>75</v>
      </c>
      <c r="AO20" s="11">
        <v>3675172</v>
      </c>
      <c r="AP20" s="9"/>
      <c r="AQ20" s="12">
        <f t="shared" si="4"/>
        <v>78.462440000000015</v>
      </c>
      <c r="AR20" s="10">
        <f t="shared" si="5"/>
        <v>3874076.8216354088</v>
      </c>
    </row>
    <row r="21" spans="9:44" x14ac:dyDescent="0.25">
      <c r="I21" s="11">
        <v>27271639</v>
      </c>
      <c r="J21" s="9">
        <v>500</v>
      </c>
      <c r="K21" s="11">
        <v>27271639</v>
      </c>
      <c r="L21" s="9"/>
      <c r="M21" s="12">
        <f t="shared" si="0"/>
        <v>550.51738000000012</v>
      </c>
      <c r="N21" s="10">
        <f t="shared" si="1"/>
        <v>29686622.211128063</v>
      </c>
      <c r="Y21" s="13">
        <v>27064127</v>
      </c>
      <c r="Z21" s="9">
        <v>500</v>
      </c>
      <c r="AA21" s="13">
        <v>27064127</v>
      </c>
      <c r="AB21" s="11">
        <f>AVERAGE(AA21:AA23)</f>
        <v>26946966.666666668</v>
      </c>
      <c r="AC21" s="12">
        <f t="shared" si="2"/>
        <v>546.36714000000006</v>
      </c>
      <c r="AD21" s="10">
        <f t="shared" si="3"/>
        <v>29747371.406324271</v>
      </c>
      <c r="AM21" s="13">
        <v>26399441</v>
      </c>
      <c r="AN21" s="9">
        <v>500</v>
      </c>
      <c r="AO21" s="13">
        <v>26399441</v>
      </c>
      <c r="AP21" s="11">
        <f>AVERAGE(AO21:AO23)</f>
        <v>26793989.666666668</v>
      </c>
      <c r="AQ21" s="12">
        <f t="shared" si="4"/>
        <v>532.94781999999998</v>
      </c>
      <c r="AR21" s="10">
        <f t="shared" si="5"/>
        <v>28737015.243586339</v>
      </c>
    </row>
    <row r="22" spans="9:44" x14ac:dyDescent="0.25">
      <c r="I22" s="11">
        <v>26148246</v>
      </c>
      <c r="J22" s="9">
        <v>500</v>
      </c>
      <c r="K22" s="11">
        <v>26148246</v>
      </c>
      <c r="L22" s="9"/>
      <c r="M22" s="12">
        <f t="shared" si="0"/>
        <v>528.04952000000003</v>
      </c>
      <c r="N22" s="10">
        <f t="shared" si="1"/>
        <v>28349867.784567334</v>
      </c>
      <c r="Y22" s="11">
        <v>26321315</v>
      </c>
      <c r="Z22" s="9">
        <v>500</v>
      </c>
      <c r="AA22" s="11">
        <v>26321315</v>
      </c>
      <c r="AB22" s="9"/>
      <c r="AC22" s="12">
        <f t="shared" si="2"/>
        <v>531.51090000000011</v>
      </c>
      <c r="AD22" s="10">
        <f t="shared" si="3"/>
        <v>28844540.609706581</v>
      </c>
      <c r="AM22" s="11">
        <v>26347173</v>
      </c>
      <c r="AN22" s="9">
        <v>500</v>
      </c>
      <c r="AO22" s="11">
        <v>26347173</v>
      </c>
      <c r="AP22" s="9"/>
      <c r="AQ22" s="12">
        <f t="shared" si="4"/>
        <v>531.90246000000002</v>
      </c>
      <c r="AR22" s="10">
        <f t="shared" si="5"/>
        <v>28675030.189048912</v>
      </c>
    </row>
    <row r="23" spans="9:44" x14ac:dyDescent="0.25">
      <c r="Y23" s="11">
        <v>27455458</v>
      </c>
      <c r="Z23" s="9">
        <v>500</v>
      </c>
      <c r="AA23" s="11">
        <v>27455458</v>
      </c>
      <c r="AB23" s="9"/>
      <c r="AC23" s="12">
        <f t="shared" si="2"/>
        <v>554.19376000000011</v>
      </c>
      <c r="AD23" s="10">
        <f t="shared" si="3"/>
        <v>30225119.912138179</v>
      </c>
      <c r="AM23" s="11">
        <v>27635355</v>
      </c>
      <c r="AN23" s="9">
        <v>500</v>
      </c>
      <c r="AO23" s="11">
        <v>27635355</v>
      </c>
      <c r="AP23" s="9"/>
      <c r="AQ23" s="12">
        <f t="shared" si="4"/>
        <v>557.66610000000003</v>
      </c>
      <c r="AR23" s="10">
        <f t="shared" si="5"/>
        <v>30209141.925040986</v>
      </c>
    </row>
    <row r="24" spans="9:44" x14ac:dyDescent="0.25">
      <c r="L24" s="9" t="s">
        <v>7</v>
      </c>
      <c r="M24" s="38">
        <v>129.44999999999999</v>
      </c>
      <c r="N24" s="10">
        <f>(10.568*(M24^2))+(48098*M24)+5000</f>
        <v>6408377.2728199996</v>
      </c>
    </row>
    <row r="25" spans="9:44" x14ac:dyDescent="0.25">
      <c r="K25" s="7"/>
      <c r="L25" s="9" t="s">
        <v>8</v>
      </c>
      <c r="M25" s="38">
        <v>156.26</v>
      </c>
      <c r="N25" s="10">
        <f t="shared" si="1"/>
        <v>7778834.3185567996</v>
      </c>
      <c r="AB25" s="9" t="s">
        <v>7</v>
      </c>
      <c r="AC25" s="9">
        <v>127.38</v>
      </c>
      <c r="AD25" s="10">
        <f>(11.918*(AC25^2))+(47925*AC25)+5000</f>
        <v>6303063.9683192</v>
      </c>
      <c r="AP25" s="9" t="s">
        <v>7</v>
      </c>
      <c r="AQ25" s="9">
        <v>129.44999999999999</v>
      </c>
      <c r="AR25" s="10">
        <f>(10.122*(AQ25^2))+(48517*AQ25)+5000</f>
        <v>6455143.0659049992</v>
      </c>
    </row>
    <row r="26" spans="9:44" x14ac:dyDescent="0.25">
      <c r="L26" s="9" t="s">
        <v>9</v>
      </c>
      <c r="M26" s="38">
        <v>169.14</v>
      </c>
      <c r="N26" s="10">
        <f t="shared" si="1"/>
        <v>8442628.6528928</v>
      </c>
      <c r="AA26" s="7"/>
      <c r="AB26" s="9" t="s">
        <v>8</v>
      </c>
      <c r="AC26" s="9">
        <v>158.74</v>
      </c>
      <c r="AD26" s="10">
        <f t="shared" ref="AD26:AD33" si="6">(11.918*(AC26^2))+(47925*AC26)+5000</f>
        <v>7912928.8834167998</v>
      </c>
      <c r="AO26" s="7"/>
      <c r="AP26" s="9" t="s">
        <v>8</v>
      </c>
      <c r="AQ26" s="9">
        <v>156.38</v>
      </c>
      <c r="AR26" s="10">
        <f t="shared" ref="AR26:AR33" si="7">(10.122*(AQ26^2))+(48517*AQ26)+5000</f>
        <v>7839618.9779367996</v>
      </c>
    </row>
    <row r="27" spans="9:44" x14ac:dyDescent="0.25">
      <c r="L27" s="9" t="s">
        <v>10</v>
      </c>
      <c r="M27" s="38">
        <v>282.95999999999998</v>
      </c>
      <c r="N27" s="10">
        <f t="shared" si="1"/>
        <v>14460951.389388798</v>
      </c>
      <c r="AB27" s="9" t="s">
        <v>9</v>
      </c>
      <c r="AC27" s="12">
        <v>167.18</v>
      </c>
      <c r="AD27" s="10">
        <f t="shared" si="6"/>
        <v>8350199.4983032001</v>
      </c>
      <c r="AP27" s="9" t="s">
        <v>9</v>
      </c>
      <c r="AQ27" s="12">
        <v>169.49</v>
      </c>
      <c r="AR27" s="10">
        <f t="shared" si="7"/>
        <v>8518919.6079322007</v>
      </c>
    </row>
    <row r="28" spans="9:44" x14ac:dyDescent="0.25">
      <c r="L28" s="9" t="s">
        <v>11</v>
      </c>
      <c r="M28" s="38">
        <v>438.36</v>
      </c>
      <c r="N28" s="10">
        <f t="shared" si="1"/>
        <v>23119980.7660928</v>
      </c>
      <c r="AB28" s="9" t="s">
        <v>10</v>
      </c>
      <c r="AC28" s="9">
        <v>279.58</v>
      </c>
      <c r="AD28" s="10">
        <f t="shared" si="6"/>
        <v>14335441.6887352</v>
      </c>
      <c r="AP28" s="9" t="s">
        <v>10</v>
      </c>
      <c r="AQ28" s="9">
        <v>281.67</v>
      </c>
      <c r="AR28" s="10">
        <f t="shared" si="7"/>
        <v>14473842.5136458</v>
      </c>
    </row>
    <row r="29" spans="9:44" x14ac:dyDescent="0.25">
      <c r="L29" s="9" t="s">
        <v>12</v>
      </c>
      <c r="M29" s="38">
        <v>197.3</v>
      </c>
      <c r="N29" s="10">
        <f t="shared" si="1"/>
        <v>9906119.0007199999</v>
      </c>
      <c r="AB29" s="9" t="s">
        <v>11</v>
      </c>
      <c r="AC29" s="9">
        <v>434.86</v>
      </c>
      <c r="AD29" s="10">
        <f t="shared" si="6"/>
        <v>23099397.671192799</v>
      </c>
      <c r="AP29" s="9" t="s">
        <v>11</v>
      </c>
      <c r="AQ29" s="9">
        <v>445.89</v>
      </c>
      <c r="AR29" s="10">
        <f t="shared" si="7"/>
        <v>23650679.833836198</v>
      </c>
    </row>
    <row r="30" spans="9:44" x14ac:dyDescent="0.25">
      <c r="L30" s="9" t="s">
        <v>50</v>
      </c>
      <c r="M30" s="38">
        <v>6.42</v>
      </c>
      <c r="N30" s="10">
        <f t="shared" si="1"/>
        <v>314224.73491519998</v>
      </c>
      <c r="AB30" s="9" t="s">
        <v>12</v>
      </c>
      <c r="AC30" s="9">
        <v>198.25</v>
      </c>
      <c r="AD30" s="10">
        <f t="shared" si="6"/>
        <v>9974545.148875</v>
      </c>
      <c r="AP30" s="9" t="s">
        <v>12</v>
      </c>
      <c r="AQ30" s="9">
        <v>203.58</v>
      </c>
      <c r="AR30" s="10">
        <f t="shared" si="7"/>
        <v>10301595.291600801</v>
      </c>
    </row>
    <row r="31" spans="9:44" x14ac:dyDescent="0.25">
      <c r="L31" s="9" t="s">
        <v>51</v>
      </c>
      <c r="M31" s="38">
        <v>7.2</v>
      </c>
      <c r="N31" s="10">
        <f t="shared" si="1"/>
        <v>351853.44512000005</v>
      </c>
      <c r="AB31" s="9" t="s">
        <v>50</v>
      </c>
      <c r="AC31" s="9">
        <v>5.96</v>
      </c>
      <c r="AD31" s="10">
        <f t="shared" si="6"/>
        <v>291056.34642880003</v>
      </c>
      <c r="AP31" s="9" t="s">
        <v>50</v>
      </c>
      <c r="AQ31" s="9">
        <v>6.89</v>
      </c>
      <c r="AR31" s="10">
        <f t="shared" si="7"/>
        <v>339762.64259619999</v>
      </c>
    </row>
    <row r="32" spans="9:44" x14ac:dyDescent="0.25">
      <c r="L32" s="9" t="s">
        <v>52</v>
      </c>
      <c r="M32" s="38">
        <v>8.24</v>
      </c>
      <c r="N32" s="10">
        <f t="shared" si="1"/>
        <v>402045.06183680001</v>
      </c>
      <c r="AB32" s="9" t="s">
        <v>51</v>
      </c>
      <c r="AC32" s="9">
        <v>7.61</v>
      </c>
      <c r="AD32" s="10">
        <f t="shared" si="6"/>
        <v>370399.44640780002</v>
      </c>
      <c r="AP32" s="9" t="s">
        <v>51</v>
      </c>
      <c r="AQ32" s="9">
        <v>7.51</v>
      </c>
      <c r="AR32" s="10">
        <f t="shared" si="7"/>
        <v>369933.55181219999</v>
      </c>
    </row>
    <row r="33" spans="28:44" x14ac:dyDescent="0.25">
      <c r="AB33" s="9" t="s">
        <v>52</v>
      </c>
      <c r="AC33" s="9">
        <v>7.98</v>
      </c>
      <c r="AD33" s="10">
        <f t="shared" si="6"/>
        <v>388200.44300720003</v>
      </c>
      <c r="AP33" s="9" t="s">
        <v>52</v>
      </c>
      <c r="AQ33" s="9">
        <v>8.16</v>
      </c>
      <c r="AR33" s="10">
        <f t="shared" si="7"/>
        <v>401572.69944320002</v>
      </c>
    </row>
  </sheetData>
  <mergeCells count="3">
    <mergeCell ref="J14:N14"/>
    <mergeCell ref="Z15:AD15"/>
    <mergeCell ref="AN15:AR1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E8D46-F49D-4F14-BA47-1FE84E3993AA}">
  <dimension ref="B9:BK33"/>
  <sheetViews>
    <sheetView topLeftCell="G10" workbookViewId="0">
      <selection activeCell="T30" sqref="T30"/>
    </sheetView>
  </sheetViews>
  <sheetFormatPr defaultRowHeight="15" x14ac:dyDescent="0.25"/>
  <sheetData>
    <row r="9" spans="3:60" x14ac:dyDescent="0.25">
      <c r="C9" t="s">
        <v>0</v>
      </c>
      <c r="R9" t="s">
        <v>0</v>
      </c>
      <c r="AH9" t="s">
        <v>0</v>
      </c>
      <c r="AV9" t="s">
        <v>0</v>
      </c>
    </row>
    <row r="15" spans="3:60" x14ac:dyDescent="0.25">
      <c r="J15" s="9" t="s">
        <v>26</v>
      </c>
      <c r="K15" s="57" t="s">
        <v>35</v>
      </c>
      <c r="L15" s="58"/>
      <c r="M15" s="58"/>
      <c r="N15" s="58"/>
      <c r="O15" s="59"/>
      <c r="Y15" s="9" t="s">
        <v>26</v>
      </c>
      <c r="Z15" s="57" t="s">
        <v>36</v>
      </c>
      <c r="AA15" s="58"/>
      <c r="AB15" s="58"/>
      <c r="AC15" s="58"/>
      <c r="AD15" s="59"/>
      <c r="AO15" s="9" t="s">
        <v>26</v>
      </c>
      <c r="AP15" s="57" t="s">
        <v>37</v>
      </c>
      <c r="AQ15" s="58"/>
      <c r="AR15" s="58"/>
      <c r="AS15" s="58"/>
      <c r="AT15" s="59"/>
      <c r="BC15" s="9" t="s">
        <v>26</v>
      </c>
      <c r="BD15" s="57" t="s">
        <v>38</v>
      </c>
      <c r="BE15" s="58"/>
      <c r="BF15" s="58"/>
      <c r="BG15" s="58"/>
      <c r="BH15" s="59"/>
    </row>
    <row r="16" spans="3:60" x14ac:dyDescent="0.25">
      <c r="J16" s="9"/>
      <c r="K16" s="9"/>
      <c r="L16" s="9"/>
      <c r="M16" s="9"/>
      <c r="N16" s="9"/>
      <c r="O16" s="9"/>
      <c r="Y16" s="9"/>
      <c r="Z16" s="9"/>
      <c r="AA16" s="9"/>
      <c r="AB16" s="9"/>
      <c r="AC16" s="9"/>
      <c r="AD16" s="9"/>
      <c r="AO16" s="9"/>
      <c r="AP16" s="9"/>
      <c r="AQ16" s="9"/>
      <c r="AR16" s="9"/>
      <c r="AS16" s="9"/>
      <c r="AT16" s="9"/>
      <c r="BC16" s="9"/>
      <c r="BD16" s="9"/>
      <c r="BE16" s="9"/>
      <c r="BF16" s="9"/>
      <c r="BG16" s="9"/>
      <c r="BH16" s="9"/>
    </row>
    <row r="17" spans="2:63" x14ac:dyDescent="0.25">
      <c r="B17" s="2"/>
      <c r="J17" s="11">
        <v>5000</v>
      </c>
      <c r="K17" s="9">
        <v>0</v>
      </c>
      <c r="L17" s="11">
        <v>5000</v>
      </c>
      <c r="M17" s="9">
        <v>5000</v>
      </c>
      <c r="N17" s="12">
        <f>(L17*(2*10^-5)+4.8163)</f>
        <v>4.9162999999999997</v>
      </c>
      <c r="O17" s="10">
        <f>(9.1411*(N17^2))+(46515*N17)+5000</f>
        <v>233902.63493901285</v>
      </c>
      <c r="Y17" s="11">
        <v>5000</v>
      </c>
      <c r="Z17" s="9">
        <v>0</v>
      </c>
      <c r="AA17" s="11">
        <v>5000</v>
      </c>
      <c r="AB17" s="9">
        <v>5000</v>
      </c>
      <c r="AC17" s="12">
        <f>(AA17*(2*10^-5)+4.6891)</f>
        <v>4.7890999999999995</v>
      </c>
      <c r="AD17" s="10">
        <f>(9.1742*(AC17^2))+(45453*AC17)+5000</f>
        <v>222889.3769696987</v>
      </c>
      <c r="AO17" s="11">
        <v>5000</v>
      </c>
      <c r="AP17" s="9">
        <v>0</v>
      </c>
      <c r="AQ17" s="11">
        <v>5000</v>
      </c>
      <c r="AR17" s="9">
        <v>5000</v>
      </c>
      <c r="AS17" s="12">
        <f>(AQ17*(2*10^-5)+2.26)</f>
        <v>2.36</v>
      </c>
      <c r="AT17" s="10">
        <f>(3.9374*(AS17^2))+(46217*AS17)+5000</f>
        <v>114094.04974304</v>
      </c>
      <c r="BC17" s="11">
        <v>5000</v>
      </c>
      <c r="BD17" s="9">
        <v>0</v>
      </c>
      <c r="BE17" s="11">
        <v>5000</v>
      </c>
      <c r="BF17" s="9">
        <v>5000</v>
      </c>
      <c r="BG17" s="12">
        <f>(BE17*(2*10^-5)+3.4)</f>
        <v>3.5</v>
      </c>
      <c r="BH17" s="10">
        <f>(6.2859*(BG17^2))+(44143*BG17)+5000</f>
        <v>159577.50227500001</v>
      </c>
      <c r="BI17" s="2"/>
      <c r="BJ17" s="2"/>
    </row>
    <row r="18" spans="2:63" x14ac:dyDescent="0.25">
      <c r="B18" s="69"/>
      <c r="J18" s="11">
        <v>3555051</v>
      </c>
      <c r="K18" s="9">
        <v>75</v>
      </c>
      <c r="L18" s="11">
        <v>3555051</v>
      </c>
      <c r="M18" s="11">
        <f>AVERAGE(L18:L20)</f>
        <v>3568003</v>
      </c>
      <c r="N18" s="12">
        <f t="shared" ref="N18:N23" si="0">(L18*(2*10^-5)+4.8163)</f>
        <v>75.917320000000004</v>
      </c>
      <c r="O18" s="10">
        <f>(9.5795*(N18^2))+(46788*N18)+5000</f>
        <v>3612230.4366201735</v>
      </c>
      <c r="Y18" s="11">
        <v>3429284</v>
      </c>
      <c r="Z18" s="9">
        <v>75</v>
      </c>
      <c r="AA18" s="11">
        <v>3429284</v>
      </c>
      <c r="AB18" s="11">
        <f>AVERAGE(AA18:AA20)</f>
        <v>3465587</v>
      </c>
      <c r="AC18" s="12">
        <f>(AA18*(2*10^-5)+4.6891)</f>
        <v>73.274780000000007</v>
      </c>
      <c r="AD18" s="10">
        <f>(9.1742*(AC18^2))+(45453*AC18)+5000</f>
        <v>3384816.6292839372</v>
      </c>
      <c r="AO18" s="11">
        <v>3489771</v>
      </c>
      <c r="AP18" s="9">
        <v>75</v>
      </c>
      <c r="AQ18" s="11">
        <v>3489771</v>
      </c>
      <c r="AR18" s="11">
        <f>AVERAGE(AQ18:AQ20)</f>
        <v>3493430.6666666665</v>
      </c>
      <c r="AS18" s="12">
        <f t="shared" ref="AS18:AS23" si="1">(AQ18*(2*10^-5)+2.26)</f>
        <v>72.055420000000012</v>
      </c>
      <c r="AT18" s="10">
        <f t="shared" ref="AT18:AT33" si="2">(3.9374*(AS18^2))+(46217*AS18)+5000</f>
        <v>3355628.2621751898</v>
      </c>
      <c r="BC18" s="11">
        <v>3491894</v>
      </c>
      <c r="BD18" s="9">
        <v>75</v>
      </c>
      <c r="BE18" s="11">
        <v>3351894</v>
      </c>
      <c r="BF18" s="11">
        <f>AVERAGE(BE18:BE20)</f>
        <v>3351051.3333333335</v>
      </c>
      <c r="BG18" s="12">
        <f t="shared" ref="BG18:BG23" si="3">(BE18*(2*10^-5)+3.4)</f>
        <v>70.437880000000007</v>
      </c>
      <c r="BH18" s="10">
        <f t="shared" ref="BH18:BH23" si="4">(6.2859*(BG18^2))+(44143*BG18)+5000</f>
        <v>3145526.7978763967</v>
      </c>
      <c r="BI18" s="2"/>
      <c r="BJ18" s="2"/>
    </row>
    <row r="19" spans="2:63" x14ac:dyDescent="0.25">
      <c r="B19" s="68">
        <f>A18*1.15</f>
        <v>0</v>
      </c>
      <c r="J19" s="11">
        <v>3562476</v>
      </c>
      <c r="K19" s="9">
        <v>75</v>
      </c>
      <c r="L19" s="11">
        <v>3562476</v>
      </c>
      <c r="M19" s="9"/>
      <c r="N19" s="12">
        <f t="shared" si="0"/>
        <v>76.065820000000002</v>
      </c>
      <c r="O19" s="10">
        <f t="shared" ref="O19:O33" si="5">(9.5795*(N19^2))+(46788*N19)+5000</f>
        <v>3619394.6591098835</v>
      </c>
      <c r="Y19" s="11">
        <v>3459277</v>
      </c>
      <c r="Z19" s="9">
        <v>75</v>
      </c>
      <c r="AA19" s="11">
        <v>3459277</v>
      </c>
      <c r="AB19" s="9"/>
      <c r="AC19" s="12">
        <f t="shared" ref="AC19:AC23" si="6">(AA19*(2*10^-5)+4.6891)</f>
        <v>73.874639999999999</v>
      </c>
      <c r="AD19" s="10">
        <f t="shared" ref="AD19:AD23" si="7">(9.1742*(AC19^2))+(45453*AC19)+5000</f>
        <v>3412891.8637923659</v>
      </c>
      <c r="AO19" s="11">
        <v>3489458</v>
      </c>
      <c r="AP19" s="9">
        <v>75</v>
      </c>
      <c r="AQ19" s="11">
        <v>3489458</v>
      </c>
      <c r="AR19" s="9"/>
      <c r="AS19" s="12">
        <f t="shared" si="1"/>
        <v>72.049160000000015</v>
      </c>
      <c r="AT19" s="10">
        <f t="shared" si="2"/>
        <v>3355335.3918476333</v>
      </c>
      <c r="BC19" s="11">
        <v>3402698</v>
      </c>
      <c r="BD19" s="9">
        <v>75</v>
      </c>
      <c r="BE19" s="11">
        <v>3302698</v>
      </c>
      <c r="BF19" s="9"/>
      <c r="BG19" s="12">
        <f t="shared" si="3"/>
        <v>69.453960000000009</v>
      </c>
      <c r="BH19" s="10">
        <f t="shared" si="4"/>
        <v>3101228.4110849029</v>
      </c>
      <c r="BI19" s="2"/>
      <c r="BJ19" s="2"/>
    </row>
    <row r="20" spans="2:63" x14ac:dyDescent="0.25">
      <c r="B20" s="69"/>
      <c r="J20" s="11">
        <v>3586482</v>
      </c>
      <c r="K20" s="9">
        <v>75</v>
      </c>
      <c r="L20" s="11">
        <v>3586482</v>
      </c>
      <c r="M20" s="9"/>
      <c r="N20" s="12">
        <f t="shared" si="0"/>
        <v>76.545940000000002</v>
      </c>
      <c r="O20" s="10">
        <f t="shared" si="5"/>
        <v>3642560.4223935679</v>
      </c>
      <c r="Y20" s="11">
        <v>3508200</v>
      </c>
      <c r="Z20" s="9">
        <v>75</v>
      </c>
      <c r="AA20" s="11">
        <v>3508200</v>
      </c>
      <c r="AB20" s="9"/>
      <c r="AC20" s="12">
        <f t="shared" si="6"/>
        <v>74.853099999999998</v>
      </c>
      <c r="AD20" s="10">
        <f t="shared" si="7"/>
        <v>3458700.873778658</v>
      </c>
      <c r="AO20" s="11">
        <v>3501063</v>
      </c>
      <c r="AP20" s="9">
        <v>75</v>
      </c>
      <c r="AQ20" s="11">
        <v>3501063</v>
      </c>
      <c r="AR20" s="9"/>
      <c r="AS20" s="12">
        <f t="shared" si="1"/>
        <v>72.281260000000017</v>
      </c>
      <c r="AT20" s="10">
        <f t="shared" si="2"/>
        <v>3366194.256866497</v>
      </c>
      <c r="BC20" s="11">
        <v>3398562</v>
      </c>
      <c r="BD20" s="9">
        <v>75</v>
      </c>
      <c r="BE20" s="11">
        <v>3398562</v>
      </c>
      <c r="BF20" s="9"/>
      <c r="BG20" s="12">
        <f t="shared" si="3"/>
        <v>71.371240000000014</v>
      </c>
      <c r="BH20" s="10">
        <f t="shared" si="4"/>
        <v>3187560.1035445896</v>
      </c>
      <c r="BI20" s="2"/>
      <c r="BJ20" s="2"/>
    </row>
    <row r="21" spans="2:63" x14ac:dyDescent="0.25">
      <c r="B21" s="69"/>
      <c r="J21" s="13">
        <v>26289037</v>
      </c>
      <c r="K21" s="9">
        <v>500</v>
      </c>
      <c r="L21" s="13">
        <v>26289037</v>
      </c>
      <c r="M21" s="11">
        <f>AVERAGE(L21:L23)</f>
        <v>25793989.666666668</v>
      </c>
      <c r="N21" s="12">
        <f t="shared" si="0"/>
        <v>530.59703999999999</v>
      </c>
      <c r="O21" s="10">
        <f t="shared" si="5"/>
        <v>27527521.777558345</v>
      </c>
      <c r="Y21" s="13">
        <v>24580051</v>
      </c>
      <c r="Z21" s="9">
        <v>500</v>
      </c>
      <c r="AA21" s="13">
        <v>24580051</v>
      </c>
      <c r="AB21" s="11">
        <f>AVERAGE(AA21:AA23)</f>
        <v>25025092.666666668</v>
      </c>
      <c r="AC21" s="12">
        <f t="shared" si="6"/>
        <v>496.29012000000006</v>
      </c>
      <c r="AD21" s="10">
        <f t="shared" si="7"/>
        <v>24822515.909701645</v>
      </c>
      <c r="AO21" s="11">
        <v>23580222</v>
      </c>
      <c r="AP21" s="9">
        <v>500</v>
      </c>
      <c r="AQ21" s="11">
        <v>23580222</v>
      </c>
      <c r="AR21" s="11">
        <f>AVERAGE(AQ21:AQ23)</f>
        <v>24097899.333333332</v>
      </c>
      <c r="AS21" s="12">
        <f t="shared" si="1"/>
        <v>473.86444</v>
      </c>
      <c r="AT21" s="10">
        <f t="shared" si="2"/>
        <v>22789726.179496773</v>
      </c>
      <c r="BC21" s="11">
        <v>23356215</v>
      </c>
      <c r="BD21" s="9">
        <v>500</v>
      </c>
      <c r="BE21" s="11">
        <v>23356215</v>
      </c>
      <c r="BF21" s="11">
        <f>AVERAGE(BE21:BE23)</f>
        <v>23647769</v>
      </c>
      <c r="BG21" s="12">
        <f t="shared" si="3"/>
        <v>470.52430000000004</v>
      </c>
      <c r="BH21" s="10">
        <f t="shared" si="4"/>
        <v>22167009.168361932</v>
      </c>
      <c r="BI21" s="2"/>
      <c r="BJ21" s="2"/>
    </row>
    <row r="22" spans="2:63" x14ac:dyDescent="0.25">
      <c r="B22" s="68">
        <f>A21*1.15</f>
        <v>0</v>
      </c>
      <c r="J22" s="11">
        <v>25990165</v>
      </c>
      <c r="K22" s="9">
        <v>500</v>
      </c>
      <c r="L22" s="11">
        <v>25990165</v>
      </c>
      <c r="M22" s="9"/>
      <c r="N22" s="12">
        <f t="shared" si="0"/>
        <v>524.61959999999999</v>
      </c>
      <c r="O22" s="10">
        <f t="shared" si="5"/>
        <v>27187426.674603499</v>
      </c>
      <c r="Y22" s="11">
        <v>24942200</v>
      </c>
      <c r="Z22" s="9">
        <v>500</v>
      </c>
      <c r="AA22" s="11">
        <v>24942200</v>
      </c>
      <c r="AB22" s="9"/>
      <c r="AC22" s="12">
        <f t="shared" si="6"/>
        <v>503.53310000000005</v>
      </c>
      <c r="AD22" s="10">
        <f t="shared" si="7"/>
        <v>25218167.879983485</v>
      </c>
      <c r="AO22" s="11">
        <v>24872122</v>
      </c>
      <c r="AP22" s="9">
        <v>500</v>
      </c>
      <c r="AQ22" s="11">
        <v>24872122</v>
      </c>
      <c r="AR22" s="9"/>
      <c r="AS22" s="12">
        <f t="shared" si="1"/>
        <v>499.70244000000002</v>
      </c>
      <c r="AT22" s="10">
        <f t="shared" si="2"/>
        <v>24082926.405361086</v>
      </c>
      <c r="BC22" s="11">
        <v>24163524</v>
      </c>
      <c r="BD22" s="9">
        <v>500</v>
      </c>
      <c r="BE22" s="11">
        <v>24163524</v>
      </c>
      <c r="BF22" s="9"/>
      <c r="BG22" s="12">
        <f t="shared" si="3"/>
        <v>486.67048</v>
      </c>
      <c r="BH22" s="10">
        <f t="shared" si="4"/>
        <v>22976898.823090553</v>
      </c>
      <c r="BI22" s="2"/>
      <c r="BJ22" s="2"/>
    </row>
    <row r="23" spans="2:63" x14ac:dyDescent="0.25">
      <c r="B23" s="2"/>
      <c r="J23" s="11">
        <v>25102767</v>
      </c>
      <c r="K23" s="9">
        <v>500</v>
      </c>
      <c r="L23" s="11">
        <v>25102767</v>
      </c>
      <c r="M23" s="9"/>
      <c r="N23" s="12">
        <f t="shared" si="0"/>
        <v>506.87164000000007</v>
      </c>
      <c r="O23" s="10">
        <f t="shared" si="5"/>
        <v>26181664.506289937</v>
      </c>
      <c r="Y23" s="11">
        <v>25553027</v>
      </c>
      <c r="Z23" s="9">
        <v>500</v>
      </c>
      <c r="AA23" s="11">
        <v>25553027</v>
      </c>
      <c r="AB23" s="9"/>
      <c r="AC23" s="12">
        <f t="shared" si="6"/>
        <v>515.74964000000011</v>
      </c>
      <c r="AD23" s="10">
        <f t="shared" si="7"/>
        <v>25887684.405161269</v>
      </c>
      <c r="AO23" s="11">
        <v>23841354</v>
      </c>
      <c r="AP23" s="9">
        <v>500</v>
      </c>
      <c r="AQ23" s="11">
        <v>23841354</v>
      </c>
      <c r="AR23" s="9"/>
      <c r="AS23" s="12">
        <f t="shared" si="1"/>
        <v>479.08708000000001</v>
      </c>
      <c r="AT23" s="10">
        <f t="shared" si="2"/>
        <v>23050697.067919753</v>
      </c>
      <c r="BC23" s="11">
        <v>23423568</v>
      </c>
      <c r="BD23" s="9">
        <v>500</v>
      </c>
      <c r="BE23" s="11">
        <v>23423568</v>
      </c>
      <c r="BF23" s="9"/>
      <c r="BG23" s="12">
        <f t="shared" si="3"/>
        <v>471.87136000000004</v>
      </c>
      <c r="BH23" s="10">
        <f t="shared" si="4"/>
        <v>22234452.158542499</v>
      </c>
      <c r="BI23" s="2"/>
      <c r="BJ23" s="60" t="s">
        <v>45</v>
      </c>
      <c r="BK23" s="60"/>
    </row>
    <row r="24" spans="2:63" x14ac:dyDescent="0.25">
      <c r="O24" s="31"/>
      <c r="AT24" s="10">
        <f t="shared" si="2"/>
        <v>5000</v>
      </c>
    </row>
    <row r="25" spans="2:63" x14ac:dyDescent="0.25">
      <c r="B25" s="2"/>
      <c r="M25" s="9" t="s">
        <v>4</v>
      </c>
      <c r="N25" s="9">
        <v>136.27000000000001</v>
      </c>
      <c r="O25" s="10">
        <f t="shared" si="5"/>
        <v>6558687.4088255512</v>
      </c>
      <c r="AB25" s="9" t="s">
        <v>4</v>
      </c>
      <c r="AC25" s="9">
        <v>132.03</v>
      </c>
      <c r="AD25" s="10">
        <f>(9.1742*(AC25^2))+(45453*AC25)+5000</f>
        <v>6166083.5187207796</v>
      </c>
      <c r="AR25" s="39" t="s">
        <v>4</v>
      </c>
      <c r="AS25" s="9">
        <v>130.69</v>
      </c>
      <c r="AT25" s="10">
        <f t="shared" si="2"/>
        <v>6112350.0341561399</v>
      </c>
      <c r="BF25" s="9" t="s">
        <v>4</v>
      </c>
      <c r="BG25" s="9">
        <v>131.52000000000001</v>
      </c>
      <c r="BH25" s="10">
        <f>(6.2859*(BG25^2))+(44143*BG25)+5000</f>
        <v>5919417.7806233605</v>
      </c>
      <c r="BJ25" t="e">
        <f>#REF!*0.85</f>
        <v>#REF!</v>
      </c>
      <c r="BK25" t="e">
        <f>#REF!*1.15</f>
        <v>#REF!</v>
      </c>
    </row>
    <row r="26" spans="2:63" x14ac:dyDescent="0.25">
      <c r="B26" s="2"/>
      <c r="L26" s="7"/>
      <c r="M26" s="9" t="s">
        <v>39</v>
      </c>
      <c r="N26" s="9">
        <v>143.86000000000001</v>
      </c>
      <c r="O26" s="10">
        <f t="shared" si="5"/>
        <v>6934176.1343182009</v>
      </c>
      <c r="AA26" s="7"/>
      <c r="AB26" s="9" t="s">
        <v>39</v>
      </c>
      <c r="AC26" s="9">
        <v>139.68</v>
      </c>
      <c r="AD26" s="10">
        <f t="shared" ref="AD26:AD33" si="8">(9.1742*(AC26^2))+(45453*AC26)+5000</f>
        <v>6532868.2911180798</v>
      </c>
      <c r="AQ26" s="7"/>
      <c r="AR26" s="39" t="s">
        <v>39</v>
      </c>
      <c r="AS26" s="9">
        <v>135.16</v>
      </c>
      <c r="AT26" s="10">
        <f t="shared" si="2"/>
        <v>6323619.0314774401</v>
      </c>
      <c r="BE26" s="7"/>
      <c r="BF26" s="9" t="s">
        <v>39</v>
      </c>
      <c r="BG26" s="9">
        <v>128.56</v>
      </c>
      <c r="BH26" s="10">
        <f t="shared" ref="BH26:BH33" si="9">(6.2859*(BG26^2))+(44143*BG26)+5000</f>
        <v>5783915.3834822401</v>
      </c>
      <c r="BJ26" t="e">
        <f t="shared" ref="BJ26:BJ30" si="10">#REF!*0.85</f>
        <v>#REF!</v>
      </c>
      <c r="BK26" t="e">
        <f t="shared" ref="BK26:BK30" si="11">#REF!*1.15</f>
        <v>#REF!</v>
      </c>
    </row>
    <row r="27" spans="2:63" x14ac:dyDescent="0.25">
      <c r="B27" s="67"/>
      <c r="M27" s="9" t="s">
        <v>40</v>
      </c>
      <c r="N27" s="12">
        <v>150.47999999999999</v>
      </c>
      <c r="O27" s="10">
        <f t="shared" si="5"/>
        <v>7262578.6451167995</v>
      </c>
      <c r="AB27" s="9" t="s">
        <v>40</v>
      </c>
      <c r="AC27" s="12">
        <v>146.25</v>
      </c>
      <c r="AD27" s="10">
        <f t="shared" si="8"/>
        <v>6848728.7871874999</v>
      </c>
      <c r="AR27" s="39" t="s">
        <v>40</v>
      </c>
      <c r="AS27" s="12">
        <v>142.84</v>
      </c>
      <c r="AT27" s="10">
        <f t="shared" si="2"/>
        <v>6686972.0979734398</v>
      </c>
      <c r="BF27" s="9" t="s">
        <v>40</v>
      </c>
      <c r="BG27" s="9">
        <v>137.74</v>
      </c>
      <c r="BH27" s="10">
        <f t="shared" si="9"/>
        <v>6204514.8483428406</v>
      </c>
      <c r="BJ27" t="e">
        <f t="shared" ref="BJ27:BJ31" si="12">#REF!*0.85</f>
        <v>#REF!</v>
      </c>
      <c r="BK27" t="e">
        <f t="shared" ref="BK27:BK31" si="13">#REF!*1.15</f>
        <v>#REF!</v>
      </c>
    </row>
    <row r="28" spans="2:63" x14ac:dyDescent="0.25">
      <c r="B28" s="2"/>
      <c r="M28" s="9" t="s">
        <v>5</v>
      </c>
      <c r="N28" s="9">
        <v>230.27</v>
      </c>
      <c r="O28" s="10">
        <f t="shared" si="5"/>
        <v>11286818.78224555</v>
      </c>
      <c r="AB28" s="9" t="s">
        <v>5</v>
      </c>
      <c r="AC28" s="9">
        <v>225</v>
      </c>
      <c r="AD28" s="10">
        <f t="shared" si="8"/>
        <v>10696368.875</v>
      </c>
      <c r="AR28" s="39" t="s">
        <v>5</v>
      </c>
      <c r="AS28" s="9">
        <v>219</v>
      </c>
      <c r="AT28" s="10">
        <f t="shared" si="2"/>
        <v>10315364.6414</v>
      </c>
      <c r="BF28" s="9" t="s">
        <v>5</v>
      </c>
      <c r="BG28" s="9">
        <v>213.32</v>
      </c>
      <c r="BH28" s="10">
        <f t="shared" si="9"/>
        <v>9707627.2946641594</v>
      </c>
      <c r="BJ28" t="e">
        <f t="shared" ref="BJ28:BJ32" si="14">#REF!*0.85</f>
        <v>#REF!</v>
      </c>
      <c r="BK28" t="e">
        <f t="shared" ref="BK28:BK32" si="15">#REF!*1.15</f>
        <v>#REF!</v>
      </c>
    </row>
    <row r="29" spans="2:63" x14ac:dyDescent="0.25">
      <c r="B29" s="2"/>
      <c r="M29" s="9" t="s">
        <v>41</v>
      </c>
      <c r="N29" s="9">
        <v>269.52999999999997</v>
      </c>
      <c r="O29" s="10">
        <f t="shared" si="5"/>
        <v>13311686.029011548</v>
      </c>
      <c r="AB29" s="9" t="s">
        <v>41</v>
      </c>
      <c r="AC29" s="9">
        <v>265.98</v>
      </c>
      <c r="AD29" s="10">
        <f t="shared" si="8"/>
        <v>12743621.025381681</v>
      </c>
      <c r="AR29" s="39" t="s">
        <v>41</v>
      </c>
      <c r="AS29" s="9">
        <v>261.99</v>
      </c>
      <c r="AT29" s="10">
        <f t="shared" si="2"/>
        <v>12383650.084017741</v>
      </c>
      <c r="BF29" s="9" t="s">
        <v>41</v>
      </c>
      <c r="BG29" s="9">
        <v>254.57</v>
      </c>
      <c r="BH29" s="10">
        <f t="shared" si="9"/>
        <v>11649846.82189291</v>
      </c>
      <c r="BJ29" t="e">
        <f t="shared" ref="BJ29:BJ33" si="16">#REF!*0.85</f>
        <v>#REF!</v>
      </c>
      <c r="BK29" t="e">
        <f t="shared" ref="BK29:BK33" si="17">#REF!*1.15</f>
        <v>#REF!</v>
      </c>
    </row>
    <row r="30" spans="2:63" x14ac:dyDescent="0.25">
      <c r="B30" s="2"/>
      <c r="M30" s="9" t="s">
        <v>42</v>
      </c>
      <c r="N30" s="9">
        <v>245.96</v>
      </c>
      <c r="O30" s="10">
        <f t="shared" si="5"/>
        <v>12092500.9927672</v>
      </c>
      <c r="AB30" s="9" t="s">
        <v>42</v>
      </c>
      <c r="AC30" s="9">
        <v>242.63</v>
      </c>
      <c r="AD30" s="10">
        <f t="shared" si="8"/>
        <v>11573340.277103981</v>
      </c>
      <c r="AR30" s="39" t="s">
        <v>42</v>
      </c>
      <c r="AS30" s="9">
        <v>237.25</v>
      </c>
      <c r="AT30" s="10">
        <f t="shared" si="2"/>
        <v>11191609.898587501</v>
      </c>
      <c r="BF30" s="9" t="s">
        <v>42</v>
      </c>
      <c r="BG30" s="9">
        <v>229.02</v>
      </c>
      <c r="BH30" s="10">
        <f t="shared" si="9"/>
        <v>10444326.323258361</v>
      </c>
      <c r="BJ30" t="e">
        <f t="shared" ref="BJ30:BJ34" si="18">#REF!*0.85</f>
        <v>#REF!</v>
      </c>
      <c r="BK30" t="e">
        <f t="shared" ref="BK30:BK34" si="19">#REF!*1.15</f>
        <v>#REF!</v>
      </c>
    </row>
    <row r="31" spans="2:63" x14ac:dyDescent="0.25">
      <c r="B31" s="2"/>
      <c r="M31" s="9" t="s">
        <v>43</v>
      </c>
      <c r="N31" s="9">
        <v>6.58</v>
      </c>
      <c r="O31" s="10">
        <f t="shared" si="5"/>
        <v>313279.79786379996</v>
      </c>
      <c r="AB31" s="9" t="s">
        <v>43</v>
      </c>
      <c r="AC31" s="9">
        <v>7.15</v>
      </c>
      <c r="AD31" s="10">
        <f t="shared" si="8"/>
        <v>330457.95803949999</v>
      </c>
      <c r="AR31" s="39" t="s">
        <v>43</v>
      </c>
      <c r="AS31" s="9">
        <v>6.96</v>
      </c>
      <c r="AT31" s="10">
        <f t="shared" si="2"/>
        <v>326861.05395584001</v>
      </c>
      <c r="BF31" s="9" t="s">
        <v>43</v>
      </c>
      <c r="BG31" s="9">
        <v>7.36</v>
      </c>
      <c r="BH31" s="10">
        <f t="shared" si="9"/>
        <v>330232.98468864005</v>
      </c>
    </row>
    <row r="32" spans="2:63" x14ac:dyDescent="0.25">
      <c r="B32" s="2"/>
      <c r="M32" s="9" t="s">
        <v>43</v>
      </c>
      <c r="N32" s="9">
        <v>6.89</v>
      </c>
      <c r="O32" s="10">
        <f t="shared" si="5"/>
        <v>327824.07898195001</v>
      </c>
      <c r="AB32" s="9" t="s">
        <v>43</v>
      </c>
      <c r="AC32" s="9">
        <v>6.84</v>
      </c>
      <c r="AD32" s="10">
        <f t="shared" si="8"/>
        <v>316327.74045152002</v>
      </c>
      <c r="AR32" s="39" t="s">
        <v>43</v>
      </c>
      <c r="AS32" s="9">
        <v>6.54</v>
      </c>
      <c r="AT32" s="10">
        <f t="shared" si="2"/>
        <v>307427.58889784</v>
      </c>
      <c r="BF32" s="9" t="s">
        <v>43</v>
      </c>
      <c r="BG32" s="9">
        <v>6.06</v>
      </c>
      <c r="BH32" s="10">
        <f t="shared" si="9"/>
        <v>272737.42087723996</v>
      </c>
    </row>
    <row r="33" spans="2:60" x14ac:dyDescent="0.25">
      <c r="B33" s="2"/>
      <c r="M33" s="9" t="s">
        <v>43</v>
      </c>
      <c r="N33" s="9">
        <v>5.14</v>
      </c>
      <c r="O33" s="10">
        <f t="shared" si="5"/>
        <v>245743.40655819999</v>
      </c>
      <c r="AB33" s="9" t="s">
        <v>43</v>
      </c>
      <c r="AC33" s="9">
        <v>6.64</v>
      </c>
      <c r="AD33" s="10">
        <f t="shared" si="8"/>
        <v>307212.40680831997</v>
      </c>
      <c r="AR33" s="39" t="s">
        <v>43</v>
      </c>
      <c r="AS33" s="9">
        <v>7.16</v>
      </c>
      <c r="AT33" s="10">
        <f t="shared" si="2"/>
        <v>336115.57317344</v>
      </c>
      <c r="BF33" s="9" t="s">
        <v>43</v>
      </c>
      <c r="BG33" s="9">
        <v>7.98</v>
      </c>
      <c r="BH33" s="10">
        <f t="shared" si="9"/>
        <v>357661.42862636002</v>
      </c>
    </row>
  </sheetData>
  <mergeCells count="5">
    <mergeCell ref="K15:O15"/>
    <mergeCell ref="Z15:AD15"/>
    <mergeCell ref="AP15:AT15"/>
    <mergeCell ref="BD15:BH15"/>
    <mergeCell ref="BJ23:BK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Inprocess</vt:lpstr>
      <vt:lpstr>FP</vt:lpstr>
      <vt:lpstr>AS</vt:lpstr>
      <vt:lpstr>In-use stability</vt:lpstr>
      <vt:lpstr>On-board</vt:lpstr>
      <vt:lpstr>Shipping stability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2024-03-01T07:37:48Z</dcterms:created>
  <dcterms:modified xsi:type="dcterms:W3CDTF">2024-03-11T12:44:19Z</dcterms:modified>
</cp:coreProperties>
</file>