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kesh.Ghosal\Documents\Personal_Documents\"/>
    </mc:Choice>
  </mc:AlternateContent>
  <bookViews>
    <workbookView xWindow="0" yWindow="0" windowWidth="13905" windowHeight="6570" tabRatio="729" activeTab="1"/>
  </bookViews>
  <sheets>
    <sheet name="2025_Opening_Corpus" sheetId="7" r:id="rId1"/>
    <sheet name="Projecting_Savings_2025" sheetId="8" r:id="rId2"/>
    <sheet name="Apartment_Projected_Expenses" sheetId="9" r:id="rId3"/>
    <sheet name="Apartment_Actual_Expense" sheetId="10" r:id="rId4"/>
    <sheet name="Jan_2025" sheetId="2" r:id="rId5"/>
    <sheet name="Feb_2025" sheetId="3" r:id="rId6"/>
    <sheet name="Mar_2025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E4" i="8"/>
  <c r="O34" i="11"/>
  <c r="K32" i="11"/>
  <c r="O26" i="11"/>
  <c r="O24" i="11"/>
  <c r="O23" i="11"/>
  <c r="O22" i="11"/>
  <c r="Q31" i="11"/>
  <c r="H30" i="11"/>
  <c r="H24" i="11"/>
  <c r="H19" i="11"/>
  <c r="K18" i="11"/>
  <c r="R18" i="11"/>
  <c r="H17" i="11"/>
  <c r="H15" i="11"/>
  <c r="O15" i="11"/>
  <c r="O14" i="11"/>
  <c r="O13" i="11"/>
  <c r="M8" i="10" l="1"/>
  <c r="E16" i="10"/>
  <c r="E14" i="10"/>
  <c r="H13" i="11"/>
  <c r="O12" i="11"/>
  <c r="Q12" i="11"/>
  <c r="H9" i="11"/>
  <c r="R8" i="11"/>
  <c r="A2" i="11" l="1"/>
  <c r="C4" i="11"/>
  <c r="C38" i="11"/>
  <c r="C46" i="11"/>
  <c r="C44" i="11"/>
  <c r="Q35" i="11"/>
  <c r="Q3" i="11" s="1"/>
  <c r="P35" i="11"/>
  <c r="C40" i="11" s="1"/>
  <c r="N35" i="11"/>
  <c r="N3" i="11" s="1"/>
  <c r="M35" i="11"/>
  <c r="M3" i="11" s="1"/>
  <c r="L35" i="11"/>
  <c r="L3" i="11" s="1"/>
  <c r="J35" i="11"/>
  <c r="J3" i="11" s="1"/>
  <c r="I35" i="11"/>
  <c r="G35" i="11"/>
  <c r="G3" i="11" s="1"/>
  <c r="F35" i="11"/>
  <c r="F3" i="11" s="1"/>
  <c r="E35" i="11"/>
  <c r="E3" i="11" s="1"/>
  <c r="D35" i="11"/>
  <c r="D3" i="11" s="1"/>
  <c r="C35" i="11"/>
  <c r="H35" i="11"/>
  <c r="H3" i="11" s="1"/>
  <c r="R35" i="11"/>
  <c r="R3" i="11" s="1"/>
  <c r="O35" i="11"/>
  <c r="O3" i="11" s="1"/>
  <c r="K35" i="11"/>
  <c r="K3" i="11" s="1"/>
  <c r="I3" i="11"/>
  <c r="P2" i="11"/>
  <c r="P3" i="11" s="1"/>
  <c r="C48" i="11" s="1"/>
  <c r="C14" i="8"/>
  <c r="D14" i="8"/>
  <c r="E14" i="8"/>
  <c r="F3" i="8"/>
  <c r="E3" i="8"/>
  <c r="R31" i="3"/>
  <c r="C45" i="11" l="1"/>
  <c r="C47" i="11"/>
  <c r="C39" i="11"/>
  <c r="C43" i="11" s="1"/>
  <c r="C3" i="11"/>
  <c r="C41" i="11" s="1"/>
  <c r="E9" i="10"/>
  <c r="C42" i="11" l="1"/>
  <c r="K19" i="3"/>
  <c r="O18" i="3"/>
  <c r="H18" i="3"/>
  <c r="O17" i="3"/>
  <c r="O16" i="3"/>
  <c r="H20" i="3"/>
  <c r="H23" i="3"/>
  <c r="H22" i="3"/>
  <c r="Q19" i="3"/>
  <c r="H19" i="3"/>
  <c r="R18" i="3"/>
  <c r="G17" i="3"/>
  <c r="H16" i="3"/>
  <c r="M6" i="10" l="1"/>
  <c r="M2" i="10"/>
  <c r="J8" i="10"/>
  <c r="J9" i="10" s="1"/>
  <c r="H1" i="10" l="1"/>
  <c r="O9" i="3"/>
  <c r="R13" i="3"/>
  <c r="H11" i="3"/>
  <c r="Q3" i="3"/>
  <c r="H6" i="3"/>
  <c r="H5" i="3"/>
  <c r="A2" i="3" l="1"/>
  <c r="F2" i="8"/>
  <c r="E2" i="8"/>
  <c r="D2" i="8"/>
  <c r="O15" i="2" l="1"/>
  <c r="R15" i="2"/>
  <c r="O14" i="2"/>
  <c r="R32" i="2"/>
  <c r="O32" i="2"/>
  <c r="R29" i="2"/>
  <c r="O21" i="2"/>
  <c r="O20" i="2"/>
  <c r="K32" i="2"/>
  <c r="R31" i="2"/>
  <c r="R23" i="2"/>
  <c r="R22" i="2"/>
  <c r="H21" i="2"/>
  <c r="H20" i="2"/>
  <c r="H13" i="2"/>
  <c r="K7" i="2" l="1"/>
  <c r="Q35" i="2"/>
  <c r="Q3" i="2" s="1"/>
  <c r="C38" i="2" l="1"/>
  <c r="F6" i="9" l="1"/>
  <c r="F5" i="9"/>
  <c r="F4" i="9"/>
  <c r="F3" i="9"/>
  <c r="F7" i="9" s="1"/>
  <c r="F8" i="9" s="1"/>
  <c r="B20" i="9"/>
  <c r="B19" i="9"/>
  <c r="B21" i="9" s="1"/>
  <c r="B2" i="9"/>
  <c r="B23" i="7"/>
  <c r="C15" i="7"/>
  <c r="B6" i="8"/>
  <c r="B7" i="8"/>
  <c r="B8" i="8"/>
  <c r="B9" i="8"/>
  <c r="B14" i="8" s="1"/>
  <c r="B10" i="8"/>
  <c r="B11" i="8"/>
  <c r="B12" i="8"/>
  <c r="B13" i="8"/>
  <c r="B5" i="8"/>
  <c r="C11" i="7"/>
  <c r="C5" i="7"/>
  <c r="C4" i="7"/>
  <c r="C3" i="7"/>
  <c r="C6" i="7"/>
  <c r="C43" i="3" l="1"/>
  <c r="C41" i="3"/>
  <c r="R32" i="3"/>
  <c r="R3" i="3" s="1"/>
  <c r="P32" i="3"/>
  <c r="C37" i="3" s="1"/>
  <c r="O32" i="3"/>
  <c r="O3" i="3" s="1"/>
  <c r="N32" i="3"/>
  <c r="N3" i="3" s="1"/>
  <c r="M32" i="3"/>
  <c r="M3" i="3" s="1"/>
  <c r="L32" i="3"/>
  <c r="K32" i="3"/>
  <c r="K3" i="3" s="1"/>
  <c r="J32" i="3"/>
  <c r="I32" i="3"/>
  <c r="I3" i="3" s="1"/>
  <c r="H32" i="3"/>
  <c r="H3" i="3" s="1"/>
  <c r="G32" i="3"/>
  <c r="G3" i="3" s="1"/>
  <c r="F32" i="3"/>
  <c r="F3" i="3" s="1"/>
  <c r="E32" i="3"/>
  <c r="E3" i="3" s="1"/>
  <c r="D32" i="3"/>
  <c r="D3" i="3" s="1"/>
  <c r="C32" i="3"/>
  <c r="C3" i="3" s="1"/>
  <c r="L3" i="3"/>
  <c r="J3" i="3"/>
  <c r="P2" i="3"/>
  <c r="C46" i="2"/>
  <c r="C44" i="2"/>
  <c r="P2" i="2"/>
  <c r="P35" i="2"/>
  <c r="C40" i="2" s="1"/>
  <c r="C35" i="2"/>
  <c r="C3" i="2" s="1"/>
  <c r="D35" i="2"/>
  <c r="D3" i="2" s="1"/>
  <c r="E35" i="2"/>
  <c r="E3" i="2" s="1"/>
  <c r="F35" i="2"/>
  <c r="F3" i="2" s="1"/>
  <c r="G35" i="2"/>
  <c r="G3" i="2" s="1"/>
  <c r="H35" i="2"/>
  <c r="H3" i="2" s="1"/>
  <c r="I35" i="2"/>
  <c r="I3" i="2" s="1"/>
  <c r="J35" i="2"/>
  <c r="J3" i="2" s="1"/>
  <c r="K35" i="2"/>
  <c r="K3" i="2" s="1"/>
  <c r="L35" i="2"/>
  <c r="L3" i="2" s="1"/>
  <c r="M35" i="2"/>
  <c r="M3" i="2" s="1"/>
  <c r="N35" i="2"/>
  <c r="N3" i="2" s="1"/>
  <c r="O35" i="2"/>
  <c r="O3" i="2" s="1"/>
  <c r="R35" i="2"/>
  <c r="R3" i="2" s="1"/>
  <c r="P3" i="3" l="1"/>
  <c r="C36" i="3"/>
  <c r="C40" i="3" s="1"/>
  <c r="C38" i="3"/>
  <c r="C45" i="3"/>
  <c r="C42" i="3"/>
  <c r="C44" i="3"/>
  <c r="C45" i="2"/>
  <c r="C47" i="2"/>
  <c r="C39" i="2"/>
  <c r="C42" i="2" s="1"/>
  <c r="P3" i="2"/>
  <c r="C39" i="3" l="1"/>
  <c r="C41" i="2"/>
  <c r="C48" i="2"/>
  <c r="C43" i="2"/>
</calcChain>
</file>

<file path=xl/sharedStrings.xml><?xml version="1.0" encoding="utf-8"?>
<sst xmlns="http://schemas.openxmlformats.org/spreadsheetml/2006/main" count="266" uniqueCount="141">
  <si>
    <t>Amount</t>
  </si>
  <si>
    <t>Grocery</t>
  </si>
  <si>
    <t>Electric</t>
  </si>
  <si>
    <t>Gas</t>
  </si>
  <si>
    <t>Internet</t>
  </si>
  <si>
    <t>Family Support</t>
  </si>
  <si>
    <t>Petrol</t>
  </si>
  <si>
    <t>Milk</t>
  </si>
  <si>
    <t>Total</t>
  </si>
  <si>
    <t>Food</t>
  </si>
  <si>
    <t>Online Shopping</t>
  </si>
  <si>
    <t>Month</t>
  </si>
  <si>
    <t>NPS</t>
  </si>
  <si>
    <t>Date</t>
  </si>
  <si>
    <t>Rent</t>
  </si>
  <si>
    <t>EMI</t>
  </si>
  <si>
    <t>Elctricity</t>
  </si>
  <si>
    <t>Mobile</t>
  </si>
  <si>
    <t>Investment</t>
  </si>
  <si>
    <t>Subscriptions</t>
  </si>
  <si>
    <t>Other Buffer Expenses</t>
  </si>
  <si>
    <t>Budget</t>
  </si>
  <si>
    <t>Salary</t>
  </si>
  <si>
    <t>Remarks</t>
  </si>
  <si>
    <t>Budget Left</t>
  </si>
  <si>
    <t>Salary Credited</t>
  </si>
  <si>
    <t>Total Expense</t>
  </si>
  <si>
    <t>Budjet Left</t>
  </si>
  <si>
    <t>Remaining Balance</t>
  </si>
  <si>
    <t>Expense Except Rent, EMI and Investment</t>
  </si>
  <si>
    <t>Necessity Expenditure Percentage</t>
  </si>
  <si>
    <t>Desire Expenditure Percentage</t>
  </si>
  <si>
    <t>Statistics</t>
  </si>
  <si>
    <t>Necessity Amount</t>
  </si>
  <si>
    <t>Desire Amount</t>
  </si>
  <si>
    <t>Investment Percentage</t>
  </si>
  <si>
    <t>Description</t>
  </si>
  <si>
    <t>US Stocks</t>
  </si>
  <si>
    <t>US Savings</t>
  </si>
  <si>
    <t>ICICI Savings</t>
  </si>
  <si>
    <t>Dollar Amount</t>
  </si>
  <si>
    <t>SBI Savings</t>
  </si>
  <si>
    <t>INR Amount</t>
  </si>
  <si>
    <t>US Retirement Account</t>
  </si>
  <si>
    <t>As of 30-12-2024</t>
  </si>
  <si>
    <t>PPF</t>
  </si>
  <si>
    <t>Zerodha</t>
  </si>
  <si>
    <t>PF</t>
  </si>
  <si>
    <t>Total Asset</t>
  </si>
  <si>
    <t>Debt Settlement</t>
  </si>
  <si>
    <t>Shilpi</t>
  </si>
  <si>
    <t>Mou</t>
  </si>
  <si>
    <t>Deep</t>
  </si>
  <si>
    <t>Arup</t>
  </si>
  <si>
    <t>Security Deposit Reund</t>
  </si>
  <si>
    <t>HDFC Life</t>
  </si>
  <si>
    <t>Land</t>
  </si>
  <si>
    <t>Livspace</t>
  </si>
  <si>
    <t>Kitchen Demolish</t>
  </si>
  <si>
    <t>Paint</t>
  </si>
  <si>
    <t>Kitchen Wash Basin</t>
  </si>
  <si>
    <t>Bathroom Wash Basin</t>
  </si>
  <si>
    <t>Bed</t>
  </si>
  <si>
    <t>Dining Table</t>
  </si>
  <si>
    <t>Sofa</t>
  </si>
  <si>
    <t>Wardrobe</t>
  </si>
  <si>
    <t>Work Desk</t>
  </si>
  <si>
    <t>Fridge</t>
  </si>
  <si>
    <t>Washing Machine</t>
  </si>
  <si>
    <t>Dish Washer</t>
  </si>
  <si>
    <t>TV</t>
  </si>
  <si>
    <t>Matress + Pillow</t>
  </si>
  <si>
    <t>Miscellaneous</t>
  </si>
  <si>
    <t>Already Spent</t>
  </si>
  <si>
    <t>Cash In Hand</t>
  </si>
  <si>
    <t>Remaining Amount After Expenses</t>
  </si>
  <si>
    <t>Actual Amount</t>
  </si>
  <si>
    <t>Water</t>
  </si>
  <si>
    <t>Medicine</t>
  </si>
  <si>
    <t>Marketing</t>
  </si>
  <si>
    <t>Cash Expense</t>
  </si>
  <si>
    <t>Saloon, Print out</t>
  </si>
  <si>
    <t>Train ticket</t>
  </si>
  <si>
    <t>shoe, Shopping</t>
  </si>
  <si>
    <t>Cash, Medicine</t>
  </si>
  <si>
    <t>Toto Fare+Medicine</t>
  </si>
  <si>
    <t>Printout, Wedding Gift</t>
  </si>
  <si>
    <t>HDFC Deed, MMT Bus</t>
  </si>
  <si>
    <t>Shopping</t>
  </si>
  <si>
    <t>Books,Gift</t>
  </si>
  <si>
    <t>Investement</t>
  </si>
  <si>
    <t>Actual Savings Post Investment</t>
  </si>
  <si>
    <t>Actual Savings Pre Investment</t>
  </si>
  <si>
    <t>Percentage of Total Salary Credited</t>
  </si>
  <si>
    <t>Doctor Fees</t>
  </si>
  <si>
    <t>Category</t>
  </si>
  <si>
    <t>Livspace Advance</t>
  </si>
  <si>
    <t>Interior</t>
  </si>
  <si>
    <t>Livspace Site Visit</t>
  </si>
  <si>
    <t>Livspace Payment Part 1</t>
  </si>
  <si>
    <t>Furniture Advance</t>
  </si>
  <si>
    <t>Furniture</t>
  </si>
  <si>
    <t>Husnen Interior</t>
  </si>
  <si>
    <t>Kitchen Demolish (Paid to Joy)</t>
  </si>
  <si>
    <t>Construction</t>
  </si>
  <si>
    <t>Debris Removal</t>
  </si>
  <si>
    <t>Sl No</t>
  </si>
  <si>
    <t>Total Spent</t>
  </si>
  <si>
    <t>ICICI Left</t>
  </si>
  <si>
    <t>Boudi</t>
  </si>
  <si>
    <t>Deposit</t>
  </si>
  <si>
    <t>Salary Savings</t>
  </si>
  <si>
    <t>Forecasted Expense</t>
  </si>
  <si>
    <t>Furniture (Chhatna)</t>
  </si>
  <si>
    <t>Dishwasher</t>
  </si>
  <si>
    <t>AC</t>
  </si>
  <si>
    <t>Electric Material</t>
  </si>
  <si>
    <t>Gas Stove</t>
  </si>
  <si>
    <t>Chimney</t>
  </si>
  <si>
    <t>Aquaguard</t>
  </si>
  <si>
    <t>Kitchen</t>
  </si>
  <si>
    <t>Packers and Movers</t>
  </si>
  <si>
    <t>oinment, Pen</t>
  </si>
  <si>
    <t>Playwright Course</t>
  </si>
  <si>
    <t>Saptarshi</t>
  </si>
  <si>
    <t>Kitchen Tiles</t>
  </si>
  <si>
    <t>Electric Material (Joy)</t>
  </si>
  <si>
    <t>Electric Material (Cash)</t>
  </si>
  <si>
    <t>Electric Labour Charge (Cash)</t>
  </si>
  <si>
    <t>AC Pipe Installation</t>
  </si>
  <si>
    <t>Gym Expense, Medicine</t>
  </si>
  <si>
    <t>Black Tape</t>
  </si>
  <si>
    <t>Saloon</t>
  </si>
  <si>
    <t>Husnen Door Knob</t>
  </si>
  <si>
    <t>Cab Fare</t>
  </si>
  <si>
    <t>Cab Fare, Birla Ticket, Book</t>
  </si>
  <si>
    <t>Bathroom Repair</t>
  </si>
  <si>
    <t>Laundry</t>
  </si>
  <si>
    <t>VLCC Product</t>
  </si>
  <si>
    <t>Jio Hotstar Subscription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</si>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</sst>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/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/>
    <xf numFmtId="14" fontId="0" fillId="0" borderId="1" xfId="0" applyNumberFormat="1" applyBorder="1"/>
    <xf numFmtId="0" fontId="0" fillId="6" borderId="2" xfId="0" applyFill="1" applyBorder="1"/>
    <xf numFmtId="0" fontId="0" fillId="8" borderId="1" xfId="0" applyFill="1" applyBorder="1"/>
    <xf numFmtId="0" fontId="0" fillId="9" borderId="3" xfId="0" applyFill="1" applyBorder="1"/>
    <xf numFmtId="0" fontId="0" fillId="9" borderId="0" xfId="0" applyFill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Jan_2025!$B$38:$B$48</c15:sqref>
                  </c15:fullRef>
                </c:ext>
              </c:extLst>
              <c:f>(Jan_2025!$B$38:$B$44,Jan_2025!$B$46)</c:f>
              <c:strCache>
                <c:ptCount val="8"/>
                <c:pt idx="0">
                  <c:v>Salary Credited</c:v>
                </c:pt>
                <c:pt idx="1">
                  <c:v>Total Expense</c:v>
                </c:pt>
                <c:pt idx="2">
                  <c:v>Investment</c:v>
                </c:pt>
                <c:pt idx="3">
                  <c:v>Budjet Left</c:v>
                </c:pt>
                <c:pt idx="4">
                  <c:v>Remaining Balance</c:v>
                </c:pt>
                <c:pt idx="5">
                  <c:v>Expense Except Rent, EMI and Investment</c:v>
                </c:pt>
                <c:pt idx="6">
                  <c:v>Necessity Amount</c:v>
                </c:pt>
                <c:pt idx="7">
                  <c:v>Desire Amount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Jan_2025!$C$38:$C$48</c15:sqref>
                  </c15:fullRef>
                </c:ext>
              </c:extLst>
              <c:f>(Jan_2025!$C$38:$C$44,Jan_2025!$C$46)</c:f>
              <c:numCache>
                <c:formatCode>General</c:formatCode>
                <c:ptCount val="8"/>
                <c:pt idx="0">
                  <c:v>154777</c:v>
                </c:pt>
                <c:pt idx="1">
                  <c:v>164514</c:v>
                </c:pt>
                <c:pt idx="2">
                  <c:v>25000</c:v>
                </c:pt>
                <c:pt idx="3">
                  <c:v>-8737</c:v>
                </c:pt>
                <c:pt idx="4">
                  <c:v>-9737</c:v>
                </c:pt>
                <c:pt idx="5">
                  <c:v>60636</c:v>
                </c:pt>
                <c:pt idx="6">
                  <c:v>95378</c:v>
                </c:pt>
                <c:pt idx="7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3-44B4-90AC-932BFFF226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4387216"/>
        <c:axId val="314380376"/>
      </c:barChart>
      <c:catAx>
        <c:axId val="3143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80376"/>
        <c:crosses val="autoZero"/>
        <c:auto val="1"/>
        <c:lblAlgn val="ctr"/>
        <c:lblOffset val="100"/>
        <c:noMultiLvlLbl val="0"/>
      </c:catAx>
      <c:valAx>
        <c:axId val="3143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Feb_2025!$B$35:$B$45</c15:sqref>
                  </c15:fullRef>
                </c:ext>
              </c:extLst>
              <c:f>(Feb_2025!$B$35:$B$41,Feb_2025!$B$43)</c:f>
              <c:strCache>
                <c:ptCount val="8"/>
                <c:pt idx="0">
                  <c:v>Salary Credited</c:v>
                </c:pt>
                <c:pt idx="1">
                  <c:v>Total Expense</c:v>
                </c:pt>
                <c:pt idx="2">
                  <c:v>Investment</c:v>
                </c:pt>
                <c:pt idx="3">
                  <c:v>Budjet Left</c:v>
                </c:pt>
                <c:pt idx="4">
                  <c:v>Remaining Balance</c:v>
                </c:pt>
                <c:pt idx="5">
                  <c:v>Expense Except Rent, EMI and Investment</c:v>
                </c:pt>
                <c:pt idx="6">
                  <c:v>Necessity Amount</c:v>
                </c:pt>
                <c:pt idx="7">
                  <c:v>Desire Amount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Feb_2025!$C$35:$C$45</c15:sqref>
                  </c15:fullRef>
                </c:ext>
              </c:extLst>
              <c:f>(Feb_2025!$C$35:$C$41,Feb_2025!$C$43)</c:f>
              <c:numCache>
                <c:formatCode>General</c:formatCode>
                <c:ptCount val="8"/>
                <c:pt idx="0">
                  <c:v>175182</c:v>
                </c:pt>
                <c:pt idx="1">
                  <c:v>151392</c:v>
                </c:pt>
                <c:pt idx="2">
                  <c:v>25000</c:v>
                </c:pt>
                <c:pt idx="3">
                  <c:v>24790</c:v>
                </c:pt>
                <c:pt idx="4">
                  <c:v>23790</c:v>
                </c:pt>
                <c:pt idx="5">
                  <c:v>47514</c:v>
                </c:pt>
                <c:pt idx="6">
                  <c:v>94878</c:v>
                </c:pt>
                <c:pt idx="7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3-4F3F-A4F5-1CEA78E288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4387216"/>
        <c:axId val="314380376"/>
      </c:barChart>
      <c:catAx>
        <c:axId val="3143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80376"/>
        <c:crosses val="autoZero"/>
        <c:auto val="1"/>
        <c:lblAlgn val="ctr"/>
        <c:lblOffset val="100"/>
        <c:noMultiLvlLbl val="0"/>
      </c:catAx>
      <c:valAx>
        <c:axId val="3143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Mar_2025!$B$38:$B$48</c15:sqref>
                  </c15:fullRef>
                </c:ext>
              </c:extLst>
              <c:f>(Mar_2025!$B$38:$B$44,Mar_2025!$B$46)</c:f>
              <c:strCache>
                <c:ptCount val="8"/>
                <c:pt idx="0">
                  <c:v>Salary Credited</c:v>
                </c:pt>
                <c:pt idx="1">
                  <c:v>Total Expense</c:v>
                </c:pt>
                <c:pt idx="2">
                  <c:v>Investment</c:v>
                </c:pt>
                <c:pt idx="3">
                  <c:v>Budjet Left</c:v>
                </c:pt>
                <c:pt idx="4">
                  <c:v>Remaining Balance</c:v>
                </c:pt>
                <c:pt idx="5">
                  <c:v>Expense Except Rent, EMI and Investment</c:v>
                </c:pt>
                <c:pt idx="6">
                  <c:v>Necessity Amount</c:v>
                </c:pt>
                <c:pt idx="7">
                  <c:v>Desire Amount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Mar_2025!$C$38:$C$48</c15:sqref>
                  </c15:fullRef>
                </c:ext>
              </c:extLst>
              <c:f>(Mar_2025!$C$38:$C$44,Mar_2025!$C$46)</c:f>
              <c:numCache>
                <c:formatCode>General</c:formatCode>
                <c:ptCount val="8"/>
                <c:pt idx="0">
                  <c:v>175906</c:v>
                </c:pt>
                <c:pt idx="1">
                  <c:v>125134</c:v>
                </c:pt>
                <c:pt idx="2">
                  <c:v>0</c:v>
                </c:pt>
                <c:pt idx="3">
                  <c:v>51772</c:v>
                </c:pt>
                <c:pt idx="4">
                  <c:v>50772</c:v>
                </c:pt>
                <c:pt idx="5">
                  <c:v>48126</c:v>
                </c:pt>
                <c:pt idx="6">
                  <c:v>95378</c:v>
                </c:pt>
                <c:pt idx="7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E4A-AF86-C2F5742E05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4387216"/>
        <c:axId val="314380376"/>
      </c:barChart>
      <c:catAx>
        <c:axId val="3143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80376"/>
        <c:crosses val="autoZero"/>
        <c:auto val="1"/>
        <c:lblAlgn val="ctr"/>
        <c:lblOffset val="100"/>
        <c:noMultiLvlLbl val="0"/>
      </c:catAx>
      <c:valAx>
        <c:axId val="3143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302893</xdr:colOff>
      <xdr:row>37</xdr:row>
      <xdr:rowOff>127634</xdr:rowOff>
    </xdr:from>
    <xdr:to>
      <xdr:col>21</xdr:col>
      <xdr:colOff>497416</xdr:colOff>
      <xdr:row>54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14EE2-99D6-541A-AC5C-75A8D0D79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302894</xdr:colOff>
      <xdr:row>34</xdr:row>
      <xdr:rowOff>127635</xdr:rowOff>
    </xdr:from>
    <xdr:to>
      <xdr:col>17</xdr:col>
      <xdr:colOff>1264920</xdr:colOff>
      <xdr:row>45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78244-A068-4821-A2E9-26912E138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302893</xdr:colOff>
      <xdr:row>37</xdr:row>
      <xdr:rowOff>127634</xdr:rowOff>
    </xdr:from>
    <xdr:to>
      <xdr:col>21</xdr:col>
      <xdr:colOff>497416</xdr:colOff>
      <xdr:row>54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14EE2-99D6-541A-AC5C-75A8D0D79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N28" sqref="N28"/>
    </sheetView>
  </sheetViews>
  <sheetFormatPr defaultRowHeight="15" x14ac:dyDescent="0.25"/>
  <cols>
    <col min="1" max="1" width="25.7109375" bestFit="1" customWidth="1"/>
    <col min="2" max="2" width="20.140625" customWidth="1"/>
    <col min="3" max="3" width="23.140625" customWidth="1"/>
  </cols>
  <sheetData>
    <row r="1" spans="1:3" x14ac:dyDescent="0.25">
      <c r="A1" s="27" t="s">
        <v>44</v>
      </c>
      <c r="B1" s="27"/>
      <c r="C1" s="27"/>
    </row>
    <row r="2" spans="1:3" x14ac:dyDescent="0.25">
      <c r="A2" s="2" t="s">
        <v>36</v>
      </c>
      <c r="B2" s="12" t="s">
        <v>40</v>
      </c>
      <c r="C2" s="12" t="s">
        <v>42</v>
      </c>
    </row>
    <row r="3" spans="1:3" x14ac:dyDescent="0.25">
      <c r="A3" s="1" t="s">
        <v>37</v>
      </c>
      <c r="B3" s="1">
        <v>33208</v>
      </c>
      <c r="C3" s="1">
        <f>B3*85</f>
        <v>2822680</v>
      </c>
    </row>
    <row r="4" spans="1:3" x14ac:dyDescent="0.25">
      <c r="A4" s="1" t="s">
        <v>38</v>
      </c>
      <c r="B4" s="1">
        <v>5500</v>
      </c>
      <c r="C4" s="1">
        <f>B4*85</f>
        <v>467500</v>
      </c>
    </row>
    <row r="5" spans="1:3" x14ac:dyDescent="0.25">
      <c r="A5" s="1" t="s">
        <v>43</v>
      </c>
      <c r="B5" s="1">
        <v>38322</v>
      </c>
      <c r="C5" s="1">
        <f>B5*85</f>
        <v>3257370</v>
      </c>
    </row>
    <row r="6" spans="1:3" x14ac:dyDescent="0.25">
      <c r="A6" s="1" t="s">
        <v>39</v>
      </c>
      <c r="B6" s="1"/>
      <c r="C6" s="1">
        <f>863466+500000+13000+10000</f>
        <v>1386466</v>
      </c>
    </row>
    <row r="7" spans="1:3" x14ac:dyDescent="0.25">
      <c r="A7" s="1" t="s">
        <v>41</v>
      </c>
      <c r="B7" s="1"/>
      <c r="C7" s="1">
        <v>25820</v>
      </c>
    </row>
    <row r="8" spans="1:3" x14ac:dyDescent="0.25">
      <c r="A8" s="1" t="s">
        <v>45</v>
      </c>
      <c r="B8" s="1"/>
      <c r="C8" s="1">
        <v>470750</v>
      </c>
    </row>
    <row r="9" spans="1:3" x14ac:dyDescent="0.25">
      <c r="A9" s="1" t="s">
        <v>12</v>
      </c>
      <c r="B9" s="1"/>
      <c r="C9" s="1">
        <v>142182</v>
      </c>
    </row>
    <row r="10" spans="1:3" x14ac:dyDescent="0.25">
      <c r="A10" s="1" t="s">
        <v>46</v>
      </c>
      <c r="B10" s="1"/>
      <c r="C10" s="1">
        <v>759000</v>
      </c>
    </row>
    <row r="11" spans="1:3" x14ac:dyDescent="0.25">
      <c r="A11" s="1" t="s">
        <v>47</v>
      </c>
      <c r="B11" s="1"/>
      <c r="C11" s="1">
        <f>282760*2</f>
        <v>565520</v>
      </c>
    </row>
    <row r="12" spans="1:3" x14ac:dyDescent="0.25">
      <c r="A12" s="1" t="s">
        <v>54</v>
      </c>
      <c r="B12" s="1"/>
      <c r="C12" s="1">
        <v>60000</v>
      </c>
    </row>
    <row r="13" spans="1:3" x14ac:dyDescent="0.25">
      <c r="A13" s="1" t="s">
        <v>55</v>
      </c>
      <c r="B13" s="1"/>
      <c r="C13" s="1">
        <v>60000</v>
      </c>
    </row>
    <row r="14" spans="1:3" x14ac:dyDescent="0.25">
      <c r="A14" s="1" t="s">
        <v>56</v>
      </c>
      <c r="B14" s="1"/>
      <c r="C14" s="1">
        <v>500000</v>
      </c>
    </row>
    <row r="15" spans="1:3" x14ac:dyDescent="0.25">
      <c r="A15" s="26" t="s">
        <v>48</v>
      </c>
      <c r="B15" s="26"/>
      <c r="C15" s="2">
        <f>SUM(C3:C14)</f>
        <v>10517288</v>
      </c>
    </row>
    <row r="17" spans="1:3" x14ac:dyDescent="0.25">
      <c r="A17" s="27" t="s">
        <v>49</v>
      </c>
      <c r="B17" s="27"/>
      <c r="C17" s="27"/>
    </row>
    <row r="18" spans="1:3" x14ac:dyDescent="0.25">
      <c r="A18" s="2" t="s">
        <v>36</v>
      </c>
      <c r="B18" s="26" t="s">
        <v>0</v>
      </c>
      <c r="C18" s="26"/>
    </row>
    <row r="19" spans="1:3" x14ac:dyDescent="0.25">
      <c r="A19" s="1" t="s">
        <v>50</v>
      </c>
      <c r="B19" s="25">
        <v>100000</v>
      </c>
      <c r="C19" s="25"/>
    </row>
    <row r="20" spans="1:3" x14ac:dyDescent="0.25">
      <c r="A20" s="1" t="s">
        <v>51</v>
      </c>
      <c r="B20" s="25">
        <v>50000</v>
      </c>
      <c r="C20" s="25"/>
    </row>
    <row r="21" spans="1:3" x14ac:dyDescent="0.25">
      <c r="A21" s="1" t="s">
        <v>52</v>
      </c>
      <c r="B21" s="25">
        <v>10000</v>
      </c>
      <c r="C21" s="25"/>
    </row>
    <row r="22" spans="1:3" x14ac:dyDescent="0.25">
      <c r="A22" s="1" t="s">
        <v>53</v>
      </c>
      <c r="B22" s="25">
        <v>25000</v>
      </c>
      <c r="C22" s="25"/>
    </row>
    <row r="23" spans="1:3" x14ac:dyDescent="0.25">
      <c r="A23" s="2" t="s">
        <v>8</v>
      </c>
      <c r="B23" s="26">
        <f>SUM(B19:B22)</f>
        <v>185000</v>
      </c>
      <c r="C23" s="26"/>
    </row>
  </sheetData>
  <mergeCells count="9">
    <mergeCell ref="B21:C21"/>
    <mergeCell ref="B22:C22"/>
    <mergeCell ref="B23:C23"/>
    <mergeCell ref="A1:C1"/>
    <mergeCell ref="A15:B15"/>
    <mergeCell ref="A17:C17"/>
    <mergeCell ref="B18:C18"/>
    <mergeCell ref="B19:C19"/>
    <mergeCell ref="B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26" sqref="C26"/>
    </sheetView>
  </sheetViews>
  <sheetFormatPr defaultRowHeight="15" x14ac:dyDescent="0.25"/>
  <cols>
    <col min="1" max="1" width="22.85546875" customWidth="1"/>
    <col min="2" max="2" width="22.140625" customWidth="1"/>
    <col min="3" max="3" width="29" bestFit="1" customWidth="1"/>
    <col min="4" max="4" width="21.140625" customWidth="1"/>
    <col min="5" max="5" width="28.140625" bestFit="1" customWidth="1"/>
    <col min="6" max="6" width="32.7109375" bestFit="1" customWidth="1"/>
  </cols>
  <sheetData>
    <row r="1" spans="1:6" x14ac:dyDescent="0.25">
      <c r="A1" s="17" t="s">
        <v>11</v>
      </c>
      <c r="B1" s="17" t="s">
        <v>0</v>
      </c>
      <c r="C1" s="17" t="s">
        <v>91</v>
      </c>
      <c r="D1" s="17" t="s">
        <v>90</v>
      </c>
      <c r="E1" s="17" t="s">
        <v>92</v>
      </c>
      <c r="F1" s="17" t="s">
        <v>93</v>
      </c>
    </row>
    <row r="2" spans="1:6" x14ac:dyDescent="0.25">
      <c r="A2" s="13">
        <v>45658</v>
      </c>
      <c r="B2" s="1">
        <v>14122</v>
      </c>
      <c r="C2" s="1">
        <v>-5716</v>
      </c>
      <c r="D2" s="1">
        <f>Jan_2025!P35</f>
        <v>25000</v>
      </c>
      <c r="E2" s="1">
        <f>D2+C2</f>
        <v>19284</v>
      </c>
      <c r="F2" s="18">
        <f>E2*100/Jan_2025!C38</f>
        <v>12.459215516517313</v>
      </c>
    </row>
    <row r="3" spans="1:6" x14ac:dyDescent="0.25">
      <c r="A3" s="13">
        <v>45689</v>
      </c>
      <c r="B3" s="1">
        <v>14122</v>
      </c>
      <c r="C3" s="1">
        <v>16683</v>
      </c>
      <c r="D3" s="1">
        <v>25000</v>
      </c>
      <c r="E3" s="1">
        <f>D3+C3</f>
        <v>41683</v>
      </c>
      <c r="F3" s="18">
        <f>E3*100/Feb_2025!C35</f>
        <v>23.794111267139318</v>
      </c>
    </row>
    <row r="4" spans="1:6" x14ac:dyDescent="0.25">
      <c r="A4" s="13">
        <v>45717</v>
      </c>
      <c r="B4" s="1">
        <v>14122</v>
      </c>
      <c r="C4" s="1">
        <v>44000</v>
      </c>
      <c r="D4" s="1">
        <v>0</v>
      </c>
      <c r="E4" s="1">
        <f>D4+C4</f>
        <v>44000</v>
      </c>
      <c r="F4" s="18">
        <f>E4*100/Mar_2025!C38</f>
        <v>25.013359407865565</v>
      </c>
    </row>
    <row r="5" spans="1:6" x14ac:dyDescent="0.25">
      <c r="A5" s="13">
        <v>45748</v>
      </c>
      <c r="B5" s="1">
        <f>14122+23100-10000</f>
        <v>27222</v>
      </c>
      <c r="C5" s="1"/>
      <c r="D5" s="1"/>
      <c r="E5" s="1"/>
      <c r="F5" s="1"/>
    </row>
    <row r="6" spans="1:6" x14ac:dyDescent="0.25">
      <c r="A6" s="13">
        <v>45778</v>
      </c>
      <c r="B6" s="1">
        <f t="shared" ref="B6:B13" si="0">14122+23100-10000</f>
        <v>27222</v>
      </c>
      <c r="C6" s="1"/>
      <c r="D6" s="1"/>
      <c r="E6" s="1"/>
      <c r="F6" s="1"/>
    </row>
    <row r="7" spans="1:6" x14ac:dyDescent="0.25">
      <c r="A7" s="13">
        <v>45809</v>
      </c>
      <c r="B7" s="1">
        <f t="shared" si="0"/>
        <v>27222</v>
      </c>
      <c r="C7" s="1"/>
      <c r="D7" s="1"/>
      <c r="E7" s="1"/>
      <c r="F7" s="1"/>
    </row>
    <row r="8" spans="1:6" x14ac:dyDescent="0.25">
      <c r="A8" s="13">
        <v>45839</v>
      </c>
      <c r="B8" s="1">
        <f t="shared" si="0"/>
        <v>27222</v>
      </c>
      <c r="C8" s="1"/>
      <c r="D8" s="1"/>
      <c r="E8" s="1"/>
      <c r="F8" s="1"/>
    </row>
    <row r="9" spans="1:6" x14ac:dyDescent="0.25">
      <c r="A9" s="13">
        <v>45870</v>
      </c>
      <c r="B9" s="1">
        <f t="shared" si="0"/>
        <v>27222</v>
      </c>
      <c r="C9" s="1"/>
      <c r="D9" s="1"/>
      <c r="E9" s="1"/>
      <c r="F9" s="1"/>
    </row>
    <row r="10" spans="1:6" x14ac:dyDescent="0.25">
      <c r="A10" s="13">
        <v>45901</v>
      </c>
      <c r="B10" s="1">
        <f t="shared" si="0"/>
        <v>27222</v>
      </c>
      <c r="C10" s="1"/>
      <c r="D10" s="1"/>
      <c r="E10" s="1"/>
      <c r="F10" s="1"/>
    </row>
    <row r="11" spans="1:6" x14ac:dyDescent="0.25">
      <c r="A11" s="13">
        <v>45931</v>
      </c>
      <c r="B11" s="1">
        <f t="shared" si="0"/>
        <v>27222</v>
      </c>
      <c r="C11" s="1"/>
      <c r="D11" s="1"/>
      <c r="E11" s="1"/>
      <c r="F11" s="1"/>
    </row>
    <row r="12" spans="1:6" x14ac:dyDescent="0.25">
      <c r="A12" s="13">
        <v>45962</v>
      </c>
      <c r="B12" s="1">
        <f t="shared" si="0"/>
        <v>27222</v>
      </c>
      <c r="C12" s="1"/>
      <c r="D12" s="1"/>
      <c r="E12" s="1"/>
      <c r="F12" s="1"/>
    </row>
    <row r="13" spans="1:6" x14ac:dyDescent="0.25">
      <c r="A13" s="13">
        <v>45992</v>
      </c>
      <c r="B13" s="1">
        <f t="shared" si="0"/>
        <v>27222</v>
      </c>
      <c r="C13" s="1"/>
      <c r="D13" s="1"/>
      <c r="E13" s="1"/>
      <c r="F13" s="1"/>
    </row>
    <row r="14" spans="1:6" x14ac:dyDescent="0.25">
      <c r="A14" s="2" t="s">
        <v>8</v>
      </c>
      <c r="B14" s="2">
        <f>SUM(B2:B13)</f>
        <v>287364</v>
      </c>
      <c r="C14" s="2">
        <f t="shared" ref="C14:E14" si="1">SUM(C2:C13)</f>
        <v>54967</v>
      </c>
      <c r="D14" s="2">
        <f t="shared" si="1"/>
        <v>50000</v>
      </c>
      <c r="E14" s="2">
        <f t="shared" si="1"/>
        <v>104967</v>
      </c>
      <c r="F1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" sqref="B2"/>
    </sheetView>
  </sheetViews>
  <sheetFormatPr defaultRowHeight="15" x14ac:dyDescent="0.25"/>
  <cols>
    <col min="1" max="1" width="31" customWidth="1"/>
    <col min="2" max="3" width="20" customWidth="1"/>
    <col min="5" max="5" width="23.28515625" customWidth="1"/>
    <col min="6" max="6" width="18" customWidth="1"/>
  </cols>
  <sheetData>
    <row r="1" spans="1:6" x14ac:dyDescent="0.25">
      <c r="A1" s="12" t="s">
        <v>36</v>
      </c>
      <c r="B1" s="12" t="s">
        <v>0</v>
      </c>
      <c r="C1" s="12" t="s">
        <v>76</v>
      </c>
      <c r="E1" s="26" t="s">
        <v>74</v>
      </c>
      <c r="F1" s="26"/>
    </row>
    <row r="2" spans="1:6" x14ac:dyDescent="0.25">
      <c r="A2" s="21" t="s">
        <v>57</v>
      </c>
      <c r="B2" s="1">
        <f>327190+30000</f>
        <v>357190</v>
      </c>
      <c r="C2" s="1"/>
      <c r="E2" s="7" t="s">
        <v>36</v>
      </c>
      <c r="F2" s="7" t="s">
        <v>0</v>
      </c>
    </row>
    <row r="3" spans="1:6" x14ac:dyDescent="0.25">
      <c r="A3" s="21" t="s">
        <v>58</v>
      </c>
      <c r="B3" s="1">
        <v>10000</v>
      </c>
      <c r="C3" s="1">
        <v>9800</v>
      </c>
      <c r="E3" s="1" t="s">
        <v>39</v>
      </c>
      <c r="F3" s="1">
        <f>'2025_Opening_Corpus'!C6</f>
        <v>1386466</v>
      </c>
    </row>
    <row r="4" spans="1:6" x14ac:dyDescent="0.25">
      <c r="A4" s="21" t="s">
        <v>59</v>
      </c>
      <c r="B4" s="1">
        <v>80000</v>
      </c>
      <c r="C4" s="1"/>
      <c r="E4" s="1" t="s">
        <v>41</v>
      </c>
      <c r="F4" s="1">
        <f>'2025_Opening_Corpus'!C7</f>
        <v>25820</v>
      </c>
    </row>
    <row r="5" spans="1:6" x14ac:dyDescent="0.25">
      <c r="A5" s="21" t="s">
        <v>2</v>
      </c>
      <c r="B5" s="1">
        <v>25000</v>
      </c>
      <c r="C5" s="1"/>
      <c r="E5" s="1" t="s">
        <v>54</v>
      </c>
      <c r="F5" s="1">
        <f>'2025_Opening_Corpus'!C12</f>
        <v>60000</v>
      </c>
    </row>
    <row r="6" spans="1:6" x14ac:dyDescent="0.25">
      <c r="A6" s="1" t="s">
        <v>60</v>
      </c>
      <c r="B6" s="1">
        <v>5000</v>
      </c>
      <c r="C6" s="1"/>
      <c r="E6" s="14" t="s">
        <v>49</v>
      </c>
      <c r="F6" s="1">
        <f>SUM('2025_Opening_Corpus'!B19:C19,'2025_Opening_Corpus'!B20:C20,'2025_Opening_Corpus'!B21:C21,'2025_Opening_Corpus'!B22:C22)</f>
        <v>185000</v>
      </c>
    </row>
    <row r="7" spans="1:6" x14ac:dyDescent="0.25">
      <c r="A7" s="1" t="s">
        <v>61</v>
      </c>
      <c r="B7" s="1">
        <v>15000</v>
      </c>
      <c r="C7" s="1"/>
      <c r="E7" s="2" t="s">
        <v>8</v>
      </c>
      <c r="F7" s="2">
        <f>SUM(F3:F6)</f>
        <v>1657286</v>
      </c>
    </row>
    <row r="8" spans="1:6" ht="30" x14ac:dyDescent="0.25">
      <c r="A8" s="21" t="s">
        <v>62</v>
      </c>
      <c r="B8" s="1">
        <v>80000</v>
      </c>
      <c r="C8" s="1"/>
      <c r="E8" s="15" t="s">
        <v>75</v>
      </c>
      <c r="F8" s="16">
        <f>F7-B19</f>
        <v>710096</v>
      </c>
    </row>
    <row r="9" spans="1:6" x14ac:dyDescent="0.25">
      <c r="A9" s="21" t="s">
        <v>63</v>
      </c>
      <c r="B9" s="1">
        <v>20000</v>
      </c>
      <c r="C9" s="1"/>
    </row>
    <row r="10" spans="1:6" x14ac:dyDescent="0.25">
      <c r="A10" s="1" t="s">
        <v>64</v>
      </c>
      <c r="B10" s="1">
        <v>20000</v>
      </c>
      <c r="C10" s="1"/>
    </row>
    <row r="11" spans="1:6" x14ac:dyDescent="0.25">
      <c r="A11" s="1" t="s">
        <v>65</v>
      </c>
      <c r="B11" s="1">
        <v>10000</v>
      </c>
      <c r="C11" s="1"/>
    </row>
    <row r="12" spans="1:6" x14ac:dyDescent="0.25">
      <c r="A12" s="1" t="s">
        <v>66</v>
      </c>
      <c r="B12" s="1">
        <v>20000</v>
      </c>
      <c r="C12" s="1"/>
    </row>
    <row r="13" spans="1:6" x14ac:dyDescent="0.25">
      <c r="A13" s="1" t="s">
        <v>67</v>
      </c>
      <c r="B13" s="1">
        <v>50000</v>
      </c>
      <c r="C13" s="1"/>
    </row>
    <row r="14" spans="1:6" x14ac:dyDescent="0.25">
      <c r="A14" s="1" t="s">
        <v>68</v>
      </c>
      <c r="B14" s="1">
        <v>25000</v>
      </c>
      <c r="C14" s="1"/>
    </row>
    <row r="15" spans="1:6" x14ac:dyDescent="0.25">
      <c r="A15" s="1" t="s">
        <v>69</v>
      </c>
      <c r="B15" s="1">
        <v>50000</v>
      </c>
      <c r="C15" s="1"/>
    </row>
    <row r="16" spans="1:6" x14ac:dyDescent="0.25">
      <c r="A16" s="1" t="s">
        <v>70</v>
      </c>
      <c r="B16" s="1">
        <v>50000</v>
      </c>
      <c r="C16" s="1"/>
    </row>
    <row r="17" spans="1:3" x14ac:dyDescent="0.25">
      <c r="A17" s="1" t="s">
        <v>71</v>
      </c>
      <c r="B17" s="1">
        <v>30000</v>
      </c>
      <c r="C17" s="1"/>
    </row>
    <row r="18" spans="1:3" x14ac:dyDescent="0.25">
      <c r="A18" s="1" t="s">
        <v>72</v>
      </c>
      <c r="B18" s="1">
        <v>100000</v>
      </c>
      <c r="C18" s="1"/>
    </row>
    <row r="19" spans="1:3" x14ac:dyDescent="0.25">
      <c r="A19" s="2" t="s">
        <v>8</v>
      </c>
      <c r="B19" s="2">
        <f>SUM(B2:B18)</f>
        <v>947190</v>
      </c>
      <c r="C19" s="2"/>
    </row>
    <row r="20" spans="1:3" x14ac:dyDescent="0.25">
      <c r="A20" s="14" t="s">
        <v>73</v>
      </c>
      <c r="B20" s="1">
        <f>287190+40000</f>
        <v>327190</v>
      </c>
      <c r="C20" s="1"/>
    </row>
    <row r="21" spans="1:3" x14ac:dyDescent="0.25">
      <c r="A21" s="6" t="s">
        <v>8</v>
      </c>
      <c r="B21" s="6">
        <f>B19+B20</f>
        <v>1274380</v>
      </c>
      <c r="C21" s="6"/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J7" sqref="J7"/>
    </sheetView>
  </sheetViews>
  <sheetFormatPr defaultRowHeight="15" x14ac:dyDescent="0.25"/>
  <cols>
    <col min="2" max="2" width="27.5703125" customWidth="1"/>
    <col min="3" max="3" width="13.42578125" customWidth="1"/>
    <col min="4" max="4" width="17.85546875" customWidth="1"/>
    <col min="5" max="5" width="17.7109375" customWidth="1"/>
    <col min="7" max="7" width="15.85546875" customWidth="1"/>
    <col min="8" max="8" width="20.5703125" customWidth="1"/>
    <col min="9" max="9" width="24" customWidth="1"/>
    <col min="10" max="10" width="21.5703125" customWidth="1"/>
    <col min="12" max="12" width="18.7109375" bestFit="1" customWidth="1"/>
    <col min="13" max="13" width="22.7109375" customWidth="1"/>
  </cols>
  <sheetData>
    <row r="1" spans="1:13" x14ac:dyDescent="0.25">
      <c r="A1" s="6" t="s">
        <v>106</v>
      </c>
      <c r="B1" s="6" t="s">
        <v>36</v>
      </c>
      <c r="C1" s="6" t="s">
        <v>13</v>
      </c>
      <c r="D1" s="6" t="s">
        <v>95</v>
      </c>
      <c r="E1" s="6" t="s">
        <v>0</v>
      </c>
      <c r="G1" s="20" t="s">
        <v>107</v>
      </c>
      <c r="H1">
        <f>SUM(E2:E100)</f>
        <v>584780</v>
      </c>
      <c r="I1" s="27" t="s">
        <v>74</v>
      </c>
      <c r="J1" s="27"/>
      <c r="L1" s="27" t="s">
        <v>112</v>
      </c>
      <c r="M1" s="27"/>
    </row>
    <row r="2" spans="1:13" x14ac:dyDescent="0.25">
      <c r="A2" s="1">
        <v>1</v>
      </c>
      <c r="B2" s="1" t="s">
        <v>96</v>
      </c>
      <c r="C2" s="1"/>
      <c r="D2" s="1" t="s">
        <v>97</v>
      </c>
      <c r="E2" s="1">
        <v>25000</v>
      </c>
      <c r="I2" s="1" t="s">
        <v>108</v>
      </c>
      <c r="J2" s="1">
        <v>658361</v>
      </c>
      <c r="L2" t="s">
        <v>113</v>
      </c>
      <c r="M2">
        <f>37000+27000+6000+10000+5000+10000-5000</f>
        <v>90000</v>
      </c>
    </row>
    <row r="3" spans="1:13" x14ac:dyDescent="0.25">
      <c r="A3" s="1">
        <v>2</v>
      </c>
      <c r="B3" s="1" t="s">
        <v>98</v>
      </c>
      <c r="C3" s="1"/>
      <c r="D3" s="1" t="s">
        <v>97</v>
      </c>
      <c r="E3" s="1">
        <v>15000</v>
      </c>
      <c r="I3" s="1" t="s">
        <v>109</v>
      </c>
      <c r="J3" s="1">
        <v>100000</v>
      </c>
      <c r="L3" t="s">
        <v>67</v>
      </c>
      <c r="M3">
        <v>50000</v>
      </c>
    </row>
    <row r="4" spans="1:13" x14ac:dyDescent="0.25">
      <c r="A4" s="1">
        <v>3</v>
      </c>
      <c r="B4" s="1" t="s">
        <v>99</v>
      </c>
      <c r="C4" s="1"/>
      <c r="D4" s="1" t="s">
        <v>97</v>
      </c>
      <c r="E4" s="1">
        <v>287190</v>
      </c>
      <c r="I4" s="1" t="s">
        <v>51</v>
      </c>
      <c r="J4" s="1">
        <v>50000</v>
      </c>
      <c r="L4" t="s">
        <v>114</v>
      </c>
      <c r="M4">
        <v>50000</v>
      </c>
    </row>
    <row r="5" spans="1:13" x14ac:dyDescent="0.25">
      <c r="A5" s="1">
        <v>4</v>
      </c>
      <c r="B5" s="1" t="s">
        <v>100</v>
      </c>
      <c r="C5" s="19">
        <v>45691</v>
      </c>
      <c r="D5" s="1" t="s">
        <v>101</v>
      </c>
      <c r="E5" s="1">
        <v>5000</v>
      </c>
      <c r="I5" s="1" t="s">
        <v>110</v>
      </c>
      <c r="J5" s="1">
        <v>60000</v>
      </c>
      <c r="L5" t="s">
        <v>68</v>
      </c>
      <c r="M5">
        <v>30000</v>
      </c>
    </row>
    <row r="6" spans="1:13" x14ac:dyDescent="0.25">
      <c r="A6" s="1">
        <v>5</v>
      </c>
      <c r="B6" s="1" t="s">
        <v>102</v>
      </c>
      <c r="C6" s="19">
        <v>45694</v>
      </c>
      <c r="D6" s="1" t="s">
        <v>97</v>
      </c>
      <c r="E6" s="1">
        <v>50000</v>
      </c>
      <c r="I6" s="1" t="s">
        <v>52</v>
      </c>
      <c r="J6" s="1">
        <v>10000</v>
      </c>
      <c r="L6" t="s">
        <v>115</v>
      </c>
      <c r="M6">
        <f>35000 * 2</f>
        <v>70000</v>
      </c>
    </row>
    <row r="7" spans="1:13" x14ac:dyDescent="0.25">
      <c r="A7" s="1">
        <v>6</v>
      </c>
      <c r="B7" s="1" t="s">
        <v>103</v>
      </c>
      <c r="C7" s="19">
        <v>45698</v>
      </c>
      <c r="D7" s="1" t="s">
        <v>104</v>
      </c>
      <c r="E7" s="1">
        <v>7000</v>
      </c>
      <c r="I7" s="1" t="s">
        <v>111</v>
      </c>
      <c r="J7" s="1">
        <v>120000</v>
      </c>
      <c r="L7" t="s">
        <v>57</v>
      </c>
      <c r="M7">
        <v>327190</v>
      </c>
    </row>
    <row r="8" spans="1:13" x14ac:dyDescent="0.25">
      <c r="A8" s="1">
        <v>7</v>
      </c>
      <c r="B8" s="1" t="s">
        <v>105</v>
      </c>
      <c r="C8" s="19">
        <v>45699</v>
      </c>
      <c r="D8" s="1" t="s">
        <v>104</v>
      </c>
      <c r="E8" s="1">
        <v>2800</v>
      </c>
      <c r="I8" s="1" t="s">
        <v>8</v>
      </c>
      <c r="J8" s="1">
        <f>SUM(J2:J7)</f>
        <v>998361</v>
      </c>
      <c r="L8" t="s">
        <v>97</v>
      </c>
      <c r="M8">
        <f>280000-50000-80000</f>
        <v>150000</v>
      </c>
    </row>
    <row r="9" spans="1:13" x14ac:dyDescent="0.25">
      <c r="A9" s="14">
        <v>8</v>
      </c>
      <c r="B9" s="14" t="s">
        <v>125</v>
      </c>
      <c r="C9" s="19">
        <v>45704</v>
      </c>
      <c r="D9" s="14" t="s">
        <v>104</v>
      </c>
      <c r="E9" s="14">
        <f>18600+2080+1900+10000+1300+350+140</f>
        <v>34370</v>
      </c>
      <c r="I9" s="22" t="s">
        <v>24</v>
      </c>
      <c r="J9" s="23">
        <f>J8-SUM(M2:M30)</f>
        <v>31171</v>
      </c>
      <c r="L9" t="s">
        <v>2</v>
      </c>
      <c r="M9">
        <v>25000</v>
      </c>
    </row>
    <row r="10" spans="1:13" x14ac:dyDescent="0.25">
      <c r="A10" s="14">
        <v>9</v>
      </c>
      <c r="B10" s="14" t="s">
        <v>127</v>
      </c>
      <c r="C10" s="19">
        <v>45711</v>
      </c>
      <c r="D10" s="14" t="s">
        <v>2</v>
      </c>
      <c r="E10" s="14">
        <v>12600</v>
      </c>
      <c r="L10" t="s">
        <v>116</v>
      </c>
      <c r="M10">
        <v>50000</v>
      </c>
    </row>
    <row r="11" spans="1:13" x14ac:dyDescent="0.25">
      <c r="A11" s="14">
        <v>10</v>
      </c>
      <c r="B11" s="14" t="s">
        <v>126</v>
      </c>
      <c r="C11" s="19">
        <v>45711</v>
      </c>
      <c r="D11" s="14" t="s">
        <v>2</v>
      </c>
      <c r="E11" s="14">
        <v>20000</v>
      </c>
      <c r="L11" t="s">
        <v>64</v>
      </c>
      <c r="M11">
        <v>20000</v>
      </c>
    </row>
    <row r="12" spans="1:13" x14ac:dyDescent="0.25">
      <c r="A12" s="14">
        <v>11</v>
      </c>
      <c r="B12" s="14" t="s">
        <v>128</v>
      </c>
      <c r="C12" s="19">
        <v>45711</v>
      </c>
      <c r="D12" s="14" t="s">
        <v>2</v>
      </c>
      <c r="E12" s="14">
        <v>1000</v>
      </c>
      <c r="L12" t="s">
        <v>117</v>
      </c>
      <c r="M12">
        <v>10000</v>
      </c>
    </row>
    <row r="13" spans="1:13" x14ac:dyDescent="0.25">
      <c r="A13" s="14">
        <v>12</v>
      </c>
      <c r="B13" s="14" t="s">
        <v>129</v>
      </c>
      <c r="C13" s="19">
        <v>45706</v>
      </c>
      <c r="D13" s="14" t="s">
        <v>101</v>
      </c>
      <c r="E13" s="14">
        <v>17600</v>
      </c>
      <c r="L13" t="s">
        <v>118</v>
      </c>
      <c r="M13">
        <v>15000</v>
      </c>
    </row>
    <row r="14" spans="1:13" x14ac:dyDescent="0.25">
      <c r="A14" s="14">
        <v>13</v>
      </c>
      <c r="B14" s="14" t="s">
        <v>125</v>
      </c>
      <c r="C14" s="19">
        <v>45711</v>
      </c>
      <c r="D14" s="14" t="s">
        <v>104</v>
      </c>
      <c r="E14" s="14">
        <f>10000+1000</f>
        <v>11000</v>
      </c>
      <c r="L14" t="s">
        <v>119</v>
      </c>
      <c r="M14">
        <v>20000</v>
      </c>
    </row>
    <row r="15" spans="1:13" x14ac:dyDescent="0.25">
      <c r="A15" s="14">
        <v>14</v>
      </c>
      <c r="B15" s="14" t="s">
        <v>125</v>
      </c>
      <c r="C15" s="19">
        <v>45712</v>
      </c>
      <c r="D15" s="14" t="s">
        <v>104</v>
      </c>
      <c r="E15" s="14">
        <v>11000</v>
      </c>
      <c r="L15" t="s">
        <v>120</v>
      </c>
      <c r="M15">
        <v>50000</v>
      </c>
    </row>
    <row r="16" spans="1:13" x14ac:dyDescent="0.25">
      <c r="A16" s="14">
        <v>15</v>
      </c>
      <c r="B16" s="14" t="s">
        <v>125</v>
      </c>
      <c r="C16" s="19">
        <v>45717</v>
      </c>
      <c r="D16" s="14" t="s">
        <v>104</v>
      </c>
      <c r="E16" s="1">
        <f>780+340</f>
        <v>1120</v>
      </c>
      <c r="L16" t="s">
        <v>121</v>
      </c>
      <c r="M16">
        <v>10000</v>
      </c>
    </row>
    <row r="17" spans="1:5" x14ac:dyDescent="0.25">
      <c r="A17" s="14">
        <v>16</v>
      </c>
      <c r="B17" s="14" t="s">
        <v>102</v>
      </c>
      <c r="C17" s="19">
        <v>45721</v>
      </c>
      <c r="D17" s="14" t="s">
        <v>97</v>
      </c>
      <c r="E17" s="1">
        <v>80000</v>
      </c>
    </row>
    <row r="18" spans="1:5" x14ac:dyDescent="0.25">
      <c r="A18" s="14">
        <v>17</v>
      </c>
      <c r="B18" s="14" t="s">
        <v>133</v>
      </c>
      <c r="C18" s="19">
        <v>45727</v>
      </c>
      <c r="D18" s="14" t="s">
        <v>101</v>
      </c>
      <c r="E18" s="1">
        <v>1800</v>
      </c>
    </row>
    <row r="19" spans="1:5" x14ac:dyDescent="0.25">
      <c r="A19" s="14">
        <v>18</v>
      </c>
      <c r="B19" s="14" t="s">
        <v>105</v>
      </c>
      <c r="C19" s="19">
        <v>45727</v>
      </c>
      <c r="D19" s="14" t="s">
        <v>104</v>
      </c>
      <c r="E19" s="1">
        <v>2300</v>
      </c>
    </row>
  </sheetData>
  <mergeCells count="2">
    <mergeCell ref="I1:J1"/>
    <mergeCell ref="L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B1" zoomScale="85" zoomScaleNormal="85" workbookViewId="0">
      <pane ySplit="1" topLeftCell="A11" activePane="bottomLeft" state="frozen"/>
      <selection activeCell="B1" sqref="B1"/>
      <selection pane="bottomLeft" activeCell="W10" sqref="W10"/>
    </sheetView>
  </sheetViews>
  <sheetFormatPr defaultRowHeight="15" x14ac:dyDescent="0.25"/>
  <cols>
    <col min="1" max="1" width="8.85546875" hidden="1" customWidth="1"/>
    <col min="2" max="2" width="18" bestFit="1" customWidth="1"/>
    <col min="3" max="3" width="16.5703125" customWidth="1"/>
    <col min="12" max="12" width="9.5703125" bestFit="1" customWidth="1"/>
    <col min="13" max="13" width="13" customWidth="1"/>
    <col min="14" max="14" width="14.140625" customWidth="1"/>
    <col min="15" max="15" width="15.85546875" bestFit="1" customWidth="1"/>
    <col min="16" max="16" width="11.140625" bestFit="1" customWidth="1"/>
    <col min="17" max="17" width="11.140625" customWidth="1"/>
    <col min="18" max="18" width="21.140625" bestFit="1" customWidth="1"/>
    <col min="19" max="19" width="19.5703125" bestFit="1" customWidth="1"/>
  </cols>
  <sheetData>
    <row r="1" spans="1:19" x14ac:dyDescent="0.25">
      <c r="A1" t="s">
        <v>22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7</v>
      </c>
      <c r="G1" s="3" t="s">
        <v>17</v>
      </c>
      <c r="H1" s="3" t="s">
        <v>1</v>
      </c>
      <c r="I1" s="3" t="s">
        <v>6</v>
      </c>
      <c r="J1" s="3" t="s">
        <v>3</v>
      </c>
      <c r="K1" s="3" t="s">
        <v>9</v>
      </c>
      <c r="L1" s="3" t="s">
        <v>4</v>
      </c>
      <c r="M1" s="3" t="s">
        <v>19</v>
      </c>
      <c r="N1" s="3" t="s">
        <v>5</v>
      </c>
      <c r="O1" s="3" t="s">
        <v>10</v>
      </c>
      <c r="P1" s="3" t="s">
        <v>18</v>
      </c>
      <c r="Q1" s="3" t="s">
        <v>77</v>
      </c>
      <c r="R1" s="3" t="s">
        <v>20</v>
      </c>
      <c r="S1" s="3" t="s">
        <v>23</v>
      </c>
    </row>
    <row r="2" spans="1:19" x14ac:dyDescent="0.25">
      <c r="A2">
        <v>154777</v>
      </c>
      <c r="B2" s="9" t="s">
        <v>21</v>
      </c>
      <c r="C2" s="4">
        <v>23100</v>
      </c>
      <c r="D2" s="4">
        <v>55778</v>
      </c>
      <c r="E2" s="4">
        <v>1500</v>
      </c>
      <c r="F2" s="4">
        <v>1000</v>
      </c>
      <c r="G2" s="4">
        <v>1000</v>
      </c>
      <c r="H2" s="4">
        <v>10000</v>
      </c>
      <c r="I2" s="4">
        <v>1000</v>
      </c>
      <c r="J2" s="4">
        <v>1000</v>
      </c>
      <c r="K2" s="4">
        <v>4000</v>
      </c>
      <c r="L2" s="4">
        <v>1000</v>
      </c>
      <c r="M2" s="4">
        <v>1000</v>
      </c>
      <c r="N2" s="4">
        <v>10000</v>
      </c>
      <c r="O2" s="4">
        <v>10000</v>
      </c>
      <c r="P2" s="4">
        <f>A2-SUM(C2:O2)-R2</f>
        <v>14399</v>
      </c>
      <c r="Q2" s="4">
        <v>1000</v>
      </c>
      <c r="R2" s="4">
        <v>20000</v>
      </c>
      <c r="S2" s="1"/>
    </row>
    <row r="3" spans="1:19" x14ac:dyDescent="0.25">
      <c r="B3" s="10" t="s">
        <v>24</v>
      </c>
      <c r="C3" s="5">
        <f>C2-C35</f>
        <v>0</v>
      </c>
      <c r="D3" s="5">
        <f t="shared" ref="D3:R3" si="0">D2-D35</f>
        <v>0</v>
      </c>
      <c r="E3" s="5">
        <f t="shared" si="0"/>
        <v>836</v>
      </c>
      <c r="F3" s="5">
        <f t="shared" si="0"/>
        <v>195</v>
      </c>
      <c r="G3" s="5">
        <f t="shared" si="0"/>
        <v>80</v>
      </c>
      <c r="H3" s="5">
        <f t="shared" si="0"/>
        <v>39</v>
      </c>
      <c r="I3" s="5">
        <f t="shared" si="0"/>
        <v>1000</v>
      </c>
      <c r="J3" s="5">
        <f t="shared" si="0"/>
        <v>407</v>
      </c>
      <c r="K3" s="5">
        <f t="shared" si="0"/>
        <v>236</v>
      </c>
      <c r="L3" s="5">
        <f t="shared" si="0"/>
        <v>1000</v>
      </c>
      <c r="M3" s="5">
        <f t="shared" si="0"/>
        <v>228</v>
      </c>
      <c r="N3" s="5">
        <f t="shared" si="0"/>
        <v>2500</v>
      </c>
      <c r="O3" s="5">
        <f t="shared" si="0"/>
        <v>380</v>
      </c>
      <c r="P3" s="5">
        <f t="shared" si="0"/>
        <v>-10601</v>
      </c>
      <c r="Q3" s="5">
        <f t="shared" si="0"/>
        <v>620</v>
      </c>
      <c r="R3" s="5">
        <f t="shared" si="0"/>
        <v>-5657</v>
      </c>
      <c r="S3" s="1"/>
    </row>
    <row r="4" spans="1:19" x14ac:dyDescent="0.25">
      <c r="B4" s="11">
        <v>45658</v>
      </c>
      <c r="C4" s="1"/>
      <c r="D4" s="1"/>
      <c r="E4" s="1"/>
      <c r="F4" s="1"/>
      <c r="G4" s="1"/>
      <c r="H4" s="1">
        <v>294</v>
      </c>
      <c r="I4" s="1"/>
      <c r="J4" s="1"/>
      <c r="K4" s="1"/>
      <c r="L4" s="1"/>
      <c r="M4" s="1"/>
      <c r="N4" s="1"/>
      <c r="O4" s="1">
        <v>299</v>
      </c>
      <c r="P4" s="1"/>
      <c r="Q4" s="1"/>
      <c r="R4" s="1"/>
      <c r="S4" s="1"/>
    </row>
    <row r="5" spans="1:19" x14ac:dyDescent="0.25">
      <c r="B5" s="11">
        <v>45659</v>
      </c>
      <c r="C5" s="1">
        <v>23100</v>
      </c>
      <c r="D5" s="1"/>
      <c r="E5" s="1"/>
      <c r="F5" s="1">
        <v>805</v>
      </c>
      <c r="G5" s="1"/>
      <c r="H5" s="1">
        <v>266</v>
      </c>
      <c r="I5" s="1"/>
      <c r="J5" s="1"/>
      <c r="K5" s="1"/>
      <c r="L5" s="1"/>
      <c r="M5" s="1"/>
      <c r="N5" s="1"/>
      <c r="O5" s="1">
        <v>365</v>
      </c>
      <c r="P5" s="1"/>
      <c r="Q5" s="1">
        <v>50</v>
      </c>
      <c r="R5" s="1"/>
      <c r="S5" s="1"/>
    </row>
    <row r="6" spans="1:19" x14ac:dyDescent="0.25">
      <c r="B6" s="11">
        <v>45660</v>
      </c>
      <c r="C6" s="1"/>
      <c r="D6" s="1"/>
      <c r="E6" s="1"/>
      <c r="F6" s="1"/>
      <c r="G6" s="1"/>
      <c r="H6" s="1">
        <v>95</v>
      </c>
      <c r="I6" s="1"/>
      <c r="J6" s="1"/>
      <c r="K6" s="1"/>
      <c r="L6" s="1"/>
      <c r="M6" s="1"/>
      <c r="N6" s="1"/>
      <c r="O6" s="1"/>
      <c r="P6" s="1">
        <v>10000</v>
      </c>
      <c r="Q6" s="1"/>
      <c r="R6" s="1"/>
      <c r="S6" s="1"/>
    </row>
    <row r="7" spans="1:19" x14ac:dyDescent="0.25">
      <c r="B7" s="11">
        <v>45661</v>
      </c>
      <c r="C7" s="1"/>
      <c r="D7" s="1"/>
      <c r="E7" s="1"/>
      <c r="F7" s="1"/>
      <c r="G7" s="1">
        <v>201</v>
      </c>
      <c r="H7" s="1">
        <v>2984</v>
      </c>
      <c r="I7" s="1"/>
      <c r="J7" s="1">
        <v>593</v>
      </c>
      <c r="K7" s="1">
        <f>255+1689</f>
        <v>1944</v>
      </c>
      <c r="L7" s="1"/>
      <c r="M7" s="1"/>
      <c r="N7" s="1"/>
      <c r="O7" s="1">
        <v>249</v>
      </c>
      <c r="P7" s="1"/>
      <c r="Q7" s="1">
        <v>50</v>
      </c>
      <c r="R7" s="1">
        <v>3074</v>
      </c>
      <c r="S7" s="1" t="s">
        <v>79</v>
      </c>
    </row>
    <row r="8" spans="1:19" x14ac:dyDescent="0.25">
      <c r="B8" s="11">
        <v>45662</v>
      </c>
      <c r="C8" s="1"/>
      <c r="D8" s="1">
        <v>55778</v>
      </c>
      <c r="E8" s="1"/>
      <c r="F8" s="1"/>
      <c r="G8" s="1"/>
      <c r="H8" s="1">
        <v>1351</v>
      </c>
      <c r="I8" s="1"/>
      <c r="J8" s="1"/>
      <c r="K8" s="1"/>
      <c r="L8" s="1"/>
      <c r="M8" s="1"/>
      <c r="N8" s="1"/>
      <c r="O8" s="1">
        <v>199</v>
      </c>
      <c r="P8" s="1"/>
      <c r="Q8" s="1"/>
      <c r="R8" s="1"/>
      <c r="S8" s="1"/>
    </row>
    <row r="9" spans="1:19" x14ac:dyDescent="0.25">
      <c r="B9" s="11">
        <v>45663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v>199</v>
      </c>
      <c r="P9" s="1"/>
      <c r="Q9" s="1"/>
      <c r="R9" s="1"/>
      <c r="S9" s="1"/>
    </row>
    <row r="10" spans="1:19" x14ac:dyDescent="0.25">
      <c r="B10" s="11">
        <v>45664</v>
      </c>
      <c r="C10" s="1"/>
      <c r="D10" s="1"/>
      <c r="E10" s="1"/>
      <c r="F10" s="1"/>
      <c r="G10" s="1"/>
      <c r="H10" s="1">
        <v>265</v>
      </c>
      <c r="I10" s="1"/>
      <c r="J10" s="1"/>
      <c r="K10" s="1"/>
      <c r="L10" s="1"/>
      <c r="M10" s="1">
        <v>199</v>
      </c>
      <c r="N10" s="1">
        <v>2500</v>
      </c>
      <c r="O10" s="1">
        <v>1315</v>
      </c>
      <c r="P10" s="1"/>
      <c r="Q10" s="1">
        <v>50</v>
      </c>
      <c r="R10" s="1">
        <v>180</v>
      </c>
      <c r="S10" s="1" t="s">
        <v>78</v>
      </c>
    </row>
    <row r="11" spans="1:19" x14ac:dyDescent="0.25">
      <c r="B11" s="11">
        <v>45665</v>
      </c>
      <c r="C11" s="1"/>
      <c r="D11" s="1"/>
      <c r="E11" s="1"/>
      <c r="F11" s="1"/>
      <c r="G11" s="1"/>
      <c r="H11" s="1">
        <v>230</v>
      </c>
      <c r="I11" s="1"/>
      <c r="J11" s="1"/>
      <c r="K11" s="1"/>
      <c r="L11" s="1"/>
      <c r="M11" s="1"/>
      <c r="N11" s="1"/>
      <c r="O11" s="1">
        <v>449</v>
      </c>
      <c r="P11" s="1"/>
      <c r="Q11" s="1"/>
      <c r="R11" s="1">
        <v>125</v>
      </c>
      <c r="S11" s="1" t="s">
        <v>78</v>
      </c>
    </row>
    <row r="12" spans="1:19" x14ac:dyDescent="0.25">
      <c r="B12" s="11">
        <v>45666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256</v>
      </c>
      <c r="P12" s="1">
        <v>15000</v>
      </c>
      <c r="Q12" s="1"/>
      <c r="R12" s="1"/>
      <c r="S12" s="1"/>
    </row>
    <row r="13" spans="1:19" x14ac:dyDescent="0.25">
      <c r="B13" s="11">
        <v>45667</v>
      </c>
      <c r="C13" s="1"/>
      <c r="D13" s="1"/>
      <c r="E13" s="1"/>
      <c r="F13" s="1"/>
      <c r="G13" s="1"/>
      <c r="H13" s="1">
        <f>115+44</f>
        <v>159</v>
      </c>
      <c r="I13" s="1"/>
      <c r="J13" s="1"/>
      <c r="K13" s="1"/>
      <c r="L13" s="1"/>
      <c r="M13" s="1"/>
      <c r="N13" s="1"/>
      <c r="O13" s="1">
        <v>663</v>
      </c>
      <c r="P13" s="1"/>
      <c r="Q13" s="1">
        <v>50</v>
      </c>
      <c r="R13" s="1"/>
      <c r="S13" s="1"/>
    </row>
    <row r="14" spans="1:19" x14ac:dyDescent="0.25">
      <c r="B14" s="11">
        <v>45668</v>
      </c>
      <c r="C14" s="1"/>
      <c r="D14" s="1"/>
      <c r="E14" s="1"/>
      <c r="F14" s="1"/>
      <c r="G14" s="1"/>
      <c r="H14" s="1">
        <v>190</v>
      </c>
      <c r="I14" s="1"/>
      <c r="J14" s="1"/>
      <c r="K14" s="1">
        <v>240</v>
      </c>
      <c r="L14" s="1"/>
      <c r="M14" s="1">
        <v>199</v>
      </c>
      <c r="N14" s="1"/>
      <c r="O14" s="1">
        <f>474</f>
        <v>474</v>
      </c>
      <c r="P14" s="1"/>
      <c r="Q14" s="1"/>
      <c r="R14" s="1">
        <v>3265</v>
      </c>
      <c r="S14" s="1" t="s">
        <v>88</v>
      </c>
    </row>
    <row r="15" spans="1:19" x14ac:dyDescent="0.25">
      <c r="B15" s="11">
        <v>45669</v>
      </c>
      <c r="C15" s="1"/>
      <c r="D15" s="1"/>
      <c r="E15" s="1"/>
      <c r="F15" s="1"/>
      <c r="G15" s="1"/>
      <c r="H15" s="1">
        <v>110</v>
      </c>
      <c r="I15" s="1"/>
      <c r="J15" s="1"/>
      <c r="K15" s="1">
        <v>956</v>
      </c>
      <c r="L15" s="1"/>
      <c r="M15" s="1"/>
      <c r="N15" s="1"/>
      <c r="O15" s="1">
        <f>1473</f>
        <v>1473</v>
      </c>
      <c r="P15" s="1"/>
      <c r="Q15" s="1"/>
      <c r="R15" s="1">
        <f>1925+5100</f>
        <v>7025</v>
      </c>
      <c r="S15" s="1" t="s">
        <v>89</v>
      </c>
    </row>
    <row r="16" spans="1:19" x14ac:dyDescent="0.25">
      <c r="B16" s="11">
        <v>45670</v>
      </c>
      <c r="C16" s="1"/>
      <c r="D16" s="1"/>
      <c r="E16" s="1"/>
      <c r="F16" s="1"/>
      <c r="G16" s="1"/>
      <c r="H16" s="1">
        <v>1048</v>
      </c>
      <c r="I16" s="1"/>
      <c r="J16" s="1"/>
      <c r="K16" s="1"/>
      <c r="L16" s="1"/>
      <c r="M16" s="1"/>
      <c r="N16" s="1"/>
      <c r="O16" s="1">
        <v>334</v>
      </c>
      <c r="P16" s="1"/>
      <c r="Q16" s="1"/>
      <c r="R16" s="1"/>
      <c r="S16" s="1"/>
    </row>
    <row r="17" spans="2:19" x14ac:dyDescent="0.25">
      <c r="B17" s="11">
        <v>45671</v>
      </c>
      <c r="C17" s="1"/>
      <c r="D17" s="1"/>
      <c r="E17" s="1"/>
      <c r="F17" s="1"/>
      <c r="G17" s="1"/>
      <c r="H17" s="1">
        <v>43</v>
      </c>
      <c r="I17" s="1"/>
      <c r="J17" s="1"/>
      <c r="K17" s="1"/>
      <c r="L17" s="1"/>
      <c r="M17" s="1"/>
      <c r="N17" s="1"/>
      <c r="O17" s="1"/>
      <c r="P17" s="1"/>
      <c r="Q17" s="1">
        <v>50</v>
      </c>
      <c r="R17" s="1">
        <v>206</v>
      </c>
      <c r="S17" s="1" t="s">
        <v>81</v>
      </c>
    </row>
    <row r="18" spans="2:19" x14ac:dyDescent="0.25">
      <c r="B18" s="11">
        <v>45672</v>
      </c>
      <c r="C18" s="1"/>
      <c r="D18" s="1"/>
      <c r="E18" s="1"/>
      <c r="F18" s="1"/>
      <c r="G18" s="1">
        <v>719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1900</v>
      </c>
      <c r="S18" s="1" t="s">
        <v>80</v>
      </c>
    </row>
    <row r="19" spans="2:19" x14ac:dyDescent="0.25">
      <c r="B19" s="11">
        <v>45673</v>
      </c>
      <c r="C19" s="1"/>
      <c r="D19" s="1"/>
      <c r="E19" s="1"/>
      <c r="F19" s="1"/>
      <c r="G19" s="1"/>
      <c r="H19" s="1">
        <v>140</v>
      </c>
      <c r="I19" s="1"/>
      <c r="J19" s="1"/>
      <c r="K19" s="1"/>
      <c r="L19" s="1"/>
      <c r="M19" s="1"/>
      <c r="N19" s="1">
        <v>5000</v>
      </c>
      <c r="O19" s="1">
        <v>173</v>
      </c>
      <c r="P19" s="1"/>
      <c r="Q19" s="1"/>
      <c r="R19" s="1"/>
      <c r="S19" s="1"/>
    </row>
    <row r="20" spans="2:19" x14ac:dyDescent="0.25">
      <c r="B20" s="11">
        <v>45674</v>
      </c>
      <c r="C20" s="1"/>
      <c r="D20" s="1"/>
      <c r="E20" s="1"/>
      <c r="F20" s="1"/>
      <c r="G20" s="1"/>
      <c r="H20" s="1">
        <f>100+42</f>
        <v>142</v>
      </c>
      <c r="I20" s="1"/>
      <c r="J20" s="1"/>
      <c r="K20" s="1">
        <v>90</v>
      </c>
      <c r="L20" s="1"/>
      <c r="M20" s="1"/>
      <c r="N20" s="1"/>
      <c r="O20" s="1">
        <f>347+382+483+378+379+449</f>
        <v>2418</v>
      </c>
      <c r="P20" s="1"/>
      <c r="Q20" s="1">
        <v>50</v>
      </c>
      <c r="R20" s="1">
        <v>903</v>
      </c>
      <c r="S20" s="1" t="s">
        <v>82</v>
      </c>
    </row>
    <row r="21" spans="2:19" x14ac:dyDescent="0.25">
      <c r="B21" s="11">
        <v>45675</v>
      </c>
      <c r="C21" s="1"/>
      <c r="D21" s="1"/>
      <c r="E21" s="1"/>
      <c r="F21" s="1"/>
      <c r="G21" s="1"/>
      <c r="H21" s="1">
        <f>428+1000</f>
        <v>1428</v>
      </c>
      <c r="I21" s="1"/>
      <c r="J21" s="1"/>
      <c r="K21" s="1"/>
      <c r="L21" s="1"/>
      <c r="M21" s="1"/>
      <c r="N21" s="1"/>
      <c r="O21" s="1">
        <f>372+659-449-372</f>
        <v>210</v>
      </c>
      <c r="P21" s="1"/>
      <c r="Q21" s="1"/>
      <c r="R21" s="1"/>
      <c r="S21" s="1"/>
    </row>
    <row r="22" spans="2:19" x14ac:dyDescent="0.25">
      <c r="B22" s="11">
        <v>45676</v>
      </c>
      <c r="C22" s="1"/>
      <c r="D22" s="1"/>
      <c r="E22" s="1"/>
      <c r="F22" s="1"/>
      <c r="G22" s="1"/>
      <c r="H22" s="1">
        <v>172</v>
      </c>
      <c r="I22" s="1"/>
      <c r="J22" s="1"/>
      <c r="K22" s="1"/>
      <c r="L22" s="1"/>
      <c r="M22" s="1">
        <v>299</v>
      </c>
      <c r="N22" s="1"/>
      <c r="O22" s="1"/>
      <c r="P22" s="1"/>
      <c r="Q22" s="1"/>
      <c r="R22" s="1">
        <f>393+904</f>
        <v>1297</v>
      </c>
      <c r="S22" s="1" t="s">
        <v>83</v>
      </c>
    </row>
    <row r="23" spans="2:19" x14ac:dyDescent="0.25">
      <c r="B23" s="11">
        <v>45677</v>
      </c>
      <c r="C23" s="1"/>
      <c r="D23" s="1"/>
      <c r="E23" s="1"/>
      <c r="F23" s="1"/>
      <c r="G23" s="1"/>
      <c r="H23" s="1">
        <v>20</v>
      </c>
      <c r="I23" s="1"/>
      <c r="J23" s="1"/>
      <c r="K23" s="1">
        <v>130</v>
      </c>
      <c r="L23" s="1"/>
      <c r="M23" s="1"/>
      <c r="N23" s="1"/>
      <c r="O23" s="1"/>
      <c r="P23" s="1"/>
      <c r="Q23" s="1"/>
      <c r="R23" s="1">
        <f>400+155</f>
        <v>555</v>
      </c>
      <c r="S23" s="1" t="s">
        <v>84</v>
      </c>
    </row>
    <row r="24" spans="2:19" x14ac:dyDescent="0.25">
      <c r="B24" s="11">
        <v>45678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75</v>
      </c>
      <c r="N24" s="1"/>
      <c r="O24" s="1"/>
      <c r="P24" s="1"/>
      <c r="Q24" s="1">
        <v>50</v>
      </c>
      <c r="R24" s="1"/>
      <c r="S24" s="1"/>
    </row>
    <row r="25" spans="2:19" x14ac:dyDescent="0.25">
      <c r="B25" s="11">
        <v>45679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11">
        <v>45680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1">
        <v>45681</v>
      </c>
      <c r="C27" s="1"/>
      <c r="D27" s="1"/>
      <c r="E27" s="1"/>
      <c r="F27" s="1"/>
      <c r="G27" s="1"/>
      <c r="H27" s="1">
        <v>205</v>
      </c>
      <c r="I27" s="1"/>
      <c r="J27" s="1"/>
      <c r="K27" s="1"/>
      <c r="L27" s="1"/>
      <c r="M27" s="1"/>
      <c r="N27" s="1"/>
      <c r="O27" s="1"/>
      <c r="P27" s="1"/>
      <c r="Q27" s="1"/>
      <c r="R27" s="1">
        <v>181</v>
      </c>
      <c r="S27" s="1" t="s">
        <v>78</v>
      </c>
    </row>
    <row r="28" spans="2:19" x14ac:dyDescent="0.25">
      <c r="B28" s="11">
        <v>45682</v>
      </c>
      <c r="C28" s="1"/>
      <c r="D28" s="1"/>
      <c r="E28" s="1"/>
      <c r="F28" s="1"/>
      <c r="G28" s="1"/>
      <c r="H28" s="1">
        <v>60</v>
      </c>
      <c r="I28" s="1"/>
      <c r="J28" s="1"/>
      <c r="K28" s="1">
        <v>115</v>
      </c>
      <c r="L28" s="1"/>
      <c r="M28" s="1"/>
      <c r="N28" s="1"/>
      <c r="O28" s="1"/>
      <c r="P28" s="1"/>
      <c r="Q28" s="1"/>
      <c r="R28" s="1"/>
      <c r="S28" s="1"/>
    </row>
    <row r="29" spans="2:19" x14ac:dyDescent="0.25">
      <c r="B29" s="11">
        <v>45683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f>10+5000</f>
        <v>5010</v>
      </c>
      <c r="S29" s="1" t="s">
        <v>86</v>
      </c>
    </row>
    <row r="30" spans="2:19" x14ac:dyDescent="0.25">
      <c r="B30" s="11">
        <v>45684</v>
      </c>
      <c r="C30" s="1"/>
      <c r="D30" s="1"/>
      <c r="E30" s="1"/>
      <c r="F30" s="1"/>
      <c r="G30" s="1"/>
      <c r="H30" s="1"/>
      <c r="I30" s="1"/>
      <c r="J30" s="1"/>
      <c r="K30" s="1">
        <v>99</v>
      </c>
      <c r="L30" s="1"/>
      <c r="M30" s="1"/>
      <c r="N30" s="1"/>
      <c r="O30" s="1"/>
      <c r="P30" s="1"/>
      <c r="Q30" s="1"/>
      <c r="R30" s="1"/>
      <c r="S30" s="1"/>
    </row>
    <row r="31" spans="2:19" x14ac:dyDescent="0.25">
      <c r="B31" s="11">
        <v>45685</v>
      </c>
      <c r="C31" s="1"/>
      <c r="D31" s="1"/>
      <c r="E31" s="1"/>
      <c r="F31" s="1"/>
      <c r="G31" s="1"/>
      <c r="H31" s="1">
        <v>600</v>
      </c>
      <c r="I31" s="1"/>
      <c r="J31" s="1"/>
      <c r="K31" s="1">
        <v>60</v>
      </c>
      <c r="L31" s="1"/>
      <c r="M31" s="1"/>
      <c r="N31" s="1"/>
      <c r="O31" s="1"/>
      <c r="P31" s="1"/>
      <c r="Q31" s="1"/>
      <c r="R31" s="1">
        <f>200+40+100</f>
        <v>340</v>
      </c>
      <c r="S31" s="1" t="s">
        <v>85</v>
      </c>
    </row>
    <row r="32" spans="2:19" x14ac:dyDescent="0.25">
      <c r="B32" s="11">
        <v>45686</v>
      </c>
      <c r="C32" s="1"/>
      <c r="D32" s="1"/>
      <c r="E32" s="1"/>
      <c r="F32" s="1"/>
      <c r="G32" s="1"/>
      <c r="H32" s="1"/>
      <c r="I32" s="1"/>
      <c r="J32" s="1"/>
      <c r="K32" s="1">
        <f>100+30</f>
        <v>130</v>
      </c>
      <c r="L32" s="1"/>
      <c r="M32" s="1"/>
      <c r="N32" s="1"/>
      <c r="O32" s="1">
        <f>269+275</f>
        <v>544</v>
      </c>
      <c r="P32" s="1"/>
      <c r="Q32" s="1"/>
      <c r="R32" s="1">
        <f>590+1006</f>
        <v>1596</v>
      </c>
      <c r="S32" s="1" t="s">
        <v>87</v>
      </c>
    </row>
    <row r="33" spans="2:19" x14ac:dyDescent="0.25">
      <c r="B33" s="11">
        <v>45687</v>
      </c>
      <c r="C33" s="1"/>
      <c r="D33" s="1"/>
      <c r="E33" s="1"/>
      <c r="F33" s="1"/>
      <c r="G33" s="1"/>
      <c r="H33" s="1">
        <v>159</v>
      </c>
      <c r="I33" s="1"/>
      <c r="J33" s="1"/>
      <c r="K33" s="1"/>
      <c r="L33" s="1"/>
      <c r="M33" s="1"/>
      <c r="N33" s="1"/>
      <c r="O33" s="1"/>
      <c r="P33" s="1"/>
      <c r="Q33" s="1">
        <v>30</v>
      </c>
      <c r="R33" s="1"/>
      <c r="S33" s="1"/>
    </row>
    <row r="34" spans="2:19" x14ac:dyDescent="0.25">
      <c r="B34" s="11">
        <v>45688</v>
      </c>
      <c r="C34" s="1"/>
      <c r="D34" s="1"/>
      <c r="E34" s="1">
        <v>664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25">
      <c r="B35" s="7" t="s">
        <v>8</v>
      </c>
      <c r="C35" s="6">
        <f>SUM(C4:C34)</f>
        <v>23100</v>
      </c>
      <c r="D35" s="6">
        <f t="shared" ref="D35:R35" si="1">SUM(D4:D34)</f>
        <v>55778</v>
      </c>
      <c r="E35" s="6">
        <f t="shared" si="1"/>
        <v>664</v>
      </c>
      <c r="F35" s="6">
        <f t="shared" si="1"/>
        <v>805</v>
      </c>
      <c r="G35" s="6">
        <f t="shared" si="1"/>
        <v>920</v>
      </c>
      <c r="H35" s="6">
        <f t="shared" si="1"/>
        <v>9961</v>
      </c>
      <c r="I35" s="6">
        <f t="shared" si="1"/>
        <v>0</v>
      </c>
      <c r="J35" s="6">
        <f t="shared" si="1"/>
        <v>593</v>
      </c>
      <c r="K35" s="6">
        <f t="shared" si="1"/>
        <v>3764</v>
      </c>
      <c r="L35" s="6">
        <f t="shared" si="1"/>
        <v>0</v>
      </c>
      <c r="M35" s="6">
        <f t="shared" si="1"/>
        <v>772</v>
      </c>
      <c r="N35" s="6">
        <f t="shared" si="1"/>
        <v>7500</v>
      </c>
      <c r="O35" s="6">
        <f t="shared" si="1"/>
        <v>9620</v>
      </c>
      <c r="P35" s="6">
        <f t="shared" ref="P35:Q35" si="2">SUM(P4:P34)</f>
        <v>25000</v>
      </c>
      <c r="Q35" s="6">
        <f t="shared" si="2"/>
        <v>380</v>
      </c>
      <c r="R35" s="6">
        <f t="shared" si="1"/>
        <v>25657</v>
      </c>
      <c r="S35" s="1"/>
    </row>
    <row r="37" spans="2:19" x14ac:dyDescent="0.25">
      <c r="B37" s="28" t="s">
        <v>32</v>
      </c>
      <c r="C37" s="28"/>
    </row>
    <row r="38" spans="2:19" x14ac:dyDescent="0.25">
      <c r="B38" s="1" t="s">
        <v>25</v>
      </c>
      <c r="C38" s="1">
        <f>A2</f>
        <v>154777</v>
      </c>
    </row>
    <row r="39" spans="2:19" x14ac:dyDescent="0.25">
      <c r="B39" s="1" t="s">
        <v>26</v>
      </c>
      <c r="C39" s="1">
        <f>SUM(C35:R35)</f>
        <v>164514</v>
      </c>
    </row>
    <row r="40" spans="2:19" x14ac:dyDescent="0.25">
      <c r="B40" s="1" t="s">
        <v>18</v>
      </c>
      <c r="C40" s="1">
        <f>P35</f>
        <v>25000</v>
      </c>
    </row>
    <row r="41" spans="2:19" x14ac:dyDescent="0.25">
      <c r="B41" s="1" t="s">
        <v>27</v>
      </c>
      <c r="C41" s="1">
        <f>SUM(C3:R3)</f>
        <v>-8737</v>
      </c>
    </row>
    <row r="42" spans="2:19" x14ac:dyDescent="0.25">
      <c r="B42" s="1" t="s">
        <v>28</v>
      </c>
      <c r="C42" s="1">
        <f>C38-C39</f>
        <v>-9737</v>
      </c>
    </row>
    <row r="43" spans="2:19" ht="45" x14ac:dyDescent="0.25">
      <c r="B43" s="8" t="s">
        <v>29</v>
      </c>
      <c r="C43" s="1">
        <f>C39-C35-D35-P35</f>
        <v>60636</v>
      </c>
    </row>
    <row r="44" spans="2:19" x14ac:dyDescent="0.25">
      <c r="B44" s="8" t="s">
        <v>33</v>
      </c>
      <c r="C44" s="1">
        <f>SUM(C2,D2,E2,F2,G2,H2,I2,J2,L2)</f>
        <v>95378</v>
      </c>
    </row>
    <row r="45" spans="2:19" ht="45" x14ac:dyDescent="0.25">
      <c r="B45" s="8" t="s">
        <v>30</v>
      </c>
      <c r="C45" s="1">
        <f>C44/C38*100</f>
        <v>61.622850940385199</v>
      </c>
    </row>
    <row r="46" spans="2:19" x14ac:dyDescent="0.25">
      <c r="B46" s="8" t="s">
        <v>34</v>
      </c>
      <c r="C46" s="1">
        <f>SUM(K2,M2,O2,R2)</f>
        <v>35000</v>
      </c>
    </row>
    <row r="47" spans="2:19" ht="45" x14ac:dyDescent="0.25">
      <c r="B47" s="8" t="s">
        <v>31</v>
      </c>
      <c r="C47" s="1">
        <f>C46/C38*100</f>
        <v>22.613178960698292</v>
      </c>
    </row>
    <row r="48" spans="2:19" ht="30" x14ac:dyDescent="0.25">
      <c r="B48" s="8" t="s">
        <v>35</v>
      </c>
      <c r="C48" s="1">
        <f>P3/C38*100</f>
        <v>-6.849208861781789</v>
      </c>
    </row>
  </sheetData>
  <mergeCells count="1">
    <mergeCell ref="B37:C37"/>
  </mergeCells>
  <conditionalFormatting sqref="C3:R3">
    <cfRule type="cellIs" dxfId="9" priority="1" operator="lessThan">
      <formula>0</formula>
    </cfRule>
    <cfRule type="cellIs" dxfId="8" priority="3" operator="lessThan">
      <formula>30</formula>
    </cfRule>
  </conditionalFormatting>
  <conditionalFormatting sqref="D3:R3">
    <cfRule type="cellIs" dxfId="7" priority="2" operator="lessThan">
      <formula>30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B1" zoomScale="85" zoomScaleNormal="85" workbookViewId="0">
      <pane ySplit="1" topLeftCell="A8" activePane="bottomLeft" state="frozen"/>
      <selection activeCell="B1" sqref="B1"/>
      <selection pane="bottomLeft" activeCell="P2" sqref="P2"/>
    </sheetView>
  </sheetViews>
  <sheetFormatPr defaultRowHeight="15" x14ac:dyDescent="0.25"/>
  <cols>
    <col min="1" max="1" width="8.85546875" hidden="1" customWidth="1"/>
    <col min="2" max="2" width="18" bestFit="1" customWidth="1"/>
    <col min="3" max="3" width="16.5703125" customWidth="1"/>
    <col min="12" max="12" width="9.5703125" bestFit="1" customWidth="1"/>
    <col min="13" max="13" width="13.7109375" bestFit="1" customWidth="1"/>
    <col min="14" max="14" width="15" bestFit="1" customWidth="1"/>
    <col min="15" max="15" width="16.5703125" bestFit="1" customWidth="1"/>
    <col min="16" max="16" width="10.42578125" bestFit="1" customWidth="1"/>
    <col min="17" max="17" width="10.42578125" customWidth="1"/>
    <col min="18" max="18" width="20.5703125" customWidth="1"/>
    <col min="19" max="19" width="18.140625" customWidth="1"/>
  </cols>
  <sheetData>
    <row r="1" spans="1:19" x14ac:dyDescent="0.25">
      <c r="A1" t="s">
        <v>22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7</v>
      </c>
      <c r="G1" s="3" t="s">
        <v>17</v>
      </c>
      <c r="H1" s="3" t="s">
        <v>1</v>
      </c>
      <c r="I1" s="3" t="s">
        <v>6</v>
      </c>
      <c r="J1" s="3" t="s">
        <v>3</v>
      </c>
      <c r="K1" s="3" t="s">
        <v>9</v>
      </c>
      <c r="L1" s="3" t="s">
        <v>4</v>
      </c>
      <c r="M1" s="3" t="s">
        <v>19</v>
      </c>
      <c r="N1" s="3" t="s">
        <v>5</v>
      </c>
      <c r="O1" s="3" t="s">
        <v>10</v>
      </c>
      <c r="P1" s="3" t="s">
        <v>18</v>
      </c>
      <c r="Q1" s="3" t="s">
        <v>77</v>
      </c>
      <c r="R1" s="3" t="s">
        <v>20</v>
      </c>
      <c r="S1" s="3" t="s">
        <v>23</v>
      </c>
    </row>
    <row r="2" spans="1:19" x14ac:dyDescent="0.25">
      <c r="A2">
        <f>C35</f>
        <v>175182</v>
      </c>
      <c r="B2" s="9" t="s">
        <v>21</v>
      </c>
      <c r="C2" s="4">
        <v>23100</v>
      </c>
      <c r="D2" s="4">
        <v>55778</v>
      </c>
      <c r="E2" s="4">
        <v>1500</v>
      </c>
      <c r="F2" s="4">
        <v>1000</v>
      </c>
      <c r="G2" s="4">
        <v>1000</v>
      </c>
      <c r="H2" s="4">
        <v>10000</v>
      </c>
      <c r="I2" s="4">
        <v>1000</v>
      </c>
      <c r="J2" s="4">
        <v>500</v>
      </c>
      <c r="K2" s="4">
        <v>4000</v>
      </c>
      <c r="L2" s="4">
        <v>1000</v>
      </c>
      <c r="M2" s="4">
        <v>1000</v>
      </c>
      <c r="N2" s="4">
        <v>10000</v>
      </c>
      <c r="O2" s="4">
        <v>10000</v>
      </c>
      <c r="P2" s="4">
        <f>A2-SUM(C2:O2)-R2</f>
        <v>35304</v>
      </c>
      <c r="Q2" s="4">
        <v>1000</v>
      </c>
      <c r="R2" s="4">
        <v>20000</v>
      </c>
      <c r="S2" s="1"/>
    </row>
    <row r="3" spans="1:19" x14ac:dyDescent="0.25">
      <c r="B3" s="10" t="s">
        <v>24</v>
      </c>
      <c r="C3" s="5">
        <f t="shared" ref="C3:R3" si="0">C2-C32</f>
        <v>0</v>
      </c>
      <c r="D3" s="5">
        <f t="shared" si="0"/>
        <v>0</v>
      </c>
      <c r="E3" s="5">
        <f t="shared" si="0"/>
        <v>836</v>
      </c>
      <c r="F3" s="5">
        <f t="shared" si="0"/>
        <v>720</v>
      </c>
      <c r="G3" s="5">
        <f t="shared" si="0"/>
        <v>80</v>
      </c>
      <c r="H3" s="5">
        <f t="shared" si="0"/>
        <v>81</v>
      </c>
      <c r="I3" s="5">
        <f t="shared" si="0"/>
        <v>200</v>
      </c>
      <c r="J3" s="5">
        <f t="shared" si="0"/>
        <v>500</v>
      </c>
      <c r="K3" s="5">
        <f t="shared" si="0"/>
        <v>1654</v>
      </c>
      <c r="L3" s="5">
        <f t="shared" si="0"/>
        <v>1000</v>
      </c>
      <c r="M3" s="5">
        <f t="shared" si="0"/>
        <v>199</v>
      </c>
      <c r="N3" s="5">
        <f>N2-N32</f>
        <v>-3000</v>
      </c>
      <c r="O3" s="5">
        <f t="shared" si="0"/>
        <v>-455</v>
      </c>
      <c r="P3" s="5">
        <f t="shared" si="0"/>
        <v>10304</v>
      </c>
      <c r="Q3" s="5">
        <f t="shared" si="0"/>
        <v>1000</v>
      </c>
      <c r="R3" s="5">
        <f t="shared" si="0"/>
        <v>11671</v>
      </c>
      <c r="S3" s="1"/>
    </row>
    <row r="4" spans="1:19" x14ac:dyDescent="0.25">
      <c r="B4" s="11">
        <v>45689</v>
      </c>
      <c r="C4" s="1"/>
      <c r="D4" s="1"/>
      <c r="E4" s="1"/>
      <c r="F4" s="1"/>
      <c r="G4" s="1"/>
      <c r="H4" s="1">
        <v>44</v>
      </c>
      <c r="I4" s="1">
        <v>800</v>
      </c>
      <c r="J4" s="1"/>
      <c r="K4" s="1">
        <v>627</v>
      </c>
      <c r="L4" s="1"/>
      <c r="M4" s="1"/>
      <c r="N4" s="1"/>
      <c r="O4" s="1"/>
      <c r="P4" s="1">
        <v>15000</v>
      </c>
      <c r="Q4" s="1"/>
      <c r="R4" s="1"/>
      <c r="S4" s="1"/>
    </row>
    <row r="5" spans="1:19" x14ac:dyDescent="0.25">
      <c r="B5" s="11">
        <v>45690</v>
      </c>
      <c r="C5" s="1"/>
      <c r="D5" s="1"/>
      <c r="E5" s="1"/>
      <c r="F5" s="1">
        <v>280</v>
      </c>
      <c r="G5" s="1">
        <v>201</v>
      </c>
      <c r="H5" s="1">
        <f>526+200</f>
        <v>726</v>
      </c>
      <c r="I5" s="1"/>
      <c r="J5" s="1"/>
      <c r="K5" s="1">
        <v>265</v>
      </c>
      <c r="L5" s="1"/>
      <c r="M5" s="1"/>
      <c r="N5" s="1"/>
      <c r="O5" s="1"/>
      <c r="P5" s="1">
        <v>10000</v>
      </c>
      <c r="Q5" s="1"/>
      <c r="R5" s="1"/>
      <c r="S5" s="1"/>
    </row>
    <row r="6" spans="1:19" x14ac:dyDescent="0.25">
      <c r="B6" s="11">
        <v>45691</v>
      </c>
      <c r="C6" s="1">
        <v>23100</v>
      </c>
      <c r="D6" s="1"/>
      <c r="E6" s="1"/>
      <c r="F6" s="1"/>
      <c r="G6" s="1"/>
      <c r="H6" s="1">
        <f>660+74</f>
        <v>734</v>
      </c>
      <c r="I6" s="1"/>
      <c r="J6" s="1"/>
      <c r="K6" s="1"/>
      <c r="L6" s="1"/>
      <c r="M6" s="1"/>
      <c r="N6" s="1"/>
      <c r="O6" s="1">
        <v>371</v>
      </c>
      <c r="P6" s="1"/>
      <c r="Q6" s="1"/>
      <c r="R6" s="1"/>
      <c r="S6" s="1"/>
    </row>
    <row r="7" spans="1:19" x14ac:dyDescent="0.25">
      <c r="B7" s="11">
        <v>45692</v>
      </c>
      <c r="C7" s="1"/>
      <c r="D7" s="1"/>
      <c r="E7" s="1"/>
      <c r="F7" s="1"/>
      <c r="G7" s="1"/>
      <c r="H7" s="1">
        <v>350</v>
      </c>
      <c r="I7" s="1"/>
      <c r="J7" s="1"/>
      <c r="K7" s="1"/>
      <c r="L7" s="1"/>
      <c r="M7" s="1"/>
      <c r="N7" s="1"/>
      <c r="O7" s="1"/>
      <c r="P7" s="1"/>
      <c r="Q7" s="1">
        <v>50</v>
      </c>
      <c r="R7" s="1"/>
      <c r="S7" s="1"/>
    </row>
    <row r="8" spans="1:19" x14ac:dyDescent="0.25">
      <c r="B8" s="11">
        <v>45693</v>
      </c>
      <c r="C8" s="1"/>
      <c r="D8" s="1">
        <v>55778</v>
      </c>
      <c r="E8" s="1"/>
      <c r="F8" s="1"/>
      <c r="G8" s="1"/>
      <c r="H8" s="1"/>
      <c r="I8" s="1"/>
      <c r="J8" s="1"/>
      <c r="K8" s="1"/>
      <c r="L8" s="1"/>
      <c r="M8" s="1"/>
      <c r="N8" s="1">
        <v>10000</v>
      </c>
      <c r="O8" s="1"/>
      <c r="P8" s="1"/>
      <c r="Q8" s="1"/>
      <c r="R8" s="1"/>
      <c r="S8" s="1"/>
    </row>
    <row r="9" spans="1:19" x14ac:dyDescent="0.25">
      <c r="B9" s="11">
        <v>45694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f>249+188+649+217</f>
        <v>1303</v>
      </c>
      <c r="P9" s="1"/>
      <c r="Q9" s="1">
        <v>50</v>
      </c>
      <c r="R9" s="1"/>
      <c r="S9" s="1"/>
    </row>
    <row r="10" spans="1:19" x14ac:dyDescent="0.25">
      <c r="B10" s="11">
        <v>45695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199</v>
      </c>
      <c r="N10" s="1"/>
      <c r="O10" s="1"/>
      <c r="P10" s="1"/>
      <c r="Q10" s="1"/>
      <c r="R10" s="1"/>
      <c r="S10" s="1"/>
    </row>
    <row r="11" spans="1:19" x14ac:dyDescent="0.25">
      <c r="B11" s="11">
        <v>45696</v>
      </c>
      <c r="C11" s="1"/>
      <c r="D11" s="1"/>
      <c r="E11" s="1"/>
      <c r="F11" s="1"/>
      <c r="G11" s="1"/>
      <c r="H11" s="1">
        <f>200+20</f>
        <v>220</v>
      </c>
      <c r="I11" s="1"/>
      <c r="J11" s="1"/>
      <c r="K11" s="1"/>
      <c r="L11" s="1"/>
      <c r="M11" s="1">
        <v>29</v>
      </c>
      <c r="N11" s="1"/>
      <c r="O11" s="1"/>
      <c r="P11" s="1"/>
      <c r="Q11" s="1">
        <v>50</v>
      </c>
      <c r="R11" s="1"/>
      <c r="S11" s="1"/>
    </row>
    <row r="12" spans="1:19" x14ac:dyDescent="0.25">
      <c r="B12" s="11">
        <v>45697</v>
      </c>
      <c r="C12" s="1"/>
      <c r="D12" s="1"/>
      <c r="E12" s="1"/>
      <c r="F12" s="1"/>
      <c r="G12" s="1"/>
      <c r="H12" s="1"/>
      <c r="I12" s="1"/>
      <c r="J12" s="1"/>
      <c r="K12" s="1">
        <v>90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B13" s="11">
        <v>45698</v>
      </c>
      <c r="C13" s="1"/>
      <c r="D13" s="1"/>
      <c r="E13" s="1"/>
      <c r="F13" s="1"/>
      <c r="G13" s="1"/>
      <c r="H13" s="1">
        <v>180</v>
      </c>
      <c r="I13" s="1"/>
      <c r="J13" s="1"/>
      <c r="K13" s="1"/>
      <c r="L13" s="1"/>
      <c r="M13" s="1"/>
      <c r="N13" s="1"/>
      <c r="O13" s="1"/>
      <c r="P13" s="1"/>
      <c r="Q13" s="1"/>
      <c r="R13" s="1">
        <f>1800-1000</f>
        <v>800</v>
      </c>
      <c r="S13" s="1" t="s">
        <v>94</v>
      </c>
    </row>
    <row r="14" spans="1:19" x14ac:dyDescent="0.25">
      <c r="B14" s="11">
        <v>45699</v>
      </c>
      <c r="C14" s="1"/>
      <c r="D14" s="1"/>
      <c r="E14" s="1"/>
      <c r="F14" s="1"/>
      <c r="G14" s="1"/>
      <c r="H14" s="1">
        <v>210</v>
      </c>
      <c r="I14" s="1"/>
      <c r="J14" s="1"/>
      <c r="K14" s="1"/>
      <c r="L14" s="1"/>
      <c r="M14" s="1">
        <v>199</v>
      </c>
      <c r="N14" s="1"/>
      <c r="O14" s="1">
        <v>126</v>
      </c>
      <c r="P14" s="1"/>
      <c r="Q14" s="1">
        <v>50</v>
      </c>
      <c r="R14" s="1"/>
      <c r="S14" s="1"/>
    </row>
    <row r="15" spans="1:19" x14ac:dyDescent="0.25">
      <c r="B15" s="11">
        <v>45700</v>
      </c>
      <c r="C15" s="1"/>
      <c r="D15" s="1"/>
      <c r="E15" s="1"/>
      <c r="F15" s="1"/>
      <c r="G15" s="1"/>
      <c r="H15" s="1">
        <v>100</v>
      </c>
      <c r="I15" s="1"/>
      <c r="J15" s="1"/>
      <c r="K15" s="1"/>
      <c r="L15" s="1"/>
      <c r="M15" s="1"/>
      <c r="N15" s="1"/>
      <c r="O15" s="1">
        <v>1047</v>
      </c>
      <c r="P15" s="1"/>
      <c r="Q15" s="1"/>
      <c r="R15" s="1">
        <v>714</v>
      </c>
      <c r="S15" s="1" t="s">
        <v>78</v>
      </c>
    </row>
    <row r="16" spans="1:19" x14ac:dyDescent="0.25">
      <c r="B16" s="11">
        <v>45701</v>
      </c>
      <c r="C16" s="1"/>
      <c r="D16" s="1"/>
      <c r="E16" s="1"/>
      <c r="F16" s="1"/>
      <c r="G16" s="1"/>
      <c r="H16" s="1">
        <f>84+116</f>
        <v>200</v>
      </c>
      <c r="I16" s="1"/>
      <c r="J16" s="1"/>
      <c r="K16" s="1"/>
      <c r="L16" s="1"/>
      <c r="M16" s="1"/>
      <c r="N16" s="1"/>
      <c r="O16" s="1">
        <f>288+299+239+475+394</f>
        <v>1695</v>
      </c>
      <c r="P16" s="1"/>
      <c r="Q16" s="1"/>
      <c r="R16" s="1"/>
      <c r="S16" s="1"/>
    </row>
    <row r="17" spans="2:19" x14ac:dyDescent="0.25">
      <c r="B17" s="11">
        <v>45702</v>
      </c>
      <c r="C17" s="1"/>
      <c r="D17" s="1"/>
      <c r="E17" s="1"/>
      <c r="F17" s="1"/>
      <c r="G17" s="1">
        <f>249+470</f>
        <v>719</v>
      </c>
      <c r="H17" s="1"/>
      <c r="I17" s="1"/>
      <c r="J17" s="1"/>
      <c r="K17" s="1"/>
      <c r="L17" s="1"/>
      <c r="M17" s="1"/>
      <c r="N17" s="1"/>
      <c r="O17" s="1">
        <f>165+289+259+174</f>
        <v>887</v>
      </c>
      <c r="P17" s="1"/>
      <c r="Q17" s="1"/>
      <c r="R17" s="1"/>
      <c r="S17" s="1"/>
    </row>
    <row r="18" spans="2:19" x14ac:dyDescent="0.25">
      <c r="B18" s="11">
        <v>45703</v>
      </c>
      <c r="C18" s="1"/>
      <c r="D18" s="1"/>
      <c r="E18" s="1"/>
      <c r="F18" s="1"/>
      <c r="G18" s="1"/>
      <c r="H18" s="1">
        <f>240+3914</f>
        <v>4154</v>
      </c>
      <c r="I18" s="1"/>
      <c r="J18" s="1"/>
      <c r="K18" s="1">
        <v>285</v>
      </c>
      <c r="L18" s="1"/>
      <c r="M18" s="1"/>
      <c r="N18" s="1"/>
      <c r="O18" s="1">
        <f>449+525+999</f>
        <v>1973</v>
      </c>
      <c r="P18" s="1"/>
      <c r="Q18" s="1"/>
      <c r="R18" s="1">
        <f>100+10</f>
        <v>110</v>
      </c>
      <c r="S18" s="1" t="s">
        <v>122</v>
      </c>
    </row>
    <row r="19" spans="2:19" x14ac:dyDescent="0.25">
      <c r="B19" s="11">
        <v>45704</v>
      </c>
      <c r="C19" s="1"/>
      <c r="D19" s="1"/>
      <c r="E19" s="1"/>
      <c r="F19" s="1"/>
      <c r="G19" s="1"/>
      <c r="H19" s="1">
        <f>652+24</f>
        <v>676</v>
      </c>
      <c r="I19" s="1"/>
      <c r="J19" s="1"/>
      <c r="K19" s="1">
        <f>125+345</f>
        <v>470</v>
      </c>
      <c r="L19" s="1"/>
      <c r="M19" s="1"/>
      <c r="N19" s="1"/>
      <c r="O19" s="1"/>
      <c r="P19" s="1"/>
      <c r="Q19" s="1">
        <f>50+50</f>
        <v>100</v>
      </c>
      <c r="R19" s="1"/>
      <c r="S19" s="1"/>
    </row>
    <row r="20" spans="2:19" x14ac:dyDescent="0.25">
      <c r="B20" s="11">
        <v>45705</v>
      </c>
      <c r="C20" s="1"/>
      <c r="D20" s="1"/>
      <c r="E20" s="1"/>
      <c r="F20" s="1"/>
      <c r="G20" s="1"/>
      <c r="H20" s="1">
        <f>500+100+50+20</f>
        <v>670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1">
        <v>45706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11">
        <v>45707</v>
      </c>
      <c r="C22" s="1"/>
      <c r="D22" s="1"/>
      <c r="E22" s="1"/>
      <c r="F22" s="1"/>
      <c r="G22" s="1"/>
      <c r="H22" s="1">
        <f>19+12</f>
        <v>31</v>
      </c>
      <c r="I22" s="1"/>
      <c r="J22" s="1"/>
      <c r="K22" s="1"/>
      <c r="L22" s="1"/>
      <c r="M22" s="1"/>
      <c r="N22" s="1"/>
      <c r="O22" s="1"/>
      <c r="P22" s="1"/>
      <c r="Q22" s="1"/>
      <c r="R22" s="1">
        <v>599</v>
      </c>
      <c r="S22" s="1" t="s">
        <v>123</v>
      </c>
    </row>
    <row r="23" spans="2:19" x14ac:dyDescent="0.25">
      <c r="B23" s="11">
        <v>45708</v>
      </c>
      <c r="C23" s="1"/>
      <c r="D23" s="1"/>
      <c r="E23" s="1"/>
      <c r="F23" s="1"/>
      <c r="G23" s="1"/>
      <c r="H23" s="1">
        <f>400+24</f>
        <v>424</v>
      </c>
      <c r="I23" s="1"/>
      <c r="J23" s="1"/>
      <c r="K23" s="1"/>
      <c r="L23" s="1"/>
      <c r="M23" s="1">
        <v>299</v>
      </c>
      <c r="N23" s="1"/>
      <c r="O23" s="1"/>
      <c r="P23" s="1"/>
      <c r="Q23" s="1">
        <v>50</v>
      </c>
      <c r="R23" s="1">
        <v>160</v>
      </c>
      <c r="S23" s="1" t="s">
        <v>124</v>
      </c>
    </row>
    <row r="24" spans="2:19" x14ac:dyDescent="0.25">
      <c r="B24" s="11">
        <v>45709</v>
      </c>
      <c r="C24" s="1"/>
      <c r="D24" s="1"/>
      <c r="E24" s="1"/>
      <c r="F24" s="1"/>
      <c r="G24" s="1"/>
      <c r="H24" s="1">
        <v>100</v>
      </c>
      <c r="I24" s="1"/>
      <c r="J24" s="1"/>
      <c r="K24" s="1"/>
      <c r="L24" s="1"/>
      <c r="M24" s="1">
        <v>75</v>
      </c>
      <c r="N24" s="1"/>
      <c r="O24" s="1">
        <v>179</v>
      </c>
      <c r="P24" s="1"/>
      <c r="Q24" s="1"/>
      <c r="R24" s="1">
        <v>1896</v>
      </c>
      <c r="S24" s="1" t="s">
        <v>78</v>
      </c>
    </row>
    <row r="25" spans="2:19" x14ac:dyDescent="0.25">
      <c r="B25" s="11">
        <v>45710</v>
      </c>
      <c r="C25" s="1"/>
      <c r="D25" s="1"/>
      <c r="E25" s="1"/>
      <c r="F25" s="1"/>
      <c r="G25" s="1"/>
      <c r="H25" s="1"/>
      <c r="I25" s="1"/>
      <c r="J25" s="1"/>
      <c r="K25" s="1">
        <v>154</v>
      </c>
      <c r="L25" s="1"/>
      <c r="M25" s="1"/>
      <c r="N25" s="1">
        <v>3000</v>
      </c>
      <c r="O25" s="1">
        <v>272</v>
      </c>
      <c r="P25" s="1"/>
      <c r="Q25" s="1"/>
      <c r="R25" s="1"/>
      <c r="S25" s="1"/>
    </row>
    <row r="26" spans="2:19" x14ac:dyDescent="0.25">
      <c r="B26" s="11">
        <v>45711</v>
      </c>
      <c r="C26" s="1"/>
      <c r="D26" s="1"/>
      <c r="E26" s="1"/>
      <c r="F26" s="1"/>
      <c r="G26" s="1"/>
      <c r="H26" s="1"/>
      <c r="I26" s="1"/>
      <c r="J26" s="1"/>
      <c r="K26" s="1">
        <v>310</v>
      </c>
      <c r="L26" s="1"/>
      <c r="M26" s="1"/>
      <c r="N26" s="1"/>
      <c r="O26" s="1">
        <v>529</v>
      </c>
      <c r="P26" s="1"/>
      <c r="Q26" s="1">
        <v>50</v>
      </c>
      <c r="R26" s="1"/>
      <c r="S26" s="1"/>
    </row>
    <row r="27" spans="2:19" x14ac:dyDescent="0.25">
      <c r="B27" s="11">
        <v>45712</v>
      </c>
      <c r="C27" s="1"/>
      <c r="D27" s="1"/>
      <c r="E27" s="1"/>
      <c r="F27" s="1"/>
      <c r="G27" s="1"/>
      <c r="H27" s="1">
        <v>350</v>
      </c>
      <c r="I27" s="1"/>
      <c r="J27" s="1"/>
      <c r="K27" s="1">
        <v>145</v>
      </c>
      <c r="L27" s="1"/>
      <c r="M27" s="1"/>
      <c r="N27" s="1"/>
      <c r="O27" s="1">
        <v>289</v>
      </c>
      <c r="P27" s="1"/>
      <c r="Q27" s="1"/>
      <c r="R27" s="1"/>
      <c r="S27" s="1"/>
    </row>
    <row r="28" spans="2:19" x14ac:dyDescent="0.25">
      <c r="B28" s="11">
        <v>45713</v>
      </c>
      <c r="C28" s="1"/>
      <c r="D28" s="1"/>
      <c r="E28" s="1"/>
      <c r="F28" s="1"/>
      <c r="G28" s="1"/>
      <c r="H28" s="1">
        <v>690</v>
      </c>
      <c r="I28" s="1"/>
      <c r="J28" s="1"/>
      <c r="K28" s="1"/>
      <c r="L28" s="1"/>
      <c r="M28" s="1"/>
      <c r="N28" s="1"/>
      <c r="O28" s="1">
        <v>1499</v>
      </c>
      <c r="P28" s="1"/>
      <c r="Q28" s="1"/>
      <c r="R28" s="1"/>
      <c r="S28" s="1"/>
    </row>
    <row r="29" spans="2:19" x14ac:dyDescent="0.25">
      <c r="B29" s="11">
        <v>45714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285</v>
      </c>
      <c r="P29" s="1"/>
      <c r="Q29" s="1"/>
      <c r="R29" s="1"/>
      <c r="S29" s="1"/>
    </row>
    <row r="30" spans="2:19" x14ac:dyDescent="0.25">
      <c r="B30" s="11">
        <v>45715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50</v>
      </c>
      <c r="R30" s="1"/>
      <c r="S30" s="1"/>
    </row>
    <row r="31" spans="2:19" x14ac:dyDescent="0.25">
      <c r="B31" s="11">
        <v>45716</v>
      </c>
      <c r="C31" s="1"/>
      <c r="D31" s="1"/>
      <c r="E31" s="1">
        <v>664</v>
      </c>
      <c r="F31" s="1"/>
      <c r="G31" s="1"/>
      <c r="H31" s="1">
        <v>60</v>
      </c>
      <c r="I31" s="1"/>
      <c r="J31" s="1"/>
      <c r="K31" s="1"/>
      <c r="L31" s="1"/>
      <c r="M31" s="1"/>
      <c r="N31" s="1"/>
      <c r="O31" s="1"/>
      <c r="P31" s="1"/>
      <c r="Q31" s="1"/>
      <c r="R31" s="1">
        <f>90+1980+1980</f>
        <v>4050</v>
      </c>
      <c r="S31" s="1" t="s">
        <v>78</v>
      </c>
    </row>
    <row r="32" spans="2:19" x14ac:dyDescent="0.25">
      <c r="B32" s="7" t="s">
        <v>8</v>
      </c>
      <c r="C32" s="6">
        <f t="shared" ref="C32:R32" si="1">SUM(C4:C31)</f>
        <v>23100</v>
      </c>
      <c r="D32" s="6">
        <f t="shared" si="1"/>
        <v>55778</v>
      </c>
      <c r="E32" s="6">
        <f t="shared" si="1"/>
        <v>664</v>
      </c>
      <c r="F32" s="6">
        <f t="shared" si="1"/>
        <v>280</v>
      </c>
      <c r="G32" s="6">
        <f t="shared" si="1"/>
        <v>920</v>
      </c>
      <c r="H32" s="6">
        <f t="shared" si="1"/>
        <v>9919</v>
      </c>
      <c r="I32" s="6">
        <f t="shared" si="1"/>
        <v>800</v>
      </c>
      <c r="J32" s="6">
        <f t="shared" si="1"/>
        <v>0</v>
      </c>
      <c r="K32" s="6">
        <f t="shared" si="1"/>
        <v>2346</v>
      </c>
      <c r="L32" s="6">
        <f t="shared" si="1"/>
        <v>0</v>
      </c>
      <c r="M32" s="6">
        <f t="shared" si="1"/>
        <v>801</v>
      </c>
      <c r="N32" s="6">
        <f t="shared" si="1"/>
        <v>13000</v>
      </c>
      <c r="O32" s="6">
        <f t="shared" si="1"/>
        <v>10455</v>
      </c>
      <c r="P32" s="6">
        <f t="shared" si="1"/>
        <v>25000</v>
      </c>
      <c r="Q32" s="6"/>
      <c r="R32" s="6">
        <f t="shared" si="1"/>
        <v>8329</v>
      </c>
      <c r="S32" s="1"/>
    </row>
    <row r="34" spans="2:3" x14ac:dyDescent="0.25">
      <c r="B34" s="28" t="s">
        <v>32</v>
      </c>
      <c r="C34" s="28"/>
    </row>
    <row r="35" spans="2:3" x14ac:dyDescent="0.25">
      <c r="B35" s="1" t="s">
        <v>25</v>
      </c>
      <c r="C35" s="1">
        <v>175182</v>
      </c>
    </row>
    <row r="36" spans="2:3" x14ac:dyDescent="0.25">
      <c r="B36" s="1" t="s">
        <v>26</v>
      </c>
      <c r="C36" s="1">
        <f>SUM(C32:R32)</f>
        <v>151392</v>
      </c>
    </row>
    <row r="37" spans="2:3" x14ac:dyDescent="0.25">
      <c r="B37" s="1" t="s">
        <v>18</v>
      </c>
      <c r="C37" s="1">
        <f>P32</f>
        <v>25000</v>
      </c>
    </row>
    <row r="38" spans="2:3" x14ac:dyDescent="0.25">
      <c r="B38" s="1" t="s">
        <v>27</v>
      </c>
      <c r="C38" s="1">
        <f>SUM(C3:R3)</f>
        <v>24790</v>
      </c>
    </row>
    <row r="39" spans="2:3" x14ac:dyDescent="0.25">
      <c r="B39" s="1" t="s">
        <v>28</v>
      </c>
      <c r="C39" s="1">
        <f>C35-C36</f>
        <v>23790</v>
      </c>
    </row>
    <row r="40" spans="2:3" ht="45" x14ac:dyDescent="0.25">
      <c r="B40" s="8" t="s">
        <v>29</v>
      </c>
      <c r="C40" s="1">
        <f>C36-C32-D32-P32</f>
        <v>47514</v>
      </c>
    </row>
    <row r="41" spans="2:3" x14ac:dyDescent="0.25">
      <c r="B41" s="8" t="s">
        <v>33</v>
      </c>
      <c r="C41" s="1">
        <f>SUM(C2,D2,E2,F2,G2,H2,I2,J2,L2)</f>
        <v>94878</v>
      </c>
    </row>
    <row r="42" spans="2:3" ht="45" x14ac:dyDescent="0.25">
      <c r="B42" s="8" t="s">
        <v>30</v>
      </c>
      <c r="C42" s="1">
        <f>C41/C35*100</f>
        <v>54.159673939103335</v>
      </c>
    </row>
    <row r="43" spans="2:3" x14ac:dyDescent="0.25">
      <c r="B43" s="8" t="s">
        <v>34</v>
      </c>
      <c r="C43" s="1">
        <f>SUM(K2,M2,O2,R2)</f>
        <v>35000</v>
      </c>
    </row>
    <row r="44" spans="2:3" ht="45" x14ac:dyDescent="0.25">
      <c r="B44" s="8" t="s">
        <v>31</v>
      </c>
      <c r="C44" s="1">
        <f>C43/C35*100</f>
        <v>19.979221609526093</v>
      </c>
    </row>
    <row r="45" spans="2:3" ht="30" x14ac:dyDescent="0.25">
      <c r="B45" s="8" t="s">
        <v>35</v>
      </c>
      <c r="C45" s="1">
        <f>P3/C35*100</f>
        <v>5.8818828418444813</v>
      </c>
    </row>
  </sheetData>
  <mergeCells count="1">
    <mergeCell ref="B34:C34"/>
  </mergeCells>
  <conditionalFormatting sqref="C3">
    <cfRule type="cellIs" dxfId="6" priority="3" operator="lessThan">
      <formula>0</formula>
    </cfRule>
    <cfRule type="cellIs" dxfId="5" priority="4" operator="lessThan">
      <formula>30</formula>
    </cfRule>
  </conditionalFormatting>
  <conditionalFormatting sqref="D3:R3">
    <cfRule type="cellIs" dxfId="4" priority="1" operator="lessThan">
      <formula>0</formula>
    </cfRule>
    <cfRule type="cellIs" dxfId="3" priority="2" operator="lessThan">
      <formula>30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B1" zoomScale="90" zoomScaleNormal="90" workbookViewId="0">
      <pane ySplit="1" topLeftCell="A14" activePane="bottomLeft" state="frozen"/>
      <selection activeCell="B1" sqref="B1"/>
      <selection pane="bottomLeft" activeCell="S18" sqref="S18"/>
    </sheetView>
  </sheetViews>
  <sheetFormatPr defaultRowHeight="15" x14ac:dyDescent="0.25"/>
  <cols>
    <col min="1" max="1" width="8.85546875" hidden="1" customWidth="1"/>
    <col min="2" max="2" width="20.42578125" bestFit="1" customWidth="1"/>
    <col min="3" max="3" width="16.5703125" customWidth="1"/>
    <col min="12" max="12" width="9.5703125" bestFit="1" customWidth="1"/>
    <col min="13" max="13" width="13" customWidth="1"/>
    <col min="14" max="14" width="15" bestFit="1" customWidth="1"/>
    <col min="15" max="15" width="16.5703125" bestFit="1" customWidth="1"/>
    <col min="16" max="16" width="11.140625" bestFit="1" customWidth="1"/>
    <col min="17" max="17" width="11.140625" customWidth="1"/>
    <col min="18" max="18" width="21.140625" bestFit="1" customWidth="1"/>
    <col min="19" max="19" width="27.42578125" customWidth="1"/>
  </cols>
  <sheetData>
    <row r="1" spans="1:19" x14ac:dyDescent="0.25">
      <c r="A1" t="s">
        <v>22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7</v>
      </c>
      <c r="G1" s="3" t="s">
        <v>17</v>
      </c>
      <c r="H1" s="3" t="s">
        <v>1</v>
      </c>
      <c r="I1" s="3" t="s">
        <v>6</v>
      </c>
      <c r="J1" s="3" t="s">
        <v>3</v>
      </c>
      <c r="K1" s="3" t="s">
        <v>9</v>
      </c>
      <c r="L1" s="3" t="s">
        <v>4</v>
      </c>
      <c r="M1" s="3" t="s">
        <v>19</v>
      </c>
      <c r="N1" s="3" t="s">
        <v>5</v>
      </c>
      <c r="O1" s="3" t="s">
        <v>10</v>
      </c>
      <c r="P1" s="3" t="s">
        <v>18</v>
      </c>
      <c r="Q1" s="3" t="s">
        <v>77</v>
      </c>
      <c r="R1" s="3" t="s">
        <v>20</v>
      </c>
      <c r="S1" s="3" t="s">
        <v>23</v>
      </c>
    </row>
    <row r="2" spans="1:19" x14ac:dyDescent="0.25">
      <c r="A2">
        <f>C38</f>
        <v>175906</v>
      </c>
      <c r="B2" s="9" t="s">
        <v>21</v>
      </c>
      <c r="C2" s="4">
        <v>23100</v>
      </c>
      <c r="D2" s="4">
        <v>55778</v>
      </c>
      <c r="E2" s="4">
        <v>1500</v>
      </c>
      <c r="F2" s="4">
        <v>1000</v>
      </c>
      <c r="G2" s="4">
        <v>1000</v>
      </c>
      <c r="H2" s="4">
        <v>10000</v>
      </c>
      <c r="I2" s="4">
        <v>1000</v>
      </c>
      <c r="J2" s="4">
        <v>1000</v>
      </c>
      <c r="K2" s="4">
        <v>4000</v>
      </c>
      <c r="L2" s="4">
        <v>1000</v>
      </c>
      <c r="M2" s="4">
        <v>1000</v>
      </c>
      <c r="N2" s="4">
        <v>10000</v>
      </c>
      <c r="O2" s="4">
        <v>10000</v>
      </c>
      <c r="P2" s="4">
        <f>A2-SUM(C2:O2)-R2</f>
        <v>35528</v>
      </c>
      <c r="Q2" s="4">
        <v>1000</v>
      </c>
      <c r="R2" s="4">
        <v>20000</v>
      </c>
      <c r="S2" s="1"/>
    </row>
    <row r="3" spans="1:19" x14ac:dyDescent="0.25">
      <c r="B3" s="10" t="s">
        <v>24</v>
      </c>
      <c r="C3" s="5">
        <f>C2-C35</f>
        <v>1870</v>
      </c>
      <c r="D3" s="5">
        <f t="shared" ref="D3:R3" si="0">D2-D35</f>
        <v>0</v>
      </c>
      <c r="E3" s="5">
        <f t="shared" si="0"/>
        <v>1500</v>
      </c>
      <c r="F3" s="5">
        <f t="shared" si="0"/>
        <v>370</v>
      </c>
      <c r="G3" s="5">
        <f t="shared" si="0"/>
        <v>-615</v>
      </c>
      <c r="H3" s="5">
        <f t="shared" si="0"/>
        <v>-169</v>
      </c>
      <c r="I3" s="5">
        <f t="shared" si="0"/>
        <v>1000</v>
      </c>
      <c r="J3" s="5">
        <f t="shared" si="0"/>
        <v>165</v>
      </c>
      <c r="K3" s="5">
        <f t="shared" si="0"/>
        <v>189</v>
      </c>
      <c r="L3" s="5">
        <f t="shared" si="0"/>
        <v>-3</v>
      </c>
      <c r="M3" s="5">
        <f t="shared" si="0"/>
        <v>228</v>
      </c>
      <c r="N3" s="5">
        <f t="shared" si="0"/>
        <v>2000</v>
      </c>
      <c r="O3" s="5">
        <f t="shared" si="0"/>
        <v>1931</v>
      </c>
      <c r="P3" s="5">
        <f t="shared" si="0"/>
        <v>35528</v>
      </c>
      <c r="Q3" s="5">
        <f t="shared" si="0"/>
        <v>-119</v>
      </c>
      <c r="R3" s="5">
        <f t="shared" si="0"/>
        <v>7897</v>
      </c>
      <c r="S3" s="1"/>
    </row>
    <row r="4" spans="1:19" x14ac:dyDescent="0.25">
      <c r="B4" s="11">
        <v>45658</v>
      </c>
      <c r="C4" s="1">
        <f>19430+1000+800</f>
        <v>21230</v>
      </c>
      <c r="D4" s="1"/>
      <c r="E4" s="1"/>
      <c r="F4" s="1"/>
      <c r="G4" s="1"/>
      <c r="H4" s="1">
        <v>80</v>
      </c>
      <c r="I4" s="1"/>
      <c r="J4" s="1"/>
      <c r="K4" s="1">
        <v>603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B5" s="11">
        <v>45659</v>
      </c>
      <c r="C5" s="1"/>
      <c r="D5" s="1"/>
      <c r="E5" s="1"/>
      <c r="F5" s="1"/>
      <c r="G5" s="1">
        <v>202</v>
      </c>
      <c r="H5" s="1"/>
      <c r="I5" s="1"/>
      <c r="J5" s="1"/>
      <c r="K5" s="1"/>
      <c r="L5" s="1"/>
      <c r="M5" s="1"/>
      <c r="N5" s="1"/>
      <c r="O5" s="1">
        <v>462</v>
      </c>
      <c r="P5" s="1"/>
      <c r="Q5" s="1">
        <v>50</v>
      </c>
      <c r="R5" s="1"/>
      <c r="S5" s="1"/>
    </row>
    <row r="6" spans="1:19" x14ac:dyDescent="0.25">
      <c r="B6" s="11">
        <v>45660</v>
      </c>
      <c r="C6" s="1"/>
      <c r="D6" s="1"/>
      <c r="E6" s="1"/>
      <c r="F6" s="1"/>
      <c r="G6" s="1"/>
      <c r="H6" s="1">
        <v>556</v>
      </c>
      <c r="I6" s="1"/>
      <c r="J6" s="1"/>
      <c r="K6" s="1"/>
      <c r="L6" s="1"/>
      <c r="M6" s="1"/>
      <c r="N6" s="1"/>
      <c r="O6" s="1">
        <v>439</v>
      </c>
      <c r="P6" s="1"/>
      <c r="Q6" s="1"/>
      <c r="R6" s="1"/>
      <c r="S6" s="1"/>
    </row>
    <row r="7" spans="1:19" x14ac:dyDescent="0.25">
      <c r="B7" s="11">
        <v>45661</v>
      </c>
      <c r="C7" s="1"/>
      <c r="D7" s="1"/>
      <c r="E7" s="1"/>
      <c r="F7" s="1">
        <v>630</v>
      </c>
      <c r="G7" s="1"/>
      <c r="H7" s="1"/>
      <c r="I7" s="1"/>
      <c r="J7" s="1"/>
      <c r="K7" s="1"/>
      <c r="L7" s="1"/>
      <c r="M7" s="1"/>
      <c r="N7" s="1"/>
      <c r="O7" s="1"/>
      <c r="P7" s="1"/>
      <c r="Q7" s="1">
        <v>50</v>
      </c>
      <c r="R7" s="1"/>
      <c r="S7" s="1"/>
    </row>
    <row r="8" spans="1:19" x14ac:dyDescent="0.25">
      <c r="B8" s="11">
        <v>45662</v>
      </c>
      <c r="C8" s="1"/>
      <c r="D8" s="1"/>
      <c r="E8" s="1"/>
      <c r="F8" s="1"/>
      <c r="G8" s="1"/>
      <c r="H8" s="1">
        <v>425</v>
      </c>
      <c r="I8" s="1"/>
      <c r="J8" s="1"/>
      <c r="K8" s="1"/>
      <c r="L8" s="1"/>
      <c r="M8" s="1"/>
      <c r="N8" s="1"/>
      <c r="O8" s="1"/>
      <c r="P8" s="1"/>
      <c r="Q8" s="1">
        <v>50</v>
      </c>
      <c r="R8" s="1">
        <f>500+120</f>
        <v>620</v>
      </c>
      <c r="S8" s="1" t="s">
        <v>130</v>
      </c>
    </row>
    <row r="9" spans="1:19" x14ac:dyDescent="0.25">
      <c r="B9" s="11">
        <v>45663</v>
      </c>
      <c r="C9" s="1"/>
      <c r="D9" s="1"/>
      <c r="E9" s="1"/>
      <c r="F9" s="1"/>
      <c r="G9" s="1"/>
      <c r="H9" s="1">
        <f>136+60</f>
        <v>196</v>
      </c>
      <c r="I9" s="1"/>
      <c r="J9" s="1"/>
      <c r="K9" s="1"/>
      <c r="L9" s="1"/>
      <c r="M9" s="1"/>
      <c r="N9" s="1"/>
      <c r="O9" s="1">
        <v>249</v>
      </c>
      <c r="P9" s="1"/>
      <c r="Q9" s="1"/>
      <c r="R9" s="1">
        <v>10</v>
      </c>
      <c r="S9" s="1" t="s">
        <v>131</v>
      </c>
    </row>
    <row r="10" spans="1:19" x14ac:dyDescent="0.25">
      <c r="B10" s="11">
        <v>45664</v>
      </c>
      <c r="C10" s="1"/>
      <c r="D10" s="1"/>
      <c r="E10" s="1"/>
      <c r="F10" s="1"/>
      <c r="G10" s="1"/>
      <c r="H10" s="1">
        <v>88</v>
      </c>
      <c r="I10" s="1"/>
      <c r="J10" s="1"/>
      <c r="K10" s="1"/>
      <c r="L10" s="1"/>
      <c r="M10" s="1">
        <v>199</v>
      </c>
      <c r="N10" s="1"/>
      <c r="O10" s="1">
        <v>722</v>
      </c>
      <c r="P10" s="1"/>
      <c r="Q10" s="1"/>
      <c r="R10" s="1"/>
      <c r="S10" s="1"/>
    </row>
    <row r="11" spans="1:19" x14ac:dyDescent="0.25">
      <c r="B11" s="11">
        <v>45665</v>
      </c>
      <c r="C11" s="1"/>
      <c r="D11" s="1"/>
      <c r="E11" s="1"/>
      <c r="F11" s="1"/>
      <c r="G11" s="1"/>
      <c r="H11" s="1"/>
      <c r="I11" s="1"/>
      <c r="J11" s="1"/>
      <c r="K11" s="1">
        <v>676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B12" s="11">
        <v>45666</v>
      </c>
      <c r="C12" s="1"/>
      <c r="D12" s="1"/>
      <c r="E12" s="1"/>
      <c r="F12" s="1"/>
      <c r="G12" s="1"/>
      <c r="H12" s="1">
        <v>34</v>
      </c>
      <c r="I12" s="1"/>
      <c r="J12" s="1"/>
      <c r="K12" s="1"/>
      <c r="L12" s="1"/>
      <c r="M12" s="1"/>
      <c r="N12" s="1"/>
      <c r="O12" s="1">
        <f>289+649</f>
        <v>938</v>
      </c>
      <c r="P12" s="1"/>
      <c r="Q12" s="1">
        <f>50+50</f>
        <v>100</v>
      </c>
      <c r="R12" s="1"/>
      <c r="S12" s="1"/>
    </row>
    <row r="13" spans="1:19" x14ac:dyDescent="0.25">
      <c r="B13" s="11">
        <v>45667</v>
      </c>
      <c r="C13" s="1"/>
      <c r="D13" s="1"/>
      <c r="E13" s="1"/>
      <c r="F13" s="1"/>
      <c r="G13" s="1"/>
      <c r="H13" s="1">
        <f>250+345+662</f>
        <v>1257</v>
      </c>
      <c r="I13" s="1"/>
      <c r="J13" s="1">
        <v>835</v>
      </c>
      <c r="K13" s="1"/>
      <c r="L13" s="1"/>
      <c r="M13" s="1"/>
      <c r="N13" s="1"/>
      <c r="O13" s="1">
        <f>332+339</f>
        <v>671</v>
      </c>
      <c r="P13" s="1"/>
      <c r="Q13" s="1"/>
      <c r="R13" s="1">
        <v>350</v>
      </c>
      <c r="S13" s="1" t="s">
        <v>132</v>
      </c>
    </row>
    <row r="14" spans="1:19" x14ac:dyDescent="0.25">
      <c r="B14" s="11">
        <v>45668</v>
      </c>
      <c r="C14" s="1"/>
      <c r="D14" s="1">
        <v>55778</v>
      </c>
      <c r="E14" s="1"/>
      <c r="F14" s="1"/>
      <c r="G14" s="1"/>
      <c r="H14" s="1"/>
      <c r="I14" s="1"/>
      <c r="J14" s="1"/>
      <c r="K14" s="1"/>
      <c r="L14" s="1"/>
      <c r="M14" s="1">
        <v>199</v>
      </c>
      <c r="N14" s="1"/>
      <c r="O14" s="1">
        <f>342+499+299</f>
        <v>1140</v>
      </c>
      <c r="P14" s="1"/>
      <c r="Q14" s="1"/>
      <c r="R14" s="1"/>
      <c r="S14" s="1"/>
    </row>
    <row r="15" spans="1:19" x14ac:dyDescent="0.25">
      <c r="B15" s="11">
        <v>45669</v>
      </c>
      <c r="C15" s="1"/>
      <c r="D15" s="1"/>
      <c r="E15" s="1"/>
      <c r="F15" s="1"/>
      <c r="G15" s="1">
        <v>470</v>
      </c>
      <c r="H15" s="1">
        <f>320+200</f>
        <v>520</v>
      </c>
      <c r="I15" s="1"/>
      <c r="J15" s="1"/>
      <c r="K15" s="1"/>
      <c r="L15" s="1"/>
      <c r="M15" s="1"/>
      <c r="N15" s="1"/>
      <c r="O15" s="1">
        <f>249+332</f>
        <v>581</v>
      </c>
      <c r="P15" s="1"/>
      <c r="Q15" s="1">
        <v>50</v>
      </c>
      <c r="R15" s="1"/>
      <c r="S15" s="1"/>
    </row>
    <row r="16" spans="1:19" x14ac:dyDescent="0.25">
      <c r="B16" s="11">
        <v>45670</v>
      </c>
      <c r="C16" s="1"/>
      <c r="D16" s="1"/>
      <c r="E16" s="1"/>
      <c r="F16" s="1"/>
      <c r="G16" s="1"/>
      <c r="H16" s="1">
        <v>244</v>
      </c>
      <c r="I16" s="1"/>
      <c r="J16" s="1"/>
      <c r="K16" s="1"/>
      <c r="L16" s="1">
        <v>1003</v>
      </c>
      <c r="M16" s="1"/>
      <c r="N16" s="1"/>
      <c r="O16" s="1"/>
      <c r="P16" s="1"/>
      <c r="Q16" s="1"/>
      <c r="R16" s="1"/>
      <c r="S16" s="1"/>
    </row>
    <row r="17" spans="2:19" x14ac:dyDescent="0.25">
      <c r="B17" s="11">
        <v>45671</v>
      </c>
      <c r="C17" s="1"/>
      <c r="D17" s="1"/>
      <c r="E17" s="1"/>
      <c r="F17" s="1"/>
      <c r="G17" s="1">
        <v>741</v>
      </c>
      <c r="H17" s="1">
        <f>116+72</f>
        <v>188</v>
      </c>
      <c r="I17" s="1"/>
      <c r="J17" s="1"/>
      <c r="K17" s="1"/>
      <c r="L17" s="1"/>
      <c r="M17" s="1"/>
      <c r="N17" s="1"/>
      <c r="O17" s="1"/>
      <c r="P17" s="1"/>
      <c r="Q17" s="1">
        <v>50</v>
      </c>
      <c r="R17" s="1"/>
      <c r="S17" s="1"/>
    </row>
    <row r="18" spans="2:19" x14ac:dyDescent="0.25">
      <c r="B18" s="11">
        <v>45672</v>
      </c>
      <c r="C18" s="1"/>
      <c r="D18" s="1"/>
      <c r="E18" s="1"/>
      <c r="F18" s="1"/>
      <c r="G18" s="1"/>
      <c r="H18" s="1">
        <v>110</v>
      </c>
      <c r="I18" s="1"/>
      <c r="J18" s="1"/>
      <c r="K18" s="1">
        <f>293+120+130</f>
        <v>543</v>
      </c>
      <c r="L18" s="1"/>
      <c r="M18" s="1"/>
      <c r="N18" s="1"/>
      <c r="O18" s="1"/>
      <c r="P18" s="1"/>
      <c r="Q18" s="1"/>
      <c r="R18" s="1">
        <f>369+280+170</f>
        <v>819</v>
      </c>
      <c r="S18" s="1" t="s">
        <v>135</v>
      </c>
    </row>
    <row r="19" spans="2:19" x14ac:dyDescent="0.25">
      <c r="B19" s="11">
        <v>45673</v>
      </c>
      <c r="C19" s="1"/>
      <c r="D19" s="1"/>
      <c r="E19" s="1"/>
      <c r="F19" s="1"/>
      <c r="G19" s="1"/>
      <c r="H19" s="1">
        <f>1000+234</f>
        <v>1234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11">
        <v>45674</v>
      </c>
      <c r="C20" s="1"/>
      <c r="D20" s="1"/>
      <c r="E20" s="1"/>
      <c r="F20" s="1"/>
      <c r="G20" s="1"/>
      <c r="H20" s="1">
        <v>204</v>
      </c>
      <c r="I20" s="1"/>
      <c r="J20" s="1"/>
      <c r="K20" s="1"/>
      <c r="L20" s="1"/>
      <c r="M20" s="1"/>
      <c r="N20" s="1"/>
      <c r="O20" s="1"/>
      <c r="P20" s="1"/>
      <c r="Q20" s="1">
        <v>50</v>
      </c>
      <c r="R20" s="1">
        <v>700</v>
      </c>
      <c r="S20" s="1" t="s">
        <v>136</v>
      </c>
    </row>
    <row r="21" spans="2:19" x14ac:dyDescent="0.25">
      <c r="B21" s="11">
        <v>45675</v>
      </c>
      <c r="C21" s="1"/>
      <c r="D21" s="1"/>
      <c r="E21" s="1"/>
      <c r="F21" s="1"/>
      <c r="G21" s="1"/>
      <c r="H21" s="1">
        <v>192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11">
        <v>45676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f>500+349</f>
        <v>849</v>
      </c>
      <c r="P22" s="1"/>
      <c r="Q22" s="1">
        <v>50</v>
      </c>
      <c r="R22" s="1">
        <v>1250</v>
      </c>
      <c r="S22" s="1" t="s">
        <v>137</v>
      </c>
    </row>
    <row r="23" spans="2:19" x14ac:dyDescent="0.25">
      <c r="B23" s="11">
        <v>45677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v>299</v>
      </c>
      <c r="N23" s="1"/>
      <c r="O23" s="1">
        <f>303+260</f>
        <v>563</v>
      </c>
      <c r="P23" s="1"/>
      <c r="Q23" s="1"/>
      <c r="R23" s="1">
        <v>6845</v>
      </c>
      <c r="S23" s="1" t="s">
        <v>138</v>
      </c>
    </row>
    <row r="24" spans="2:19" x14ac:dyDescent="0.25">
      <c r="B24" s="11">
        <v>45678</v>
      </c>
      <c r="C24" s="1"/>
      <c r="D24" s="1"/>
      <c r="E24" s="1"/>
      <c r="F24" s="1"/>
      <c r="G24" s="1"/>
      <c r="H24" s="1">
        <f>104+172</f>
        <v>276</v>
      </c>
      <c r="I24" s="1"/>
      <c r="J24" s="1"/>
      <c r="K24" s="1"/>
      <c r="L24" s="1"/>
      <c r="M24" s="1">
        <v>75</v>
      </c>
      <c r="N24" s="1">
        <v>3000</v>
      </c>
      <c r="O24" s="1">
        <f>283+221</f>
        <v>504</v>
      </c>
      <c r="P24" s="1"/>
      <c r="Q24" s="1"/>
      <c r="R24" s="1"/>
      <c r="S24" s="1"/>
    </row>
    <row r="25" spans="2:19" x14ac:dyDescent="0.25">
      <c r="B25" s="11">
        <v>45679</v>
      </c>
      <c r="C25" s="1"/>
      <c r="D25" s="1"/>
      <c r="E25" s="1"/>
      <c r="F25" s="1"/>
      <c r="G25" s="1"/>
      <c r="H25" s="1">
        <v>785</v>
      </c>
      <c r="I25" s="1"/>
      <c r="J25" s="1"/>
      <c r="K25" s="1">
        <v>548</v>
      </c>
      <c r="L25" s="1"/>
      <c r="M25" s="1"/>
      <c r="N25" s="1"/>
      <c r="O25" s="1"/>
      <c r="P25" s="1"/>
      <c r="Q25" s="1">
        <v>50</v>
      </c>
      <c r="R25" s="1">
        <v>299</v>
      </c>
      <c r="S25" s="1" t="s">
        <v>139</v>
      </c>
    </row>
    <row r="26" spans="2:19" x14ac:dyDescent="0.25">
      <c r="B26" s="11">
        <v>45680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f>271+299</f>
        <v>570</v>
      </c>
      <c r="P26" s="1"/>
      <c r="Q26" s="1"/>
      <c r="R26" s="1"/>
      <c r="S26" s="1"/>
    </row>
    <row r="27" spans="2:19" x14ac:dyDescent="0.25">
      <c r="B27" s="11">
        <v>45681</v>
      </c>
      <c r="C27" s="1"/>
      <c r="D27" s="1"/>
      <c r="E27" s="1"/>
      <c r="F27" s="1"/>
      <c r="G27" s="1"/>
      <c r="H27" s="1">
        <v>124</v>
      </c>
      <c r="I27" s="1"/>
      <c r="J27" s="1"/>
      <c r="K27" s="1"/>
      <c r="L27" s="1"/>
      <c r="M27" s="1"/>
      <c r="N27" s="1">
        <v>5000</v>
      </c>
      <c r="O27" s="1"/>
      <c r="P27" s="1"/>
      <c r="Q27" s="1"/>
      <c r="R27" s="1">
        <v>50</v>
      </c>
      <c r="S27" s="1" t="s">
        <v>140</v>
      </c>
    </row>
    <row r="28" spans="2:19" x14ac:dyDescent="0.25">
      <c r="B28" s="11">
        <v>45682</v>
      </c>
      <c r="C28" s="1"/>
      <c r="D28" s="1"/>
      <c r="E28" s="1"/>
      <c r="F28" s="1"/>
      <c r="G28" s="1"/>
      <c r="H28" s="1">
        <v>190</v>
      </c>
      <c r="I28" s="1"/>
      <c r="J28" s="1"/>
      <c r="K28" s="1"/>
      <c r="L28" s="1"/>
      <c r="M28" s="1"/>
      <c r="N28" s="1"/>
      <c r="O28" s="1"/>
      <c r="P28" s="1"/>
      <c r="Q28" s="1">
        <v>50</v>
      </c>
      <c r="R28" s="1">
        <v>260</v>
      </c>
      <c r="S28" s="1" t="s">
        <v>78</v>
      </c>
    </row>
    <row r="29" spans="2:19" x14ac:dyDescent="0.25">
      <c r="B29" s="11">
        <v>45683</v>
      </c>
      <c r="C29" s="1"/>
      <c r="D29" s="1"/>
      <c r="E29" s="1"/>
      <c r="F29" s="1"/>
      <c r="G29" s="1"/>
      <c r="H29" s="1">
        <v>1000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5">
      <c r="B30" s="11">
        <v>45684</v>
      </c>
      <c r="C30" s="1"/>
      <c r="D30" s="1"/>
      <c r="E30" s="1"/>
      <c r="F30" s="1"/>
      <c r="G30" s="1"/>
      <c r="H30" s="1">
        <f>1125+442</f>
        <v>1567</v>
      </c>
      <c r="I30" s="1"/>
      <c r="J30" s="1"/>
      <c r="K30" s="1"/>
      <c r="L30" s="1"/>
      <c r="M30" s="1"/>
      <c r="N30" s="1"/>
      <c r="O30" s="1"/>
      <c r="P30" s="1"/>
      <c r="Q30" s="1">
        <v>50</v>
      </c>
      <c r="R30" s="1"/>
      <c r="S30" s="1"/>
    </row>
    <row r="31" spans="2:19" x14ac:dyDescent="0.25">
      <c r="B31" s="11">
        <v>45685</v>
      </c>
      <c r="C31" s="1"/>
      <c r="D31" s="1"/>
      <c r="E31" s="1"/>
      <c r="F31" s="1"/>
      <c r="G31" s="1"/>
      <c r="H31" s="1">
        <v>35</v>
      </c>
      <c r="I31" s="1"/>
      <c r="J31" s="1"/>
      <c r="K31" s="1"/>
      <c r="L31" s="1"/>
      <c r="M31" s="1"/>
      <c r="N31" s="1"/>
      <c r="O31" s="1"/>
      <c r="P31" s="1"/>
      <c r="Q31" s="1">
        <f>30+489</f>
        <v>519</v>
      </c>
      <c r="R31" s="1"/>
      <c r="S31" s="1"/>
    </row>
    <row r="32" spans="2:19" x14ac:dyDescent="0.25">
      <c r="B32" s="11">
        <v>45686</v>
      </c>
      <c r="C32" s="1"/>
      <c r="D32" s="1"/>
      <c r="E32" s="1"/>
      <c r="F32" s="1"/>
      <c r="G32" s="1"/>
      <c r="H32" s="1">
        <v>704</v>
      </c>
      <c r="I32" s="1"/>
      <c r="J32" s="1"/>
      <c r="K32" s="1">
        <f>177+637+292+250</f>
        <v>1356</v>
      </c>
      <c r="L32" s="1"/>
      <c r="M32" s="1"/>
      <c r="N32" s="1"/>
      <c r="O32" s="1"/>
      <c r="P32" s="1"/>
      <c r="Q32" s="1"/>
      <c r="R32" s="1">
        <v>400</v>
      </c>
      <c r="S32" s="1" t="s">
        <v>134</v>
      </c>
    </row>
    <row r="33" spans="2:19" x14ac:dyDescent="0.25">
      <c r="B33" s="11">
        <v>45687</v>
      </c>
      <c r="C33" s="1"/>
      <c r="D33" s="1"/>
      <c r="E33" s="1"/>
      <c r="F33" s="1"/>
      <c r="G33" s="1">
        <v>202</v>
      </c>
      <c r="H33" s="1">
        <v>80</v>
      </c>
      <c r="I33" s="1"/>
      <c r="J33" s="1"/>
      <c r="K33" s="1">
        <v>85</v>
      </c>
      <c r="L33" s="1"/>
      <c r="M33" s="1"/>
      <c r="N33" s="1"/>
      <c r="O33" s="1"/>
      <c r="P33" s="1"/>
      <c r="Q33" s="1"/>
      <c r="R33" s="1">
        <v>500</v>
      </c>
      <c r="S33" s="1" t="s">
        <v>137</v>
      </c>
    </row>
    <row r="34" spans="2:19" x14ac:dyDescent="0.25">
      <c r="B34" s="11">
        <v>45688</v>
      </c>
      <c r="C34" s="1"/>
      <c r="D34" s="1"/>
      <c r="E34" s="1"/>
      <c r="F34" s="1"/>
      <c r="G34" s="1"/>
      <c r="H34" s="1">
        <v>80</v>
      </c>
      <c r="I34" s="1"/>
      <c r="J34" s="1"/>
      <c r="K34" s="1"/>
      <c r="L34" s="1"/>
      <c r="M34" s="1"/>
      <c r="N34" s="1"/>
      <c r="O34" s="1">
        <f>199+182</f>
        <v>381</v>
      </c>
      <c r="P34" s="1"/>
      <c r="Q34" s="1"/>
      <c r="R34" s="1"/>
      <c r="S34" s="1"/>
    </row>
    <row r="35" spans="2:19" x14ac:dyDescent="0.25">
      <c r="B35" s="24" t="s">
        <v>8</v>
      </c>
      <c r="C35" s="6">
        <f>SUM(C4:C34)</f>
        <v>21230</v>
      </c>
      <c r="D35" s="6">
        <f t="shared" ref="D35:R35" si="1">SUM(D4:D34)</f>
        <v>55778</v>
      </c>
      <c r="E35" s="6">
        <f t="shared" si="1"/>
        <v>0</v>
      </c>
      <c r="F35" s="6">
        <f t="shared" si="1"/>
        <v>630</v>
      </c>
      <c r="G35" s="6">
        <f t="shared" si="1"/>
        <v>1615</v>
      </c>
      <c r="H35" s="6">
        <f t="shared" si="1"/>
        <v>10169</v>
      </c>
      <c r="I35" s="6">
        <f t="shared" si="1"/>
        <v>0</v>
      </c>
      <c r="J35" s="6">
        <f t="shared" si="1"/>
        <v>835</v>
      </c>
      <c r="K35" s="6">
        <f t="shared" si="1"/>
        <v>3811</v>
      </c>
      <c r="L35" s="6">
        <f t="shared" si="1"/>
        <v>1003</v>
      </c>
      <c r="M35" s="6">
        <f t="shared" si="1"/>
        <v>772</v>
      </c>
      <c r="N35" s="6">
        <f t="shared" si="1"/>
        <v>8000</v>
      </c>
      <c r="O35" s="6">
        <f t="shared" si="1"/>
        <v>8069</v>
      </c>
      <c r="P35" s="6">
        <f t="shared" si="1"/>
        <v>0</v>
      </c>
      <c r="Q35" s="6">
        <f t="shared" si="1"/>
        <v>1119</v>
      </c>
      <c r="R35" s="6">
        <f t="shared" si="1"/>
        <v>12103</v>
      </c>
      <c r="S35" s="1"/>
    </row>
    <row r="37" spans="2:19" x14ac:dyDescent="0.25">
      <c r="B37" s="28" t="s">
        <v>32</v>
      </c>
      <c r="C37" s="28"/>
    </row>
    <row r="38" spans="2:19" x14ac:dyDescent="0.25">
      <c r="B38" s="1" t="s">
        <v>25</v>
      </c>
      <c r="C38" s="1">
        <f>163084+12822</f>
        <v>175906</v>
      </c>
    </row>
    <row r="39" spans="2:19" x14ac:dyDescent="0.25">
      <c r="B39" s="1" t="s">
        <v>26</v>
      </c>
      <c r="C39" s="1">
        <f>SUM(C35:R35)</f>
        <v>125134</v>
      </c>
    </row>
    <row r="40" spans="2:19" x14ac:dyDescent="0.25">
      <c r="B40" s="1" t="s">
        <v>18</v>
      </c>
      <c r="C40" s="1">
        <f>P35</f>
        <v>0</v>
      </c>
    </row>
    <row r="41" spans="2:19" x14ac:dyDescent="0.25">
      <c r="B41" s="1" t="s">
        <v>27</v>
      </c>
      <c r="C41" s="1">
        <f>SUM(C3:R3)</f>
        <v>51772</v>
      </c>
    </row>
    <row r="42" spans="2:19" x14ac:dyDescent="0.25">
      <c r="B42" s="1" t="s">
        <v>28</v>
      </c>
      <c r="C42" s="1">
        <f>C38-C39</f>
        <v>50772</v>
      </c>
    </row>
    <row r="43" spans="2:19" ht="45" x14ac:dyDescent="0.25">
      <c r="B43" s="8" t="s">
        <v>29</v>
      </c>
      <c r="C43" s="1">
        <f>C39-C35-D35-P35</f>
        <v>48126</v>
      </c>
    </row>
    <row r="44" spans="2:19" x14ac:dyDescent="0.25">
      <c r="B44" s="8" t="s">
        <v>33</v>
      </c>
      <c r="C44" s="1">
        <f>SUM(C2,D2,E2,F2,G2,H2,I2,J2,L2)</f>
        <v>95378</v>
      </c>
    </row>
    <row r="45" spans="2:19" ht="45" x14ac:dyDescent="0.25">
      <c r="B45" s="8" t="s">
        <v>30</v>
      </c>
      <c r="C45" s="1">
        <f>C44/C38*100</f>
        <v>54.221004400077312</v>
      </c>
    </row>
    <row r="46" spans="2:19" x14ac:dyDescent="0.25">
      <c r="B46" s="8" t="s">
        <v>34</v>
      </c>
      <c r="C46" s="1">
        <f>SUM(K2,M2,O2,R2)</f>
        <v>35000</v>
      </c>
    </row>
    <row r="47" spans="2:19" ht="30" x14ac:dyDescent="0.25">
      <c r="B47" s="8" t="s">
        <v>31</v>
      </c>
      <c r="C47" s="1">
        <f>C46/C38*100</f>
        <v>19.89699043807488</v>
      </c>
    </row>
    <row r="48" spans="2:19" ht="30" x14ac:dyDescent="0.25">
      <c r="B48" s="8" t="s">
        <v>35</v>
      </c>
      <c r="C48" s="1">
        <f>P3/C38*100</f>
        <v>20.197150750969268</v>
      </c>
    </row>
  </sheetData>
  <mergeCells count="1">
    <mergeCell ref="B37:C37"/>
  </mergeCells>
  <conditionalFormatting sqref="C3:R3">
    <cfRule type="cellIs" dxfId="2" priority="1" operator="lessThan">
      <formula>0</formula>
    </cfRule>
    <cfRule type="cellIs" dxfId="1" priority="3" operator="lessThan">
      <formula>30</formula>
    </cfRule>
  </conditionalFormatting>
  <conditionalFormatting sqref="D3:R3">
    <cfRule type="cellIs" dxfId="0" priority="2" operator="less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2025_Opening_Corpus</vt:lpstr>
      <vt:lpstr>Projecting_Savings_2025</vt:lpstr>
      <vt:lpstr>Apartment_Projected_Expenses</vt:lpstr>
      <vt:lpstr>Apartment_Actual_Expense</vt:lpstr>
      <vt:lpstr>Jan_2025</vt:lpstr>
      <vt:lpstr>Feb_2025</vt:lpstr>
      <vt:lpstr>Mar_2025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Ghosal</dc:creator>
  <cp:lastModifiedBy>Rakesh Ghosal</cp:lastModifiedBy>
  <dcterms:created xsi:type="dcterms:W3CDTF">2024-12-30T01:13:13Z</dcterms:created>
  <dcterms:modified xsi:type="dcterms:W3CDTF">2025-03-31T16:51:59Z</dcterms:modified>
</cp:coreProperties>
</file>