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esh.Ghosal\Documents\Personal_Documents\"/>
    </mc:Choice>
  </mc:AlternateContent>
  <bookViews>
    <workbookView xWindow="0" yWindow="0" windowWidth="19200" windowHeight="6600" tabRatio="848" firstSheet="13" activeTab="21"/>
  </bookViews>
  <sheets>
    <sheet name="Mussorie_Trip_2024" sheetId="23" r:id="rId1"/>
    <sheet name="Mandarmani Trip" sheetId="30" r:id="rId2"/>
    <sheet name="Other Expenses" sheetId="4" r:id="rId3"/>
    <sheet name="June_2023" sheetId="1" r:id="rId4"/>
    <sheet name="July_2023" sheetId="6" r:id="rId5"/>
    <sheet name="Oct_2023" sheetId="10" r:id="rId6"/>
    <sheet name="Aug_2023" sheetId="7" r:id="rId7"/>
    <sheet name="Sep_2023" sheetId="9" r:id="rId8"/>
    <sheet name="Nov_2023" sheetId="11" r:id="rId9"/>
    <sheet name="Dec_2023" sheetId="12" r:id="rId10"/>
    <sheet name="Jan_2024" sheetId="13" r:id="rId11"/>
    <sheet name="Feb_2024" sheetId="14" r:id="rId12"/>
    <sheet name="Mar_2024" sheetId="15" r:id="rId13"/>
    <sheet name="Apr_2024" sheetId="19" r:id="rId14"/>
    <sheet name="May_2024" sheetId="20" r:id="rId15"/>
    <sheet name="June_2024" sheetId="21" r:id="rId16"/>
    <sheet name="July_2024" sheetId="24" r:id="rId17"/>
    <sheet name="Aug_2024" sheetId="25" r:id="rId18"/>
    <sheet name="Sept_2024" sheetId="26" r:id="rId19"/>
    <sheet name="Oct_2024" sheetId="27" r:id="rId20"/>
    <sheet name="Nov_2024" sheetId="28" r:id="rId21"/>
    <sheet name="Dec_2024" sheetId="29" r:id="rId22"/>
    <sheet name="Summary" sheetId="18" r:id="rId23"/>
    <sheet name="Month_Wise_Savings" sheetId="22" r:id="rId24"/>
  </sheets>
  <definedNames>
    <definedName name="_xlnm._FilterDatabase" localSheetId="2" hidden="1">'Other Expenses'!$A$1:$F$24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2" l="1"/>
  <c r="F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E17" i="22"/>
  <c r="D17" i="22"/>
  <c r="G17" i="22" s="1"/>
  <c r="C17" i="22"/>
  <c r="C5" i="30" l="1"/>
  <c r="C3" i="30"/>
  <c r="Q10" i="18"/>
  <c r="Q4" i="18"/>
  <c r="Q15" i="18"/>
  <c r="Q8" i="18"/>
  <c r="Q17" i="18"/>
  <c r="Q11" i="18"/>
  <c r="Q16" i="18"/>
  <c r="Q2" i="18"/>
  <c r="Q18" i="18"/>
  <c r="Q3" i="18"/>
  <c r="Q9" i="18"/>
  <c r="Q7" i="18"/>
  <c r="Q14" i="18"/>
  <c r="Q13" i="18"/>
  <c r="Q6" i="18"/>
  <c r="Q12" i="18"/>
  <c r="Q5" i="18"/>
  <c r="C2" i="30" l="1"/>
  <c r="Q33" i="29"/>
  <c r="R32" i="29"/>
  <c r="R31" i="29"/>
  <c r="R30" i="29"/>
  <c r="R25" i="29" l="1"/>
  <c r="R24" i="29"/>
  <c r="I27" i="29"/>
  <c r="I26" i="29"/>
  <c r="I23" i="29"/>
  <c r="R23" i="29"/>
  <c r="Q21" i="29" l="1"/>
  <c r="L18" i="29"/>
  <c r="R18" i="29"/>
  <c r="I22" i="29"/>
  <c r="R20" i="29"/>
  <c r="L19" i="29"/>
  <c r="I18" i="29"/>
  <c r="I15" i="29"/>
  <c r="I14" i="29"/>
  <c r="I12" i="29" l="1"/>
  <c r="L11" i="29"/>
  <c r="I8" i="29"/>
  <c r="Q11" i="29"/>
  <c r="Q10" i="29"/>
  <c r="Q7" i="29"/>
  <c r="C16" i="22" l="1"/>
  <c r="B5" i="29"/>
  <c r="Q36" i="29"/>
  <c r="W17" i="29" s="1"/>
  <c r="P36" i="29"/>
  <c r="P3" i="29" s="1"/>
  <c r="P4" i="29" s="1"/>
  <c r="N36" i="29"/>
  <c r="N3" i="29" s="1"/>
  <c r="N4" i="29" s="1"/>
  <c r="M36" i="29"/>
  <c r="M3" i="29" s="1"/>
  <c r="M4" i="29" s="1"/>
  <c r="K36" i="29"/>
  <c r="J36" i="29"/>
  <c r="J3" i="29" s="1"/>
  <c r="J4" i="29" s="1"/>
  <c r="H36" i="29"/>
  <c r="W8" i="29" s="1"/>
  <c r="G36" i="29"/>
  <c r="G3" i="29" s="1"/>
  <c r="G4" i="29" s="1"/>
  <c r="F36" i="29"/>
  <c r="W6" i="29" s="1"/>
  <c r="E36" i="29"/>
  <c r="E3" i="29" s="1"/>
  <c r="E4" i="29" s="1"/>
  <c r="D36" i="29"/>
  <c r="W4" i="29" s="1"/>
  <c r="C36" i="29"/>
  <c r="W3" i="29" s="1"/>
  <c r="B36" i="29"/>
  <c r="T35" i="29"/>
  <c r="T34" i="29"/>
  <c r="T33" i="29"/>
  <c r="T32" i="29"/>
  <c r="T31" i="29"/>
  <c r="T30" i="29"/>
  <c r="T29" i="29"/>
  <c r="T28" i="29"/>
  <c r="T27" i="29"/>
  <c r="T26" i="29"/>
  <c r="T25" i="29"/>
  <c r="O36" i="29"/>
  <c r="W15" i="29" s="1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W11" i="29"/>
  <c r="T11" i="29"/>
  <c r="T10" i="29"/>
  <c r="T9" i="29"/>
  <c r="I36" i="29"/>
  <c r="T7" i="29"/>
  <c r="T6" i="29"/>
  <c r="T5" i="29"/>
  <c r="K3" i="29"/>
  <c r="K4" i="29" s="1"/>
  <c r="D3" i="29"/>
  <c r="D4" i="29" s="1"/>
  <c r="O2" i="29"/>
  <c r="T2" i="29" s="1"/>
  <c r="L34" i="28"/>
  <c r="I34" i="28"/>
  <c r="Q32" i="28"/>
  <c r="I30" i="28"/>
  <c r="P15" i="18"/>
  <c r="P17" i="18"/>
  <c r="P10" i="18"/>
  <c r="P13" i="18"/>
  <c r="P12" i="18"/>
  <c r="P16" i="18"/>
  <c r="P2" i="18"/>
  <c r="P8" i="18"/>
  <c r="P9" i="18"/>
  <c r="P11" i="18"/>
  <c r="P5" i="18"/>
  <c r="P7" i="18"/>
  <c r="P18" i="18"/>
  <c r="P4" i="18"/>
  <c r="P14" i="18"/>
  <c r="P3" i="18"/>
  <c r="W16" i="29" l="1"/>
  <c r="W7" i="29"/>
  <c r="C3" i="29"/>
  <c r="C4" i="29" s="1"/>
  <c r="W13" i="29"/>
  <c r="F3" i="29"/>
  <c r="F4" i="29" s="1"/>
  <c r="W14" i="29"/>
  <c r="H3" i="29"/>
  <c r="H4" i="29" s="1"/>
  <c r="W10" i="29"/>
  <c r="W9" i="29"/>
  <c r="I3" i="29"/>
  <c r="I4" i="29" s="1"/>
  <c r="R36" i="29"/>
  <c r="W2" i="29"/>
  <c r="Q3" i="29"/>
  <c r="Q4" i="29" s="1"/>
  <c r="T8" i="29"/>
  <c r="B40" i="29" s="1"/>
  <c r="B39" i="29"/>
  <c r="B3" i="29"/>
  <c r="W5" i="29"/>
  <c r="L36" i="29"/>
  <c r="O3" i="29"/>
  <c r="O4" i="29" s="1"/>
  <c r="Q26" i="28"/>
  <c r="R25" i="28"/>
  <c r="L28" i="28"/>
  <c r="I28" i="28"/>
  <c r="L3" i="29" l="1"/>
  <c r="L4" i="29" s="1"/>
  <c r="W12" i="29"/>
  <c r="R3" i="29"/>
  <c r="R4" i="29" s="1"/>
  <c r="W18" i="29"/>
  <c r="B43" i="29"/>
  <c r="B44" i="29" s="1"/>
  <c r="B4" i="29"/>
  <c r="B41" i="29"/>
  <c r="B42" i="29"/>
  <c r="Q15" i="28"/>
  <c r="Q35" i="28" s="1"/>
  <c r="Q3" i="28" s="1"/>
  <c r="Q4" i="28" s="1"/>
  <c r="I21" i="28"/>
  <c r="T21" i="28"/>
  <c r="R21" i="28"/>
  <c r="I20" i="28"/>
  <c r="I19" i="28"/>
  <c r="L18" i="28"/>
  <c r="T18" i="28" s="1"/>
  <c r="R18" i="28"/>
  <c r="I17" i="28"/>
  <c r="L15" i="28"/>
  <c r="L14" i="28"/>
  <c r="I14" i="28"/>
  <c r="P35" i="28"/>
  <c r="P3" i="28" s="1"/>
  <c r="P4" i="28" s="1"/>
  <c r="O35" i="28"/>
  <c r="W15" i="28" s="1"/>
  <c r="N35" i="28"/>
  <c r="N3" i="28" s="1"/>
  <c r="N4" i="28" s="1"/>
  <c r="M35" i="28"/>
  <c r="M3" i="28" s="1"/>
  <c r="M4" i="28" s="1"/>
  <c r="K35" i="28"/>
  <c r="W11" i="28" s="1"/>
  <c r="J35" i="28"/>
  <c r="J3" i="28" s="1"/>
  <c r="J4" i="28" s="1"/>
  <c r="H35" i="28"/>
  <c r="H3" i="28" s="1"/>
  <c r="H4" i="28" s="1"/>
  <c r="G35" i="28"/>
  <c r="G3" i="28" s="1"/>
  <c r="G4" i="28" s="1"/>
  <c r="F35" i="28"/>
  <c r="F3" i="28" s="1"/>
  <c r="F4" i="28" s="1"/>
  <c r="E35" i="28"/>
  <c r="W5" i="28" s="1"/>
  <c r="D35" i="28"/>
  <c r="W4" i="28" s="1"/>
  <c r="C35" i="28"/>
  <c r="C3" i="28" s="1"/>
  <c r="B35" i="28"/>
  <c r="B3" i="28" s="1"/>
  <c r="T34" i="28"/>
  <c r="T31" i="28"/>
  <c r="T30" i="28"/>
  <c r="T29" i="28"/>
  <c r="T28" i="28"/>
  <c r="T27" i="28"/>
  <c r="T26" i="28"/>
  <c r="T25" i="28"/>
  <c r="T24" i="28"/>
  <c r="R35" i="28"/>
  <c r="T23" i="28"/>
  <c r="T22" i="28"/>
  <c r="T20" i="28"/>
  <c r="T17" i="28"/>
  <c r="W16" i="28"/>
  <c r="T16" i="28"/>
  <c r="T13" i="28"/>
  <c r="T12" i="28"/>
  <c r="T11" i="28"/>
  <c r="T10" i="28"/>
  <c r="T9" i="28"/>
  <c r="T8" i="28"/>
  <c r="T7" i="28"/>
  <c r="T6" i="28"/>
  <c r="T5" i="28"/>
  <c r="K3" i="28"/>
  <c r="K4" i="28" s="1"/>
  <c r="O2" i="28"/>
  <c r="T3" i="29" l="1"/>
  <c r="T4" i="29" s="1"/>
  <c r="W6" i="28"/>
  <c r="E3" i="28"/>
  <c r="E4" i="28" s="1"/>
  <c r="W14" i="28"/>
  <c r="T15" i="28"/>
  <c r="T14" i="28"/>
  <c r="L35" i="28"/>
  <c r="W12" i="28" s="1"/>
  <c r="W7" i="28"/>
  <c r="W13" i="28"/>
  <c r="C4" i="28"/>
  <c r="W3" i="28"/>
  <c r="D3" i="28"/>
  <c r="D4" i="28" s="1"/>
  <c r="B4" i="28"/>
  <c r="W18" i="28"/>
  <c r="R3" i="28"/>
  <c r="R4" i="28" s="1"/>
  <c r="T19" i="28"/>
  <c r="B39" i="28" s="1"/>
  <c r="D16" i="22" s="1"/>
  <c r="G16" i="22" s="1"/>
  <c r="I35" i="28"/>
  <c r="W10" i="28"/>
  <c r="B38" i="28"/>
  <c r="T2" i="28"/>
  <c r="W17" i="28"/>
  <c r="W2" i="28"/>
  <c r="W8" i="28"/>
  <c r="O3" i="28"/>
  <c r="O4" i="28" s="1"/>
  <c r="C15" i="22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C36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B36" i="27"/>
  <c r="R29" i="27"/>
  <c r="R27" i="27"/>
  <c r="O25" i="27"/>
  <c r="O2" i="18"/>
  <c r="O4" i="18"/>
  <c r="O17" i="18"/>
  <c r="O6" i="18"/>
  <c r="O9" i="18"/>
  <c r="O10" i="18"/>
  <c r="O8" i="18"/>
  <c r="O3" i="18"/>
  <c r="O7" i="18"/>
  <c r="O11" i="18"/>
  <c r="O12" i="18"/>
  <c r="O15" i="18"/>
  <c r="O13" i="18"/>
  <c r="O18" i="18"/>
  <c r="P6" i="18"/>
  <c r="O16" i="18"/>
  <c r="L3" i="28" l="1"/>
  <c r="L4" i="28" s="1"/>
  <c r="I3" i="28"/>
  <c r="W9" i="28"/>
  <c r="B40" i="28"/>
  <c r="B41" i="28"/>
  <c r="B42" i="28"/>
  <c r="R19" i="27"/>
  <c r="L19" i="27"/>
  <c r="R18" i="27"/>
  <c r="R10" i="27"/>
  <c r="L13" i="27"/>
  <c r="R5" i="27"/>
  <c r="R8" i="27"/>
  <c r="I8" i="27"/>
  <c r="B43" i="28" l="1"/>
  <c r="E16" i="22"/>
  <c r="I4" i="28"/>
  <c r="T3" i="28"/>
  <c r="T4" i="28" s="1"/>
  <c r="Q3" i="27"/>
  <c r="Q4" i="27" s="1"/>
  <c r="W15" i="27"/>
  <c r="W13" i="27"/>
  <c r="L3" i="27"/>
  <c r="L4" i="27" s="1"/>
  <c r="K3" i="27"/>
  <c r="K4" i="27" s="1"/>
  <c r="J3" i="27"/>
  <c r="J4" i="27" s="1"/>
  <c r="W8" i="27"/>
  <c r="F3" i="27"/>
  <c r="F4" i="27" s="1"/>
  <c r="W5" i="27"/>
  <c r="C3" i="27"/>
  <c r="C4" i="27" s="1"/>
  <c r="W2" i="27"/>
  <c r="W16" i="27"/>
  <c r="W14" i="27"/>
  <c r="W7" i="27"/>
  <c r="T5" i="27"/>
  <c r="W4" i="27"/>
  <c r="P3" i="27"/>
  <c r="P4" i="27" s="1"/>
  <c r="N3" i="27"/>
  <c r="N4" i="27" s="1"/>
  <c r="H3" i="27"/>
  <c r="H4" i="27" s="1"/>
  <c r="G3" i="27"/>
  <c r="G4" i="27" s="1"/>
  <c r="E3" i="27"/>
  <c r="E4" i="27" s="1"/>
  <c r="D3" i="27"/>
  <c r="D4" i="27" s="1"/>
  <c r="O2" i="27"/>
  <c r="O14" i="18"/>
  <c r="O5" i="18"/>
  <c r="M3" i="27" l="1"/>
  <c r="M4" i="27" s="1"/>
  <c r="W12" i="27"/>
  <c r="W6" i="27"/>
  <c r="W3" i="27"/>
  <c r="B40" i="27"/>
  <c r="D15" i="22" s="1"/>
  <c r="W10" i="27"/>
  <c r="B39" i="27"/>
  <c r="O3" i="27"/>
  <c r="O4" i="27" s="1"/>
  <c r="W17" i="27"/>
  <c r="T2" i="27"/>
  <c r="B3" i="27"/>
  <c r="W11" i="27"/>
  <c r="C14" i="22"/>
  <c r="G15" i="22" l="1"/>
  <c r="B41" i="27"/>
  <c r="B4" i="27"/>
  <c r="I3" i="27"/>
  <c r="I4" i="27" s="1"/>
  <c r="W9" i="27"/>
  <c r="B42" i="27"/>
  <c r="W18" i="27"/>
  <c r="R3" i="27"/>
  <c r="R4" i="27" s="1"/>
  <c r="B43" i="27"/>
  <c r="R34" i="26"/>
  <c r="L33" i="26"/>
  <c r="R32" i="26"/>
  <c r="R31" i="26"/>
  <c r="N15" i="18"/>
  <c r="N11" i="18"/>
  <c r="N13" i="18"/>
  <c r="N14" i="18"/>
  <c r="N17" i="18"/>
  <c r="N12" i="18"/>
  <c r="N6" i="18"/>
  <c r="N18" i="18"/>
  <c r="N2" i="18"/>
  <c r="N9" i="18"/>
  <c r="N3" i="18"/>
  <c r="N7" i="18"/>
  <c r="N16" i="18"/>
  <c r="N4" i="18"/>
  <c r="N8" i="18"/>
  <c r="N10" i="18"/>
  <c r="B44" i="27" l="1"/>
  <c r="E15" i="22"/>
  <c r="T3" i="27"/>
  <c r="T4" i="27" s="1"/>
  <c r="R22" i="26"/>
  <c r="L26" i="26"/>
  <c r="L25" i="26"/>
  <c r="L23" i="26"/>
  <c r="R23" i="26"/>
  <c r="L22" i="26"/>
  <c r="I20" i="26"/>
  <c r="L19" i="26"/>
  <c r="L18" i="26"/>
  <c r="I16" i="26" l="1"/>
  <c r="I11" i="26"/>
  <c r="R11" i="26"/>
  <c r="I5" i="26" l="1"/>
  <c r="R5" i="26"/>
  <c r="I9" i="26"/>
  <c r="I35" i="26"/>
  <c r="B38" i="26"/>
  <c r="Q35" i="26"/>
  <c r="Q3" i="26" s="1"/>
  <c r="Q4" i="26" s="1"/>
  <c r="P35" i="26"/>
  <c r="W16" i="26" s="1"/>
  <c r="O35" i="26"/>
  <c r="W15" i="26" s="1"/>
  <c r="N35" i="26"/>
  <c r="N3" i="26" s="1"/>
  <c r="N4" i="26" s="1"/>
  <c r="M35" i="26"/>
  <c r="M3" i="26" s="1"/>
  <c r="M4" i="26" s="1"/>
  <c r="L35" i="26"/>
  <c r="W12" i="26" s="1"/>
  <c r="K35" i="26"/>
  <c r="K3" i="26" s="1"/>
  <c r="K4" i="26" s="1"/>
  <c r="J35" i="26"/>
  <c r="J3" i="26" s="1"/>
  <c r="J4" i="26" s="1"/>
  <c r="H35" i="26"/>
  <c r="H3" i="26" s="1"/>
  <c r="H4" i="26" s="1"/>
  <c r="G35" i="26"/>
  <c r="W7" i="26" s="1"/>
  <c r="F35" i="26"/>
  <c r="W6" i="26" s="1"/>
  <c r="E35" i="26"/>
  <c r="E3" i="26" s="1"/>
  <c r="E4" i="26" s="1"/>
  <c r="D35" i="26"/>
  <c r="D3" i="26" s="1"/>
  <c r="D4" i="26" s="1"/>
  <c r="C35" i="26"/>
  <c r="C3" i="26" s="1"/>
  <c r="C4" i="26" s="1"/>
  <c r="B35" i="26"/>
  <c r="B3" i="26" s="1"/>
  <c r="T34" i="26"/>
  <c r="T31" i="26"/>
  <c r="T30" i="26"/>
  <c r="T29" i="26"/>
  <c r="T28" i="26"/>
  <c r="T27" i="26"/>
  <c r="T26" i="26"/>
  <c r="T25" i="26"/>
  <c r="T24" i="26"/>
  <c r="T23" i="26"/>
  <c r="T22" i="26"/>
  <c r="T21" i="26"/>
  <c r="T20" i="26"/>
  <c r="T19" i="26"/>
  <c r="T18" i="26"/>
  <c r="T17" i="26"/>
  <c r="T16" i="26"/>
  <c r="T15" i="26"/>
  <c r="T14" i="26"/>
  <c r="W13" i="26"/>
  <c r="T13" i="26"/>
  <c r="T12" i="26"/>
  <c r="T11" i="26"/>
  <c r="T10" i="26"/>
  <c r="T8" i="26"/>
  <c r="T7" i="26"/>
  <c r="T6" i="26"/>
  <c r="W5" i="26"/>
  <c r="T5" i="26"/>
  <c r="W4" i="26"/>
  <c r="F3" i="26"/>
  <c r="F4" i="26" s="1"/>
  <c r="O2" i="26"/>
  <c r="N5" i="18"/>
  <c r="W14" i="26" l="1"/>
  <c r="W8" i="26"/>
  <c r="G3" i="26"/>
  <c r="G4" i="26" s="1"/>
  <c r="I3" i="26"/>
  <c r="I4" i="26" s="1"/>
  <c r="W9" i="26"/>
  <c r="T9" i="26"/>
  <c r="L3" i="26"/>
  <c r="L4" i="26" s="1"/>
  <c r="P3" i="26"/>
  <c r="P4" i="26" s="1"/>
  <c r="B39" i="26"/>
  <c r="W3" i="26"/>
  <c r="B4" i="26"/>
  <c r="T2" i="26"/>
  <c r="W17" i="26"/>
  <c r="O3" i="26"/>
  <c r="O4" i="26" s="1"/>
  <c r="W10" i="26"/>
  <c r="W2" i="26"/>
  <c r="W11" i="26"/>
  <c r="R35" i="26"/>
  <c r="B42" i="26" s="1"/>
  <c r="E10" i="22"/>
  <c r="E9" i="22"/>
  <c r="E8" i="22"/>
  <c r="E7" i="22"/>
  <c r="E6" i="22"/>
  <c r="E5" i="22"/>
  <c r="E4" i="22"/>
  <c r="E3" i="22"/>
  <c r="E2" i="22"/>
  <c r="C13" i="22"/>
  <c r="L10" i="18"/>
  <c r="L18" i="18"/>
  <c r="L8" i="18"/>
  <c r="L15" i="18"/>
  <c r="M18" i="18"/>
  <c r="L13" i="18"/>
  <c r="L3" i="18"/>
  <c r="L16" i="18"/>
  <c r="M10" i="18"/>
  <c r="M12" i="18"/>
  <c r="M17" i="18"/>
  <c r="L14" i="18"/>
  <c r="L11" i="18"/>
  <c r="M9" i="18"/>
  <c r="M6" i="18"/>
  <c r="M14" i="18"/>
  <c r="M7" i="18"/>
  <c r="L9" i="18"/>
  <c r="M15" i="18"/>
  <c r="M13" i="18"/>
  <c r="L6" i="18"/>
  <c r="M11" i="18"/>
  <c r="L17" i="18"/>
  <c r="M16" i="18"/>
  <c r="M8" i="18"/>
  <c r="L7" i="18"/>
  <c r="L12" i="18"/>
  <c r="L4" i="18"/>
  <c r="M3" i="18"/>
  <c r="M4" i="18"/>
  <c r="B43" i="26" l="1"/>
  <c r="E14" i="22"/>
  <c r="B40" i="26"/>
  <c r="D14" i="22"/>
  <c r="B41" i="26"/>
  <c r="W18" i="26"/>
  <c r="R3" i="26"/>
  <c r="R4" i="26" s="1"/>
  <c r="I33" i="25"/>
  <c r="T33" i="25" s="1"/>
  <c r="R31" i="25"/>
  <c r="T31" i="25"/>
  <c r="T32" i="25"/>
  <c r="T34" i="25"/>
  <c r="T35" i="25"/>
  <c r="Q24" i="25"/>
  <c r="R30" i="25"/>
  <c r="I30" i="25"/>
  <c r="M2" i="18"/>
  <c r="G14" i="22" l="1"/>
  <c r="T3" i="26"/>
  <c r="T4" i="26" s="1"/>
  <c r="I23" i="25"/>
  <c r="R19" i="25"/>
  <c r="L19" i="25"/>
  <c r="Q15" i="25" l="1"/>
  <c r="Q11" i="25" l="1"/>
  <c r="N11" i="25"/>
  <c r="I12" i="25"/>
  <c r="R8" i="25"/>
  <c r="L7" i="25"/>
  <c r="R5" i="25"/>
  <c r="C12" i="22" l="1"/>
  <c r="B39" i="25"/>
  <c r="B45" i="25" s="1"/>
  <c r="Q36" i="25"/>
  <c r="W17" i="25" s="1"/>
  <c r="P36" i="25"/>
  <c r="W16" i="25" s="1"/>
  <c r="O36" i="25"/>
  <c r="W15" i="25" s="1"/>
  <c r="N36" i="25"/>
  <c r="W14" i="25" s="1"/>
  <c r="M36" i="25"/>
  <c r="M3" i="25" s="1"/>
  <c r="M4" i="25" s="1"/>
  <c r="K36" i="25"/>
  <c r="W11" i="25" s="1"/>
  <c r="J36" i="25"/>
  <c r="W10" i="25" s="1"/>
  <c r="H36" i="25"/>
  <c r="W8" i="25" s="1"/>
  <c r="G36" i="25"/>
  <c r="G3" i="25" s="1"/>
  <c r="G4" i="25" s="1"/>
  <c r="F36" i="25"/>
  <c r="F3" i="25" s="1"/>
  <c r="F4" i="25" s="1"/>
  <c r="E36" i="25"/>
  <c r="E3" i="25" s="1"/>
  <c r="E4" i="25" s="1"/>
  <c r="D36" i="25"/>
  <c r="W4" i="25" s="1"/>
  <c r="C36" i="25"/>
  <c r="W3" i="25" s="1"/>
  <c r="B36" i="25"/>
  <c r="B3" i="25" s="1"/>
  <c r="T30" i="25"/>
  <c r="T29" i="25"/>
  <c r="T28" i="25"/>
  <c r="T27" i="25"/>
  <c r="T26" i="25"/>
  <c r="T25" i="25"/>
  <c r="T24" i="25"/>
  <c r="T23" i="25"/>
  <c r="T22" i="25"/>
  <c r="T21" i="25"/>
  <c r="T20" i="25"/>
  <c r="T19" i="25"/>
  <c r="T18" i="25"/>
  <c r="T17" i="25"/>
  <c r="T16" i="25"/>
  <c r="T15" i="25"/>
  <c r="T14" i="25"/>
  <c r="T13" i="25"/>
  <c r="T12" i="25"/>
  <c r="T11" i="25"/>
  <c r="T10" i="25"/>
  <c r="T9" i="25"/>
  <c r="T8" i="25"/>
  <c r="T7" i="25"/>
  <c r="T6" i="25"/>
  <c r="L36" i="25"/>
  <c r="I36" i="25"/>
  <c r="T2" i="25"/>
  <c r="O2" i="25"/>
  <c r="L2" i="18"/>
  <c r="W13" i="25" l="1"/>
  <c r="Q3" i="25"/>
  <c r="Q4" i="25" s="1"/>
  <c r="W6" i="25"/>
  <c r="H3" i="25"/>
  <c r="H4" i="25" s="1"/>
  <c r="P3" i="25"/>
  <c r="P4" i="25" s="1"/>
  <c r="W7" i="25"/>
  <c r="W5" i="25"/>
  <c r="O3" i="25"/>
  <c r="O4" i="25" s="1"/>
  <c r="B4" i="25"/>
  <c r="L3" i="25"/>
  <c r="L4" i="25" s="1"/>
  <c r="W12" i="25"/>
  <c r="W9" i="25"/>
  <c r="I3" i="25"/>
  <c r="I4" i="25" s="1"/>
  <c r="J3" i="25"/>
  <c r="J4" i="25" s="1"/>
  <c r="T5" i="25"/>
  <c r="B40" i="25" s="1"/>
  <c r="D3" i="25"/>
  <c r="D4" i="25" s="1"/>
  <c r="W2" i="25"/>
  <c r="K3" i="25"/>
  <c r="K4" i="25" s="1"/>
  <c r="N3" i="25"/>
  <c r="N4" i="25" s="1"/>
  <c r="R36" i="25"/>
  <c r="B43" i="25" s="1"/>
  <c r="C3" i="25"/>
  <c r="C4" i="25" s="1"/>
  <c r="R35" i="24"/>
  <c r="I35" i="24"/>
  <c r="I36" i="24"/>
  <c r="M5" i="18"/>
  <c r="B41" i="25" l="1"/>
  <c r="D13" i="22"/>
  <c r="G13" i="22" s="1"/>
  <c r="B44" i="25"/>
  <c r="E13" i="22"/>
  <c r="R3" i="25"/>
  <c r="W18" i="25"/>
  <c r="B42" i="25"/>
  <c r="I32" i="24"/>
  <c r="R29" i="24"/>
  <c r="R4" i="25" l="1"/>
  <c r="T3" i="25"/>
  <c r="T4" i="25" s="1"/>
  <c r="I25" i="24"/>
  <c r="R25" i="24"/>
  <c r="R18" i="24" l="1"/>
  <c r="I19" i="24"/>
  <c r="L18" i="24"/>
  <c r="L17" i="24"/>
  <c r="R17" i="24"/>
  <c r="I14" i="24"/>
  <c r="C11" i="22" l="1"/>
  <c r="B45" i="24"/>
  <c r="R12" i="24"/>
  <c r="I11" i="24"/>
  <c r="R11" i="24"/>
  <c r="L10" i="24"/>
  <c r="R6" i="24" l="1"/>
  <c r="T6" i="24" s="1"/>
  <c r="R8" i="24"/>
  <c r="I6" i="24"/>
  <c r="L5" i="24"/>
  <c r="I5" i="24"/>
  <c r="L6" i="24"/>
  <c r="L36" i="24" s="1"/>
  <c r="W12" i="24" s="1"/>
  <c r="Q36" i="24"/>
  <c r="Q3" i="24" s="1"/>
  <c r="Q4" i="24" s="1"/>
  <c r="P36" i="24"/>
  <c r="W16" i="24" s="1"/>
  <c r="O36" i="24"/>
  <c r="W15" i="24" s="1"/>
  <c r="N36" i="24"/>
  <c r="N3" i="24" s="1"/>
  <c r="N4" i="24" s="1"/>
  <c r="M36" i="24"/>
  <c r="W13" i="24" s="1"/>
  <c r="K36" i="24"/>
  <c r="W11" i="24" s="1"/>
  <c r="J36" i="24"/>
  <c r="J3" i="24" s="1"/>
  <c r="J4" i="24" s="1"/>
  <c r="H36" i="24"/>
  <c r="W8" i="24" s="1"/>
  <c r="G36" i="24"/>
  <c r="W7" i="24" s="1"/>
  <c r="F36" i="24"/>
  <c r="W6" i="24" s="1"/>
  <c r="E36" i="24"/>
  <c r="W5" i="24" s="1"/>
  <c r="D36" i="24"/>
  <c r="C36" i="24"/>
  <c r="W3" i="24" s="1"/>
  <c r="B36" i="24"/>
  <c r="W2" i="24" s="1"/>
  <c r="T34" i="24"/>
  <c r="T31" i="24"/>
  <c r="T30" i="24"/>
  <c r="T29" i="24"/>
  <c r="T28" i="24"/>
  <c r="T27" i="24"/>
  <c r="T26" i="24"/>
  <c r="T25" i="24"/>
  <c r="T24" i="24"/>
  <c r="T23" i="24"/>
  <c r="T22" i="24"/>
  <c r="T21" i="24"/>
  <c r="T20" i="24"/>
  <c r="T19" i="24"/>
  <c r="T18" i="24"/>
  <c r="T17" i="24"/>
  <c r="T16" i="24"/>
  <c r="T15" i="24"/>
  <c r="W14" i="24"/>
  <c r="T14" i="24"/>
  <c r="T13" i="24"/>
  <c r="T12" i="24"/>
  <c r="T11" i="24"/>
  <c r="T10" i="24"/>
  <c r="T9" i="24"/>
  <c r="T8" i="24"/>
  <c r="T7" i="24"/>
  <c r="T5" i="24"/>
  <c r="W4" i="24"/>
  <c r="M3" i="24"/>
  <c r="M4" i="24" s="1"/>
  <c r="D3" i="24"/>
  <c r="D4" i="24" s="1"/>
  <c r="B3" i="24"/>
  <c r="B4" i="24" s="1"/>
  <c r="O2" i="24"/>
  <c r="L5" i="18"/>
  <c r="K3" i="24" l="1"/>
  <c r="K4" i="24" s="1"/>
  <c r="H3" i="24"/>
  <c r="H4" i="24" s="1"/>
  <c r="C3" i="24"/>
  <c r="C4" i="24" s="1"/>
  <c r="F3" i="24"/>
  <c r="F4" i="24" s="1"/>
  <c r="P3" i="24"/>
  <c r="P4" i="24" s="1"/>
  <c r="G3" i="24"/>
  <c r="G4" i="24" s="1"/>
  <c r="L3" i="24"/>
  <c r="L4" i="24" s="1"/>
  <c r="I3" i="24"/>
  <c r="I4" i="24" s="1"/>
  <c r="W9" i="24"/>
  <c r="E3" i="24"/>
  <c r="E4" i="24" s="1"/>
  <c r="W10" i="24"/>
  <c r="B40" i="24"/>
  <c r="D12" i="22" s="1"/>
  <c r="G12" i="22" s="1"/>
  <c r="R36" i="24"/>
  <c r="B39" i="24"/>
  <c r="O3" i="24"/>
  <c r="O4" i="24" s="1"/>
  <c r="T2" i="24"/>
  <c r="W17" i="24"/>
  <c r="R31" i="21"/>
  <c r="K12" i="18"/>
  <c r="K18" i="18"/>
  <c r="K7" i="18"/>
  <c r="K8" i="18"/>
  <c r="K3" i="18"/>
  <c r="K16" i="18"/>
  <c r="K14" i="18"/>
  <c r="K9" i="18"/>
  <c r="K10" i="18"/>
  <c r="K2" i="18"/>
  <c r="K11" i="18"/>
  <c r="K13" i="18"/>
  <c r="K4" i="18"/>
  <c r="K17" i="18"/>
  <c r="K15" i="18"/>
  <c r="B41" i="24" l="1"/>
  <c r="W18" i="24"/>
  <c r="R3" i="24"/>
  <c r="R4" i="24" s="1"/>
  <c r="B43" i="24"/>
  <c r="B42" i="24"/>
  <c r="R22" i="21"/>
  <c r="B44" i="24" l="1"/>
  <c r="E12" i="22"/>
  <c r="T3" i="24"/>
  <c r="T4" i="24" s="1"/>
  <c r="I20" i="21"/>
  <c r="R18" i="21"/>
  <c r="R13" i="21" l="1"/>
  <c r="I12" i="21"/>
  <c r="R11" i="21"/>
  <c r="R10" i="21"/>
  <c r="R9" i="21" l="1"/>
  <c r="I6" i="21"/>
  <c r="L5" i="21"/>
  <c r="C15" i="23" l="1"/>
  <c r="C48" i="23" s="1"/>
  <c r="F8" i="23"/>
  <c r="D10" i="22"/>
  <c r="D9" i="22"/>
  <c r="D8" i="22"/>
  <c r="D7" i="22"/>
  <c r="D6" i="22"/>
  <c r="D5" i="22"/>
  <c r="D4" i="22"/>
  <c r="D3" i="22"/>
  <c r="C10" i="22"/>
  <c r="C9" i="22"/>
  <c r="C8" i="22"/>
  <c r="C7" i="22"/>
  <c r="C6" i="22"/>
  <c r="C5" i="22"/>
  <c r="C4" i="22"/>
  <c r="C3" i="22"/>
  <c r="D2" i="22"/>
  <c r="C2" i="22"/>
  <c r="G10" i="22" l="1"/>
  <c r="G9" i="22"/>
  <c r="G7" i="22"/>
  <c r="G6" i="22"/>
  <c r="G5" i="22"/>
  <c r="G4" i="22"/>
  <c r="G2" i="22"/>
  <c r="G3" i="22" l="1"/>
  <c r="G8" i="22"/>
  <c r="Q35" i="21"/>
  <c r="W17" i="21" s="1"/>
  <c r="P35" i="21"/>
  <c r="W16" i="21" s="1"/>
  <c r="O35" i="21"/>
  <c r="W15" i="21" s="1"/>
  <c r="N35" i="21"/>
  <c r="W14" i="21" s="1"/>
  <c r="M35" i="21"/>
  <c r="M3" i="21" s="1"/>
  <c r="M4" i="21" s="1"/>
  <c r="K35" i="21"/>
  <c r="W11" i="21" s="1"/>
  <c r="J35" i="21"/>
  <c r="W10" i="21" s="1"/>
  <c r="H35" i="21"/>
  <c r="W8" i="21" s="1"/>
  <c r="G35" i="21"/>
  <c r="G3" i="21" s="1"/>
  <c r="G4" i="21" s="1"/>
  <c r="F35" i="21"/>
  <c r="F3" i="21" s="1"/>
  <c r="F4" i="21" s="1"/>
  <c r="E35" i="21"/>
  <c r="W5" i="21" s="1"/>
  <c r="D35" i="21"/>
  <c r="D3" i="21" s="1"/>
  <c r="D4" i="21" s="1"/>
  <c r="C35" i="21"/>
  <c r="W3" i="21" s="1"/>
  <c r="B35" i="21"/>
  <c r="T34" i="21"/>
  <c r="T31" i="21"/>
  <c r="T30" i="21"/>
  <c r="T29" i="21"/>
  <c r="T28" i="21"/>
  <c r="T27" i="21"/>
  <c r="T26" i="21"/>
  <c r="T25" i="21"/>
  <c r="T24" i="21"/>
  <c r="T23" i="21"/>
  <c r="T22" i="21"/>
  <c r="T21" i="21"/>
  <c r="T20" i="21"/>
  <c r="T19" i="21"/>
  <c r="T18" i="21"/>
  <c r="T17" i="21"/>
  <c r="T16" i="21"/>
  <c r="T15" i="21"/>
  <c r="T14" i="21"/>
  <c r="T13" i="21"/>
  <c r="T12" i="21"/>
  <c r="T11" i="21"/>
  <c r="L35" i="21"/>
  <c r="T10" i="21"/>
  <c r="T9" i="21"/>
  <c r="T8" i="21"/>
  <c r="R35" i="21"/>
  <c r="T6" i="21"/>
  <c r="T5" i="21"/>
  <c r="W4" i="21"/>
  <c r="E3" i="21"/>
  <c r="E4" i="21" s="1"/>
  <c r="O2" i="21"/>
  <c r="T2" i="21" s="1"/>
  <c r="W18" i="20"/>
  <c r="W17" i="20"/>
  <c r="W16" i="20"/>
  <c r="W15" i="20"/>
  <c r="W14" i="20"/>
  <c r="W13" i="20"/>
  <c r="W12" i="20"/>
  <c r="W11" i="20"/>
  <c r="W10" i="20"/>
  <c r="W9" i="20"/>
  <c r="W8" i="20"/>
  <c r="W7" i="20"/>
  <c r="W6" i="20"/>
  <c r="W5" i="20"/>
  <c r="W4" i="20"/>
  <c r="W3" i="20"/>
  <c r="W2" i="20"/>
  <c r="B39" i="20"/>
  <c r="Q36" i="20"/>
  <c r="Q3" i="20" s="1"/>
  <c r="Q4" i="20" s="1"/>
  <c r="O36" i="20"/>
  <c r="N36" i="20"/>
  <c r="M36" i="20"/>
  <c r="K36" i="20"/>
  <c r="K3" i="20" s="1"/>
  <c r="K4" i="20" s="1"/>
  <c r="J36" i="20"/>
  <c r="J3" i="20" s="1"/>
  <c r="J4" i="20" s="1"/>
  <c r="H36" i="20"/>
  <c r="G36" i="20"/>
  <c r="F36" i="20"/>
  <c r="E36" i="20"/>
  <c r="D36" i="20"/>
  <c r="C36" i="20"/>
  <c r="C3" i="20" s="1"/>
  <c r="C4" i="20" s="1"/>
  <c r="B36" i="20"/>
  <c r="B3" i="20" s="1"/>
  <c r="T34" i="20"/>
  <c r="T31" i="20"/>
  <c r="T30" i="20"/>
  <c r="R29" i="20"/>
  <c r="I29" i="20"/>
  <c r="T29" i="20" s="1"/>
  <c r="T28" i="20"/>
  <c r="T27" i="20"/>
  <c r="T26" i="20"/>
  <c r="T25" i="20"/>
  <c r="I24" i="20"/>
  <c r="T24" i="20" s="1"/>
  <c r="I23" i="20"/>
  <c r="T23" i="20" s="1"/>
  <c r="R22" i="20"/>
  <c r="R36" i="20" s="1"/>
  <c r="R3" i="20" s="1"/>
  <c r="R4" i="20" s="1"/>
  <c r="L22" i="20"/>
  <c r="T22" i="20" s="1"/>
  <c r="I22" i="20"/>
  <c r="T21" i="20"/>
  <c r="I20" i="20"/>
  <c r="T20" i="20" s="1"/>
  <c r="T19" i="20"/>
  <c r="I18" i="20"/>
  <c r="T18" i="20" s="1"/>
  <c r="T17" i="20"/>
  <c r="L16" i="20"/>
  <c r="I16" i="20"/>
  <c r="T16" i="20" s="1"/>
  <c r="L15" i="20"/>
  <c r="T15" i="20" s="1"/>
  <c r="T14" i="20"/>
  <c r="T13" i="20"/>
  <c r="T12" i="20"/>
  <c r="T11" i="20"/>
  <c r="R10" i="20"/>
  <c r="I10" i="20"/>
  <c r="T10" i="20" s="1"/>
  <c r="I9" i="20"/>
  <c r="T9" i="20" s="1"/>
  <c r="I8" i="20"/>
  <c r="T8" i="20" s="1"/>
  <c r="R7" i="20"/>
  <c r="T7" i="20" s="1"/>
  <c r="R6" i="20"/>
  <c r="T6" i="20" s="1"/>
  <c r="P5" i="20"/>
  <c r="P36" i="20" s="1"/>
  <c r="P3" i="20" s="1"/>
  <c r="P4" i="20" s="1"/>
  <c r="O3" i="20"/>
  <c r="N3" i="20"/>
  <c r="N4" i="20" s="1"/>
  <c r="M3" i="20"/>
  <c r="M4" i="20" s="1"/>
  <c r="H3" i="20"/>
  <c r="H4" i="20" s="1"/>
  <c r="G3" i="20"/>
  <c r="G4" i="20" s="1"/>
  <c r="F3" i="20"/>
  <c r="F4" i="20" s="1"/>
  <c r="E3" i="20"/>
  <c r="E4" i="20" s="1"/>
  <c r="D3" i="20"/>
  <c r="D4" i="20" s="1"/>
  <c r="O2" i="20"/>
  <c r="O4" i="20" s="1"/>
  <c r="K5" i="18"/>
  <c r="J9" i="18"/>
  <c r="J18" i="18"/>
  <c r="J13" i="18"/>
  <c r="J2" i="18"/>
  <c r="J16" i="18"/>
  <c r="J12" i="18"/>
  <c r="J6" i="18"/>
  <c r="J14" i="18"/>
  <c r="J7" i="18"/>
  <c r="J8" i="18"/>
  <c r="J10" i="18"/>
  <c r="J4" i="18"/>
  <c r="J11" i="18"/>
  <c r="J17" i="18"/>
  <c r="J15" i="18"/>
  <c r="J5" i="18"/>
  <c r="J3" i="18"/>
  <c r="W7" i="21" l="1"/>
  <c r="N3" i="21"/>
  <c r="N4" i="21" s="1"/>
  <c r="H3" i="21"/>
  <c r="H4" i="21" s="1"/>
  <c r="W6" i="21"/>
  <c r="W13" i="21"/>
  <c r="P3" i="21"/>
  <c r="P4" i="21" s="1"/>
  <c r="R3" i="21"/>
  <c r="R4" i="21" s="1"/>
  <c r="W18" i="21"/>
  <c r="L3" i="21"/>
  <c r="L4" i="21" s="1"/>
  <c r="W12" i="21"/>
  <c r="T7" i="21"/>
  <c r="B39" i="21" s="1"/>
  <c r="D11" i="22" s="1"/>
  <c r="I2" i="22" s="1"/>
  <c r="B38" i="21"/>
  <c r="W2" i="21"/>
  <c r="Q3" i="21"/>
  <c r="Q4" i="21" s="1"/>
  <c r="B3" i="21"/>
  <c r="J3" i="21"/>
  <c r="J4" i="21" s="1"/>
  <c r="I35" i="21"/>
  <c r="O3" i="21"/>
  <c r="O4" i="21" s="1"/>
  <c r="C3" i="21"/>
  <c r="C4" i="21" s="1"/>
  <c r="K3" i="21"/>
  <c r="K4" i="21" s="1"/>
  <c r="B4" i="20"/>
  <c r="I36" i="20"/>
  <c r="I3" i="20" s="1"/>
  <c r="I4" i="20" s="1"/>
  <c r="T5" i="20"/>
  <c r="B40" i="20" s="1"/>
  <c r="B41" i="20" s="1"/>
  <c r="L36" i="20"/>
  <c r="L3" i="20" s="1"/>
  <c r="L4" i="20" s="1"/>
  <c r="T2" i="20"/>
  <c r="W18" i="19"/>
  <c r="W17" i="19"/>
  <c r="W16" i="19"/>
  <c r="W15" i="19"/>
  <c r="W14" i="19"/>
  <c r="W13" i="19"/>
  <c r="W12" i="19"/>
  <c r="W11" i="19"/>
  <c r="W10" i="19"/>
  <c r="W9" i="19"/>
  <c r="W8" i="19"/>
  <c r="W7" i="19"/>
  <c r="W6" i="19"/>
  <c r="W4" i="19"/>
  <c r="W3" i="19"/>
  <c r="W2" i="19"/>
  <c r="Q35" i="19"/>
  <c r="Q3" i="19" s="1"/>
  <c r="Q4" i="19" s="1"/>
  <c r="P35" i="19"/>
  <c r="O35" i="19"/>
  <c r="N35" i="19"/>
  <c r="K35" i="19"/>
  <c r="K3" i="19" s="1"/>
  <c r="K4" i="19" s="1"/>
  <c r="J35" i="19"/>
  <c r="J3" i="19" s="1"/>
  <c r="J4" i="19" s="1"/>
  <c r="H35" i="19"/>
  <c r="G35" i="19"/>
  <c r="F35" i="19"/>
  <c r="E35" i="19"/>
  <c r="W5" i="19" s="1"/>
  <c r="D35" i="19"/>
  <c r="D3" i="19" s="1"/>
  <c r="D4" i="19" s="1"/>
  <c r="C35" i="19"/>
  <c r="C3" i="19" s="1"/>
  <c r="C4" i="19" s="1"/>
  <c r="B35" i="19"/>
  <c r="T34" i="19"/>
  <c r="R34" i="19"/>
  <c r="I31" i="19"/>
  <c r="T31" i="19" s="1"/>
  <c r="I30" i="19"/>
  <c r="T30" i="19" s="1"/>
  <c r="T29" i="19"/>
  <c r="T28" i="19"/>
  <c r="T27" i="19"/>
  <c r="T26" i="19"/>
  <c r="R26" i="19"/>
  <c r="I26" i="19"/>
  <c r="R25" i="19"/>
  <c r="T25" i="19" s="1"/>
  <c r="T24" i="19"/>
  <c r="T23" i="19"/>
  <c r="T22" i="19"/>
  <c r="T21" i="19"/>
  <c r="T20" i="19"/>
  <c r="I19" i="19"/>
  <c r="T19" i="19" s="1"/>
  <c r="T18" i="19"/>
  <c r="R17" i="19"/>
  <c r="T17" i="19" s="1"/>
  <c r="T16" i="19"/>
  <c r="R16" i="19"/>
  <c r="I16" i="19"/>
  <c r="T15" i="19"/>
  <c r="T14" i="19"/>
  <c r="R13" i="19"/>
  <c r="I13" i="19"/>
  <c r="T13" i="19" s="1"/>
  <c r="T12" i="19"/>
  <c r="I12" i="19"/>
  <c r="T11" i="19"/>
  <c r="R10" i="19"/>
  <c r="L10" i="19"/>
  <c r="L35" i="19" s="1"/>
  <c r="L3" i="19" s="1"/>
  <c r="L4" i="19" s="1"/>
  <c r="I10" i="19"/>
  <c r="T10" i="19" s="1"/>
  <c r="I9" i="19"/>
  <c r="I35" i="19" s="1"/>
  <c r="I3" i="19" s="1"/>
  <c r="I4" i="19" s="1"/>
  <c r="R8" i="19"/>
  <c r="T8" i="19" s="1"/>
  <c r="R7" i="19"/>
  <c r="T7" i="19" s="1"/>
  <c r="M6" i="19"/>
  <c r="M35" i="19" s="1"/>
  <c r="T5" i="19"/>
  <c r="P3" i="19"/>
  <c r="P4" i="19" s="1"/>
  <c r="O3" i="19"/>
  <c r="N3" i="19"/>
  <c r="N4" i="19" s="1"/>
  <c r="H3" i="19"/>
  <c r="H4" i="19" s="1"/>
  <c r="G3" i="19"/>
  <c r="G4" i="19" s="1"/>
  <c r="F3" i="19"/>
  <c r="F4" i="19" s="1"/>
  <c r="O2" i="19"/>
  <c r="T2" i="19" s="1"/>
  <c r="K6" i="18"/>
  <c r="G11" i="22" l="1"/>
  <c r="I5" i="22" s="1"/>
  <c r="B4" i="21"/>
  <c r="I3" i="21"/>
  <c r="I4" i="21" s="1"/>
  <c r="W9" i="21"/>
  <c r="B42" i="21"/>
  <c r="B41" i="21"/>
  <c r="B40" i="21"/>
  <c r="E3" i="19"/>
  <c r="E4" i="19" s="1"/>
  <c r="B43" i="20"/>
  <c r="B44" i="20" s="1"/>
  <c r="B42" i="20"/>
  <c r="T3" i="20"/>
  <c r="T4" i="20" s="1"/>
  <c r="M3" i="19"/>
  <c r="M4" i="19" s="1"/>
  <c r="T9" i="19"/>
  <c r="B39" i="19" s="1"/>
  <c r="R35" i="19"/>
  <c r="R3" i="19" s="1"/>
  <c r="R4" i="19" s="1"/>
  <c r="B38" i="19"/>
  <c r="O4" i="19"/>
  <c r="B3" i="19"/>
  <c r="T6" i="19"/>
  <c r="B43" i="21" l="1"/>
  <c r="E11" i="22"/>
  <c r="I10" i="22" s="1"/>
  <c r="T3" i="21"/>
  <c r="T4" i="21" s="1"/>
  <c r="B40" i="19"/>
  <c r="B42" i="19"/>
  <c r="B43" i="19" s="1"/>
  <c r="B41" i="19"/>
  <c r="B4" i="19"/>
  <c r="T3" i="19"/>
  <c r="T4" i="19" s="1"/>
  <c r="S15" i="18" l="1"/>
  <c r="F11" i="18"/>
  <c r="H13" i="18"/>
  <c r="I14" i="18"/>
  <c r="F17" i="18"/>
  <c r="B14" i="18"/>
  <c r="I15" i="18"/>
  <c r="H10" i="18"/>
  <c r="G9" i="18"/>
  <c r="E17" i="18"/>
  <c r="I8" i="18"/>
  <c r="F13" i="18"/>
  <c r="B18" i="18"/>
  <c r="I5" i="18"/>
  <c r="C10" i="18"/>
  <c r="D16" i="18"/>
  <c r="E11" i="18"/>
  <c r="D14" i="18"/>
  <c r="H17" i="18"/>
  <c r="G16" i="18"/>
  <c r="F12" i="18"/>
  <c r="B17" i="18"/>
  <c r="I13" i="18"/>
  <c r="C13" i="18"/>
  <c r="E18" i="18"/>
  <c r="B10" i="18"/>
  <c r="I7" i="18"/>
  <c r="F18" i="18"/>
  <c r="I16" i="18"/>
  <c r="H12" i="18"/>
  <c r="D11" i="18"/>
  <c r="B12" i="18"/>
  <c r="F14" i="18"/>
  <c r="B11" i="18"/>
  <c r="D12" i="18"/>
  <c r="E12" i="18"/>
  <c r="D13" i="18"/>
  <c r="F10" i="18"/>
  <c r="I6" i="18"/>
  <c r="D18" i="18"/>
  <c r="D17" i="18"/>
  <c r="D9" i="18"/>
  <c r="E13" i="18"/>
  <c r="G14" i="18"/>
  <c r="H16" i="18"/>
  <c r="B13" i="18"/>
  <c r="D10" i="18"/>
  <c r="H14" i="18"/>
  <c r="C14" i="18"/>
  <c r="G12" i="18"/>
  <c r="E16" i="18"/>
  <c r="G11" i="18"/>
  <c r="H15" i="18"/>
  <c r="I17" i="18"/>
  <c r="H18" i="18"/>
  <c r="I10" i="18"/>
  <c r="G15" i="18"/>
  <c r="D15" i="18"/>
  <c r="G10" i="18"/>
  <c r="I18" i="18"/>
  <c r="E9" i="18"/>
  <c r="F16" i="18"/>
  <c r="I9" i="18"/>
  <c r="H11" i="18"/>
  <c r="G13" i="18"/>
  <c r="C9" i="18"/>
  <c r="C18" i="18"/>
  <c r="C12" i="18"/>
  <c r="I3" i="18"/>
  <c r="B8" i="18"/>
  <c r="G17" i="18"/>
  <c r="H9" i="18"/>
  <c r="F9" i="18"/>
  <c r="B9" i="18"/>
  <c r="I4" i="18"/>
  <c r="C16" i="18"/>
  <c r="E10" i="18"/>
  <c r="B16" i="18"/>
  <c r="E15" i="18"/>
  <c r="C17" i="18"/>
  <c r="G18" i="18"/>
  <c r="I11" i="18"/>
  <c r="C11" i="18"/>
  <c r="B15" i="18"/>
  <c r="F15" i="18"/>
  <c r="C15" i="18"/>
  <c r="I12" i="18"/>
  <c r="I2" i="18"/>
  <c r="E14" i="18"/>
  <c r="R11" i="18" l="1"/>
  <c r="T11" i="18" s="1"/>
  <c r="R13" i="18"/>
  <c r="T13" i="18" s="1"/>
  <c r="R17" i="18"/>
  <c r="T17" i="18" s="1"/>
  <c r="R9" i="18"/>
  <c r="T9" i="18" s="1"/>
  <c r="R15" i="18"/>
  <c r="T15" i="18" s="1"/>
  <c r="R14" i="18"/>
  <c r="T14" i="18" s="1"/>
  <c r="R18" i="18"/>
  <c r="T18" i="18" s="1"/>
  <c r="R10" i="18"/>
  <c r="T10" i="18" s="1"/>
  <c r="R16" i="18"/>
  <c r="T16" i="18" s="1"/>
  <c r="R12" i="18"/>
  <c r="T12" i="18" s="1"/>
  <c r="W18" i="14"/>
  <c r="W17" i="14"/>
  <c r="W16" i="14"/>
  <c r="W15" i="14"/>
  <c r="W14" i="14"/>
  <c r="W13" i="14"/>
  <c r="W12" i="14"/>
  <c r="W11" i="14"/>
  <c r="W10" i="14"/>
  <c r="W9" i="14"/>
  <c r="W8" i="14"/>
  <c r="W7" i="14"/>
  <c r="W6" i="14"/>
  <c r="W5" i="14"/>
  <c r="W4" i="14"/>
  <c r="W3" i="14"/>
  <c r="W2" i="14"/>
  <c r="W18" i="15"/>
  <c r="W17" i="15"/>
  <c r="W16" i="15"/>
  <c r="W15" i="15"/>
  <c r="W14" i="15"/>
  <c r="W13" i="15"/>
  <c r="W12" i="15"/>
  <c r="W11" i="15"/>
  <c r="W10" i="15"/>
  <c r="W9" i="15"/>
  <c r="W8" i="15"/>
  <c r="W7" i="15"/>
  <c r="W6" i="15"/>
  <c r="W4" i="15"/>
  <c r="W3" i="15"/>
  <c r="W2" i="15"/>
  <c r="W18" i="13"/>
  <c r="W17" i="13"/>
  <c r="W16" i="13"/>
  <c r="W15" i="13"/>
  <c r="W14" i="13"/>
  <c r="W13" i="13"/>
  <c r="W12" i="13"/>
  <c r="W11" i="13"/>
  <c r="W10" i="13"/>
  <c r="W9" i="13"/>
  <c r="W8" i="13"/>
  <c r="W7" i="13"/>
  <c r="W6" i="13"/>
  <c r="W5" i="13"/>
  <c r="W4" i="13"/>
  <c r="W3" i="13"/>
  <c r="W2" i="13"/>
  <c r="W18" i="12"/>
  <c r="W17" i="12"/>
  <c r="W16" i="12"/>
  <c r="W15" i="12"/>
  <c r="W14" i="12"/>
  <c r="W13" i="12"/>
  <c r="W12" i="12"/>
  <c r="W11" i="12"/>
  <c r="W10" i="12"/>
  <c r="W9" i="12"/>
  <c r="W8" i="12"/>
  <c r="W7" i="12"/>
  <c r="W6" i="12"/>
  <c r="W5" i="12"/>
  <c r="W4" i="12"/>
  <c r="W3" i="12"/>
  <c r="W2" i="12"/>
  <c r="W18" i="11"/>
  <c r="W17" i="11"/>
  <c r="W16" i="11"/>
  <c r="W15" i="11"/>
  <c r="W14" i="11"/>
  <c r="W13" i="11"/>
  <c r="W12" i="11"/>
  <c r="W11" i="11"/>
  <c r="W10" i="11"/>
  <c r="W9" i="11"/>
  <c r="W8" i="11"/>
  <c r="W7" i="11"/>
  <c r="W6" i="11"/>
  <c r="W5" i="11"/>
  <c r="W4" i="11"/>
  <c r="W3" i="11"/>
  <c r="W2" i="11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W2" i="9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3" i="7"/>
  <c r="W2" i="7"/>
  <c r="B4" i="18"/>
  <c r="G3" i="18"/>
  <c r="E7" i="18"/>
  <c r="H8" i="18"/>
  <c r="H4" i="18"/>
  <c r="F7" i="18"/>
  <c r="E8" i="18"/>
  <c r="F5" i="18"/>
  <c r="E2" i="18"/>
  <c r="E6" i="18"/>
  <c r="D5" i="18"/>
  <c r="B5" i="18"/>
  <c r="H7" i="18"/>
  <c r="G6" i="18"/>
  <c r="B6" i="18"/>
  <c r="F4" i="18"/>
  <c r="G2" i="18"/>
  <c r="C5" i="18"/>
  <c r="D7" i="18"/>
  <c r="F6" i="18"/>
  <c r="C7" i="18"/>
  <c r="C4" i="18"/>
  <c r="F2" i="18"/>
  <c r="D3" i="18"/>
  <c r="D4" i="18"/>
  <c r="F8" i="18"/>
  <c r="H3" i="18"/>
  <c r="C3" i="18"/>
  <c r="H6" i="18"/>
  <c r="G8" i="18"/>
  <c r="B7" i="18"/>
  <c r="D6" i="18"/>
  <c r="B3" i="18"/>
  <c r="D8" i="18"/>
  <c r="E5" i="18"/>
  <c r="G5" i="18"/>
  <c r="B2" i="18"/>
  <c r="G7" i="18"/>
  <c r="C8" i="18"/>
  <c r="E4" i="18"/>
  <c r="H2" i="18"/>
  <c r="G4" i="18"/>
  <c r="F3" i="18"/>
  <c r="E3" i="18"/>
  <c r="C2" i="18"/>
  <c r="D2" i="18"/>
  <c r="C6" i="18"/>
  <c r="R3" i="18" l="1"/>
  <c r="T3" i="18" s="1"/>
  <c r="R8" i="18"/>
  <c r="T8" i="18" s="1"/>
  <c r="R7" i="18"/>
  <c r="T7" i="18" s="1"/>
  <c r="R4" i="18"/>
  <c r="T4" i="18" s="1"/>
  <c r="R6" i="18"/>
  <c r="T6" i="18" s="1"/>
  <c r="R2" i="18"/>
  <c r="T2" i="18" s="1"/>
  <c r="B42" i="14" l="1"/>
  <c r="B44" i="13"/>
  <c r="B44" i="12" l="1"/>
  <c r="B43" i="11"/>
  <c r="B43" i="9"/>
  <c r="I35" i="15" l="1"/>
  <c r="L34" i="15"/>
  <c r="R31" i="15"/>
  <c r="I29" i="15" l="1"/>
  <c r="L28" i="15"/>
  <c r="I28" i="15"/>
  <c r="L27" i="15"/>
  <c r="R27" i="15"/>
  <c r="Q26" i="15"/>
  <c r="R25" i="15"/>
  <c r="R24" i="15"/>
  <c r="R22" i="15"/>
  <c r="R16" i="15"/>
  <c r="I20" i="15" l="1"/>
  <c r="R20" i="15"/>
  <c r="R19" i="15"/>
  <c r="I18" i="15"/>
  <c r="I15" i="15"/>
  <c r="I14" i="15" l="1"/>
  <c r="R12" i="15"/>
  <c r="R7" i="15" l="1"/>
  <c r="I6" i="15"/>
  <c r="Q36" i="15" l="1"/>
  <c r="Q3" i="15" s="1"/>
  <c r="Q4" i="15" s="1"/>
  <c r="P36" i="15"/>
  <c r="P3" i="15" s="1"/>
  <c r="P4" i="15" s="1"/>
  <c r="O36" i="15"/>
  <c r="O3" i="15" s="1"/>
  <c r="N36" i="15"/>
  <c r="N3" i="15" s="1"/>
  <c r="N4" i="15" s="1"/>
  <c r="M36" i="15"/>
  <c r="M3" i="15" s="1"/>
  <c r="M4" i="15" s="1"/>
  <c r="K36" i="15"/>
  <c r="K3" i="15" s="1"/>
  <c r="K4" i="15" s="1"/>
  <c r="J36" i="15"/>
  <c r="J3" i="15" s="1"/>
  <c r="J4" i="15" s="1"/>
  <c r="H36" i="15"/>
  <c r="F36" i="15"/>
  <c r="F3" i="15" s="1"/>
  <c r="F4" i="15" s="1"/>
  <c r="E36" i="15"/>
  <c r="W5" i="15" s="1"/>
  <c r="D36" i="15"/>
  <c r="D3" i="15" s="1"/>
  <c r="D4" i="15" s="1"/>
  <c r="C36" i="15"/>
  <c r="C3" i="15" s="1"/>
  <c r="C4" i="15" s="1"/>
  <c r="B36" i="15"/>
  <c r="B3" i="15" s="1"/>
  <c r="T35" i="15"/>
  <c r="T34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R36" i="15"/>
  <c r="R3" i="15" s="1"/>
  <c r="R4" i="15" s="1"/>
  <c r="G36" i="15"/>
  <c r="G3" i="15" s="1"/>
  <c r="G4" i="15" s="1"/>
  <c r="T14" i="15"/>
  <c r="T13" i="15"/>
  <c r="T12" i="15"/>
  <c r="T11" i="15"/>
  <c r="T10" i="15"/>
  <c r="T9" i="15"/>
  <c r="T8" i="15"/>
  <c r="L36" i="15"/>
  <c r="L3" i="15" s="1"/>
  <c r="L4" i="15" s="1"/>
  <c r="T7" i="15"/>
  <c r="T6" i="15"/>
  <c r="T5" i="15"/>
  <c r="H3" i="15"/>
  <c r="H4" i="15" s="1"/>
  <c r="E3" i="15"/>
  <c r="E4" i="15" s="1"/>
  <c r="O2" i="15"/>
  <c r="T2" i="15" s="1"/>
  <c r="H5" i="18"/>
  <c r="R5" i="18" l="1"/>
  <c r="T5" i="18" s="1"/>
  <c r="B4" i="15"/>
  <c r="B39" i="15"/>
  <c r="T15" i="15"/>
  <c r="B40" i="15" s="1"/>
  <c r="O4" i="15"/>
  <c r="I36" i="15"/>
  <c r="I3" i="15" s="1"/>
  <c r="I4" i="15" s="1"/>
  <c r="B42" i="15" l="1"/>
  <c r="T3" i="15"/>
  <c r="T4" i="15" s="1"/>
  <c r="B41" i="15"/>
  <c r="B43" i="15"/>
  <c r="B44" i="15" s="1"/>
  <c r="I28" i="14"/>
  <c r="I23" i="14" l="1"/>
  <c r="I21" i="14"/>
  <c r="I19" i="14"/>
  <c r="R18" i="14"/>
  <c r="G15" i="14" l="1"/>
  <c r="R15" i="14"/>
  <c r="L14" i="14"/>
  <c r="R13" i="14"/>
  <c r="I8" i="14" l="1"/>
  <c r="R8" i="14"/>
  <c r="L8" i="14"/>
  <c r="I6" i="14" l="1"/>
  <c r="T6" i="14" s="1"/>
  <c r="Q34" i="14"/>
  <c r="Q3" i="14" s="1"/>
  <c r="Q4" i="14" s="1"/>
  <c r="P34" i="14"/>
  <c r="P3" i="14" s="1"/>
  <c r="P4" i="14" s="1"/>
  <c r="O34" i="14"/>
  <c r="N34" i="14"/>
  <c r="N3" i="14" s="1"/>
  <c r="N4" i="14" s="1"/>
  <c r="M34" i="14"/>
  <c r="M3" i="14" s="1"/>
  <c r="M4" i="14" s="1"/>
  <c r="K34" i="14"/>
  <c r="K3" i="14" s="1"/>
  <c r="K4" i="14" s="1"/>
  <c r="J34" i="14"/>
  <c r="J3" i="14" s="1"/>
  <c r="J4" i="14" s="1"/>
  <c r="H34" i="14"/>
  <c r="H3" i="14" s="1"/>
  <c r="H4" i="14" s="1"/>
  <c r="G34" i="14"/>
  <c r="G3" i="14" s="1"/>
  <c r="G4" i="14" s="1"/>
  <c r="F34" i="14"/>
  <c r="F3" i="14" s="1"/>
  <c r="F4" i="14" s="1"/>
  <c r="E34" i="14"/>
  <c r="E3" i="14" s="1"/>
  <c r="E4" i="14" s="1"/>
  <c r="D34" i="14"/>
  <c r="D3" i="14" s="1"/>
  <c r="D4" i="14" s="1"/>
  <c r="C34" i="14"/>
  <c r="C3" i="14" s="1"/>
  <c r="C4" i="14" s="1"/>
  <c r="B34" i="14"/>
  <c r="B3" i="14" s="1"/>
  <c r="B4" i="14" s="1"/>
  <c r="T33" i="14"/>
  <c r="T32" i="14"/>
  <c r="T31" i="14"/>
  <c r="T30" i="14"/>
  <c r="T29" i="14"/>
  <c r="T28" i="14"/>
  <c r="T27" i="14"/>
  <c r="T26" i="14"/>
  <c r="T25" i="14"/>
  <c r="T24" i="14"/>
  <c r="T23" i="14"/>
  <c r="T22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5" i="14"/>
  <c r="O2" i="14"/>
  <c r="T2" i="14" s="1"/>
  <c r="B37" i="14" l="1"/>
  <c r="O3" i="14"/>
  <c r="O4" i="14" s="1"/>
  <c r="B38" i="14"/>
  <c r="R34" i="14"/>
  <c r="R3" i="14" s="1"/>
  <c r="R4" i="14" s="1"/>
  <c r="I34" i="14"/>
  <c r="I3" i="14" s="1"/>
  <c r="I4" i="14" s="1"/>
  <c r="L34" i="14"/>
  <c r="L3" i="14" s="1"/>
  <c r="L4" i="14" s="1"/>
  <c r="I32" i="13"/>
  <c r="I31" i="13"/>
  <c r="L31" i="13"/>
  <c r="R31" i="13"/>
  <c r="I28" i="13"/>
  <c r="L24" i="13"/>
  <c r="I24" i="13"/>
  <c r="R23" i="13"/>
  <c r="I20" i="13"/>
  <c r="B39" i="14" l="1"/>
  <c r="B41" i="14"/>
  <c r="T3" i="14"/>
  <c r="T4" i="14" s="1"/>
  <c r="B40" i="14"/>
  <c r="I18" i="13"/>
  <c r="R15" i="13"/>
  <c r="R14" i="13"/>
  <c r="R13" i="13"/>
  <c r="I5" i="13" l="1"/>
  <c r="T5" i="13" s="1"/>
  <c r="Q36" i="13"/>
  <c r="Q3" i="13" s="1"/>
  <c r="Q4" i="13" s="1"/>
  <c r="P36" i="13"/>
  <c r="P3" i="13" s="1"/>
  <c r="P4" i="13" s="1"/>
  <c r="O36" i="13"/>
  <c r="N36" i="13"/>
  <c r="M36" i="13"/>
  <c r="M3" i="13" s="1"/>
  <c r="M4" i="13" s="1"/>
  <c r="K36" i="13"/>
  <c r="K3" i="13" s="1"/>
  <c r="K4" i="13" s="1"/>
  <c r="J36" i="13"/>
  <c r="J3" i="13" s="1"/>
  <c r="J4" i="13" s="1"/>
  <c r="H36" i="13"/>
  <c r="G36" i="13"/>
  <c r="G3" i="13" s="1"/>
  <c r="G4" i="13" s="1"/>
  <c r="F36" i="13"/>
  <c r="E36" i="13"/>
  <c r="E3" i="13" s="1"/>
  <c r="E4" i="13" s="1"/>
  <c r="D36" i="13"/>
  <c r="D3" i="13" s="1"/>
  <c r="D4" i="13" s="1"/>
  <c r="C36" i="13"/>
  <c r="C3" i="13" s="1"/>
  <c r="C4" i="13" s="1"/>
  <c r="B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L36" i="13"/>
  <c r="L3" i="13" s="1"/>
  <c r="L4" i="13" s="1"/>
  <c r="T13" i="13"/>
  <c r="T12" i="13"/>
  <c r="T11" i="13"/>
  <c r="T10" i="13"/>
  <c r="T9" i="13"/>
  <c r="T8" i="13"/>
  <c r="T7" i="13"/>
  <c r="T6" i="13"/>
  <c r="F4" i="13"/>
  <c r="N3" i="13"/>
  <c r="N4" i="13" s="1"/>
  <c r="H3" i="13"/>
  <c r="H4" i="13" s="1"/>
  <c r="F3" i="13"/>
  <c r="O2" i="13"/>
  <c r="L34" i="12"/>
  <c r="R34" i="12"/>
  <c r="T35" i="12"/>
  <c r="I36" i="13" l="1"/>
  <c r="I3" i="13" s="1"/>
  <c r="I4" i="13" s="1"/>
  <c r="B40" i="13"/>
  <c r="O3" i="13"/>
  <c r="O4" i="13" s="1"/>
  <c r="B39" i="13"/>
  <c r="T2" i="13"/>
  <c r="R36" i="13"/>
  <c r="R3" i="13" s="1"/>
  <c r="R4" i="13" s="1"/>
  <c r="B3" i="13"/>
  <c r="L29" i="12"/>
  <c r="R28" i="12"/>
  <c r="I27" i="12"/>
  <c r="B41" i="13" l="1"/>
  <c r="B4" i="13"/>
  <c r="T3" i="13"/>
  <c r="T4" i="13" s="1"/>
  <c r="B43" i="13"/>
  <c r="B42" i="13"/>
  <c r="R24" i="12"/>
  <c r="I22" i="12"/>
  <c r="I21" i="12"/>
  <c r="L21" i="12"/>
  <c r="I20" i="12"/>
  <c r="L20" i="12"/>
  <c r="I19" i="12"/>
  <c r="L19" i="12"/>
  <c r="R17" i="12" l="1"/>
  <c r="I14" i="12"/>
  <c r="L13" i="12"/>
  <c r="I13" i="12"/>
  <c r="R8" i="12" l="1"/>
  <c r="I6" i="12" l="1"/>
  <c r="I7" i="12"/>
  <c r="D25" i="4" l="1"/>
  <c r="E25" i="4" s="1"/>
  <c r="D26" i="4"/>
  <c r="E26" i="4" s="1"/>
  <c r="B39" i="12"/>
  <c r="Q36" i="12"/>
  <c r="Q3" i="12" s="1"/>
  <c r="Q4" i="12" s="1"/>
  <c r="P36" i="12"/>
  <c r="P3" i="12" s="1"/>
  <c r="P4" i="12" s="1"/>
  <c r="O36" i="12"/>
  <c r="N36" i="12"/>
  <c r="M36" i="12"/>
  <c r="M3" i="12" s="1"/>
  <c r="M4" i="12" s="1"/>
  <c r="K36" i="12"/>
  <c r="K3" i="12" s="1"/>
  <c r="K4" i="12" s="1"/>
  <c r="J36" i="12"/>
  <c r="J3" i="12" s="1"/>
  <c r="J4" i="12" s="1"/>
  <c r="H36" i="12"/>
  <c r="H3" i="12" s="1"/>
  <c r="H4" i="12" s="1"/>
  <c r="F36" i="12"/>
  <c r="F3" i="12" s="1"/>
  <c r="F4" i="12" s="1"/>
  <c r="E36" i="12"/>
  <c r="E3" i="12" s="1"/>
  <c r="E4" i="12" s="1"/>
  <c r="D36" i="12"/>
  <c r="C36" i="12"/>
  <c r="C3" i="12" s="1"/>
  <c r="C4" i="12" s="1"/>
  <c r="B36" i="12"/>
  <c r="B3" i="12" s="1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I36" i="12"/>
  <c r="I3" i="12" s="1"/>
  <c r="I4" i="12" s="1"/>
  <c r="T6" i="12"/>
  <c r="G36" i="12"/>
  <c r="G3" i="12" s="1"/>
  <c r="G4" i="12" s="1"/>
  <c r="T5" i="12"/>
  <c r="N3" i="12"/>
  <c r="N4" i="12" s="1"/>
  <c r="D3" i="12"/>
  <c r="D4" i="12" s="1"/>
  <c r="O2" i="12"/>
  <c r="R36" i="12" l="1"/>
  <c r="R3" i="12" s="1"/>
  <c r="R4" i="12" s="1"/>
  <c r="T7" i="12"/>
  <c r="B40" i="12" s="1"/>
  <c r="B41" i="12" s="1"/>
  <c r="L36" i="12"/>
  <c r="L3" i="12" s="1"/>
  <c r="L4" i="12" s="1"/>
  <c r="B4" i="12"/>
  <c r="O3" i="12"/>
  <c r="O4" i="12" s="1"/>
  <c r="T2" i="12"/>
  <c r="I30" i="11"/>
  <c r="R30" i="11"/>
  <c r="R19" i="11"/>
  <c r="R15" i="11"/>
  <c r="L30" i="11"/>
  <c r="I24" i="11"/>
  <c r="R16" i="11"/>
  <c r="L15" i="11"/>
  <c r="T3" i="12" l="1"/>
  <c r="T4" i="12" s="1"/>
  <c r="B43" i="12"/>
  <c r="B42" i="12"/>
  <c r="I13" i="11"/>
  <c r="R11" i="11" l="1"/>
  <c r="I9" i="11"/>
  <c r="L8" i="11"/>
  <c r="I7" i="11"/>
  <c r="I6" i="11" l="1"/>
  <c r="G6" i="11"/>
  <c r="I5" i="11"/>
  <c r="Q35" i="11"/>
  <c r="Q3" i="11" s="1"/>
  <c r="Q4" i="11" s="1"/>
  <c r="P35" i="11"/>
  <c r="P3" i="11" s="1"/>
  <c r="P4" i="11" s="1"/>
  <c r="O35" i="11"/>
  <c r="N35" i="11"/>
  <c r="N3" i="11" s="1"/>
  <c r="N4" i="11" s="1"/>
  <c r="M35" i="11"/>
  <c r="L35" i="11"/>
  <c r="L3" i="11" s="1"/>
  <c r="L4" i="11" s="1"/>
  <c r="K35" i="11"/>
  <c r="K3" i="11" s="1"/>
  <c r="K4" i="11" s="1"/>
  <c r="J35" i="11"/>
  <c r="J3" i="11" s="1"/>
  <c r="J4" i="11" s="1"/>
  <c r="H35" i="11"/>
  <c r="H3" i="11" s="1"/>
  <c r="H4" i="11" s="1"/>
  <c r="G35" i="11"/>
  <c r="G3" i="11" s="1"/>
  <c r="G4" i="11" s="1"/>
  <c r="F35" i="11"/>
  <c r="F3" i="11" s="1"/>
  <c r="F4" i="11" s="1"/>
  <c r="E35" i="11"/>
  <c r="E3" i="11" s="1"/>
  <c r="E4" i="11" s="1"/>
  <c r="D35" i="11"/>
  <c r="D3" i="11" s="1"/>
  <c r="D4" i="11" s="1"/>
  <c r="C35" i="11"/>
  <c r="C3" i="11" s="1"/>
  <c r="C4" i="11" s="1"/>
  <c r="B35" i="11"/>
  <c r="B3" i="11" s="1"/>
  <c r="B4" i="11" s="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R35" i="11"/>
  <c r="R3" i="11" s="1"/>
  <c r="R4" i="11" s="1"/>
  <c r="T6" i="11"/>
  <c r="T5" i="11"/>
  <c r="O2" i="11"/>
  <c r="T2" i="11" s="1"/>
  <c r="O3" i="11" l="1"/>
  <c r="B38" i="11"/>
  <c r="O4" i="11"/>
  <c r="B39" i="11"/>
  <c r="B40" i="11" s="1"/>
  <c r="M3" i="11"/>
  <c r="M4" i="11" s="1"/>
  <c r="I35" i="11"/>
  <c r="I3" i="11" s="1"/>
  <c r="I4" i="11" s="1"/>
  <c r="B24" i="4"/>
  <c r="B23" i="4"/>
  <c r="F2" i="4"/>
  <c r="B11" i="4"/>
  <c r="T3" i="11" l="1"/>
  <c r="T4" i="11" s="1"/>
  <c r="B41" i="11"/>
  <c r="B42" i="11"/>
  <c r="I14" i="10"/>
  <c r="I13" i="10"/>
  <c r="I8" i="10"/>
  <c r="R6" i="10" l="1"/>
  <c r="I6" i="10"/>
  <c r="B1" i="6" l="1"/>
  <c r="B2" i="6"/>
  <c r="B39" i="7"/>
  <c r="O2" i="10"/>
  <c r="Q36" i="10"/>
  <c r="Q3" i="10" s="1"/>
  <c r="Q4" i="10" s="1"/>
  <c r="P36" i="10"/>
  <c r="P3" i="10" s="1"/>
  <c r="P4" i="10" s="1"/>
  <c r="O36" i="10"/>
  <c r="N36" i="10"/>
  <c r="M36" i="10"/>
  <c r="M3" i="10" s="1"/>
  <c r="M4" i="10" s="1"/>
  <c r="K36" i="10"/>
  <c r="J36" i="10"/>
  <c r="J3" i="10" s="1"/>
  <c r="J4" i="10" s="1"/>
  <c r="G36" i="10"/>
  <c r="G3" i="10" s="1"/>
  <c r="G4" i="10" s="1"/>
  <c r="F36" i="10"/>
  <c r="F3" i="10" s="1"/>
  <c r="F4" i="10" s="1"/>
  <c r="E36" i="10"/>
  <c r="D36" i="10"/>
  <c r="C36" i="10"/>
  <c r="C3" i="10" s="1"/>
  <c r="C4" i="10" s="1"/>
  <c r="B36" i="10"/>
  <c r="T34" i="10"/>
  <c r="T33" i="10"/>
  <c r="T32" i="10"/>
  <c r="T31" i="10"/>
  <c r="T30" i="10"/>
  <c r="T29" i="10"/>
  <c r="T28" i="10"/>
  <c r="L36" i="10"/>
  <c r="L3" i="10" s="1"/>
  <c r="L4" i="10" s="1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I36" i="10"/>
  <c r="I3" i="10" s="1"/>
  <c r="I4" i="10" s="1"/>
  <c r="T5" i="10"/>
  <c r="R36" i="10"/>
  <c r="R3" i="10" s="1"/>
  <c r="R4" i="10" s="1"/>
  <c r="N3" i="10"/>
  <c r="N4" i="10" s="1"/>
  <c r="K3" i="10"/>
  <c r="K4" i="10" s="1"/>
  <c r="E3" i="10"/>
  <c r="E4" i="10" s="1"/>
  <c r="D3" i="10"/>
  <c r="D4" i="10" s="1"/>
  <c r="B3" i="10"/>
  <c r="B4" i="10" s="1"/>
  <c r="T2" i="10"/>
  <c r="B19" i="4"/>
  <c r="R33" i="9"/>
  <c r="L30" i="9"/>
  <c r="L29" i="9"/>
  <c r="L28" i="9"/>
  <c r="I28" i="9"/>
  <c r="B40" i="10" l="1"/>
  <c r="H36" i="10"/>
  <c r="H3" i="10" s="1"/>
  <c r="H4" i="10" s="1"/>
  <c r="B39" i="10"/>
  <c r="O3" i="10"/>
  <c r="O4" i="10" s="1"/>
  <c r="B18" i="4"/>
  <c r="I21" i="9"/>
  <c r="R20" i="9"/>
  <c r="I14" i="9"/>
  <c r="R13" i="9"/>
  <c r="I13" i="9"/>
  <c r="B41" i="10" l="1"/>
  <c r="T3" i="10"/>
  <c r="T4" i="10" s="1"/>
  <c r="B43" i="10"/>
  <c r="B42" i="10"/>
  <c r="I10" i="9"/>
  <c r="B38" i="9" l="1"/>
  <c r="I9" i="9"/>
  <c r="H7" i="9"/>
  <c r="I7" i="9"/>
  <c r="I6" i="9"/>
  <c r="P35" i="9" l="1"/>
  <c r="R5" i="9"/>
  <c r="Q35" i="9" l="1"/>
  <c r="Q3" i="9" s="1"/>
  <c r="Q4" i="9" s="1"/>
  <c r="O35" i="9"/>
  <c r="N35" i="9"/>
  <c r="M35" i="9"/>
  <c r="M3" i="9" s="1"/>
  <c r="M4" i="9" s="1"/>
  <c r="K35" i="9"/>
  <c r="K3" i="9" s="1"/>
  <c r="K4" i="9" s="1"/>
  <c r="J35" i="9"/>
  <c r="J3" i="9" s="1"/>
  <c r="J4" i="9" s="1"/>
  <c r="G35" i="9"/>
  <c r="G3" i="9" s="1"/>
  <c r="G4" i="9" s="1"/>
  <c r="F35" i="9"/>
  <c r="F3" i="9" s="1"/>
  <c r="F4" i="9" s="1"/>
  <c r="E35" i="9"/>
  <c r="D35" i="9"/>
  <c r="D3" i="9" s="1"/>
  <c r="D4" i="9" s="1"/>
  <c r="C35" i="9"/>
  <c r="C3" i="9" s="1"/>
  <c r="C4" i="9" s="1"/>
  <c r="B35" i="9"/>
  <c r="B3" i="9" s="1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H35" i="9"/>
  <c r="H3" i="9" s="1"/>
  <c r="H4" i="9" s="1"/>
  <c r="T9" i="9"/>
  <c r="T7" i="9"/>
  <c r="T6" i="9"/>
  <c r="T5" i="9"/>
  <c r="P3" i="9"/>
  <c r="P4" i="9" s="1"/>
  <c r="E3" i="9"/>
  <c r="E4" i="9" s="1"/>
  <c r="O2" i="9"/>
  <c r="T2" i="9" s="1"/>
  <c r="I31" i="7"/>
  <c r="I23" i="7"/>
  <c r="N3" i="9" l="1"/>
  <c r="N4" i="9" s="1"/>
  <c r="O3" i="9"/>
  <c r="O4" i="9" s="1"/>
  <c r="R35" i="9"/>
  <c r="R3" i="9" s="1"/>
  <c r="R4" i="9" s="1"/>
  <c r="L35" i="9"/>
  <c r="L3" i="9" s="1"/>
  <c r="L4" i="9" s="1"/>
  <c r="B4" i="9"/>
  <c r="I35" i="9"/>
  <c r="T8" i="9"/>
  <c r="T10" i="9"/>
  <c r="B39" i="9" s="1"/>
  <c r="R34" i="7"/>
  <c r="R33" i="7"/>
  <c r="B42" i="9" l="1"/>
  <c r="I3" i="9"/>
  <c r="I4" i="9" s="1"/>
  <c r="B41" i="9"/>
  <c r="L31" i="7"/>
  <c r="T3" i="9" l="1"/>
  <c r="T4" i="9" s="1"/>
  <c r="B40" i="9"/>
  <c r="I28" i="7"/>
  <c r="L24" i="7"/>
  <c r="L23" i="7"/>
  <c r="R22" i="7" l="1"/>
  <c r="I12" i="7" l="1"/>
  <c r="H10" i="7" l="1"/>
  <c r="R9" i="7"/>
  <c r="I8" i="7" l="1"/>
  <c r="R8" i="7"/>
  <c r="P3" i="7" l="1"/>
  <c r="P4" i="7" s="1"/>
  <c r="O2" i="7"/>
  <c r="O36" i="7"/>
  <c r="O3" i="7" s="1"/>
  <c r="O4" i="7" s="1"/>
  <c r="I6" i="7"/>
  <c r="R36" i="7" l="1"/>
  <c r="R3" i="7" s="1"/>
  <c r="R4" i="7" s="1"/>
  <c r="Q36" i="7"/>
  <c r="N36" i="7"/>
  <c r="N3" i="7" s="1"/>
  <c r="N4" i="7" s="1"/>
  <c r="M36" i="7"/>
  <c r="M3" i="7" s="1"/>
  <c r="M4" i="7" s="1"/>
  <c r="K36" i="7"/>
  <c r="K3" i="7" s="1"/>
  <c r="K4" i="7" s="1"/>
  <c r="J36" i="7"/>
  <c r="J3" i="7" s="1"/>
  <c r="J4" i="7" s="1"/>
  <c r="I36" i="7"/>
  <c r="I3" i="7" s="1"/>
  <c r="I4" i="7" s="1"/>
  <c r="H36" i="7"/>
  <c r="H3" i="7" s="1"/>
  <c r="H4" i="7" s="1"/>
  <c r="G36" i="7"/>
  <c r="G3" i="7" s="1"/>
  <c r="G4" i="7" s="1"/>
  <c r="F36" i="7"/>
  <c r="F3" i="7" s="1"/>
  <c r="F4" i="7" s="1"/>
  <c r="E36" i="7"/>
  <c r="E3" i="7" s="1"/>
  <c r="E4" i="7" s="1"/>
  <c r="D36" i="7"/>
  <c r="C36" i="7"/>
  <c r="C3" i="7" s="1"/>
  <c r="B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L36" i="7"/>
  <c r="L3" i="7" s="1"/>
  <c r="L4" i="7" s="1"/>
  <c r="T11" i="7"/>
  <c r="T10" i="7"/>
  <c r="T9" i="7"/>
  <c r="T8" i="7"/>
  <c r="T7" i="7"/>
  <c r="T6" i="7"/>
  <c r="T5" i="7"/>
  <c r="B40" i="7" s="1"/>
  <c r="Q3" i="7"/>
  <c r="Q4" i="7" s="1"/>
  <c r="T2" i="7"/>
  <c r="B43" i="7" l="1"/>
  <c r="B44" i="7" s="1"/>
  <c r="B3" i="7"/>
  <c r="B42" i="7"/>
  <c r="D3" i="7"/>
  <c r="D4" i="7" s="1"/>
  <c r="C4" i="7"/>
  <c r="T3" i="7"/>
  <c r="T4" i="7" s="1"/>
  <c r="I39" i="6"/>
  <c r="L39" i="6"/>
  <c r="L38" i="6"/>
  <c r="I38" i="6"/>
  <c r="B4" i="7" l="1"/>
  <c r="B41" i="7"/>
  <c r="I35" i="6"/>
  <c r="I33" i="6" l="1"/>
  <c r="P32" i="6"/>
  <c r="I32" i="6"/>
  <c r="I29" i="6" l="1"/>
  <c r="P28" i="6" l="1"/>
  <c r="L27" i="6" l="1"/>
  <c r="P11" i="6" l="1"/>
  <c r="P27" i="6"/>
  <c r="L25" i="6" l="1"/>
  <c r="I24" i="6"/>
  <c r="P25" i="6"/>
  <c r="P23" i="6" l="1"/>
  <c r="I21" i="6"/>
  <c r="I17" i="6" l="1"/>
  <c r="P17" i="6" l="1"/>
  <c r="L17" i="6"/>
  <c r="H17" i="6"/>
  <c r="I15" i="6" l="1"/>
  <c r="R13" i="6" l="1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P12" i="6"/>
  <c r="R12" i="6" s="1"/>
  <c r="R11" i="6" l="1"/>
  <c r="B20" i="1" l="1"/>
  <c r="P10" i="6"/>
  <c r="I10" i="6"/>
  <c r="R10" i="6" s="1"/>
  <c r="B3" i="6" s="1"/>
  <c r="B4" i="6" l="1"/>
  <c r="B5" i="6"/>
  <c r="P41" i="6"/>
  <c r="P8" i="6" s="1"/>
  <c r="P9" i="6" s="1"/>
  <c r="C41" i="6"/>
  <c r="C8" i="6" s="1"/>
  <c r="C9" i="6" s="1"/>
  <c r="D41" i="6"/>
  <c r="E41" i="6"/>
  <c r="E8" i="6" s="1"/>
  <c r="E9" i="6" s="1"/>
  <c r="F41" i="6"/>
  <c r="G41" i="6"/>
  <c r="G8" i="6" s="1"/>
  <c r="G9" i="6" s="1"/>
  <c r="H41" i="6"/>
  <c r="H8" i="6" s="1"/>
  <c r="H9" i="6" s="1"/>
  <c r="I41" i="6"/>
  <c r="I8" i="6" s="1"/>
  <c r="I9" i="6" s="1"/>
  <c r="J41" i="6"/>
  <c r="J8" i="6" s="1"/>
  <c r="J9" i="6" s="1"/>
  <c r="K41" i="6"/>
  <c r="K8" i="6" s="1"/>
  <c r="K9" i="6" s="1"/>
  <c r="L41" i="6"/>
  <c r="L8" i="6" s="1"/>
  <c r="L9" i="6" s="1"/>
  <c r="M41" i="6"/>
  <c r="N41" i="6"/>
  <c r="N8" i="6" s="1"/>
  <c r="N9" i="6" s="1"/>
  <c r="O41" i="6"/>
  <c r="O8" i="6" s="1"/>
  <c r="O9" i="6" s="1"/>
  <c r="B41" i="6"/>
  <c r="R7" i="6"/>
  <c r="K16" i="1"/>
  <c r="J10" i="1"/>
  <c r="E7" i="1"/>
  <c r="E8" i="1"/>
  <c r="M8" i="6" l="1"/>
  <c r="M9" i="6" s="1"/>
  <c r="D8" i="6"/>
  <c r="D9" i="6" s="1"/>
  <c r="B8" i="6"/>
  <c r="B9" i="6" s="1"/>
  <c r="F8" i="6"/>
  <c r="I10" i="1"/>
  <c r="R8" i="6" l="1"/>
  <c r="R9" i="6" s="1"/>
  <c r="F9" i="6"/>
  <c r="J16" i="1"/>
  <c r="H10" i="1"/>
  <c r="G10" i="1" l="1"/>
  <c r="D2" i="4" l="1"/>
  <c r="I16" i="1"/>
  <c r="E2" i="4" l="1"/>
  <c r="D3" i="4"/>
  <c r="F10" i="1"/>
  <c r="E3" i="4" l="1"/>
  <c r="D4" i="4"/>
  <c r="H16" i="1"/>
  <c r="E4" i="4" l="1"/>
  <c r="D5" i="4"/>
  <c r="D4" i="1"/>
  <c r="D5" i="1"/>
  <c r="D14" i="1"/>
  <c r="D3" i="1"/>
  <c r="G16" i="1"/>
  <c r="D6" i="4" l="1"/>
  <c r="E5" i="4"/>
  <c r="E10" i="1"/>
  <c r="D7" i="4" l="1"/>
  <c r="E6" i="4"/>
  <c r="E14" i="1"/>
  <c r="E16" i="1"/>
  <c r="E7" i="4" l="1"/>
  <c r="D8" i="4"/>
  <c r="E18" i="1"/>
  <c r="F18" i="1"/>
  <c r="G18" i="1"/>
  <c r="H18" i="1"/>
  <c r="I18" i="1"/>
  <c r="J18" i="1"/>
  <c r="K18" i="1"/>
  <c r="L18" i="1"/>
  <c r="M18" i="1"/>
  <c r="N18" i="1"/>
  <c r="D9" i="4" l="1"/>
  <c r="E8" i="4"/>
  <c r="B14" i="1"/>
  <c r="C14" i="1" s="1"/>
  <c r="C3" i="1"/>
  <c r="C5" i="1"/>
  <c r="C7" i="1"/>
  <c r="C8" i="1"/>
  <c r="C9" i="1"/>
  <c r="C10" i="1"/>
  <c r="C11" i="1"/>
  <c r="C12" i="1"/>
  <c r="C13" i="1"/>
  <c r="C15" i="1"/>
  <c r="C16" i="1"/>
  <c r="C17" i="1"/>
  <c r="C4" i="1"/>
  <c r="O4" i="1"/>
  <c r="O5" i="1"/>
  <c r="O6" i="1"/>
  <c r="D6" i="1" s="1"/>
  <c r="O7" i="1"/>
  <c r="D7" i="1" s="1"/>
  <c r="O8" i="1"/>
  <c r="D8" i="1" s="1"/>
  <c r="O9" i="1"/>
  <c r="D9" i="1" s="1"/>
  <c r="O10" i="1"/>
  <c r="D10" i="1" s="1"/>
  <c r="O11" i="1"/>
  <c r="D11" i="1" s="1"/>
  <c r="O12" i="1"/>
  <c r="D12" i="1" s="1"/>
  <c r="O13" i="1"/>
  <c r="D13" i="1" s="1"/>
  <c r="O14" i="1"/>
  <c r="O15" i="1"/>
  <c r="D15" i="1" s="1"/>
  <c r="O16" i="1"/>
  <c r="D16" i="1" s="1"/>
  <c r="O17" i="1"/>
  <c r="D17" i="1" s="1"/>
  <c r="O3" i="1"/>
  <c r="B18" i="1"/>
  <c r="B21" i="1" s="1"/>
  <c r="C6" i="1"/>
  <c r="D10" i="4" l="1"/>
  <c r="E9" i="4"/>
  <c r="O18" i="1"/>
  <c r="C18" i="1"/>
  <c r="D11" i="4" l="1"/>
  <c r="E10" i="4"/>
  <c r="B22" i="1"/>
  <c r="B25" i="1" s="1"/>
  <c r="D18" i="1"/>
  <c r="D12" i="4" l="1"/>
  <c r="E11" i="4"/>
  <c r="D13" i="4" l="1"/>
  <c r="E12" i="4"/>
  <c r="D14" i="4" l="1"/>
  <c r="E13" i="4"/>
  <c r="D15" i="4" l="1"/>
  <c r="E14" i="4"/>
  <c r="D16" i="4" l="1"/>
  <c r="E15" i="4"/>
  <c r="E16" i="4" l="1"/>
  <c r="D17" i="4"/>
  <c r="E17" i="4" l="1"/>
  <c r="D18" i="4"/>
  <c r="E18" i="4" l="1"/>
  <c r="D19" i="4"/>
  <c r="D20" i="4" l="1"/>
  <c r="E19" i="4"/>
  <c r="E20" i="4" l="1"/>
  <c r="D21" i="4"/>
  <c r="E21" i="4" l="1"/>
  <c r="D22" i="4"/>
  <c r="E22" i="4" l="1"/>
  <c r="D23" i="4"/>
  <c r="E23" i="4" l="1"/>
  <c r="D24" i="4"/>
  <c r="E24" i="4" s="1"/>
</calcChain>
</file>

<file path=xl/sharedStrings.xml><?xml version="1.0" encoding="utf-8"?>
<sst xmlns="http://schemas.openxmlformats.org/spreadsheetml/2006/main" count="1336" uniqueCount="339">
  <si>
    <t>Monthly Fixed Expenses</t>
  </si>
  <si>
    <t>Type</t>
  </si>
  <si>
    <t>Rent</t>
  </si>
  <si>
    <t>EMI</t>
  </si>
  <si>
    <t>Maid</t>
  </si>
  <si>
    <t>Electric</t>
  </si>
  <si>
    <t>Milk</t>
  </si>
  <si>
    <t>Water</t>
  </si>
  <si>
    <t>Mobile</t>
  </si>
  <si>
    <t>Grocery</t>
  </si>
  <si>
    <t>Petrol</t>
  </si>
  <si>
    <t>Gas</t>
  </si>
  <si>
    <t>Food</t>
  </si>
  <si>
    <t>Investment</t>
  </si>
  <si>
    <t>Online Shopping</t>
  </si>
  <si>
    <t>Other Buffer Expenses</t>
  </si>
  <si>
    <t>Internet</t>
  </si>
  <si>
    <t>Total Budget</t>
  </si>
  <si>
    <t>Budget Left</t>
  </si>
  <si>
    <t>Spending 1</t>
  </si>
  <si>
    <t>Spending 2</t>
  </si>
  <si>
    <t>Spending 3</t>
  </si>
  <si>
    <t>Spending 4</t>
  </si>
  <si>
    <t>Spending 5</t>
  </si>
  <si>
    <t>Spending 6</t>
  </si>
  <si>
    <t>Spending 7</t>
  </si>
  <si>
    <t>Spending 8</t>
  </si>
  <si>
    <t>Spending 9</t>
  </si>
  <si>
    <t>Spending 10</t>
  </si>
  <si>
    <t>Total</t>
  </si>
  <si>
    <t>Salary</t>
  </si>
  <si>
    <t>Target Savings</t>
  </si>
  <si>
    <t>Month</t>
  </si>
  <si>
    <t>Date</t>
  </si>
  <si>
    <t>Remaining Balance</t>
  </si>
  <si>
    <t>Remarks</t>
  </si>
  <si>
    <t>Spending %</t>
  </si>
  <si>
    <t>Expense Category</t>
  </si>
  <si>
    <t>Amount</t>
  </si>
  <si>
    <t>Vellore Railway Ticket</t>
  </si>
  <si>
    <t>Other Expense</t>
  </si>
  <si>
    <t>Health Package,Hair Cutting, medicine, Travel, Laundry, Akshat, BBQ, Medicine, Doc App, Medical Test, Medicine, Aadhar Link</t>
  </si>
  <si>
    <t>Budget</t>
  </si>
  <si>
    <t>Youtube Mandate</t>
  </si>
  <si>
    <t>Percentage</t>
  </si>
  <si>
    <t>Medicine+Dustbin Bag</t>
  </si>
  <si>
    <t>Salary Credited</t>
  </si>
  <si>
    <t>Total Expense</t>
  </si>
  <si>
    <t>Photograph+Ola</t>
  </si>
  <si>
    <t>Ola</t>
  </si>
  <si>
    <t>Flat Registration Cost</t>
  </si>
  <si>
    <t>Medicine</t>
  </si>
  <si>
    <t>Netflix+Eyebrow+Donation</t>
  </si>
  <si>
    <t>Card Reissuance Fee</t>
  </si>
  <si>
    <t>Medicine, Tax Pay</t>
  </si>
  <si>
    <t>HWH to NJP</t>
  </si>
  <si>
    <t>Percentage Left</t>
  </si>
  <si>
    <t>Medicine +  Mobile Recharge</t>
  </si>
  <si>
    <t>Gangtok Hotel</t>
  </si>
  <si>
    <t>Brokerage</t>
  </si>
  <si>
    <t>NJP to HWH</t>
  </si>
  <si>
    <t>Year</t>
  </si>
  <si>
    <t>Doctor's Consultation+Endoscopy</t>
  </si>
  <si>
    <t>Tea</t>
  </si>
  <si>
    <t>Family Support</t>
  </si>
  <si>
    <t>2023 Consumption</t>
  </si>
  <si>
    <t>Darap Hotel</t>
  </si>
  <si>
    <t>Masi Saree + Apple Bill</t>
  </si>
  <si>
    <t>TV</t>
  </si>
  <si>
    <t>Mobile Recharge</t>
  </si>
  <si>
    <t>CMC Vellore Test</t>
  </si>
  <si>
    <t>Car Fare</t>
  </si>
  <si>
    <t>Amazon Prime, Hair Cut</t>
  </si>
  <si>
    <t>Laptop Bag</t>
  </si>
  <si>
    <t>Vellore Doctor</t>
  </si>
  <si>
    <t>Bedding</t>
  </si>
  <si>
    <t>Plumber, Donation</t>
  </si>
  <si>
    <t>Grandmother's Ritual</t>
  </si>
  <si>
    <t>Sl No</t>
  </si>
  <si>
    <t>Expense</t>
  </si>
  <si>
    <t>Vellore Train+Medical</t>
  </si>
  <si>
    <t>Head Phone</t>
  </si>
  <si>
    <t>bike wash</t>
  </si>
  <si>
    <t>Expenses Except Rent and EMI</t>
  </si>
  <si>
    <t>Coffee House+Eco Park</t>
  </si>
  <si>
    <t>Gym</t>
  </si>
  <si>
    <t>Netflix</t>
  </si>
  <si>
    <t>Books + Apollo Stuff</t>
  </si>
  <si>
    <t>Nivea Deo</t>
  </si>
  <si>
    <t>Hyderabad Ticket</t>
  </si>
  <si>
    <t>Mouse Pad</t>
  </si>
  <si>
    <t>Printout</t>
  </si>
  <si>
    <t>Hyderabad Medical Expenses</t>
  </si>
  <si>
    <t>Amazon Filter</t>
  </si>
  <si>
    <t>Hair Cut, Train Ticket</t>
  </si>
  <si>
    <t>Trisha Dad</t>
  </si>
  <si>
    <t>Darjeeling Hotel</t>
  </si>
  <si>
    <t>Peiling Hotel</t>
  </si>
  <si>
    <t>North Bengal Car</t>
  </si>
  <si>
    <t>North Bengal Food</t>
  </si>
  <si>
    <t>Cab</t>
  </si>
  <si>
    <t>Amazon Movie Rent</t>
  </si>
  <si>
    <t>Shopping Rakesh, Medicine, Netflix</t>
  </si>
  <si>
    <t>BRS GYM</t>
  </si>
  <si>
    <t>HWH-Puri Train</t>
  </si>
  <si>
    <t>Diwali Sweets, Father MRI</t>
  </si>
  <si>
    <t>Cab to HWH, Other items</t>
  </si>
  <si>
    <t>Trisha Dad, Ui Poka, Mobile</t>
  </si>
  <si>
    <t>Bike Insurance</t>
  </si>
  <si>
    <t>Bike Pollution</t>
  </si>
  <si>
    <t>Puri-HWH</t>
  </si>
  <si>
    <t>Hasta Shilpo Mela, Salon</t>
  </si>
  <si>
    <t>Saptaparna</t>
  </si>
  <si>
    <t>HWH to Home Cab</t>
  </si>
  <si>
    <t>Shampoo</t>
  </si>
  <si>
    <t>Bike Warranty, Doctor's Visit, Bike Servicing, Blood Test</t>
  </si>
  <si>
    <t>Puri Hotel</t>
  </si>
  <si>
    <t>Tea, Mobile Recharge</t>
  </si>
  <si>
    <t>Sride</t>
  </si>
  <si>
    <t>Gas Delivery Tips</t>
  </si>
  <si>
    <t>Xray</t>
  </si>
  <si>
    <t>Medicine, Tea</t>
  </si>
  <si>
    <t>Wellness</t>
  </si>
  <si>
    <t>Cab, Tea</t>
  </si>
  <si>
    <t>Medicine+Recharge</t>
  </si>
  <si>
    <t>Medicine+Sride</t>
  </si>
  <si>
    <t>Medicine+Doctor Fees</t>
  </si>
  <si>
    <t>Mobile Recharge, IRCTC</t>
  </si>
  <si>
    <t>Laundry, Eye Glass</t>
  </si>
  <si>
    <t>Pan</t>
  </si>
  <si>
    <t>SBSTC</t>
  </si>
  <si>
    <t>Medicine Father</t>
  </si>
  <si>
    <t>Water Bottle, Mela Expense</t>
  </si>
  <si>
    <t>Netflix,Print Out</t>
  </si>
  <si>
    <t>Eye Brow</t>
  </si>
  <si>
    <t>Mussorie Train, Medicine</t>
  </si>
  <si>
    <t>Mussorie Train</t>
  </si>
  <si>
    <t>Hotel</t>
  </si>
  <si>
    <t>Doctor Fees</t>
  </si>
  <si>
    <t>Headphone</t>
  </si>
  <si>
    <t>Movie</t>
  </si>
  <si>
    <t>Hotels</t>
  </si>
  <si>
    <t>Train Ticket</t>
  </si>
  <si>
    <t>Savings</t>
  </si>
  <si>
    <t>Average Expense</t>
  </si>
  <si>
    <t>Average Savings</t>
  </si>
  <si>
    <t>Salon, Medicine, Mobile Recharge</t>
  </si>
  <si>
    <t>Railway Ticket</t>
  </si>
  <si>
    <t>Plumber</t>
  </si>
  <si>
    <t>Ola Cab, Train Fare, Water</t>
  </si>
  <si>
    <t>Birthday Cake and Others</t>
  </si>
  <si>
    <t>Cable Recharge Home</t>
  </si>
  <si>
    <t>Medicine, CT Scan, Tea, Recharge</t>
  </si>
  <si>
    <t>Train Ticket, Recharge, Recharge</t>
  </si>
  <si>
    <t>Recharge, Tea</t>
  </si>
  <si>
    <t>DTDC</t>
  </si>
  <si>
    <t>Cosmetics, Cleaner</t>
  </si>
  <si>
    <t>Train Ticket, Ring for Wife</t>
  </si>
  <si>
    <t>AMRI, Cab, Book my show</t>
  </si>
  <si>
    <t>Inox</t>
  </si>
  <si>
    <t>Trisha Shopping, Plumber</t>
  </si>
  <si>
    <t>Mobile Recharge Dad</t>
  </si>
  <si>
    <t>Actual Savings</t>
  </si>
  <si>
    <t>Category</t>
  </si>
  <si>
    <t>Aug_2023</t>
  </si>
  <si>
    <t>Sep_2023</t>
  </si>
  <si>
    <t>Summary</t>
  </si>
  <si>
    <t>Nov_2023</t>
  </si>
  <si>
    <t>Dec_2023</t>
  </si>
  <si>
    <t>Jan_2024</t>
  </si>
  <si>
    <t>Feb_2024</t>
  </si>
  <si>
    <t>Mar_2024</t>
  </si>
  <si>
    <t>Average</t>
  </si>
  <si>
    <t>Difference</t>
  </si>
  <si>
    <t>Apr_2024</t>
  </si>
  <si>
    <t>Investment - LIC Premium, PPF</t>
  </si>
  <si>
    <t>MMT Hotels</t>
  </si>
  <si>
    <t>Medicine, Doctor</t>
  </si>
  <si>
    <t>Food for trip</t>
  </si>
  <si>
    <t>Books, Netflix</t>
  </si>
  <si>
    <t>MMT Cab</t>
  </si>
  <si>
    <t>Mobile Recharge,Medicine</t>
  </si>
  <si>
    <t>Cab to Howrah, Water</t>
  </si>
  <si>
    <t>Hair Color and cutting</t>
  </si>
  <si>
    <t>Lounge Access</t>
  </si>
  <si>
    <t>Tip, Medicine, Cab</t>
  </si>
  <si>
    <t>Zee Subscription</t>
  </si>
  <si>
    <t>Hoichoi Subscription, Tata Medical Test</t>
  </si>
  <si>
    <t>Power Bank, Medicine</t>
  </si>
  <si>
    <t>Doctor's Visit,Medicine, Netflix</t>
  </si>
  <si>
    <t>Blanket Cleaning</t>
  </si>
  <si>
    <t>Big Basket</t>
  </si>
  <si>
    <t>Xerox and Copy</t>
  </si>
  <si>
    <t>Face Wash and Medicine</t>
  </si>
  <si>
    <t>Medicine, Spencer, Plumber, Face Wash</t>
  </si>
  <si>
    <t>OTT</t>
  </si>
  <si>
    <t>May_2024</t>
  </si>
  <si>
    <t>Sub Category</t>
  </si>
  <si>
    <t>Train</t>
  </si>
  <si>
    <t>Tip</t>
  </si>
  <si>
    <t>Shopping</t>
  </si>
  <si>
    <t>Dehradun Hotel</t>
  </si>
  <si>
    <t>Site Seeing</t>
  </si>
  <si>
    <t>Transport</t>
  </si>
  <si>
    <t>Mussorie Entry</t>
  </si>
  <si>
    <t>Scooty</t>
  </si>
  <si>
    <t>Hotel Grey Castle by Perfect Stayz HARIDWAR</t>
  </si>
  <si>
    <t>Landour heights MUSSOORIE</t>
  </si>
  <si>
    <t>Hotel Galaxy DEHRADUN</t>
  </si>
  <si>
    <t>Dehradun Hotel to Mussorie</t>
  </si>
  <si>
    <t>New Delhi to HWH</t>
  </si>
  <si>
    <t>Haridwar to New Delhi</t>
  </si>
  <si>
    <t>HWH to DDN</t>
  </si>
  <si>
    <t>Hotel North Wood Mussorie</t>
  </si>
  <si>
    <t>Kanatal</t>
  </si>
  <si>
    <t>Bhatta Falls</t>
  </si>
  <si>
    <t>Pahadi Thali</t>
  </si>
  <si>
    <t>Company Garden</t>
  </si>
  <si>
    <t>Organic Food</t>
  </si>
  <si>
    <t>Landour to Mussorie</t>
  </si>
  <si>
    <t>Petrol + Parking</t>
  </si>
  <si>
    <t>George Everest</t>
  </si>
  <si>
    <t>Kanatal to Haridwar</t>
  </si>
  <si>
    <t>Toto</t>
  </si>
  <si>
    <t>Gujrati Food</t>
  </si>
  <si>
    <t>Thumps Up</t>
  </si>
  <si>
    <t>Photo, Prasad etc.</t>
  </si>
  <si>
    <t>Peda</t>
  </si>
  <si>
    <t>Toto to Haridwar Railway Station</t>
  </si>
  <si>
    <t>Landour Heights Food</t>
  </si>
  <si>
    <t>Landour Bakehouse</t>
  </si>
  <si>
    <t>Chardukan</t>
  </si>
  <si>
    <t>Little Lama</t>
  </si>
  <si>
    <t>Momo</t>
  </si>
  <si>
    <t>Sikh Kabab and Thumps Up</t>
  </si>
  <si>
    <t>Rabdi Jalebi, Gulab Jamun</t>
  </si>
  <si>
    <t>Kanatal Hotel</t>
  </si>
  <si>
    <t>Photo</t>
  </si>
  <si>
    <t>Rabdi and Lassi</t>
  </si>
  <si>
    <t>Kachori and Water</t>
  </si>
  <si>
    <t>Water, Laddu</t>
  </si>
  <si>
    <t>Tata Play Fiber</t>
  </si>
  <si>
    <t>IRCTC</t>
  </si>
  <si>
    <t>Jio Fiber</t>
  </si>
  <si>
    <t>Hair Cut</t>
  </si>
  <si>
    <t>Sent to Trisha, Xerox</t>
  </si>
  <si>
    <t>Netflix, Railway Ticket</t>
  </si>
  <si>
    <t>IRCTC Loss,Sent to Trisha, Shopping</t>
  </si>
  <si>
    <t>Internet, Trisha</t>
  </si>
  <si>
    <t>Doctor's App</t>
  </si>
  <si>
    <t>Sent to Trisha</t>
  </si>
  <si>
    <t>Donation</t>
  </si>
  <si>
    <t>Bike Servicing, Mseal</t>
  </si>
  <si>
    <t>Creatine</t>
  </si>
  <si>
    <t>Railway Ticket, Medicine</t>
  </si>
  <si>
    <t>June_2024</t>
  </si>
  <si>
    <t>Cab Fare</t>
  </si>
  <si>
    <t>Water Bottle</t>
  </si>
  <si>
    <t>IRCTC, Currier</t>
  </si>
  <si>
    <t>Netflix, Mixer Grinder, Mobile</t>
  </si>
  <si>
    <t>Acid,Medicine</t>
  </si>
  <si>
    <t>Average Savings Exclusing Rent and EMI</t>
  </si>
  <si>
    <t>MRI</t>
  </si>
  <si>
    <t>Cab Fare, Doctor Fees</t>
  </si>
  <si>
    <t>Vishal Mega Mart</t>
  </si>
  <si>
    <t>Blood Test, Mixer Grinder</t>
  </si>
  <si>
    <t>Protean Shake,Medical</t>
  </si>
  <si>
    <t>Comb</t>
  </si>
  <si>
    <t>Amazon Shopping</t>
  </si>
  <si>
    <t>Medicine and Face Wash</t>
  </si>
  <si>
    <t>Protean Shake</t>
  </si>
  <si>
    <t>Vijay Mart</t>
  </si>
  <si>
    <t>July_2024</t>
  </si>
  <si>
    <t>Income Tax, Webinar</t>
  </si>
  <si>
    <t>Medicine, Ayurvedic Medicine</t>
  </si>
  <si>
    <t>Body Wash</t>
  </si>
  <si>
    <t>Wire</t>
  </si>
  <si>
    <t>BBQ Nation Cab</t>
  </si>
  <si>
    <t>Arambagh</t>
  </si>
  <si>
    <t>Movie, Jio Subscription, Parking</t>
  </si>
  <si>
    <t>Medicine and other stuffs</t>
  </si>
  <si>
    <t>Hair Cutting</t>
  </si>
  <si>
    <t>Doctor's Appointment</t>
  </si>
  <si>
    <t>Medicine, Bus Ticket</t>
  </si>
  <si>
    <t>Father's Medicine</t>
  </si>
  <si>
    <t>Amazon Prime, Flipkart - Ghee and Other stuff</t>
  </si>
  <si>
    <t>Cab, Medicine, Train Ticket, Doctor's Fees</t>
  </si>
  <si>
    <t>Aug_2024</t>
  </si>
  <si>
    <t>Expense except Rent and EMI</t>
  </si>
  <si>
    <t>Average Expense except Rent and EMI</t>
  </si>
  <si>
    <t>M Bazar Shopping</t>
  </si>
  <si>
    <t>Rail Ticket</t>
  </si>
  <si>
    <t>Doctor's Fees</t>
  </si>
  <si>
    <t>Netflix, Medicine</t>
  </si>
  <si>
    <t>Water Filter</t>
  </si>
  <si>
    <t>Father's Mobile Recharge</t>
  </si>
  <si>
    <t>Jio Recharge</t>
  </si>
  <si>
    <t>Rail Ticket, Tata Play Fiber</t>
  </si>
  <si>
    <t>Photo, Xerox, Recharge, Durga Puja Baksis</t>
  </si>
  <si>
    <t>Furniture, Recharge</t>
  </si>
  <si>
    <t>Shopping, Medicine</t>
  </si>
  <si>
    <t>Sept_2024</t>
  </si>
  <si>
    <t>ATM Withdrawal, Medicine, Cosmetics</t>
  </si>
  <si>
    <t>Car Rent</t>
  </si>
  <si>
    <t>Durga Puja Chanda</t>
  </si>
  <si>
    <t>Railway Ticket, Movie, Picnic</t>
  </si>
  <si>
    <t>Tooth Brush, Airtel Xtreme, Donation</t>
  </si>
  <si>
    <t>medicine</t>
  </si>
  <si>
    <t>Car Rent, Medical Appointment</t>
  </si>
  <si>
    <t>Tata Play, Jio Recharge</t>
  </si>
  <si>
    <t>Medical Appointment</t>
  </si>
  <si>
    <t>Oct_2024</t>
  </si>
  <si>
    <t>Mosquito Oil etc</t>
  </si>
  <si>
    <t>Tata 1 MG</t>
  </si>
  <si>
    <t>TD Interest Deduction</t>
  </si>
  <si>
    <t>Parking</t>
  </si>
  <si>
    <t>Driving License, Gift Paper</t>
  </si>
  <si>
    <t>Hotstar, Sony Subscription</t>
  </si>
  <si>
    <t>Pollution Certificate, Bike wash and servicing, Hair Color</t>
  </si>
  <si>
    <t>Protein Shake</t>
  </si>
  <si>
    <t>Nov_2024</t>
  </si>
  <si>
    <t>Gym Membership</t>
  </si>
  <si>
    <t>LL Test</t>
  </si>
  <si>
    <t>Print Out</t>
  </si>
  <si>
    <t>Jio Fiber, Bike Servicing</t>
  </si>
  <si>
    <t>Udemy Course</t>
  </si>
  <si>
    <t>Glass for Trisha, Reliance Smart</t>
  </si>
  <si>
    <t>Laundry, Glass for Trisha</t>
  </si>
  <si>
    <t>Mobile Recharge, Bus Ticket</t>
  </si>
  <si>
    <t>Mandarmani Hotel</t>
  </si>
  <si>
    <t>Medicine for Mandarmani</t>
  </si>
  <si>
    <t>Auto Fare,Mandarmani Expenses</t>
  </si>
  <si>
    <t>Totto Fare, Food, Massage</t>
  </si>
  <si>
    <t>Bus ticket</t>
  </si>
  <si>
    <t>Bus</t>
  </si>
  <si>
    <t>Kahab Beach Resort Food, Digha Food</t>
  </si>
  <si>
    <t>Kahab Beach Resort</t>
  </si>
  <si>
    <t>Max Life Insurance</t>
  </si>
  <si>
    <t>Dec_2024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</si>
</sst>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;[Red]0.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0" fontId="1" fillId="0" borderId="1" xfId="0" applyFont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1" fontId="0" fillId="7" borderId="1" xfId="0" applyNumberFormat="1" applyFill="1" applyBorder="1"/>
    <xf numFmtId="1" fontId="0" fillId="0" borderId="2" xfId="0" applyNumberFormat="1" applyFill="1" applyBorder="1"/>
    <xf numFmtId="1" fontId="0" fillId="0" borderId="1" xfId="0" applyNumberFormat="1" applyFill="1" applyBorder="1"/>
    <xf numFmtId="0" fontId="0" fillId="4" borderId="1" xfId="0" applyFill="1" applyBorder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Fill="1"/>
    <xf numFmtId="2" fontId="0" fillId="9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0" borderId="1" xfId="0" applyFill="1" applyBorder="1"/>
    <xf numFmtId="0" fontId="0" fillId="0" borderId="1" xfId="0" applyFill="1" applyBorder="1"/>
    <xf numFmtId="2" fontId="0" fillId="0" borderId="1" xfId="0" applyNumberFormat="1" applyBorder="1"/>
    <xf numFmtId="0" fontId="0" fillId="0" borderId="2" xfId="0" applyFill="1" applyBorder="1" applyAlignment="1">
      <alignment wrapText="1"/>
    </xf>
    <xf numFmtId="0" fontId="0" fillId="0" borderId="1" xfId="0" applyBorder="1" applyAlignment="1"/>
    <xf numFmtId="0" fontId="0" fillId="7" borderId="2" xfId="0" applyFill="1" applyBorder="1"/>
    <xf numFmtId="0" fontId="0" fillId="0" borderId="2" xfId="0" applyFill="1" applyBorder="1"/>
    <xf numFmtId="0" fontId="0" fillId="8" borderId="1" xfId="0" applyFill="1" applyBorder="1" applyAlignment="1">
      <alignment horizontal="center"/>
    </xf>
    <xf numFmtId="0" fontId="0" fillId="10" borderId="2" xfId="0" applyFill="1" applyBorder="1"/>
    <xf numFmtId="0" fontId="0" fillId="8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11" borderId="1" xfId="0" applyFill="1" applyBorder="1"/>
    <xf numFmtId="0" fontId="0" fillId="9" borderId="1" xfId="0" applyFill="1" applyBorder="1"/>
    <xf numFmtId="0" fontId="0" fillId="11" borderId="1" xfId="0" applyFill="1" applyBorder="1" applyAlignment="1">
      <alignment horizontal="center"/>
    </xf>
    <xf numFmtId="164" fontId="0" fillId="0" borderId="1" xfId="0" applyNumberFormat="1" applyFill="1" applyBorder="1"/>
    <xf numFmtId="164" fontId="0" fillId="0" borderId="1" xfId="0" applyNumberFormat="1" applyBorder="1"/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/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ill="1" applyBorder="1"/>
    <xf numFmtId="0" fontId="0" fillId="12" borderId="2" xfId="0" applyFill="1" applyBorder="1"/>
    <xf numFmtId="0" fontId="0" fillId="11" borderId="1" xfId="0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7" fontId="2" fillId="0" borderId="1" xfId="0" applyNumberFormat="1" applyFont="1" applyBorder="1"/>
    <xf numFmtId="0" fontId="0" fillId="1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3" borderId="1" xfId="0" applyFill="1" applyBorder="1"/>
    <xf numFmtId="0" fontId="0" fillId="11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</cellXfs>
  <cellStyles count="1">
    <cellStyle name="Normal" xfId="0" builtinId="0"/>
  </cellStyles>
  <dxfs count="5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Electric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Summary!$B$1:$Q$1</c:f>
              <c:strCache>
                <c:ptCount val="16"/>
                <c:pt idx="0">
                  <c:v>Aug_2023</c:v>
                </c:pt>
                <c:pt idx="1">
                  <c:v>Sep_2023</c:v>
                </c:pt>
                <c:pt idx="2">
                  <c:v>Nov_2023</c:v>
                </c:pt>
                <c:pt idx="3">
                  <c:v>Dec_2023</c:v>
                </c:pt>
                <c:pt idx="4">
                  <c:v>Jan_2024</c:v>
                </c:pt>
                <c:pt idx="5">
                  <c:v>Feb_2024</c:v>
                </c:pt>
                <c:pt idx="6">
                  <c:v>Mar_2024</c:v>
                </c:pt>
                <c:pt idx="7">
                  <c:v>Apr_2024</c:v>
                </c:pt>
                <c:pt idx="8">
                  <c:v>May_2024</c:v>
                </c:pt>
                <c:pt idx="9">
                  <c:v>June_2024</c:v>
                </c:pt>
                <c:pt idx="10">
                  <c:v>July_2024</c:v>
                </c:pt>
                <c:pt idx="11">
                  <c:v>Aug_2024</c:v>
                </c:pt>
                <c:pt idx="12">
                  <c:v>Sept_2024</c:v>
                </c:pt>
                <c:pt idx="13">
                  <c:v>Oct_2024</c:v>
                </c:pt>
                <c:pt idx="14">
                  <c:v>Nov_2024</c:v>
                </c:pt>
                <c:pt idx="15">
                  <c:v>Dec_2024</c:v>
                </c:pt>
              </c:strCache>
            </c:strRef>
          </c:cat>
          <c:val>
            <c:numRef>
              <c:f>Summary!$B$5:$Q$5</c:f>
              <c:numCache>
                <c:formatCode>General</c:formatCode>
                <c:ptCount val="16"/>
                <c:pt idx="0">
                  <c:v>762</c:v>
                </c:pt>
                <c:pt idx="1">
                  <c:v>762</c:v>
                </c:pt>
                <c:pt idx="2">
                  <c:v>762</c:v>
                </c:pt>
                <c:pt idx="3">
                  <c:v>636</c:v>
                </c:pt>
                <c:pt idx="4">
                  <c:v>636</c:v>
                </c:pt>
                <c:pt idx="5">
                  <c:v>636</c:v>
                </c:pt>
                <c:pt idx="6">
                  <c:v>821</c:v>
                </c:pt>
                <c:pt idx="7">
                  <c:v>821</c:v>
                </c:pt>
                <c:pt idx="8">
                  <c:v>821</c:v>
                </c:pt>
                <c:pt idx="9">
                  <c:v>1138</c:v>
                </c:pt>
                <c:pt idx="10">
                  <c:v>1138</c:v>
                </c:pt>
                <c:pt idx="11">
                  <c:v>1138</c:v>
                </c:pt>
                <c:pt idx="12">
                  <c:v>477</c:v>
                </c:pt>
                <c:pt idx="13">
                  <c:v>477</c:v>
                </c:pt>
                <c:pt idx="14">
                  <c:v>477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4-4C29-9A2A-C2E7FFD0A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630847"/>
        <c:axId val="345644991"/>
      </c:barChart>
      <c:catAx>
        <c:axId val="3456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44991"/>
        <c:crosses val="autoZero"/>
        <c:auto val="1"/>
        <c:lblAlgn val="ctr"/>
        <c:lblOffset val="100"/>
        <c:noMultiLvlLbl val="0"/>
      </c:catAx>
      <c:valAx>
        <c:axId val="34564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3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Summary!$B$1:$Q$1</c:f>
              <c:strCache>
                <c:ptCount val="16"/>
                <c:pt idx="0">
                  <c:v>Aug_2023</c:v>
                </c:pt>
                <c:pt idx="1">
                  <c:v>Sep_2023</c:v>
                </c:pt>
                <c:pt idx="2">
                  <c:v>Nov_2023</c:v>
                </c:pt>
                <c:pt idx="3">
                  <c:v>Dec_2023</c:v>
                </c:pt>
                <c:pt idx="4">
                  <c:v>Jan_2024</c:v>
                </c:pt>
                <c:pt idx="5">
                  <c:v>Feb_2024</c:v>
                </c:pt>
                <c:pt idx="6">
                  <c:v>Mar_2024</c:v>
                </c:pt>
                <c:pt idx="7">
                  <c:v>Apr_2024</c:v>
                </c:pt>
                <c:pt idx="8">
                  <c:v>May_2024</c:v>
                </c:pt>
                <c:pt idx="9">
                  <c:v>June_2024</c:v>
                </c:pt>
                <c:pt idx="10">
                  <c:v>July_2024</c:v>
                </c:pt>
                <c:pt idx="11">
                  <c:v>Aug_2024</c:v>
                </c:pt>
                <c:pt idx="12">
                  <c:v>Sept_2024</c:v>
                </c:pt>
                <c:pt idx="13">
                  <c:v>Oct_2024</c:v>
                </c:pt>
                <c:pt idx="14">
                  <c:v>Nov_2024</c:v>
                </c:pt>
                <c:pt idx="15">
                  <c:v>Dec_2024</c:v>
                </c:pt>
              </c:strCache>
            </c:strRef>
          </c:cat>
          <c:val>
            <c:numRef>
              <c:f>Summary!$B$6:$Q$6</c:f>
              <c:numCache>
                <c:formatCode>General</c:formatCode>
                <c:ptCount val="16"/>
                <c:pt idx="0">
                  <c:v>715</c:v>
                </c:pt>
                <c:pt idx="1">
                  <c:v>840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455</c:v>
                </c:pt>
                <c:pt idx="8">
                  <c:v>805</c:v>
                </c:pt>
                <c:pt idx="9">
                  <c:v>808</c:v>
                </c:pt>
                <c:pt idx="10">
                  <c:v>280</c:v>
                </c:pt>
                <c:pt idx="11">
                  <c:v>525</c:v>
                </c:pt>
                <c:pt idx="12">
                  <c:v>840</c:v>
                </c:pt>
                <c:pt idx="13">
                  <c:v>490</c:v>
                </c:pt>
                <c:pt idx="14">
                  <c:v>455</c:v>
                </c:pt>
                <c:pt idx="15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1-473B-9DA1-328F531A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646239"/>
        <c:axId val="345636255"/>
      </c:barChart>
      <c:catAx>
        <c:axId val="3456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36255"/>
        <c:crosses val="autoZero"/>
        <c:auto val="1"/>
        <c:lblAlgn val="ctr"/>
        <c:lblOffset val="100"/>
        <c:noMultiLvlLbl val="0"/>
      </c:catAx>
      <c:valAx>
        <c:axId val="34563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Summary!$B$1:$Q$1</c:f>
              <c:strCache>
                <c:ptCount val="16"/>
                <c:pt idx="0">
                  <c:v>Aug_2023</c:v>
                </c:pt>
                <c:pt idx="1">
                  <c:v>Sep_2023</c:v>
                </c:pt>
                <c:pt idx="2">
                  <c:v>Nov_2023</c:v>
                </c:pt>
                <c:pt idx="3">
                  <c:v>Dec_2023</c:v>
                </c:pt>
                <c:pt idx="4">
                  <c:v>Jan_2024</c:v>
                </c:pt>
                <c:pt idx="5">
                  <c:v>Feb_2024</c:v>
                </c:pt>
                <c:pt idx="6">
                  <c:v>Mar_2024</c:v>
                </c:pt>
                <c:pt idx="7">
                  <c:v>Apr_2024</c:v>
                </c:pt>
                <c:pt idx="8">
                  <c:v>May_2024</c:v>
                </c:pt>
                <c:pt idx="9">
                  <c:v>June_2024</c:v>
                </c:pt>
                <c:pt idx="10">
                  <c:v>July_2024</c:v>
                </c:pt>
                <c:pt idx="11">
                  <c:v>Aug_2024</c:v>
                </c:pt>
                <c:pt idx="12">
                  <c:v>Sept_2024</c:v>
                </c:pt>
                <c:pt idx="13">
                  <c:v>Oct_2024</c:v>
                </c:pt>
                <c:pt idx="14">
                  <c:v>Nov_2024</c:v>
                </c:pt>
                <c:pt idx="15">
                  <c:v>Dec_2024</c:v>
                </c:pt>
              </c:strCache>
            </c:strRef>
          </c:cat>
          <c:val>
            <c:numRef>
              <c:f>Summary!$B$7:$Q$7</c:f>
              <c:numCache>
                <c:formatCode>General</c:formatCode>
                <c:ptCount val="16"/>
                <c:pt idx="0">
                  <c:v>480</c:v>
                </c:pt>
                <c:pt idx="1">
                  <c:v>480</c:v>
                </c:pt>
                <c:pt idx="2">
                  <c:v>430</c:v>
                </c:pt>
                <c:pt idx="3">
                  <c:v>740</c:v>
                </c:pt>
                <c:pt idx="4">
                  <c:v>500</c:v>
                </c:pt>
                <c:pt idx="5">
                  <c:v>650</c:v>
                </c:pt>
                <c:pt idx="6">
                  <c:v>350</c:v>
                </c:pt>
                <c:pt idx="7">
                  <c:v>480</c:v>
                </c:pt>
                <c:pt idx="8">
                  <c:v>630</c:v>
                </c:pt>
                <c:pt idx="9">
                  <c:v>310</c:v>
                </c:pt>
                <c:pt idx="10">
                  <c:v>700</c:v>
                </c:pt>
                <c:pt idx="11">
                  <c:v>550</c:v>
                </c:pt>
                <c:pt idx="12">
                  <c:v>240</c:v>
                </c:pt>
                <c:pt idx="13">
                  <c:v>0</c:v>
                </c:pt>
                <c:pt idx="14">
                  <c:v>330</c:v>
                </c:pt>
                <c:pt idx="15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0-42D3-B50A-7790A51B2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6572495"/>
        <c:axId val="466561263"/>
      </c:barChart>
      <c:catAx>
        <c:axId val="46657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1263"/>
        <c:crosses val="autoZero"/>
        <c:auto val="1"/>
        <c:lblAlgn val="ctr"/>
        <c:lblOffset val="100"/>
        <c:noMultiLvlLbl val="0"/>
      </c:catAx>
      <c:valAx>
        <c:axId val="46656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7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Summary!$B$1:$Q$1</c:f>
              <c:strCache>
                <c:ptCount val="16"/>
                <c:pt idx="0">
                  <c:v>Aug_2023</c:v>
                </c:pt>
                <c:pt idx="1">
                  <c:v>Sep_2023</c:v>
                </c:pt>
                <c:pt idx="2">
                  <c:v>Nov_2023</c:v>
                </c:pt>
                <c:pt idx="3">
                  <c:v>Dec_2023</c:v>
                </c:pt>
                <c:pt idx="4">
                  <c:v>Jan_2024</c:v>
                </c:pt>
                <c:pt idx="5">
                  <c:v>Feb_2024</c:v>
                </c:pt>
                <c:pt idx="6">
                  <c:v>Mar_2024</c:v>
                </c:pt>
                <c:pt idx="7">
                  <c:v>Apr_2024</c:v>
                </c:pt>
                <c:pt idx="8">
                  <c:v>May_2024</c:v>
                </c:pt>
                <c:pt idx="9">
                  <c:v>June_2024</c:v>
                </c:pt>
                <c:pt idx="10">
                  <c:v>July_2024</c:v>
                </c:pt>
                <c:pt idx="11">
                  <c:v>Aug_2024</c:v>
                </c:pt>
                <c:pt idx="12">
                  <c:v>Sept_2024</c:v>
                </c:pt>
                <c:pt idx="13">
                  <c:v>Oct_2024</c:v>
                </c:pt>
                <c:pt idx="14">
                  <c:v>Nov_2024</c:v>
                </c:pt>
                <c:pt idx="15">
                  <c:v>Dec_2024</c:v>
                </c:pt>
              </c:strCache>
            </c:strRef>
          </c:cat>
          <c:val>
            <c:numRef>
              <c:f>Summary!$B$8:$Q$8</c:f>
              <c:numCache>
                <c:formatCode>General</c:formatCode>
                <c:ptCount val="16"/>
                <c:pt idx="0">
                  <c:v>482</c:v>
                </c:pt>
                <c:pt idx="1">
                  <c:v>916</c:v>
                </c:pt>
                <c:pt idx="2">
                  <c:v>496</c:v>
                </c:pt>
                <c:pt idx="3">
                  <c:v>418</c:v>
                </c:pt>
                <c:pt idx="4">
                  <c:v>259</c:v>
                </c:pt>
                <c:pt idx="5">
                  <c:v>239</c:v>
                </c:pt>
                <c:pt idx="6">
                  <c:v>0</c:v>
                </c:pt>
                <c:pt idx="7">
                  <c:v>484</c:v>
                </c:pt>
                <c:pt idx="8">
                  <c:v>484</c:v>
                </c:pt>
                <c:pt idx="9">
                  <c:v>484</c:v>
                </c:pt>
                <c:pt idx="10">
                  <c:v>498</c:v>
                </c:pt>
                <c:pt idx="11">
                  <c:v>498</c:v>
                </c:pt>
                <c:pt idx="12">
                  <c:v>866</c:v>
                </c:pt>
                <c:pt idx="13">
                  <c:v>201</c:v>
                </c:pt>
                <c:pt idx="14">
                  <c:v>1219</c:v>
                </c:pt>
                <c:pt idx="15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8-48ED-979B-771656168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7626127"/>
        <c:axId val="277627791"/>
      </c:barChart>
      <c:catAx>
        <c:axId val="27762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27791"/>
        <c:crosses val="autoZero"/>
        <c:auto val="1"/>
        <c:lblAlgn val="ctr"/>
        <c:lblOffset val="100"/>
        <c:noMultiLvlLbl val="0"/>
      </c:catAx>
      <c:valAx>
        <c:axId val="2776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2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Grocery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Summary!$B$1:$Q$1</c:f>
              <c:strCache>
                <c:ptCount val="16"/>
                <c:pt idx="0">
                  <c:v>Aug_2023</c:v>
                </c:pt>
                <c:pt idx="1">
                  <c:v>Sep_2023</c:v>
                </c:pt>
                <c:pt idx="2">
                  <c:v>Nov_2023</c:v>
                </c:pt>
                <c:pt idx="3">
                  <c:v>Dec_2023</c:v>
                </c:pt>
                <c:pt idx="4">
                  <c:v>Jan_2024</c:v>
                </c:pt>
                <c:pt idx="5">
                  <c:v>Feb_2024</c:v>
                </c:pt>
                <c:pt idx="6">
                  <c:v>Mar_2024</c:v>
                </c:pt>
                <c:pt idx="7">
                  <c:v>Apr_2024</c:v>
                </c:pt>
                <c:pt idx="8">
                  <c:v>May_2024</c:v>
                </c:pt>
                <c:pt idx="9">
                  <c:v>June_2024</c:v>
                </c:pt>
                <c:pt idx="10">
                  <c:v>July_2024</c:v>
                </c:pt>
                <c:pt idx="11">
                  <c:v>Aug_2024</c:v>
                </c:pt>
                <c:pt idx="12">
                  <c:v>Sept_2024</c:v>
                </c:pt>
                <c:pt idx="13">
                  <c:v>Oct_2024</c:v>
                </c:pt>
                <c:pt idx="14">
                  <c:v>Nov_2024</c:v>
                </c:pt>
                <c:pt idx="15">
                  <c:v>Dec_2024</c:v>
                </c:pt>
              </c:strCache>
            </c:strRef>
          </c:cat>
          <c:val>
            <c:numRef>
              <c:f>Summary!$B$9:$Q$9</c:f>
              <c:numCache>
                <c:formatCode>General</c:formatCode>
                <c:ptCount val="16"/>
                <c:pt idx="0">
                  <c:v>6570</c:v>
                </c:pt>
                <c:pt idx="1">
                  <c:v>6828</c:v>
                </c:pt>
                <c:pt idx="2">
                  <c:v>3901</c:v>
                </c:pt>
                <c:pt idx="3">
                  <c:v>6611</c:v>
                </c:pt>
                <c:pt idx="4">
                  <c:v>8768.48</c:v>
                </c:pt>
                <c:pt idx="5">
                  <c:v>5477</c:v>
                </c:pt>
                <c:pt idx="6">
                  <c:v>7382</c:v>
                </c:pt>
                <c:pt idx="7">
                  <c:v>4536</c:v>
                </c:pt>
                <c:pt idx="8">
                  <c:v>12165.4</c:v>
                </c:pt>
                <c:pt idx="9">
                  <c:v>3604</c:v>
                </c:pt>
                <c:pt idx="10">
                  <c:v>10926</c:v>
                </c:pt>
                <c:pt idx="11">
                  <c:v>7560</c:v>
                </c:pt>
                <c:pt idx="12">
                  <c:v>6299</c:v>
                </c:pt>
                <c:pt idx="13">
                  <c:v>5179</c:v>
                </c:pt>
                <c:pt idx="14">
                  <c:v>10075</c:v>
                </c:pt>
                <c:pt idx="15">
                  <c:v>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7-4F69-88A0-19E48A15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47119"/>
        <c:axId val="212549199"/>
      </c:barChart>
      <c:catAx>
        <c:axId val="21254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199"/>
        <c:crosses val="autoZero"/>
        <c:auto val="1"/>
        <c:lblAlgn val="ctr"/>
        <c:lblOffset val="100"/>
        <c:noMultiLvlLbl val="0"/>
      </c:catAx>
      <c:valAx>
        <c:axId val="2125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Summary!$B$1:$Q$1</c:f>
              <c:strCache>
                <c:ptCount val="16"/>
                <c:pt idx="0">
                  <c:v>Aug_2023</c:v>
                </c:pt>
                <c:pt idx="1">
                  <c:v>Sep_2023</c:v>
                </c:pt>
                <c:pt idx="2">
                  <c:v>Nov_2023</c:v>
                </c:pt>
                <c:pt idx="3">
                  <c:v>Dec_2023</c:v>
                </c:pt>
                <c:pt idx="4">
                  <c:v>Jan_2024</c:v>
                </c:pt>
                <c:pt idx="5">
                  <c:v>Feb_2024</c:v>
                </c:pt>
                <c:pt idx="6">
                  <c:v>Mar_2024</c:v>
                </c:pt>
                <c:pt idx="7">
                  <c:v>Apr_2024</c:v>
                </c:pt>
                <c:pt idx="8">
                  <c:v>May_2024</c:v>
                </c:pt>
                <c:pt idx="9">
                  <c:v>June_2024</c:v>
                </c:pt>
                <c:pt idx="10">
                  <c:v>July_2024</c:v>
                </c:pt>
                <c:pt idx="11">
                  <c:v>Aug_2024</c:v>
                </c:pt>
                <c:pt idx="12">
                  <c:v>Sept_2024</c:v>
                </c:pt>
                <c:pt idx="13">
                  <c:v>Oct_2024</c:v>
                </c:pt>
                <c:pt idx="14">
                  <c:v>Nov_2024</c:v>
                </c:pt>
                <c:pt idx="15">
                  <c:v>Dec_2024</c:v>
                </c:pt>
              </c:strCache>
            </c:strRef>
          </c:cat>
          <c:val>
            <c:numRef>
              <c:f>Summary!$B$12:$Q$12</c:f>
              <c:numCache>
                <c:formatCode>General</c:formatCode>
                <c:ptCount val="16"/>
                <c:pt idx="0">
                  <c:v>936</c:v>
                </c:pt>
                <c:pt idx="1">
                  <c:v>3189.83</c:v>
                </c:pt>
                <c:pt idx="2">
                  <c:v>2296</c:v>
                </c:pt>
                <c:pt idx="3">
                  <c:v>3851</c:v>
                </c:pt>
                <c:pt idx="4">
                  <c:v>2131.06</c:v>
                </c:pt>
                <c:pt idx="5">
                  <c:v>3064.2000000000003</c:v>
                </c:pt>
                <c:pt idx="6">
                  <c:v>2441</c:v>
                </c:pt>
                <c:pt idx="7">
                  <c:v>1411</c:v>
                </c:pt>
                <c:pt idx="8">
                  <c:v>2889</c:v>
                </c:pt>
                <c:pt idx="9">
                  <c:v>1841</c:v>
                </c:pt>
                <c:pt idx="10">
                  <c:v>5181</c:v>
                </c:pt>
                <c:pt idx="11">
                  <c:v>3025</c:v>
                </c:pt>
                <c:pt idx="12">
                  <c:v>3235</c:v>
                </c:pt>
                <c:pt idx="13">
                  <c:v>5176</c:v>
                </c:pt>
                <c:pt idx="14">
                  <c:v>3554</c:v>
                </c:pt>
                <c:pt idx="15">
                  <c:v>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E-4D93-A7F3-E19570DA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557935"/>
        <c:axId val="212551279"/>
      </c:barChart>
      <c:catAx>
        <c:axId val="21255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1279"/>
        <c:crosses val="autoZero"/>
        <c:auto val="1"/>
        <c:lblAlgn val="ctr"/>
        <c:lblOffset val="100"/>
        <c:noMultiLvlLbl val="0"/>
      </c:catAx>
      <c:valAx>
        <c:axId val="2125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Other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Summary!$B$1:$Q$1</c:f>
              <c:strCache>
                <c:ptCount val="16"/>
                <c:pt idx="0">
                  <c:v>Aug_2023</c:v>
                </c:pt>
                <c:pt idx="1">
                  <c:v>Sep_2023</c:v>
                </c:pt>
                <c:pt idx="2">
                  <c:v>Nov_2023</c:v>
                </c:pt>
                <c:pt idx="3">
                  <c:v>Dec_2023</c:v>
                </c:pt>
                <c:pt idx="4">
                  <c:v>Jan_2024</c:v>
                </c:pt>
                <c:pt idx="5">
                  <c:v>Feb_2024</c:v>
                </c:pt>
                <c:pt idx="6">
                  <c:v>Mar_2024</c:v>
                </c:pt>
                <c:pt idx="7">
                  <c:v>Apr_2024</c:v>
                </c:pt>
                <c:pt idx="8">
                  <c:v>May_2024</c:v>
                </c:pt>
                <c:pt idx="9">
                  <c:v>June_2024</c:v>
                </c:pt>
                <c:pt idx="10">
                  <c:v>July_2024</c:v>
                </c:pt>
                <c:pt idx="11">
                  <c:v>Aug_2024</c:v>
                </c:pt>
                <c:pt idx="12">
                  <c:v>Sept_2024</c:v>
                </c:pt>
                <c:pt idx="13">
                  <c:v>Oct_2024</c:v>
                </c:pt>
                <c:pt idx="14">
                  <c:v>Nov_2024</c:v>
                </c:pt>
                <c:pt idx="15">
                  <c:v>Dec_2024</c:v>
                </c:pt>
              </c:strCache>
            </c:strRef>
          </c:cat>
          <c:val>
            <c:numRef>
              <c:f>Summary!$B$18:$Q$18</c:f>
              <c:numCache>
                <c:formatCode>General</c:formatCode>
                <c:ptCount val="16"/>
                <c:pt idx="0">
                  <c:v>25733</c:v>
                </c:pt>
                <c:pt idx="1">
                  <c:v>21621.25</c:v>
                </c:pt>
                <c:pt idx="2">
                  <c:v>15941.55</c:v>
                </c:pt>
                <c:pt idx="3">
                  <c:v>10326</c:v>
                </c:pt>
                <c:pt idx="4">
                  <c:v>8300</c:v>
                </c:pt>
                <c:pt idx="5">
                  <c:v>27987.599999999999</c:v>
                </c:pt>
                <c:pt idx="6">
                  <c:v>26567</c:v>
                </c:pt>
                <c:pt idx="7">
                  <c:v>13637</c:v>
                </c:pt>
                <c:pt idx="8">
                  <c:v>11612</c:v>
                </c:pt>
                <c:pt idx="9">
                  <c:v>26418.5</c:v>
                </c:pt>
                <c:pt idx="10">
                  <c:v>24991</c:v>
                </c:pt>
                <c:pt idx="11">
                  <c:v>16048</c:v>
                </c:pt>
                <c:pt idx="12">
                  <c:v>15073</c:v>
                </c:pt>
                <c:pt idx="13">
                  <c:v>21836</c:v>
                </c:pt>
                <c:pt idx="14">
                  <c:v>9666</c:v>
                </c:pt>
                <c:pt idx="15">
                  <c:v>22522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8-4D70-B057-2A3661F14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5654559"/>
        <c:axId val="345652895"/>
      </c:barChart>
      <c:catAx>
        <c:axId val="34565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52895"/>
        <c:crosses val="autoZero"/>
        <c:auto val="1"/>
        <c:lblAlgn val="ctr"/>
        <c:lblOffset val="100"/>
        <c:noMultiLvlLbl val="0"/>
      </c:catAx>
      <c:valAx>
        <c:axId val="3456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5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21</xdr:row>
      <xdr:rowOff>9525</xdr:rowOff>
    </xdr:from>
    <xdr:to>
      <xdr:col>7</xdr:col>
      <xdr:colOff>583405</xdr:colOff>
      <xdr:row>35</xdr:row>
      <xdr:rowOff>130969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36</xdr:row>
      <xdr:rowOff>180975</xdr:rowOff>
    </xdr:from>
    <xdr:to>
      <xdr:col>7</xdr:col>
      <xdr:colOff>571500</xdr:colOff>
      <xdr:row>51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314325</xdr:colOff>
      <xdr:row>52</xdr:row>
      <xdr:rowOff>142875</xdr:rowOff>
    </xdr:from>
    <xdr:to>
      <xdr:col>7</xdr:col>
      <xdr:colOff>631031</xdr:colOff>
      <xdr:row>67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247649</xdr:colOff>
      <xdr:row>69</xdr:row>
      <xdr:rowOff>47625</xdr:rowOff>
    </xdr:from>
    <xdr:to>
      <xdr:col>7</xdr:col>
      <xdr:colOff>559593</xdr:colOff>
      <xdr:row>84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86</xdr:row>
      <xdr:rowOff>28574</xdr:rowOff>
    </xdr:from>
    <xdr:to>
      <xdr:col>7</xdr:col>
      <xdr:colOff>595313</xdr:colOff>
      <xdr:row>101</xdr:row>
      <xdr:rowOff>119061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171449</xdr:colOff>
      <xdr:row>103</xdr:row>
      <xdr:rowOff>19049</xdr:rowOff>
    </xdr:from>
    <xdr:to>
      <xdr:col>7</xdr:col>
      <xdr:colOff>654843</xdr:colOff>
      <xdr:row>118</xdr:row>
      <xdr:rowOff>71436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161924</xdr:colOff>
      <xdr:row>120</xdr:row>
      <xdr:rowOff>9524</xdr:rowOff>
    </xdr:from>
    <xdr:to>
      <xdr:col>7</xdr:col>
      <xdr:colOff>678656</xdr:colOff>
      <xdr:row>135</xdr:row>
      <xdr:rowOff>35719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2" workbookViewId="0">
      <selection activeCell="A12" sqref="A12"/>
    </sheetView>
  </sheetViews>
  <sheetFormatPr defaultRowHeight="14.5" x14ac:dyDescent="0.35"/>
  <cols>
    <col min="1" max="1" width="25.1796875" customWidth="1"/>
    <col min="2" max="2" width="42.1796875" bestFit="1" customWidth="1"/>
    <col min="3" max="3" width="18.1796875" customWidth="1"/>
    <col min="5" max="5" width="16.26953125" customWidth="1"/>
    <col min="6" max="6" width="14.81640625" bestFit="1" customWidth="1"/>
  </cols>
  <sheetData>
    <row r="1" spans="1:6" x14ac:dyDescent="0.35">
      <c r="A1" s="44" t="s">
        <v>37</v>
      </c>
      <c r="B1" s="44" t="s">
        <v>197</v>
      </c>
      <c r="C1" s="44" t="s">
        <v>38</v>
      </c>
      <c r="E1" s="44" t="s">
        <v>163</v>
      </c>
      <c r="F1" s="44" t="s">
        <v>29</v>
      </c>
    </row>
    <row r="2" spans="1:6" x14ac:dyDescent="0.35">
      <c r="A2" s="2" t="s">
        <v>12</v>
      </c>
      <c r="B2" s="2" t="s">
        <v>198</v>
      </c>
      <c r="C2" s="2">
        <v>420</v>
      </c>
      <c r="E2" s="2" t="s">
        <v>12</v>
      </c>
      <c r="F2" s="2">
        <v>9446</v>
      </c>
    </row>
    <row r="3" spans="1:6" x14ac:dyDescent="0.35">
      <c r="A3" s="2" t="s">
        <v>12</v>
      </c>
      <c r="B3" s="2" t="s">
        <v>198</v>
      </c>
      <c r="C3" s="2">
        <v>80</v>
      </c>
      <c r="E3" s="2" t="s">
        <v>137</v>
      </c>
      <c r="F3" s="2">
        <v>14682</v>
      </c>
    </row>
    <row r="4" spans="1:6" x14ac:dyDescent="0.35">
      <c r="A4" s="2" t="s">
        <v>199</v>
      </c>
      <c r="B4" s="2" t="s">
        <v>199</v>
      </c>
      <c r="C4" s="2">
        <v>30</v>
      </c>
      <c r="E4" s="2" t="s">
        <v>200</v>
      </c>
      <c r="F4" s="2">
        <v>1380</v>
      </c>
    </row>
    <row r="5" spans="1:6" x14ac:dyDescent="0.35">
      <c r="A5" s="2" t="s">
        <v>12</v>
      </c>
      <c r="B5" s="2" t="s">
        <v>201</v>
      </c>
      <c r="C5" s="2">
        <v>527</v>
      </c>
      <c r="E5" s="2" t="s">
        <v>202</v>
      </c>
      <c r="F5" s="2">
        <v>580</v>
      </c>
    </row>
    <row r="6" spans="1:6" x14ac:dyDescent="0.35">
      <c r="A6" s="2" t="s">
        <v>203</v>
      </c>
      <c r="B6" s="2" t="s">
        <v>204</v>
      </c>
      <c r="C6" s="2">
        <v>60</v>
      </c>
      <c r="E6" s="2" t="s">
        <v>199</v>
      </c>
      <c r="F6" s="2">
        <v>330</v>
      </c>
    </row>
    <row r="7" spans="1:6" x14ac:dyDescent="0.35">
      <c r="A7" s="2" t="s">
        <v>203</v>
      </c>
      <c r="B7" s="2" t="s">
        <v>205</v>
      </c>
      <c r="C7" s="2">
        <v>1050</v>
      </c>
      <c r="E7" s="2" t="s">
        <v>203</v>
      </c>
      <c r="F7" s="2">
        <v>19339</v>
      </c>
    </row>
    <row r="8" spans="1:6" x14ac:dyDescent="0.35">
      <c r="A8" s="2" t="s">
        <v>137</v>
      </c>
      <c r="B8" s="2" t="s">
        <v>206</v>
      </c>
      <c r="C8" s="2">
        <v>1779</v>
      </c>
      <c r="E8" s="45" t="s">
        <v>29</v>
      </c>
      <c r="F8" s="45">
        <f>SUM(F2:F7)</f>
        <v>45757</v>
      </c>
    </row>
    <row r="9" spans="1:6" x14ac:dyDescent="0.35">
      <c r="A9" s="2" t="s">
        <v>137</v>
      </c>
      <c r="B9" s="2" t="s">
        <v>207</v>
      </c>
      <c r="C9" s="2">
        <v>4601</v>
      </c>
    </row>
    <row r="10" spans="1:6" x14ac:dyDescent="0.35">
      <c r="A10" s="2" t="s">
        <v>137</v>
      </c>
      <c r="B10" s="2" t="s">
        <v>208</v>
      </c>
      <c r="C10" s="2">
        <v>948</v>
      </c>
    </row>
    <row r="11" spans="1:6" x14ac:dyDescent="0.35">
      <c r="A11" s="2" t="s">
        <v>203</v>
      </c>
      <c r="B11" s="2" t="s">
        <v>209</v>
      </c>
      <c r="C11" s="2">
        <v>1457</v>
      </c>
    </row>
    <row r="12" spans="1:6" x14ac:dyDescent="0.35">
      <c r="A12" s="2" t="s">
        <v>203</v>
      </c>
      <c r="B12" s="2" t="s">
        <v>210</v>
      </c>
      <c r="C12" s="2">
        <v>6064</v>
      </c>
    </row>
    <row r="13" spans="1:6" x14ac:dyDescent="0.35">
      <c r="A13" s="2" t="s">
        <v>203</v>
      </c>
      <c r="B13" s="2" t="s">
        <v>211</v>
      </c>
      <c r="C13" s="2">
        <v>1644</v>
      </c>
    </row>
    <row r="14" spans="1:6" x14ac:dyDescent="0.35">
      <c r="A14" s="2" t="s">
        <v>203</v>
      </c>
      <c r="B14" s="2" t="s">
        <v>212</v>
      </c>
      <c r="C14" s="2">
        <v>5114</v>
      </c>
    </row>
    <row r="15" spans="1:6" x14ac:dyDescent="0.35">
      <c r="A15" s="2" t="s">
        <v>137</v>
      </c>
      <c r="B15" s="2" t="s">
        <v>213</v>
      </c>
      <c r="C15" s="2">
        <f>4708/2</f>
        <v>2354</v>
      </c>
    </row>
    <row r="16" spans="1:6" x14ac:dyDescent="0.35">
      <c r="A16" s="2" t="s">
        <v>137</v>
      </c>
      <c r="B16" s="2" t="s">
        <v>214</v>
      </c>
      <c r="C16" s="2">
        <v>5000</v>
      </c>
    </row>
    <row r="17" spans="1:3" x14ac:dyDescent="0.35">
      <c r="A17" s="2" t="s">
        <v>202</v>
      </c>
      <c r="B17" s="2" t="s">
        <v>215</v>
      </c>
      <c r="C17" s="2">
        <v>50</v>
      </c>
    </row>
    <row r="18" spans="1:3" x14ac:dyDescent="0.35">
      <c r="A18" s="2" t="s">
        <v>12</v>
      </c>
      <c r="B18" s="2" t="s">
        <v>216</v>
      </c>
      <c r="C18" s="2">
        <v>730</v>
      </c>
    </row>
    <row r="19" spans="1:3" x14ac:dyDescent="0.35">
      <c r="A19" s="2" t="s">
        <v>202</v>
      </c>
      <c r="B19" s="2" t="s">
        <v>217</v>
      </c>
      <c r="C19" s="2">
        <v>130</v>
      </c>
    </row>
    <row r="20" spans="1:3" x14ac:dyDescent="0.35">
      <c r="A20" s="2" t="s">
        <v>200</v>
      </c>
      <c r="B20" s="2" t="s">
        <v>218</v>
      </c>
      <c r="C20" s="2">
        <v>1180</v>
      </c>
    </row>
    <row r="21" spans="1:3" x14ac:dyDescent="0.35">
      <c r="A21" s="2" t="s">
        <v>203</v>
      </c>
      <c r="B21" s="2" t="s">
        <v>219</v>
      </c>
      <c r="C21" s="2">
        <v>300</v>
      </c>
    </row>
    <row r="22" spans="1:3" x14ac:dyDescent="0.35">
      <c r="A22" s="2" t="s">
        <v>203</v>
      </c>
      <c r="B22" s="2" t="s">
        <v>220</v>
      </c>
      <c r="C22" s="2">
        <v>200</v>
      </c>
    </row>
    <row r="23" spans="1:3" x14ac:dyDescent="0.35">
      <c r="A23" s="2" t="s">
        <v>202</v>
      </c>
      <c r="B23" s="2" t="s">
        <v>221</v>
      </c>
      <c r="C23" s="2">
        <v>400</v>
      </c>
    </row>
    <row r="24" spans="1:3" x14ac:dyDescent="0.35">
      <c r="A24" s="2" t="s">
        <v>12</v>
      </c>
      <c r="B24" s="2" t="s">
        <v>7</v>
      </c>
      <c r="C24" s="2">
        <v>37</v>
      </c>
    </row>
    <row r="25" spans="1:3" x14ac:dyDescent="0.35">
      <c r="A25" s="2" t="s">
        <v>12</v>
      </c>
      <c r="B25" s="2" t="s">
        <v>63</v>
      </c>
      <c r="C25" s="2">
        <v>105</v>
      </c>
    </row>
    <row r="26" spans="1:3" x14ac:dyDescent="0.35">
      <c r="A26" s="2" t="s">
        <v>199</v>
      </c>
      <c r="B26" s="2" t="s">
        <v>199</v>
      </c>
      <c r="C26" s="2">
        <v>300</v>
      </c>
    </row>
    <row r="27" spans="1:3" x14ac:dyDescent="0.35">
      <c r="A27" s="2" t="s">
        <v>203</v>
      </c>
      <c r="B27" s="2" t="s">
        <v>222</v>
      </c>
      <c r="C27" s="2">
        <v>3000</v>
      </c>
    </row>
    <row r="28" spans="1:3" x14ac:dyDescent="0.35">
      <c r="A28" s="2" t="s">
        <v>203</v>
      </c>
      <c r="B28" s="2" t="s">
        <v>223</v>
      </c>
      <c r="C28" s="2">
        <v>20</v>
      </c>
    </row>
    <row r="29" spans="1:3" x14ac:dyDescent="0.35">
      <c r="A29" s="2" t="s">
        <v>12</v>
      </c>
      <c r="B29" s="2" t="s">
        <v>224</v>
      </c>
      <c r="C29" s="2">
        <v>240</v>
      </c>
    </row>
    <row r="30" spans="1:3" x14ac:dyDescent="0.35">
      <c r="A30" s="2" t="s">
        <v>12</v>
      </c>
      <c r="B30" s="2" t="s">
        <v>225</v>
      </c>
      <c r="C30" s="2">
        <v>20</v>
      </c>
    </row>
    <row r="31" spans="1:3" x14ac:dyDescent="0.35">
      <c r="A31" s="2" t="s">
        <v>200</v>
      </c>
      <c r="B31" s="2" t="s">
        <v>226</v>
      </c>
      <c r="C31" s="2">
        <v>120</v>
      </c>
    </row>
    <row r="32" spans="1:3" x14ac:dyDescent="0.35">
      <c r="A32" s="2" t="s">
        <v>12</v>
      </c>
      <c r="B32" s="2" t="s">
        <v>227</v>
      </c>
      <c r="C32" s="2">
        <v>30</v>
      </c>
    </row>
    <row r="33" spans="1:3" x14ac:dyDescent="0.35">
      <c r="A33" s="2" t="s">
        <v>203</v>
      </c>
      <c r="B33" s="2" t="s">
        <v>228</v>
      </c>
      <c r="C33" s="2">
        <v>80</v>
      </c>
    </row>
    <row r="34" spans="1:3" x14ac:dyDescent="0.35">
      <c r="A34" s="2" t="s">
        <v>12</v>
      </c>
      <c r="B34" s="2" t="s">
        <v>229</v>
      </c>
      <c r="C34" s="2">
        <v>1400</v>
      </c>
    </row>
    <row r="35" spans="1:3" x14ac:dyDescent="0.35">
      <c r="A35" s="2" t="s">
        <v>12</v>
      </c>
      <c r="B35" s="2" t="s">
        <v>230</v>
      </c>
      <c r="C35" s="2">
        <v>960</v>
      </c>
    </row>
    <row r="36" spans="1:3" x14ac:dyDescent="0.35">
      <c r="A36" s="2" t="s">
        <v>12</v>
      </c>
      <c r="B36" s="2" t="s">
        <v>231</v>
      </c>
      <c r="C36" s="2">
        <v>130</v>
      </c>
    </row>
    <row r="37" spans="1:3" x14ac:dyDescent="0.35">
      <c r="A37" s="2" t="s">
        <v>12</v>
      </c>
      <c r="B37" s="2" t="s">
        <v>232</v>
      </c>
      <c r="C37" s="2">
        <v>840</v>
      </c>
    </row>
    <row r="38" spans="1:3" x14ac:dyDescent="0.35">
      <c r="A38" s="2" t="s">
        <v>203</v>
      </c>
      <c r="B38" s="2" t="s">
        <v>205</v>
      </c>
      <c r="C38" s="2">
        <v>350</v>
      </c>
    </row>
    <row r="39" spans="1:3" x14ac:dyDescent="0.35">
      <c r="A39" s="2" t="s">
        <v>12</v>
      </c>
      <c r="B39" s="2" t="s">
        <v>232</v>
      </c>
      <c r="C39" s="2">
        <v>672</v>
      </c>
    </row>
    <row r="40" spans="1:3" x14ac:dyDescent="0.35">
      <c r="A40" s="2" t="s">
        <v>12</v>
      </c>
      <c r="B40" s="2" t="s">
        <v>233</v>
      </c>
      <c r="C40" s="2">
        <v>100</v>
      </c>
    </row>
    <row r="41" spans="1:3" x14ac:dyDescent="0.35">
      <c r="A41" s="2" t="s">
        <v>12</v>
      </c>
      <c r="B41" s="2" t="s">
        <v>234</v>
      </c>
      <c r="C41" s="2">
        <v>400</v>
      </c>
    </row>
    <row r="42" spans="1:3" x14ac:dyDescent="0.35">
      <c r="A42" s="2" t="s">
        <v>12</v>
      </c>
      <c r="B42" s="2" t="s">
        <v>235</v>
      </c>
      <c r="C42" s="2">
        <v>110</v>
      </c>
    </row>
    <row r="43" spans="1:3" x14ac:dyDescent="0.35">
      <c r="A43" s="2" t="s">
        <v>12</v>
      </c>
      <c r="B43" s="2" t="s">
        <v>236</v>
      </c>
      <c r="C43" s="2">
        <v>2180</v>
      </c>
    </row>
    <row r="44" spans="1:3" x14ac:dyDescent="0.35">
      <c r="A44" s="2" t="s">
        <v>200</v>
      </c>
      <c r="B44" s="2" t="s">
        <v>237</v>
      </c>
      <c r="C44" s="2">
        <v>80</v>
      </c>
    </row>
    <row r="45" spans="1:3" x14ac:dyDescent="0.35">
      <c r="A45" s="2" t="s">
        <v>12</v>
      </c>
      <c r="B45" s="2" t="s">
        <v>238</v>
      </c>
      <c r="C45" s="2">
        <v>240</v>
      </c>
    </row>
    <row r="46" spans="1:3" x14ac:dyDescent="0.35">
      <c r="A46" s="2" t="s">
        <v>12</v>
      </c>
      <c r="B46" s="2" t="s">
        <v>239</v>
      </c>
      <c r="C46" s="2">
        <v>140</v>
      </c>
    </row>
    <row r="47" spans="1:3" x14ac:dyDescent="0.35">
      <c r="A47" s="2" t="s">
        <v>12</v>
      </c>
      <c r="B47" s="2" t="s">
        <v>240</v>
      </c>
      <c r="C47" s="2">
        <v>85</v>
      </c>
    </row>
    <row r="48" spans="1:3" x14ac:dyDescent="0.35">
      <c r="A48" s="45" t="s">
        <v>29</v>
      </c>
      <c r="B48" s="45"/>
      <c r="C48" s="45">
        <f>SUM(C2:C47)</f>
        <v>45757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0" zoomScaleNormal="80" workbookViewId="0">
      <pane ySplit="1" topLeftCell="A2" activePane="bottomLeft" state="frozen"/>
      <selection activeCell="G40" sqref="G40"/>
      <selection pane="bottomLeft" activeCell="V1" sqref="V1:W18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25.7265625" bestFit="1" customWidth="1"/>
    <col min="20" max="20" width="17.453125" customWidth="1"/>
    <col min="22" max="22" width="23.1796875" bestFit="1" customWidth="1"/>
    <col min="23" max="23" width="14.26953125" customWidth="1"/>
  </cols>
  <sheetData>
    <row r="1" spans="1:23" x14ac:dyDescent="0.35">
      <c r="A1" s="18" t="s">
        <v>33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16</v>
      </c>
      <c r="O1" s="18" t="s">
        <v>43</v>
      </c>
      <c r="P1" s="18" t="s">
        <v>64</v>
      </c>
      <c r="Q1" s="18" t="s">
        <v>14</v>
      </c>
      <c r="R1" s="18" t="s">
        <v>15</v>
      </c>
      <c r="S1" s="18" t="s">
        <v>35</v>
      </c>
      <c r="T1" s="18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22000</v>
      </c>
      <c r="C2" s="19">
        <v>51166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132430</v>
      </c>
      <c r="V2" s="34" t="s">
        <v>2</v>
      </c>
      <c r="W2" s="35">
        <f>B36</f>
        <v>22535</v>
      </c>
    </row>
    <row r="3" spans="1:23" s="23" customFormat="1" x14ac:dyDescent="0.35">
      <c r="A3" s="19" t="s">
        <v>18</v>
      </c>
      <c r="B3" s="19">
        <f t="shared" ref="B3:R3" si="0">B2-B36</f>
        <v>-535</v>
      </c>
      <c r="C3" s="19">
        <f t="shared" si="0"/>
        <v>0</v>
      </c>
      <c r="D3" s="19">
        <f t="shared" si="0"/>
        <v>2500</v>
      </c>
      <c r="E3" s="19">
        <f t="shared" si="0"/>
        <v>1364</v>
      </c>
      <c r="F3" s="19">
        <f t="shared" si="0"/>
        <v>400</v>
      </c>
      <c r="G3" s="19">
        <f t="shared" si="0"/>
        <v>260</v>
      </c>
      <c r="H3" s="19">
        <f t="shared" si="0"/>
        <v>82</v>
      </c>
      <c r="I3" s="19">
        <f t="shared" si="0"/>
        <v>389</v>
      </c>
      <c r="J3" s="19">
        <f t="shared" si="0"/>
        <v>0</v>
      </c>
      <c r="K3" s="19">
        <f t="shared" si="0"/>
        <v>271</v>
      </c>
      <c r="L3" s="19">
        <f t="shared" si="0"/>
        <v>-1851</v>
      </c>
      <c r="M3" s="19">
        <f t="shared" si="0"/>
        <v>-10000</v>
      </c>
      <c r="N3" s="19">
        <f t="shared" si="0"/>
        <v>1500</v>
      </c>
      <c r="O3" s="19">
        <f t="shared" si="0"/>
        <v>190</v>
      </c>
      <c r="P3" s="19">
        <f t="shared" si="0"/>
        <v>0</v>
      </c>
      <c r="Q3" s="19">
        <f t="shared" si="0"/>
        <v>400</v>
      </c>
      <c r="R3" s="19">
        <f t="shared" si="0"/>
        <v>9674</v>
      </c>
      <c r="S3" s="19"/>
      <c r="T3" s="19">
        <f>SUM(B3:R3)</f>
        <v>4644</v>
      </c>
      <c r="V3" s="34" t="s">
        <v>3</v>
      </c>
      <c r="W3" s="35">
        <f>C36</f>
        <v>51166</v>
      </c>
    </row>
    <row r="4" spans="1:23" s="23" customFormat="1" x14ac:dyDescent="0.35">
      <c r="A4" s="19" t="s">
        <v>44</v>
      </c>
      <c r="B4" s="19">
        <f>((B2-B3)/B2)*100</f>
        <v>102.43181818181819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31.8</v>
      </c>
      <c r="F4" s="19">
        <f t="shared" si="1"/>
        <v>63.636363636363633</v>
      </c>
      <c r="G4" s="19">
        <f t="shared" si="1"/>
        <v>74</v>
      </c>
      <c r="H4" s="19">
        <f t="shared" si="1"/>
        <v>83.6</v>
      </c>
      <c r="I4" s="19">
        <f t="shared" si="1"/>
        <v>94.442857142857136</v>
      </c>
      <c r="J4" s="19">
        <f t="shared" si="1"/>
        <v>100</v>
      </c>
      <c r="K4" s="19">
        <f t="shared" si="1"/>
        <v>77.416666666666671</v>
      </c>
      <c r="L4" s="19">
        <f t="shared" si="1"/>
        <v>192.55</v>
      </c>
      <c r="M4" s="19">
        <f t="shared" si="1"/>
        <v>300</v>
      </c>
      <c r="N4" s="19">
        <f t="shared" si="1"/>
        <v>0</v>
      </c>
      <c r="O4" s="19">
        <f t="shared" si="1"/>
        <v>59.051724137931039</v>
      </c>
      <c r="P4" s="19">
        <f t="shared" si="1"/>
        <v>100</v>
      </c>
      <c r="Q4" s="19">
        <f t="shared" si="1"/>
        <v>95</v>
      </c>
      <c r="R4" s="21">
        <f t="shared" si="1"/>
        <v>51.629999999999995</v>
      </c>
      <c r="S4" s="19"/>
      <c r="T4" s="21">
        <f t="shared" si="1"/>
        <v>96.493241712602881</v>
      </c>
      <c r="V4" s="34" t="s">
        <v>4</v>
      </c>
      <c r="W4" s="35">
        <f>D36</f>
        <v>0</v>
      </c>
    </row>
    <row r="5" spans="1:23" x14ac:dyDescent="0.35">
      <c r="A5" s="17">
        <v>45261</v>
      </c>
      <c r="B5" s="2">
        <v>22535</v>
      </c>
      <c r="C5" s="2"/>
      <c r="D5" s="2"/>
      <c r="E5" s="2">
        <v>636</v>
      </c>
      <c r="F5" s="2">
        <v>700</v>
      </c>
      <c r="G5" s="2">
        <v>50</v>
      </c>
      <c r="H5" s="2"/>
      <c r="I5" s="2">
        <v>24</v>
      </c>
      <c r="J5" s="2"/>
      <c r="K5" s="2"/>
      <c r="L5" s="2"/>
      <c r="M5" s="2"/>
      <c r="N5" s="2"/>
      <c r="O5" s="2"/>
      <c r="P5" s="2"/>
      <c r="Q5" s="2"/>
      <c r="R5" s="2"/>
      <c r="S5" s="2"/>
      <c r="T5" s="2">
        <f>SUM(B5:R5)</f>
        <v>23945</v>
      </c>
      <c r="V5" s="34" t="s">
        <v>5</v>
      </c>
      <c r="W5" s="36">
        <f>E36</f>
        <v>636</v>
      </c>
    </row>
    <row r="6" spans="1:23" x14ac:dyDescent="0.35">
      <c r="A6" s="17">
        <v>45262</v>
      </c>
      <c r="B6" s="2"/>
      <c r="C6" s="2"/>
      <c r="D6" s="2"/>
      <c r="E6" s="2"/>
      <c r="F6" s="2"/>
      <c r="G6" s="2"/>
      <c r="H6" s="2"/>
      <c r="I6" s="2">
        <f>20+2482</f>
        <v>2502</v>
      </c>
      <c r="J6" s="2"/>
      <c r="K6" s="2"/>
      <c r="L6" s="2">
        <v>220</v>
      </c>
      <c r="M6" s="2">
        <v>5000</v>
      </c>
      <c r="N6" s="2"/>
      <c r="O6" s="2"/>
      <c r="P6" s="2"/>
      <c r="Q6" s="2"/>
      <c r="R6" s="2">
        <v>651</v>
      </c>
      <c r="S6" s="2" t="s">
        <v>114</v>
      </c>
      <c r="T6" s="2">
        <f>SUM(B6:R6)</f>
        <v>8373</v>
      </c>
      <c r="V6" s="34" t="s">
        <v>6</v>
      </c>
      <c r="W6" s="36">
        <f>F36</f>
        <v>700</v>
      </c>
    </row>
    <row r="7" spans="1:23" x14ac:dyDescent="0.35">
      <c r="A7" s="17">
        <v>45263</v>
      </c>
      <c r="B7" s="2"/>
      <c r="C7" s="2"/>
      <c r="D7" s="2"/>
      <c r="E7" s="2"/>
      <c r="F7" s="2"/>
      <c r="G7" s="2">
        <v>50</v>
      </c>
      <c r="H7" s="2"/>
      <c r="I7" s="2">
        <f>294+70+240+20</f>
        <v>624</v>
      </c>
      <c r="J7" s="2"/>
      <c r="K7" s="2"/>
      <c r="L7" s="2">
        <v>42</v>
      </c>
      <c r="M7" s="2"/>
      <c r="N7" s="2"/>
      <c r="O7" s="2"/>
      <c r="P7" s="2"/>
      <c r="Q7" s="2"/>
      <c r="R7" s="2"/>
      <c r="S7" s="2"/>
      <c r="T7" s="2">
        <f t="shared" ref="T7:T34" si="2">SUM(B7:R7)</f>
        <v>716</v>
      </c>
      <c r="V7" s="34" t="s">
        <v>7</v>
      </c>
      <c r="W7" s="36">
        <f>G36</f>
        <v>740</v>
      </c>
    </row>
    <row r="8" spans="1:23" ht="29" x14ac:dyDescent="0.35">
      <c r="A8" s="17">
        <v>45264</v>
      </c>
      <c r="B8" s="2"/>
      <c r="C8" s="2"/>
      <c r="D8" s="2"/>
      <c r="E8" s="2"/>
      <c r="F8" s="2"/>
      <c r="G8" s="2"/>
      <c r="H8" s="2"/>
      <c r="I8" s="2">
        <v>45</v>
      </c>
      <c r="J8" s="2">
        <v>200</v>
      </c>
      <c r="K8" s="2"/>
      <c r="L8" s="2"/>
      <c r="M8" s="2">
        <v>10000</v>
      </c>
      <c r="N8" s="2"/>
      <c r="O8" s="2"/>
      <c r="P8" s="2">
        <v>6500</v>
      </c>
      <c r="Q8" s="2">
        <v>7600</v>
      </c>
      <c r="R8" s="2">
        <f>1660+618+2270+800</f>
        <v>5348</v>
      </c>
      <c r="S8" s="15" t="s">
        <v>115</v>
      </c>
      <c r="T8" s="2">
        <f t="shared" si="2"/>
        <v>29693</v>
      </c>
      <c r="V8" s="34" t="s">
        <v>8</v>
      </c>
      <c r="W8" s="36">
        <f>H36</f>
        <v>418</v>
      </c>
    </row>
    <row r="9" spans="1:23" x14ac:dyDescent="0.35">
      <c r="A9" s="17">
        <v>45265</v>
      </c>
      <c r="B9" s="2"/>
      <c r="C9" s="2">
        <v>51166</v>
      </c>
      <c r="D9" s="2"/>
      <c r="E9" s="2"/>
      <c r="F9" s="2"/>
      <c r="G9" s="2">
        <v>50</v>
      </c>
      <c r="H9" s="2"/>
      <c r="I9" s="2"/>
      <c r="J9" s="2"/>
      <c r="K9" s="2"/>
      <c r="L9" s="2"/>
      <c r="M9" s="2"/>
      <c r="N9" s="2"/>
      <c r="O9" s="2"/>
      <c r="P9" s="2"/>
      <c r="Q9" s="2"/>
      <c r="R9" s="2">
        <v>25</v>
      </c>
      <c r="S9" s="2" t="s">
        <v>63</v>
      </c>
      <c r="T9" s="2">
        <f t="shared" si="2"/>
        <v>51241</v>
      </c>
      <c r="V9" s="34" t="s">
        <v>9</v>
      </c>
      <c r="W9" s="36">
        <f>I36</f>
        <v>6611</v>
      </c>
    </row>
    <row r="10" spans="1:23" x14ac:dyDescent="0.35">
      <c r="A10" s="17">
        <v>45266</v>
      </c>
      <c r="B10" s="2"/>
      <c r="C10" s="2"/>
      <c r="D10" s="2"/>
      <c r="E10" s="2"/>
      <c r="F10" s="2"/>
      <c r="G10" s="2"/>
      <c r="H10" s="2"/>
      <c r="I10" s="2">
        <v>140</v>
      </c>
      <c r="J10" s="2"/>
      <c r="K10" s="2"/>
      <c r="L10" s="2"/>
      <c r="M10" s="2"/>
      <c r="N10" s="2"/>
      <c r="O10" s="2"/>
      <c r="P10" s="2"/>
      <c r="Q10" s="2"/>
      <c r="R10" s="2">
        <v>555</v>
      </c>
      <c r="S10" s="2" t="s">
        <v>51</v>
      </c>
      <c r="T10" s="2">
        <f t="shared" si="2"/>
        <v>695</v>
      </c>
      <c r="V10" s="34" t="s">
        <v>10</v>
      </c>
      <c r="W10" s="36">
        <f>J36</f>
        <v>500</v>
      </c>
    </row>
    <row r="11" spans="1:23" x14ac:dyDescent="0.35">
      <c r="A11" s="17">
        <v>45267</v>
      </c>
      <c r="B11" s="2"/>
      <c r="C11" s="2"/>
      <c r="D11" s="2"/>
      <c r="E11" s="2"/>
      <c r="F11" s="2"/>
      <c r="G11" s="2">
        <v>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5"/>
      <c r="T11" s="2">
        <f t="shared" si="2"/>
        <v>50</v>
      </c>
      <c r="V11" s="34" t="s">
        <v>11</v>
      </c>
      <c r="W11" s="36">
        <f>K36</f>
        <v>929</v>
      </c>
    </row>
    <row r="12" spans="1:23" x14ac:dyDescent="0.35">
      <c r="A12" s="17">
        <v>45268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>
        <v>209</v>
      </c>
      <c r="S12" s="2" t="s">
        <v>51</v>
      </c>
      <c r="T12" s="2">
        <f t="shared" si="2"/>
        <v>209</v>
      </c>
      <c r="V12" s="34" t="s">
        <v>12</v>
      </c>
      <c r="W12" s="36">
        <f>L36</f>
        <v>3851</v>
      </c>
    </row>
    <row r="13" spans="1:23" x14ac:dyDescent="0.35">
      <c r="A13" s="17">
        <v>45269</v>
      </c>
      <c r="B13" s="2"/>
      <c r="C13" s="2"/>
      <c r="D13" s="2"/>
      <c r="E13" s="2"/>
      <c r="F13" s="2"/>
      <c r="G13" s="2">
        <v>70</v>
      </c>
      <c r="H13" s="2"/>
      <c r="I13" s="2">
        <f>70+54+20+160</f>
        <v>304</v>
      </c>
      <c r="J13" s="2"/>
      <c r="K13" s="2"/>
      <c r="L13" s="2">
        <f>325+20</f>
        <v>345</v>
      </c>
      <c r="M13" s="2"/>
      <c r="N13" s="2"/>
      <c r="O13" s="2"/>
      <c r="P13" s="2"/>
      <c r="Q13" s="2"/>
      <c r="R13" s="2">
        <v>199</v>
      </c>
      <c r="S13" s="2" t="s">
        <v>86</v>
      </c>
      <c r="T13" s="2">
        <f t="shared" si="2"/>
        <v>918</v>
      </c>
      <c r="V13" s="34" t="s">
        <v>13</v>
      </c>
      <c r="W13" s="36">
        <f>M36</f>
        <v>15000</v>
      </c>
    </row>
    <row r="14" spans="1:23" x14ac:dyDescent="0.35">
      <c r="A14" s="17">
        <v>45270</v>
      </c>
      <c r="B14" s="2"/>
      <c r="C14" s="2"/>
      <c r="D14" s="2"/>
      <c r="E14" s="2"/>
      <c r="F14" s="2"/>
      <c r="G14" s="2"/>
      <c r="H14" s="2"/>
      <c r="I14">
        <f>425+33+40</f>
        <v>498</v>
      </c>
      <c r="J14" s="2"/>
      <c r="K14" s="2"/>
      <c r="L14" s="2">
        <v>20</v>
      </c>
      <c r="M14" s="2"/>
      <c r="N14" s="2"/>
      <c r="O14" s="2"/>
      <c r="P14" s="2"/>
      <c r="Q14" s="2"/>
      <c r="R14" s="2"/>
      <c r="S14" s="2"/>
      <c r="T14" s="2">
        <f>SUM(B14:R14)</f>
        <v>518</v>
      </c>
      <c r="V14" s="34" t="s">
        <v>16</v>
      </c>
      <c r="W14" s="36">
        <f>N36</f>
        <v>0</v>
      </c>
    </row>
    <row r="15" spans="1:23" x14ac:dyDescent="0.35">
      <c r="A15" s="17">
        <v>45271</v>
      </c>
      <c r="B15" s="2"/>
      <c r="C15" s="2"/>
      <c r="D15" s="2"/>
      <c r="E15" s="2"/>
      <c r="F15" s="2"/>
      <c r="G15" s="2">
        <v>50</v>
      </c>
      <c r="H15" s="2"/>
      <c r="I15" s="2"/>
      <c r="J15" s="2"/>
      <c r="K15" s="2"/>
      <c r="L15" s="2"/>
      <c r="M15" s="2"/>
      <c r="N15" s="2"/>
      <c r="O15" s="2">
        <v>199</v>
      </c>
      <c r="P15" s="2"/>
      <c r="Q15" s="2"/>
      <c r="R15" s="30">
        <v>247</v>
      </c>
      <c r="S15" s="27" t="s">
        <v>51</v>
      </c>
      <c r="T15" s="2">
        <f t="shared" si="2"/>
        <v>496</v>
      </c>
      <c r="V15" s="34" t="s">
        <v>43</v>
      </c>
      <c r="W15" s="36">
        <f>O36</f>
        <v>274</v>
      </c>
    </row>
    <row r="16" spans="1:23" x14ac:dyDescent="0.35">
      <c r="A16" s="17">
        <v>45272</v>
      </c>
      <c r="B16" s="2"/>
      <c r="C16" s="2"/>
      <c r="D16" s="2"/>
      <c r="E16" s="2"/>
      <c r="F16" s="2"/>
      <c r="G16" s="2">
        <v>70</v>
      </c>
      <c r="H16" s="2"/>
      <c r="I16" s="2">
        <v>10</v>
      </c>
      <c r="J16" s="2"/>
      <c r="K16" s="2"/>
      <c r="L16" s="2"/>
      <c r="M16" s="2"/>
      <c r="N16" s="2"/>
      <c r="O16" s="2"/>
      <c r="P16" s="2"/>
      <c r="Q16" s="2"/>
      <c r="R16" s="2">
        <v>20</v>
      </c>
      <c r="S16" s="15" t="s">
        <v>63</v>
      </c>
      <c r="T16" s="2">
        <f>SUM(B16:Q16)</f>
        <v>80</v>
      </c>
      <c r="V16" s="34" t="s">
        <v>64</v>
      </c>
      <c r="W16" s="36">
        <f>P36</f>
        <v>6500</v>
      </c>
    </row>
    <row r="17" spans="1:23" x14ac:dyDescent="0.35">
      <c r="A17" s="17">
        <v>45273</v>
      </c>
      <c r="B17" s="2"/>
      <c r="C17" s="2"/>
      <c r="D17" s="2"/>
      <c r="E17" s="2"/>
      <c r="F17" s="2"/>
      <c r="G17" s="2"/>
      <c r="H17" s="2"/>
      <c r="I17" s="2">
        <v>120</v>
      </c>
      <c r="J17" s="2"/>
      <c r="K17" s="2"/>
      <c r="L17" s="2">
        <v>15</v>
      </c>
      <c r="M17" s="2"/>
      <c r="N17" s="2"/>
      <c r="O17" s="2"/>
      <c r="P17" s="2"/>
      <c r="Q17" s="2"/>
      <c r="R17" s="2">
        <f>45+150</f>
        <v>195</v>
      </c>
      <c r="S17" s="2" t="s">
        <v>117</v>
      </c>
      <c r="T17" s="2">
        <f t="shared" si="2"/>
        <v>330</v>
      </c>
      <c r="V17" s="34" t="s">
        <v>14</v>
      </c>
      <c r="W17" s="36">
        <f>Q36</f>
        <v>7600</v>
      </c>
    </row>
    <row r="18" spans="1:23" x14ac:dyDescent="0.35">
      <c r="A18" s="17">
        <v>45274</v>
      </c>
      <c r="B18" s="2"/>
      <c r="C18" s="2"/>
      <c r="D18" s="2"/>
      <c r="E18" s="2"/>
      <c r="F18" s="2"/>
      <c r="G18" s="2"/>
      <c r="H18" s="2"/>
      <c r="I18" s="2">
        <v>55</v>
      </c>
      <c r="J18" s="2"/>
      <c r="K18" s="2"/>
      <c r="L18" s="2">
        <v>150</v>
      </c>
      <c r="M18" s="2"/>
      <c r="N18" s="2"/>
      <c r="O18" s="2"/>
      <c r="P18" s="2"/>
      <c r="Q18" s="2"/>
      <c r="R18" s="2">
        <v>90</v>
      </c>
      <c r="S18" s="2" t="s">
        <v>118</v>
      </c>
      <c r="T18" s="2">
        <f t="shared" si="2"/>
        <v>295</v>
      </c>
      <c r="V18" s="34" t="s">
        <v>15</v>
      </c>
      <c r="W18" s="36">
        <f>R36</f>
        <v>10326</v>
      </c>
    </row>
    <row r="19" spans="1:23" x14ac:dyDescent="0.35">
      <c r="A19" s="17">
        <v>45275</v>
      </c>
      <c r="B19" s="2"/>
      <c r="C19" s="2"/>
      <c r="D19" s="2"/>
      <c r="E19" s="2"/>
      <c r="F19" s="2"/>
      <c r="G19" s="2"/>
      <c r="H19" s="2"/>
      <c r="I19" s="2">
        <f>220+350+86</f>
        <v>656</v>
      </c>
      <c r="J19" s="2">
        <v>300</v>
      </c>
      <c r="K19" s="2">
        <v>929</v>
      </c>
      <c r="L19" s="2">
        <f>80+65</f>
        <v>145</v>
      </c>
      <c r="M19" s="2"/>
      <c r="N19" s="2"/>
      <c r="O19" s="2"/>
      <c r="P19" s="2"/>
      <c r="Q19" s="2"/>
      <c r="R19" s="2">
        <v>40</v>
      </c>
      <c r="S19" s="15" t="s">
        <v>119</v>
      </c>
      <c r="T19" s="2">
        <f t="shared" si="2"/>
        <v>2070</v>
      </c>
    </row>
    <row r="20" spans="1:23" x14ac:dyDescent="0.35">
      <c r="A20" s="17">
        <v>45276</v>
      </c>
      <c r="B20" s="2"/>
      <c r="C20" s="2"/>
      <c r="D20" s="2"/>
      <c r="E20" s="2"/>
      <c r="F20" s="2"/>
      <c r="G20" s="2">
        <v>100</v>
      </c>
      <c r="H20" s="2"/>
      <c r="I20" s="2">
        <f>77+40+70</f>
        <v>187</v>
      </c>
      <c r="J20" s="2"/>
      <c r="K20" s="2"/>
      <c r="L20" s="2">
        <f>210+76+40</f>
        <v>326</v>
      </c>
      <c r="M20" s="2"/>
      <c r="N20" s="2"/>
      <c r="O20" s="2"/>
      <c r="P20" s="2"/>
      <c r="Q20" s="2"/>
      <c r="R20" s="2">
        <v>40</v>
      </c>
      <c r="S20" s="2" t="s">
        <v>51</v>
      </c>
      <c r="T20" s="2">
        <f t="shared" si="2"/>
        <v>653</v>
      </c>
    </row>
    <row r="21" spans="1:23" x14ac:dyDescent="0.35">
      <c r="A21" s="17">
        <v>45277</v>
      </c>
      <c r="B21" s="2"/>
      <c r="C21" s="2"/>
      <c r="D21" s="2"/>
      <c r="E21" s="2"/>
      <c r="F21" s="2"/>
      <c r="G21" s="2"/>
      <c r="H21" s="2"/>
      <c r="I21" s="2">
        <f>170+65</f>
        <v>235</v>
      </c>
      <c r="J21" s="2"/>
      <c r="K21" s="2"/>
      <c r="L21" s="2">
        <f>140+60</f>
        <v>200</v>
      </c>
      <c r="M21" s="2"/>
      <c r="N21" s="2"/>
      <c r="O21" s="2"/>
      <c r="P21" s="2"/>
      <c r="Q21" s="2"/>
      <c r="R21" s="2">
        <v>660</v>
      </c>
      <c r="S21" s="2" t="s">
        <v>120</v>
      </c>
      <c r="T21" s="2">
        <f t="shared" si="2"/>
        <v>1095</v>
      </c>
    </row>
    <row r="22" spans="1:23" x14ac:dyDescent="0.35">
      <c r="A22" s="17">
        <v>45278</v>
      </c>
      <c r="B22" s="2"/>
      <c r="C22" s="2"/>
      <c r="D22" s="2"/>
      <c r="E22" s="2"/>
      <c r="F22" s="2"/>
      <c r="G22" s="2"/>
      <c r="H22" s="2"/>
      <c r="I22" s="2">
        <f>36</f>
        <v>36</v>
      </c>
      <c r="J22" s="2"/>
      <c r="K22" s="2"/>
      <c r="L22" s="2">
        <v>194</v>
      </c>
      <c r="M22" s="2"/>
      <c r="N22" s="2"/>
      <c r="O22" s="2"/>
      <c r="P22" s="2"/>
      <c r="Q22" s="2"/>
      <c r="R22" s="2"/>
      <c r="S22" s="15"/>
      <c r="T22" s="2">
        <f t="shared" si="2"/>
        <v>230</v>
      </c>
    </row>
    <row r="23" spans="1:23" x14ac:dyDescent="0.35">
      <c r="A23" s="17">
        <v>45279</v>
      </c>
      <c r="B23" s="2"/>
      <c r="C23" s="2"/>
      <c r="D23" s="2"/>
      <c r="E23" s="2"/>
      <c r="F23" s="2"/>
      <c r="G23" s="2"/>
      <c r="H23" s="2"/>
      <c r="I23" s="2">
        <v>54</v>
      </c>
      <c r="J23" s="2"/>
      <c r="K23" s="2"/>
      <c r="L23" s="2"/>
      <c r="M23" s="2"/>
      <c r="N23" s="2"/>
      <c r="O23" s="2"/>
      <c r="P23" s="2"/>
      <c r="Q23" s="2"/>
      <c r="R23" s="2">
        <v>65</v>
      </c>
      <c r="S23" s="2" t="s">
        <v>63</v>
      </c>
      <c r="T23" s="2">
        <f t="shared" si="2"/>
        <v>119</v>
      </c>
    </row>
    <row r="24" spans="1:23" x14ac:dyDescent="0.35">
      <c r="A24" s="17">
        <v>45280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f>378+40</f>
        <v>418</v>
      </c>
      <c r="S24" s="2" t="s">
        <v>121</v>
      </c>
      <c r="T24" s="2">
        <f t="shared" si="2"/>
        <v>418</v>
      </c>
    </row>
    <row r="25" spans="1:23" x14ac:dyDescent="0.35">
      <c r="A25" s="17">
        <v>45281</v>
      </c>
      <c r="B25" s="2"/>
      <c r="C25" s="2"/>
      <c r="D25" s="2"/>
      <c r="E25" s="2"/>
      <c r="F25" s="2"/>
      <c r="G25" s="2">
        <v>50</v>
      </c>
      <c r="H25" s="2">
        <v>209</v>
      </c>
      <c r="I25" s="2"/>
      <c r="J25" s="2"/>
      <c r="K25" s="2"/>
      <c r="L25" s="2"/>
      <c r="M25" s="2"/>
      <c r="N25" s="2"/>
      <c r="O25" s="2"/>
      <c r="P25" s="2"/>
      <c r="Q25" s="2"/>
      <c r="R25" s="2">
        <v>30</v>
      </c>
      <c r="S25" s="2" t="s">
        <v>63</v>
      </c>
      <c r="T25" s="2">
        <f t="shared" si="2"/>
        <v>289</v>
      </c>
    </row>
    <row r="26" spans="1:23" x14ac:dyDescent="0.35">
      <c r="A26" s="17">
        <v>45282</v>
      </c>
      <c r="B26" s="2"/>
      <c r="C26" s="2"/>
      <c r="D26" s="2"/>
      <c r="E26" s="2"/>
      <c r="F26" s="2"/>
      <c r="G26" s="2"/>
      <c r="H26" s="2"/>
      <c r="I26" s="2">
        <v>17</v>
      </c>
      <c r="J26" s="2"/>
      <c r="K26" s="2"/>
      <c r="L26" s="2"/>
      <c r="M26" s="2"/>
      <c r="N26" s="2"/>
      <c r="O26" s="2"/>
      <c r="P26" s="2"/>
      <c r="Q26" s="2"/>
      <c r="R26" s="2">
        <v>413</v>
      </c>
      <c r="S26" s="2" t="s">
        <v>122</v>
      </c>
      <c r="T26" s="2">
        <f t="shared" si="2"/>
        <v>430</v>
      </c>
    </row>
    <row r="27" spans="1:23" x14ac:dyDescent="0.35">
      <c r="A27" s="17">
        <v>45283</v>
      </c>
      <c r="B27" s="2"/>
      <c r="C27" s="2"/>
      <c r="D27" s="2"/>
      <c r="E27" s="2"/>
      <c r="F27" s="2"/>
      <c r="G27" s="2"/>
      <c r="H27" s="2">
        <v>209</v>
      </c>
      <c r="I27" s="2">
        <f>110+30+104+180</f>
        <v>424</v>
      </c>
      <c r="J27" s="2"/>
      <c r="K27" s="2"/>
      <c r="L27" s="2"/>
      <c r="M27" s="2"/>
      <c r="N27" s="2"/>
      <c r="O27" s="2">
        <v>75</v>
      </c>
      <c r="P27" s="2"/>
      <c r="Q27" s="2"/>
      <c r="R27" s="2"/>
      <c r="S27" s="2"/>
      <c r="T27" s="2">
        <f t="shared" si="2"/>
        <v>708</v>
      </c>
    </row>
    <row r="28" spans="1:23" x14ac:dyDescent="0.35">
      <c r="A28" s="17">
        <v>45284</v>
      </c>
      <c r="B28" s="2"/>
      <c r="C28" s="2"/>
      <c r="D28" s="2"/>
      <c r="E28" s="2"/>
      <c r="F28" s="2"/>
      <c r="G28" s="2">
        <v>50</v>
      </c>
      <c r="H28" s="2"/>
      <c r="I28" s="2">
        <v>62</v>
      </c>
      <c r="J28" s="2"/>
      <c r="K28" s="2"/>
      <c r="L28" s="2"/>
      <c r="M28" s="2"/>
      <c r="N28" s="2"/>
      <c r="O28" s="2"/>
      <c r="P28" s="2"/>
      <c r="Q28" s="2"/>
      <c r="R28" s="2">
        <f>338+50</f>
        <v>388</v>
      </c>
      <c r="S28" s="2" t="s">
        <v>123</v>
      </c>
      <c r="T28" s="2">
        <f t="shared" si="2"/>
        <v>500</v>
      </c>
    </row>
    <row r="29" spans="1:23" x14ac:dyDescent="0.35">
      <c r="A29" s="17">
        <v>45285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f>893+396-169</f>
        <v>1120</v>
      </c>
      <c r="M29" s="2"/>
      <c r="N29" s="2"/>
      <c r="O29" s="2"/>
      <c r="P29" s="2"/>
      <c r="Q29" s="2"/>
      <c r="R29" s="2"/>
      <c r="S29" s="2"/>
      <c r="T29" s="2">
        <f t="shared" si="2"/>
        <v>1120</v>
      </c>
    </row>
    <row r="30" spans="1:23" x14ac:dyDescent="0.35">
      <c r="A30" s="17">
        <v>45286</v>
      </c>
      <c r="B30" s="2"/>
      <c r="C30" s="2"/>
      <c r="D30" s="2"/>
      <c r="E30" s="2"/>
      <c r="F30" s="2"/>
      <c r="G30" s="2"/>
      <c r="H30" s="2"/>
      <c r="I30" s="2">
        <v>244</v>
      </c>
      <c r="J30" s="2"/>
      <c r="K30" s="2"/>
      <c r="L30" s="2"/>
      <c r="M30" s="2"/>
      <c r="N30" s="2"/>
      <c r="O30" s="2"/>
      <c r="P30" s="2"/>
      <c r="Q30" s="2"/>
      <c r="R30" s="2"/>
      <c r="S30" s="28"/>
      <c r="T30" s="2">
        <f t="shared" si="2"/>
        <v>244</v>
      </c>
    </row>
    <row r="31" spans="1:23" x14ac:dyDescent="0.35">
      <c r="A31" s="17">
        <v>45287</v>
      </c>
      <c r="B31" s="2"/>
      <c r="C31" s="2"/>
      <c r="D31" s="2"/>
      <c r="E31" s="2"/>
      <c r="F31" s="2"/>
      <c r="G31" s="2"/>
      <c r="H31" s="2"/>
      <c r="I31" s="2">
        <v>245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f t="shared" si="2"/>
        <v>245</v>
      </c>
    </row>
    <row r="32" spans="1:23" x14ac:dyDescent="0.35">
      <c r="A32" s="17">
        <v>45288</v>
      </c>
      <c r="B32" s="2"/>
      <c r="C32" s="2"/>
      <c r="D32" s="2"/>
      <c r="E32" s="2"/>
      <c r="F32" s="2"/>
      <c r="G32" s="2">
        <v>50</v>
      </c>
      <c r="H32" s="2"/>
      <c r="I32" s="2">
        <v>45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f t="shared" si="2"/>
        <v>95</v>
      </c>
    </row>
    <row r="33" spans="1:20" x14ac:dyDescent="0.35">
      <c r="A33" s="17">
        <v>45289</v>
      </c>
      <c r="B33" s="2"/>
      <c r="C33" s="2"/>
      <c r="D33" s="2"/>
      <c r="E33" s="2"/>
      <c r="F33" s="2"/>
      <c r="G33" s="2"/>
      <c r="H33" s="2"/>
      <c r="I33" s="2">
        <v>84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f t="shared" si="2"/>
        <v>84</v>
      </c>
    </row>
    <row r="34" spans="1:20" x14ac:dyDescent="0.35">
      <c r="A34" s="17">
        <v>45290</v>
      </c>
      <c r="B34" s="2"/>
      <c r="C34" s="2"/>
      <c r="D34" s="2"/>
      <c r="E34" s="2"/>
      <c r="F34" s="2"/>
      <c r="G34" s="2">
        <v>100</v>
      </c>
      <c r="H34" s="2"/>
      <c r="I34" s="2"/>
      <c r="J34" s="2"/>
      <c r="K34" s="2"/>
      <c r="L34" s="2">
        <f>764+310</f>
        <v>1074</v>
      </c>
      <c r="M34" s="2"/>
      <c r="N34" s="2"/>
      <c r="O34" s="2"/>
      <c r="P34" s="2"/>
      <c r="Q34" s="2"/>
      <c r="R34" s="2">
        <f>224+509</f>
        <v>733</v>
      </c>
      <c r="S34" s="2" t="s">
        <v>51</v>
      </c>
      <c r="T34" s="2">
        <f t="shared" si="2"/>
        <v>1907</v>
      </c>
    </row>
    <row r="35" spans="1:20" x14ac:dyDescent="0.35">
      <c r="A35" s="17">
        <v>45291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>
        <v>317.44</v>
      </c>
      <c r="M35" s="2"/>
      <c r="N35" s="2"/>
      <c r="O35" s="2"/>
      <c r="P35" s="2"/>
      <c r="Q35" s="2"/>
      <c r="R35" s="2"/>
      <c r="S35" s="2"/>
      <c r="T35" s="2">
        <f t="shared" ref="T35" si="3">SUM(B35:R35)</f>
        <v>317.44</v>
      </c>
    </row>
    <row r="36" spans="1:20" x14ac:dyDescent="0.35">
      <c r="A36" s="16" t="s">
        <v>29</v>
      </c>
      <c r="B36" s="16">
        <f t="shared" ref="B36:P36" si="4">SUM(B5:B34)</f>
        <v>22535</v>
      </c>
      <c r="C36" s="16">
        <f t="shared" si="4"/>
        <v>51166</v>
      </c>
      <c r="D36" s="16">
        <f t="shared" si="4"/>
        <v>0</v>
      </c>
      <c r="E36" s="16">
        <f t="shared" si="4"/>
        <v>636</v>
      </c>
      <c r="F36" s="16">
        <f t="shared" si="4"/>
        <v>700</v>
      </c>
      <c r="G36" s="16">
        <f t="shared" si="4"/>
        <v>740</v>
      </c>
      <c r="H36" s="16">
        <f t="shared" si="4"/>
        <v>418</v>
      </c>
      <c r="I36" s="16">
        <f t="shared" si="4"/>
        <v>6611</v>
      </c>
      <c r="J36" s="16">
        <f t="shared" si="4"/>
        <v>500</v>
      </c>
      <c r="K36" s="16">
        <f t="shared" si="4"/>
        <v>929</v>
      </c>
      <c r="L36" s="16">
        <f t="shared" si="4"/>
        <v>3851</v>
      </c>
      <c r="M36" s="16">
        <f t="shared" si="4"/>
        <v>15000</v>
      </c>
      <c r="N36" s="16">
        <f t="shared" si="4"/>
        <v>0</v>
      </c>
      <c r="O36" s="16">
        <f t="shared" si="4"/>
        <v>274</v>
      </c>
      <c r="P36" s="16">
        <f t="shared" si="4"/>
        <v>6500</v>
      </c>
      <c r="Q36" s="16">
        <f>SUM(Q5:Q34)</f>
        <v>7600</v>
      </c>
      <c r="R36" s="16">
        <f>SUM(R5:R34)</f>
        <v>10326</v>
      </c>
      <c r="S36" s="16"/>
      <c r="T36" s="2"/>
    </row>
    <row r="38" spans="1:20" x14ac:dyDescent="0.35">
      <c r="A38" s="24" t="s">
        <v>46</v>
      </c>
      <c r="B38" s="2">
        <v>150873</v>
      </c>
    </row>
    <row r="39" spans="1:20" x14ac:dyDescent="0.35">
      <c r="A39" s="24" t="s">
        <v>17</v>
      </c>
      <c r="B39" s="2">
        <f>SUM(B2:R2)-M2</f>
        <v>127430</v>
      </c>
    </row>
    <row r="40" spans="1:20" x14ac:dyDescent="0.35">
      <c r="A40" s="24" t="s">
        <v>47</v>
      </c>
      <c r="B40" s="2">
        <f>SUM(T5:T34)-M36</f>
        <v>112766</v>
      </c>
    </row>
    <row r="41" spans="1:20" x14ac:dyDescent="0.35">
      <c r="A41" s="24" t="s">
        <v>18</v>
      </c>
      <c r="B41" s="2">
        <f>B39-B40</f>
        <v>14664</v>
      </c>
    </row>
    <row r="42" spans="1:20" x14ac:dyDescent="0.35">
      <c r="A42" s="24" t="s">
        <v>34</v>
      </c>
      <c r="B42" s="2">
        <f>B38-SUM(B36:R36)</f>
        <v>23087</v>
      </c>
    </row>
    <row r="43" spans="1:20" x14ac:dyDescent="0.35">
      <c r="A43" s="24" t="s">
        <v>83</v>
      </c>
      <c r="B43" s="2">
        <f>SUM(D36:L36)+SUM(N36:R36)</f>
        <v>39085</v>
      </c>
    </row>
    <row r="44" spans="1:20" x14ac:dyDescent="0.35">
      <c r="A44" s="32" t="s">
        <v>162</v>
      </c>
      <c r="B44">
        <f>B38-B43</f>
        <v>111788</v>
      </c>
    </row>
  </sheetData>
  <mergeCells count="1">
    <mergeCell ref="V1:W1"/>
  </mergeCells>
  <conditionalFormatting sqref="B4:R4">
    <cfRule type="cellIs" dxfId="38" priority="1" operator="greaterThan">
      <formula>99</formula>
    </cfRule>
    <cfRule type="cellIs" dxfId="37" priority="2" operator="between">
      <formula>51</formula>
      <formula>99</formula>
    </cfRule>
    <cfRule type="cellIs" dxfId="36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0" zoomScaleNormal="80" workbookViewId="0">
      <pane ySplit="1" topLeftCell="A2" activePane="bottomLeft" state="frozen"/>
      <selection activeCell="G40" sqref="G40"/>
      <selection pane="bottomLeft" activeCell="V1" sqref="V1:W18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25.7265625" bestFit="1" customWidth="1"/>
    <col min="20" max="20" width="17.453125" customWidth="1"/>
    <col min="22" max="22" width="23.1796875" bestFit="1" customWidth="1"/>
    <col min="23" max="23" width="16.453125" customWidth="1"/>
  </cols>
  <sheetData>
    <row r="1" spans="1:23" x14ac:dyDescent="0.35">
      <c r="A1" s="18" t="s">
        <v>33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16</v>
      </c>
      <c r="O1" s="18" t="s">
        <v>43</v>
      </c>
      <c r="P1" s="18" t="s">
        <v>64</v>
      </c>
      <c r="Q1" s="18" t="s">
        <v>14</v>
      </c>
      <c r="R1" s="18" t="s">
        <v>15</v>
      </c>
      <c r="S1" s="18" t="s">
        <v>35</v>
      </c>
      <c r="T1" s="18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22000</v>
      </c>
      <c r="C2" s="19">
        <v>51166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132430</v>
      </c>
      <c r="V2" s="34" t="s">
        <v>2</v>
      </c>
      <c r="W2" s="35">
        <f>B36</f>
        <v>22000</v>
      </c>
    </row>
    <row r="3" spans="1:23" s="23" customFormat="1" x14ac:dyDescent="0.35">
      <c r="A3" s="19" t="s">
        <v>18</v>
      </c>
      <c r="B3" s="19">
        <f t="shared" ref="B3:R3" si="0">B2-B36</f>
        <v>0</v>
      </c>
      <c r="C3" s="19">
        <f t="shared" si="0"/>
        <v>0</v>
      </c>
      <c r="D3" s="19">
        <f t="shared" si="0"/>
        <v>2500</v>
      </c>
      <c r="E3" s="19">
        <f t="shared" si="0"/>
        <v>1364</v>
      </c>
      <c r="F3" s="19">
        <f t="shared" si="0"/>
        <v>400</v>
      </c>
      <c r="G3" s="19">
        <f t="shared" si="0"/>
        <v>500</v>
      </c>
      <c r="H3" s="19">
        <f t="shared" si="0"/>
        <v>241</v>
      </c>
      <c r="I3" s="19">
        <f t="shared" si="0"/>
        <v>-1768.4799999999996</v>
      </c>
      <c r="J3" s="19">
        <f t="shared" si="0"/>
        <v>-100</v>
      </c>
      <c r="K3" s="19">
        <f t="shared" si="0"/>
        <v>1200</v>
      </c>
      <c r="L3" s="19">
        <f t="shared" si="0"/>
        <v>-131.05999999999995</v>
      </c>
      <c r="M3" s="19">
        <f t="shared" si="0"/>
        <v>-8000</v>
      </c>
      <c r="N3" s="19">
        <f t="shared" si="0"/>
        <v>1500</v>
      </c>
      <c r="O3" s="19">
        <f t="shared" si="0"/>
        <v>190</v>
      </c>
      <c r="P3" s="19">
        <f t="shared" si="0"/>
        <v>0</v>
      </c>
      <c r="Q3" s="19">
        <f t="shared" si="0"/>
        <v>0</v>
      </c>
      <c r="R3" s="19">
        <f t="shared" si="0"/>
        <v>11700</v>
      </c>
      <c r="S3" s="19"/>
      <c r="T3" s="19">
        <f>SUM(B3:R3)</f>
        <v>9595.4600000000009</v>
      </c>
      <c r="V3" s="34" t="s">
        <v>3</v>
      </c>
      <c r="W3" s="35">
        <f>C36</f>
        <v>51166</v>
      </c>
    </row>
    <row r="4" spans="1:23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31.8</v>
      </c>
      <c r="F4" s="19">
        <f t="shared" si="1"/>
        <v>63.636363636363633</v>
      </c>
      <c r="G4" s="19">
        <f t="shared" si="1"/>
        <v>50</v>
      </c>
      <c r="H4" s="19">
        <f t="shared" si="1"/>
        <v>51.800000000000004</v>
      </c>
      <c r="I4" s="19">
        <f t="shared" si="1"/>
        <v>125.264</v>
      </c>
      <c r="J4" s="19">
        <f t="shared" si="1"/>
        <v>120</v>
      </c>
      <c r="K4" s="19">
        <f t="shared" si="1"/>
        <v>0</v>
      </c>
      <c r="L4" s="19">
        <f t="shared" si="1"/>
        <v>106.55299999999998</v>
      </c>
      <c r="M4" s="19">
        <f t="shared" si="1"/>
        <v>260</v>
      </c>
      <c r="N4" s="19">
        <f t="shared" si="1"/>
        <v>0</v>
      </c>
      <c r="O4" s="19">
        <f t="shared" si="1"/>
        <v>59.051724137931039</v>
      </c>
      <c r="P4" s="19">
        <f t="shared" si="1"/>
        <v>100</v>
      </c>
      <c r="Q4" s="19">
        <f t="shared" si="1"/>
        <v>100</v>
      </c>
      <c r="R4" s="21">
        <f t="shared" si="1"/>
        <v>41.5</v>
      </c>
      <c r="S4" s="19"/>
      <c r="T4" s="21">
        <f t="shared" si="1"/>
        <v>92.75431548742732</v>
      </c>
      <c r="V4" s="34" t="s">
        <v>4</v>
      </c>
      <c r="W4" s="35">
        <f>D36</f>
        <v>0</v>
      </c>
    </row>
    <row r="5" spans="1:23" x14ac:dyDescent="0.35">
      <c r="A5" s="17">
        <v>45292</v>
      </c>
      <c r="B5" s="2">
        <v>22000</v>
      </c>
      <c r="C5" s="2"/>
      <c r="D5" s="2"/>
      <c r="E5" s="2">
        <v>636</v>
      </c>
      <c r="F5" s="2">
        <v>700</v>
      </c>
      <c r="G5" s="2"/>
      <c r="H5" s="2"/>
      <c r="I5" s="2">
        <f>45+230+110+164+80+75+84</f>
        <v>788</v>
      </c>
      <c r="J5" s="2"/>
      <c r="K5" s="2"/>
      <c r="L5" s="2"/>
      <c r="M5" s="2">
        <v>5000</v>
      </c>
      <c r="N5" s="2"/>
      <c r="O5" s="2"/>
      <c r="P5" s="2">
        <v>6500</v>
      </c>
      <c r="Q5" s="2"/>
      <c r="R5" s="2">
        <v>200</v>
      </c>
      <c r="S5" s="2" t="s">
        <v>51</v>
      </c>
      <c r="T5" s="2">
        <f>SUM(B5:R5)</f>
        <v>35824</v>
      </c>
      <c r="V5" s="34" t="s">
        <v>5</v>
      </c>
      <c r="W5" s="36">
        <f>E36</f>
        <v>636</v>
      </c>
    </row>
    <row r="6" spans="1:23" x14ac:dyDescent="0.35">
      <c r="A6" s="17">
        <v>45293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f>SUM(B6:R6)</f>
        <v>0</v>
      </c>
      <c r="V6" s="34" t="s">
        <v>6</v>
      </c>
      <c r="W6" s="36">
        <f>F36</f>
        <v>700</v>
      </c>
    </row>
    <row r="7" spans="1:23" x14ac:dyDescent="0.35">
      <c r="A7" s="17">
        <v>45294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v>8000</v>
      </c>
      <c r="R7" s="2">
        <v>60</v>
      </c>
      <c r="S7" s="2" t="s">
        <v>63</v>
      </c>
      <c r="T7" s="2">
        <f t="shared" ref="T7:T35" si="2">SUM(B7:R7)</f>
        <v>8060</v>
      </c>
      <c r="V7" s="34" t="s">
        <v>7</v>
      </c>
      <c r="W7" s="36">
        <f>G36</f>
        <v>500</v>
      </c>
    </row>
    <row r="8" spans="1:23" x14ac:dyDescent="0.35">
      <c r="A8" s="17">
        <v>45295</v>
      </c>
      <c r="B8" s="2"/>
      <c r="D8" s="2"/>
      <c r="E8" s="2"/>
      <c r="F8" s="2"/>
      <c r="G8" s="2">
        <v>50</v>
      </c>
      <c r="H8" s="2"/>
      <c r="I8" s="2">
        <v>18</v>
      </c>
      <c r="J8" s="2"/>
      <c r="K8" s="2"/>
      <c r="L8" s="2"/>
      <c r="M8" s="2"/>
      <c r="N8" s="2"/>
      <c r="O8" s="2"/>
      <c r="P8" s="2"/>
      <c r="Q8" s="2"/>
      <c r="R8" s="2"/>
      <c r="S8" s="15"/>
      <c r="T8" s="2">
        <f t="shared" si="2"/>
        <v>68</v>
      </c>
      <c r="V8" s="34" t="s">
        <v>8</v>
      </c>
      <c r="W8" s="36">
        <f>H36</f>
        <v>259</v>
      </c>
    </row>
    <row r="9" spans="1:23" x14ac:dyDescent="0.35">
      <c r="A9" s="17">
        <v>45296</v>
      </c>
      <c r="B9" s="2"/>
      <c r="C9" s="2">
        <v>51166</v>
      </c>
      <c r="D9" s="2"/>
      <c r="E9" s="2"/>
      <c r="F9" s="2"/>
      <c r="G9" s="2"/>
      <c r="H9" s="2"/>
      <c r="I9" s="2">
        <v>33</v>
      </c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si="2"/>
        <v>51199</v>
      </c>
      <c r="V9" s="34" t="s">
        <v>9</v>
      </c>
      <c r="W9" s="36">
        <f>I36</f>
        <v>8768.48</v>
      </c>
    </row>
    <row r="10" spans="1:23" x14ac:dyDescent="0.35">
      <c r="A10" s="17">
        <v>45297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>
        <v>90</v>
      </c>
      <c r="M10" s="2"/>
      <c r="N10" s="2"/>
      <c r="O10" s="2"/>
      <c r="P10" s="2"/>
      <c r="Q10" s="2"/>
      <c r="R10" s="2"/>
      <c r="S10" s="2"/>
      <c r="T10" s="2">
        <f t="shared" si="2"/>
        <v>90</v>
      </c>
      <c r="V10" s="34" t="s">
        <v>10</v>
      </c>
      <c r="W10" s="36">
        <f>J36</f>
        <v>600</v>
      </c>
    </row>
    <row r="11" spans="1:23" x14ac:dyDescent="0.35">
      <c r="A11" s="17">
        <v>45298</v>
      </c>
      <c r="B11" s="2"/>
      <c r="C11" s="2"/>
      <c r="D11" s="2"/>
      <c r="E11" s="2"/>
      <c r="F11" s="2"/>
      <c r="G11" s="2">
        <v>50</v>
      </c>
      <c r="H11" s="2"/>
      <c r="I11" s="2">
        <v>487</v>
      </c>
      <c r="J11" s="2"/>
      <c r="K11" s="2"/>
      <c r="L11" s="2"/>
      <c r="M11" s="2"/>
      <c r="N11" s="2"/>
      <c r="O11" s="2"/>
      <c r="P11" s="2"/>
      <c r="Q11" s="2"/>
      <c r="R11" s="2">
        <v>199</v>
      </c>
      <c r="S11" s="15" t="s">
        <v>86</v>
      </c>
      <c r="T11" s="2">
        <f t="shared" si="2"/>
        <v>736</v>
      </c>
      <c r="V11" s="34" t="s">
        <v>11</v>
      </c>
      <c r="W11" s="36">
        <f>K36</f>
        <v>0</v>
      </c>
    </row>
    <row r="12" spans="1:23" x14ac:dyDescent="0.35">
      <c r="A12" s="17">
        <v>45299</v>
      </c>
      <c r="B12" s="2"/>
      <c r="C12" s="2"/>
      <c r="D12" s="2"/>
      <c r="E12" s="2"/>
      <c r="F12" s="2"/>
      <c r="G12" s="2"/>
      <c r="H12" s="2"/>
      <c r="I12" s="2">
        <v>275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2"/>
        <v>275</v>
      </c>
      <c r="V12" s="34" t="s">
        <v>12</v>
      </c>
      <c r="W12" s="36">
        <f>L36</f>
        <v>2131.06</v>
      </c>
    </row>
    <row r="13" spans="1:23" x14ac:dyDescent="0.35">
      <c r="A13" s="17">
        <v>45300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f>237+150+280</f>
        <v>667</v>
      </c>
      <c r="S13" s="2" t="s">
        <v>124</v>
      </c>
      <c r="T13" s="2">
        <f t="shared" si="2"/>
        <v>667</v>
      </c>
      <c r="V13" s="34" t="s">
        <v>13</v>
      </c>
      <c r="W13" s="36">
        <f>M36</f>
        <v>13000</v>
      </c>
    </row>
    <row r="14" spans="1:23" x14ac:dyDescent="0.35">
      <c r="A14" s="17">
        <v>45301</v>
      </c>
      <c r="B14" s="2"/>
      <c r="C14" s="2"/>
      <c r="D14" s="2"/>
      <c r="E14" s="2"/>
      <c r="F14" s="2"/>
      <c r="G14" s="2">
        <v>50</v>
      </c>
      <c r="H14" s="2"/>
      <c r="J14" s="2"/>
      <c r="K14" s="2"/>
      <c r="L14" s="2"/>
      <c r="M14" s="2"/>
      <c r="N14" s="2"/>
      <c r="O14" s="2"/>
      <c r="P14" s="2"/>
      <c r="Q14" s="2"/>
      <c r="R14" s="2">
        <f>33+47</f>
        <v>80</v>
      </c>
      <c r="S14" s="2" t="s">
        <v>125</v>
      </c>
      <c r="T14" s="2">
        <f>SUM(B14:R14)</f>
        <v>130</v>
      </c>
      <c r="V14" s="34" t="s">
        <v>16</v>
      </c>
      <c r="W14" s="36">
        <f>N36</f>
        <v>0</v>
      </c>
    </row>
    <row r="15" spans="1:23" x14ac:dyDescent="0.35">
      <c r="A15" s="17">
        <v>45302</v>
      </c>
      <c r="B15" s="2"/>
      <c r="C15" s="2"/>
      <c r="D15" s="2"/>
      <c r="E15" s="2"/>
      <c r="F15" s="2"/>
      <c r="G15" s="2">
        <v>50</v>
      </c>
      <c r="H15" s="2"/>
      <c r="I15" s="2"/>
      <c r="J15" s="2"/>
      <c r="K15" s="2"/>
      <c r="L15" s="2"/>
      <c r="M15" s="2"/>
      <c r="N15" s="2"/>
      <c r="O15" s="2">
        <v>199</v>
      </c>
      <c r="P15" s="2"/>
      <c r="Q15" s="2"/>
      <c r="R15" s="30">
        <f>710+500</f>
        <v>1210</v>
      </c>
      <c r="S15" s="27" t="s">
        <v>126</v>
      </c>
      <c r="T15" s="2">
        <f t="shared" si="2"/>
        <v>1459</v>
      </c>
      <c r="V15" s="34" t="s">
        <v>43</v>
      </c>
      <c r="W15" s="36">
        <f>O36</f>
        <v>274</v>
      </c>
    </row>
    <row r="16" spans="1:23" x14ac:dyDescent="0.35">
      <c r="A16" s="17">
        <v>45303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5"/>
      <c r="T16" s="2">
        <f>SUM(B16:Q16)</f>
        <v>0</v>
      </c>
      <c r="V16" s="34" t="s">
        <v>64</v>
      </c>
      <c r="W16" s="36">
        <f>P36</f>
        <v>6500</v>
      </c>
    </row>
    <row r="17" spans="1:23" x14ac:dyDescent="0.35">
      <c r="A17" s="17">
        <v>45304</v>
      </c>
      <c r="B17" s="2"/>
      <c r="C17" s="2"/>
      <c r="D17" s="2"/>
      <c r="E17" s="2"/>
      <c r="F17" s="2"/>
      <c r="G17" s="2"/>
      <c r="H17" s="2"/>
      <c r="I17" s="2">
        <v>352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2"/>
        <v>352</v>
      </c>
      <c r="V17" s="34" t="s">
        <v>14</v>
      </c>
      <c r="W17" s="36">
        <f>Q36</f>
        <v>8000</v>
      </c>
    </row>
    <row r="18" spans="1:23" x14ac:dyDescent="0.35">
      <c r="A18" s="17">
        <v>45305</v>
      </c>
      <c r="B18" s="2"/>
      <c r="C18" s="2"/>
      <c r="D18" s="2"/>
      <c r="E18" s="2"/>
      <c r="F18" s="2"/>
      <c r="G18" s="2"/>
      <c r="H18" s="2">
        <v>50</v>
      </c>
      <c r="I18" s="2">
        <f>274+279</f>
        <v>553</v>
      </c>
      <c r="J18" s="2"/>
      <c r="K18" s="2"/>
      <c r="L18" s="2">
        <v>885</v>
      </c>
      <c r="M18" s="2"/>
      <c r="N18" s="2"/>
      <c r="O18" s="2"/>
      <c r="P18" s="2"/>
      <c r="Q18" s="2"/>
      <c r="R18" s="2">
        <v>1181</v>
      </c>
      <c r="S18" s="2" t="s">
        <v>51</v>
      </c>
      <c r="T18" s="2">
        <f t="shared" si="2"/>
        <v>2669</v>
      </c>
      <c r="V18" s="34" t="s">
        <v>15</v>
      </c>
      <c r="W18" s="36">
        <f>R36</f>
        <v>8300</v>
      </c>
    </row>
    <row r="19" spans="1:23" x14ac:dyDescent="0.35">
      <c r="A19" s="17">
        <v>45306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5"/>
      <c r="T19" s="2">
        <f t="shared" si="2"/>
        <v>0</v>
      </c>
    </row>
    <row r="20" spans="1:23" x14ac:dyDescent="0.35">
      <c r="A20" s="17">
        <v>45307</v>
      </c>
      <c r="B20" s="2"/>
      <c r="C20" s="2"/>
      <c r="D20" s="2"/>
      <c r="E20" s="2"/>
      <c r="F20" s="2"/>
      <c r="G20" s="2">
        <v>50</v>
      </c>
      <c r="H20" s="2"/>
      <c r="I20" s="2">
        <f>264+80-50</f>
        <v>294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2"/>
        <v>344</v>
      </c>
    </row>
    <row r="21" spans="1:23" x14ac:dyDescent="0.35">
      <c r="A21" s="17">
        <v>45308</v>
      </c>
      <c r="B21" s="2"/>
      <c r="C21" s="2"/>
      <c r="D21" s="2"/>
      <c r="E21" s="2"/>
      <c r="F21" s="2"/>
      <c r="G21" s="2"/>
      <c r="H21" s="2"/>
      <c r="I21" s="2">
        <v>140</v>
      </c>
      <c r="J21" s="2"/>
      <c r="K21" s="2"/>
      <c r="L21" s="2"/>
      <c r="M21" s="2">
        <v>4500</v>
      </c>
      <c r="N21" s="2"/>
      <c r="O21" s="2"/>
      <c r="P21" s="2"/>
      <c r="Q21" s="2"/>
      <c r="R21" s="2"/>
      <c r="S21" s="2"/>
      <c r="T21" s="2">
        <f t="shared" si="2"/>
        <v>4640</v>
      </c>
    </row>
    <row r="22" spans="1:23" x14ac:dyDescent="0.35">
      <c r="A22" s="17">
        <v>45309</v>
      </c>
      <c r="B22" s="2"/>
      <c r="C22" s="2"/>
      <c r="D22" s="2"/>
      <c r="E22" s="2"/>
      <c r="F22" s="2"/>
      <c r="G22" s="2"/>
      <c r="H22" s="2">
        <v>209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15"/>
      <c r="T22" s="2">
        <f t="shared" si="2"/>
        <v>209</v>
      </c>
    </row>
    <row r="23" spans="1:23" x14ac:dyDescent="0.35">
      <c r="A23" s="17">
        <v>45310</v>
      </c>
      <c r="B23" s="2"/>
      <c r="C23" s="2"/>
      <c r="D23" s="2"/>
      <c r="E23" s="2"/>
      <c r="F23" s="2"/>
      <c r="G23" s="2">
        <v>50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f>458+2255</f>
        <v>2713</v>
      </c>
      <c r="S23" s="2" t="s">
        <v>127</v>
      </c>
      <c r="T23" s="2">
        <f t="shared" si="2"/>
        <v>2763</v>
      </c>
    </row>
    <row r="24" spans="1:23" x14ac:dyDescent="0.35">
      <c r="A24" s="17">
        <v>45311</v>
      </c>
      <c r="B24" s="2"/>
      <c r="C24" s="2"/>
      <c r="D24" s="2"/>
      <c r="E24" s="2"/>
      <c r="F24" s="2"/>
      <c r="G24" s="2"/>
      <c r="H24" s="2"/>
      <c r="I24" s="2">
        <f>378+2463.48</f>
        <v>2841.48</v>
      </c>
      <c r="J24" s="2"/>
      <c r="K24" s="2"/>
      <c r="L24" s="2">
        <f>156.6+240</f>
        <v>396.6</v>
      </c>
      <c r="M24" s="2"/>
      <c r="N24" s="2"/>
      <c r="O24" s="2"/>
      <c r="P24" s="2"/>
      <c r="Q24" s="2"/>
      <c r="R24" s="2"/>
      <c r="S24" s="2"/>
      <c r="T24" s="2">
        <f t="shared" si="2"/>
        <v>3238.08</v>
      </c>
    </row>
    <row r="25" spans="1:23" x14ac:dyDescent="0.35">
      <c r="A25" s="17">
        <v>45312</v>
      </c>
      <c r="B25" s="2"/>
      <c r="C25" s="2"/>
      <c r="D25" s="2"/>
      <c r="E25" s="2"/>
      <c r="F25" s="2"/>
      <c r="G25" s="2"/>
      <c r="H25" s="2"/>
      <c r="I25" s="2">
        <v>255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f t="shared" si="2"/>
        <v>255</v>
      </c>
    </row>
    <row r="26" spans="1:23" x14ac:dyDescent="0.35">
      <c r="A26" s="17">
        <v>45313</v>
      </c>
      <c r="B26" s="2"/>
      <c r="C26" s="2"/>
      <c r="D26" s="2"/>
      <c r="E26" s="2"/>
      <c r="F26" s="2"/>
      <c r="G26" s="2">
        <v>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 t="shared" si="2"/>
        <v>50</v>
      </c>
    </row>
    <row r="27" spans="1:23" x14ac:dyDescent="0.35">
      <c r="A27" s="17">
        <v>45314</v>
      </c>
      <c r="B27" s="2"/>
      <c r="C27" s="2"/>
      <c r="D27" s="2"/>
      <c r="E27" s="2"/>
      <c r="F27" s="2"/>
      <c r="G27" s="2">
        <v>50</v>
      </c>
      <c r="H27" s="2"/>
      <c r="I27" s="2"/>
      <c r="J27" s="2"/>
      <c r="K27" s="2"/>
      <c r="L27" s="2"/>
      <c r="M27" s="2">
        <v>3500</v>
      </c>
      <c r="N27" s="2"/>
      <c r="O27" s="2">
        <v>75</v>
      </c>
      <c r="P27" s="2"/>
      <c r="Q27" s="2"/>
      <c r="R27" s="2">
        <v>40</v>
      </c>
      <c r="S27" s="2" t="s">
        <v>63</v>
      </c>
      <c r="T27" s="2">
        <f t="shared" si="2"/>
        <v>3665</v>
      </c>
    </row>
    <row r="28" spans="1:23" x14ac:dyDescent="0.35">
      <c r="A28" s="17">
        <v>45315</v>
      </c>
      <c r="B28" s="2"/>
      <c r="C28" s="2"/>
      <c r="D28" s="2"/>
      <c r="E28" s="2"/>
      <c r="F28" s="2"/>
      <c r="G28" s="2"/>
      <c r="H28" s="2"/>
      <c r="I28" s="2">
        <f>100+26</f>
        <v>126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f t="shared" si="2"/>
        <v>126</v>
      </c>
    </row>
    <row r="29" spans="1:23" x14ac:dyDescent="0.35">
      <c r="A29" s="17">
        <v>45316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 t="shared" si="2"/>
        <v>0</v>
      </c>
    </row>
    <row r="30" spans="1:23" x14ac:dyDescent="0.35">
      <c r="A30" s="17">
        <v>45317</v>
      </c>
      <c r="B30" s="2"/>
      <c r="C30" s="2"/>
      <c r="D30" s="2"/>
      <c r="E30" s="2"/>
      <c r="F30" s="2"/>
      <c r="G30" s="2">
        <v>50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8"/>
      <c r="T30" s="2">
        <f t="shared" si="2"/>
        <v>50</v>
      </c>
    </row>
    <row r="31" spans="1:23" x14ac:dyDescent="0.35">
      <c r="A31" s="17">
        <v>45318</v>
      </c>
      <c r="B31" s="2"/>
      <c r="C31" s="2"/>
      <c r="D31" s="2"/>
      <c r="E31" s="2"/>
      <c r="F31" s="2"/>
      <c r="G31" s="2">
        <v>50</v>
      </c>
      <c r="H31" s="2"/>
      <c r="I31" s="2">
        <f>1622+60</f>
        <v>1682</v>
      </c>
      <c r="J31" s="2"/>
      <c r="K31" s="2"/>
      <c r="L31" s="2">
        <f>324.46+100+252+63</f>
        <v>739.46</v>
      </c>
      <c r="M31" s="2"/>
      <c r="N31" s="2"/>
      <c r="O31" s="2"/>
      <c r="P31" s="2"/>
      <c r="Q31" s="2"/>
      <c r="R31" s="2">
        <f>20+1900</f>
        <v>1920</v>
      </c>
      <c r="S31" s="2" t="s">
        <v>128</v>
      </c>
      <c r="T31" s="2">
        <f t="shared" si="2"/>
        <v>4391.46</v>
      </c>
    </row>
    <row r="32" spans="1:23" x14ac:dyDescent="0.35">
      <c r="A32" s="17">
        <v>45319</v>
      </c>
      <c r="B32" s="2"/>
      <c r="C32" s="2"/>
      <c r="D32" s="2"/>
      <c r="E32" s="2"/>
      <c r="F32" s="2"/>
      <c r="G32" s="2"/>
      <c r="H32" s="2"/>
      <c r="I32" s="2">
        <f>180+400+60+20</f>
        <v>660</v>
      </c>
      <c r="J32" s="2"/>
      <c r="K32" s="2"/>
      <c r="L32" s="2">
        <v>20</v>
      </c>
      <c r="M32" s="2"/>
      <c r="N32" s="2"/>
      <c r="O32" s="2"/>
      <c r="P32" s="2"/>
      <c r="Q32" s="2"/>
      <c r="R32" s="2">
        <v>30</v>
      </c>
      <c r="S32" s="2" t="s">
        <v>129</v>
      </c>
      <c r="T32" s="2">
        <f t="shared" si="2"/>
        <v>710</v>
      </c>
    </row>
    <row r="33" spans="1:20" x14ac:dyDescent="0.35">
      <c r="A33" s="17">
        <v>45320</v>
      </c>
      <c r="B33" s="2"/>
      <c r="C33" s="2"/>
      <c r="D33" s="2"/>
      <c r="E33" s="2"/>
      <c r="F33" s="2"/>
      <c r="G33" s="2"/>
      <c r="H33" s="2"/>
      <c r="I33" s="2"/>
      <c r="J33" s="2">
        <v>600</v>
      </c>
      <c r="K33" s="2"/>
      <c r="L33" s="2"/>
      <c r="M33" s="2"/>
      <c r="N33" s="2"/>
      <c r="O33" s="2"/>
      <c r="P33" s="2"/>
      <c r="Q33" s="2"/>
      <c r="R33" s="2"/>
      <c r="S33" s="2"/>
      <c r="T33" s="2">
        <f t="shared" si="2"/>
        <v>600</v>
      </c>
    </row>
    <row r="34" spans="1:20" x14ac:dyDescent="0.35">
      <c r="A34" s="17">
        <v>45321</v>
      </c>
      <c r="B34" s="2"/>
      <c r="C34" s="2"/>
      <c r="D34" s="2"/>
      <c r="E34" s="2"/>
      <c r="F34" s="2"/>
      <c r="G34" s="2"/>
      <c r="H34" s="2"/>
      <c r="I34" s="2">
        <v>264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f t="shared" si="2"/>
        <v>264</v>
      </c>
    </row>
    <row r="35" spans="1:20" x14ac:dyDescent="0.35">
      <c r="A35" s="17">
        <v>45322</v>
      </c>
      <c r="B35" s="2"/>
      <c r="C35" s="2"/>
      <c r="D35" s="2"/>
      <c r="E35" s="2"/>
      <c r="F35" s="2"/>
      <c r="G35" s="2"/>
      <c r="H35" s="2"/>
      <c r="I35" s="2">
        <v>10</v>
      </c>
      <c r="J35" s="2"/>
      <c r="K35" s="2"/>
      <c r="L35" s="2"/>
      <c r="M35" s="2"/>
      <c r="N35" s="2"/>
      <c r="O35" s="2"/>
      <c r="P35" s="2"/>
      <c r="Q35" s="2"/>
      <c r="R35" s="2">
        <v>155</v>
      </c>
      <c r="S35" s="2" t="s">
        <v>130</v>
      </c>
      <c r="T35" s="2">
        <f t="shared" si="2"/>
        <v>165</v>
      </c>
    </row>
    <row r="36" spans="1:20" x14ac:dyDescent="0.35">
      <c r="A36" s="16" t="s">
        <v>29</v>
      </c>
      <c r="B36" s="16">
        <f t="shared" ref="B36:P36" si="3">SUM(B5:B34)</f>
        <v>22000</v>
      </c>
      <c r="C36" s="16">
        <f t="shared" si="3"/>
        <v>51166</v>
      </c>
      <c r="D36" s="16">
        <f t="shared" si="3"/>
        <v>0</v>
      </c>
      <c r="E36" s="16">
        <f t="shared" si="3"/>
        <v>636</v>
      </c>
      <c r="F36" s="16">
        <f t="shared" si="3"/>
        <v>700</v>
      </c>
      <c r="G36" s="16">
        <f t="shared" si="3"/>
        <v>500</v>
      </c>
      <c r="H36" s="16">
        <f t="shared" si="3"/>
        <v>259</v>
      </c>
      <c r="I36" s="16">
        <f t="shared" si="3"/>
        <v>8768.48</v>
      </c>
      <c r="J36" s="16">
        <f t="shared" si="3"/>
        <v>600</v>
      </c>
      <c r="K36" s="16">
        <f t="shared" si="3"/>
        <v>0</v>
      </c>
      <c r="L36" s="16">
        <f t="shared" si="3"/>
        <v>2131.06</v>
      </c>
      <c r="M36" s="16">
        <f t="shared" si="3"/>
        <v>13000</v>
      </c>
      <c r="N36" s="16">
        <f t="shared" si="3"/>
        <v>0</v>
      </c>
      <c r="O36" s="16">
        <f t="shared" si="3"/>
        <v>274</v>
      </c>
      <c r="P36" s="16">
        <f t="shared" si="3"/>
        <v>6500</v>
      </c>
      <c r="Q36" s="16">
        <f>SUM(Q5:Q34)</f>
        <v>8000</v>
      </c>
      <c r="R36" s="16">
        <f>SUM(R5:R34)</f>
        <v>8300</v>
      </c>
      <c r="S36" s="16"/>
      <c r="T36" s="2"/>
    </row>
    <row r="38" spans="1:20" x14ac:dyDescent="0.35">
      <c r="A38" s="24" t="s">
        <v>46</v>
      </c>
      <c r="B38" s="2">
        <v>150873</v>
      </c>
    </row>
    <row r="39" spans="1:20" x14ac:dyDescent="0.35">
      <c r="A39" s="24" t="s">
        <v>17</v>
      </c>
      <c r="B39" s="2">
        <f>SUM(B2:R2)-M2</f>
        <v>127430</v>
      </c>
    </row>
    <row r="40" spans="1:20" x14ac:dyDescent="0.35">
      <c r="A40" s="24" t="s">
        <v>47</v>
      </c>
      <c r="B40" s="2">
        <f>SUM(T5:T34)-M36</f>
        <v>109834.54000000001</v>
      </c>
    </row>
    <row r="41" spans="1:20" x14ac:dyDescent="0.35">
      <c r="A41" s="24" t="s">
        <v>18</v>
      </c>
      <c r="B41" s="2">
        <f>B39-B40</f>
        <v>17595.459999999992</v>
      </c>
    </row>
    <row r="42" spans="1:20" x14ac:dyDescent="0.35">
      <c r="A42" s="24" t="s">
        <v>34</v>
      </c>
      <c r="B42" s="2">
        <f>B38-SUM(B36:R36)</f>
        <v>28038.460000000006</v>
      </c>
    </row>
    <row r="43" spans="1:20" x14ac:dyDescent="0.35">
      <c r="A43" s="24" t="s">
        <v>83</v>
      </c>
      <c r="B43" s="2">
        <f>SUM(D36:L36)+SUM(N36:R36)</f>
        <v>36668.54</v>
      </c>
    </row>
    <row r="44" spans="1:20" x14ac:dyDescent="0.35">
      <c r="A44" s="32" t="s">
        <v>162</v>
      </c>
      <c r="B44">
        <f>B38-B43</f>
        <v>114204.45999999999</v>
      </c>
    </row>
  </sheetData>
  <mergeCells count="1">
    <mergeCell ref="V1:W1"/>
  </mergeCells>
  <conditionalFormatting sqref="B4:R4">
    <cfRule type="cellIs" dxfId="35" priority="1" operator="greaterThan">
      <formula>99</formula>
    </cfRule>
    <cfRule type="cellIs" dxfId="34" priority="2" operator="between">
      <formula>51</formula>
      <formula>99</formula>
    </cfRule>
    <cfRule type="cellIs" dxfId="33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90" zoomScaleNormal="90" workbookViewId="0">
      <pane ySplit="1" topLeftCell="A14" activePane="bottomLeft" state="frozen"/>
      <selection activeCell="G40" sqref="G40"/>
      <selection pane="bottomLeft" activeCell="W24" sqref="W24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26.81640625" customWidth="1"/>
    <col min="20" max="20" width="17.453125" customWidth="1"/>
    <col min="22" max="22" width="25.1796875" customWidth="1"/>
    <col min="23" max="23" width="13.7265625" customWidth="1"/>
  </cols>
  <sheetData>
    <row r="1" spans="1:23" x14ac:dyDescent="0.35">
      <c r="A1" s="18" t="s">
        <v>33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16</v>
      </c>
      <c r="O1" s="18" t="s">
        <v>43</v>
      </c>
      <c r="P1" s="18" t="s">
        <v>64</v>
      </c>
      <c r="Q1" s="18" t="s">
        <v>14</v>
      </c>
      <c r="R1" s="18" t="s">
        <v>15</v>
      </c>
      <c r="S1" s="18" t="s">
        <v>35</v>
      </c>
      <c r="T1" s="18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22000</v>
      </c>
      <c r="C2" s="19">
        <v>51166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132430</v>
      </c>
      <c r="V2" s="34" t="s">
        <v>2</v>
      </c>
      <c r="W2" s="35">
        <f>B34</f>
        <v>22000</v>
      </c>
    </row>
    <row r="3" spans="1:23" s="23" customFormat="1" x14ac:dyDescent="0.35">
      <c r="A3" s="19" t="s">
        <v>18</v>
      </c>
      <c r="B3" s="19">
        <f t="shared" ref="B3:R3" si="0">B2-B34</f>
        <v>0</v>
      </c>
      <c r="C3" s="19">
        <f t="shared" si="0"/>
        <v>0</v>
      </c>
      <c r="D3" s="19">
        <f t="shared" si="0"/>
        <v>2500</v>
      </c>
      <c r="E3" s="19">
        <f t="shared" si="0"/>
        <v>1364</v>
      </c>
      <c r="F3" s="19">
        <f t="shared" si="0"/>
        <v>400</v>
      </c>
      <c r="G3" s="19">
        <f t="shared" si="0"/>
        <v>350</v>
      </c>
      <c r="H3" s="19">
        <f t="shared" si="0"/>
        <v>261</v>
      </c>
      <c r="I3" s="19">
        <f t="shared" si="0"/>
        <v>1523</v>
      </c>
      <c r="J3" s="19">
        <f t="shared" si="0"/>
        <v>100</v>
      </c>
      <c r="K3" s="19">
        <f t="shared" si="0"/>
        <v>540</v>
      </c>
      <c r="L3" s="19">
        <f t="shared" si="0"/>
        <v>-1064.2000000000003</v>
      </c>
      <c r="M3" s="19">
        <f t="shared" si="0"/>
        <v>-5000</v>
      </c>
      <c r="N3" s="19">
        <f t="shared" si="0"/>
        <v>1500</v>
      </c>
      <c r="O3" s="19">
        <f t="shared" si="0"/>
        <v>190</v>
      </c>
      <c r="P3" s="19">
        <f t="shared" si="0"/>
        <v>0</v>
      </c>
      <c r="Q3" s="19">
        <f t="shared" si="0"/>
        <v>0</v>
      </c>
      <c r="R3" s="19">
        <f t="shared" si="0"/>
        <v>-7987.5999999999985</v>
      </c>
      <c r="S3" s="19"/>
      <c r="T3" s="19">
        <f>SUM(B3:R3)</f>
        <v>-5323.7999999999993</v>
      </c>
      <c r="V3" s="34" t="s">
        <v>3</v>
      </c>
      <c r="W3" s="35">
        <f>C34</f>
        <v>51166</v>
      </c>
    </row>
    <row r="4" spans="1:23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31.8</v>
      </c>
      <c r="F4" s="19">
        <f t="shared" si="1"/>
        <v>63.636363636363633</v>
      </c>
      <c r="G4" s="19">
        <f t="shared" si="1"/>
        <v>65</v>
      </c>
      <c r="H4" s="19">
        <f t="shared" si="1"/>
        <v>47.8</v>
      </c>
      <c r="I4" s="19">
        <f t="shared" si="1"/>
        <v>78.242857142857147</v>
      </c>
      <c r="J4" s="19">
        <f t="shared" si="1"/>
        <v>80</v>
      </c>
      <c r="K4" s="19">
        <f t="shared" si="1"/>
        <v>55.000000000000007</v>
      </c>
      <c r="L4" s="19">
        <f t="shared" si="1"/>
        <v>153.21000000000004</v>
      </c>
      <c r="M4" s="19">
        <f t="shared" si="1"/>
        <v>200</v>
      </c>
      <c r="N4" s="19">
        <f t="shared" si="1"/>
        <v>0</v>
      </c>
      <c r="O4" s="19">
        <f t="shared" si="1"/>
        <v>59.051724137931039</v>
      </c>
      <c r="P4" s="19">
        <f t="shared" si="1"/>
        <v>100</v>
      </c>
      <c r="Q4" s="19">
        <f t="shared" si="1"/>
        <v>100</v>
      </c>
      <c r="R4" s="21">
        <f t="shared" si="1"/>
        <v>139.93799999999999</v>
      </c>
      <c r="S4" s="19"/>
      <c r="T4" s="21">
        <f t="shared" si="1"/>
        <v>104.02008608321376</v>
      </c>
      <c r="V4" s="34" t="s">
        <v>4</v>
      </c>
      <c r="W4" s="35">
        <f>D34</f>
        <v>0</v>
      </c>
    </row>
    <row r="5" spans="1:23" x14ac:dyDescent="0.35">
      <c r="A5" s="17">
        <v>45323</v>
      </c>
      <c r="B5" s="2">
        <v>22000</v>
      </c>
      <c r="C5" s="2"/>
      <c r="D5" s="2"/>
      <c r="E5" s="2"/>
      <c r="F5" s="2"/>
      <c r="G5" s="2">
        <v>50</v>
      </c>
      <c r="H5" s="2"/>
      <c r="I5" s="2"/>
      <c r="J5" s="2"/>
      <c r="K5" s="2"/>
      <c r="L5" s="2">
        <v>84</v>
      </c>
      <c r="M5" s="2"/>
      <c r="N5" s="2"/>
      <c r="O5" s="2"/>
      <c r="P5" s="2"/>
      <c r="Q5" s="2"/>
      <c r="R5" s="2">
        <v>1185</v>
      </c>
      <c r="S5" s="2" t="s">
        <v>131</v>
      </c>
      <c r="T5" s="2">
        <f>SUM(B5:R5)</f>
        <v>23319</v>
      </c>
      <c r="V5" s="34" t="s">
        <v>5</v>
      </c>
      <c r="W5" s="36">
        <f>E34</f>
        <v>636</v>
      </c>
    </row>
    <row r="6" spans="1:23" x14ac:dyDescent="0.35">
      <c r="A6" s="17">
        <v>45324</v>
      </c>
      <c r="B6" s="2"/>
      <c r="C6" s="2"/>
      <c r="D6" s="2"/>
      <c r="E6" s="2"/>
      <c r="F6" s="2"/>
      <c r="G6" s="2"/>
      <c r="H6" s="2"/>
      <c r="I6" s="2">
        <f>65+2000</f>
        <v>2065</v>
      </c>
      <c r="J6" s="2"/>
      <c r="K6" s="2"/>
      <c r="L6" s="2"/>
      <c r="M6" s="2">
        <v>5000</v>
      </c>
      <c r="N6" s="2"/>
      <c r="O6" s="2"/>
      <c r="P6" s="2"/>
      <c r="Q6" s="2">
        <v>8000</v>
      </c>
      <c r="R6" s="2"/>
      <c r="S6" s="2"/>
      <c r="T6" s="2">
        <f>SUM(B6:R6)</f>
        <v>15065</v>
      </c>
      <c r="V6" s="34" t="s">
        <v>6</v>
      </c>
      <c r="W6" s="36">
        <f>F34</f>
        <v>700</v>
      </c>
    </row>
    <row r="7" spans="1:23" x14ac:dyDescent="0.35">
      <c r="A7" s="17">
        <v>45325</v>
      </c>
      <c r="B7" s="2"/>
      <c r="C7" s="2"/>
      <c r="D7" s="2"/>
      <c r="E7" s="2"/>
      <c r="F7" s="2"/>
      <c r="G7" s="2"/>
      <c r="H7" s="2"/>
      <c r="I7" s="2">
        <v>120</v>
      </c>
      <c r="J7" s="2"/>
      <c r="K7" s="2"/>
      <c r="L7" s="2"/>
      <c r="M7" s="2"/>
      <c r="N7" s="2"/>
      <c r="O7" s="2"/>
      <c r="P7" s="2"/>
      <c r="Q7" s="2"/>
      <c r="R7" s="2"/>
      <c r="S7" s="2"/>
      <c r="T7" s="2">
        <f t="shared" ref="T7:T33" si="2">SUM(B7:R7)</f>
        <v>120</v>
      </c>
      <c r="V7" s="34" t="s">
        <v>7</v>
      </c>
      <c r="W7" s="36">
        <f>G34</f>
        <v>650</v>
      </c>
    </row>
    <row r="8" spans="1:23" x14ac:dyDescent="0.35">
      <c r="A8" s="17">
        <v>45326</v>
      </c>
      <c r="B8" s="2"/>
      <c r="D8" s="2"/>
      <c r="E8" s="2"/>
      <c r="F8" s="2">
        <v>700</v>
      </c>
      <c r="G8" s="2">
        <v>50</v>
      </c>
      <c r="H8" s="2"/>
      <c r="I8" s="2">
        <f>245+168</f>
        <v>413</v>
      </c>
      <c r="J8" s="2"/>
      <c r="K8" s="2"/>
      <c r="L8" s="2">
        <f>48+393.76+370+50</f>
        <v>861.76</v>
      </c>
      <c r="M8" s="2"/>
      <c r="N8" s="2"/>
      <c r="O8" s="2"/>
      <c r="P8" s="2"/>
      <c r="Q8" s="2"/>
      <c r="R8" s="2">
        <f>10+260+120</f>
        <v>390</v>
      </c>
      <c r="S8" s="15" t="s">
        <v>132</v>
      </c>
      <c r="T8" s="2">
        <f t="shared" si="2"/>
        <v>2414.7600000000002</v>
      </c>
      <c r="V8" s="34" t="s">
        <v>8</v>
      </c>
      <c r="W8" s="36">
        <f>H34</f>
        <v>239</v>
      </c>
    </row>
    <row r="9" spans="1:23" x14ac:dyDescent="0.35">
      <c r="A9" s="17">
        <v>45327</v>
      </c>
      <c r="B9" s="2"/>
      <c r="C9" s="2">
        <v>51166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si="2"/>
        <v>51166</v>
      </c>
      <c r="V9" s="34" t="s">
        <v>9</v>
      </c>
      <c r="W9" s="36">
        <f>I34</f>
        <v>5477</v>
      </c>
    </row>
    <row r="10" spans="1:23" x14ac:dyDescent="0.35">
      <c r="A10" s="17">
        <v>45328</v>
      </c>
      <c r="B10" s="2"/>
      <c r="C10" s="2"/>
      <c r="D10" s="2"/>
      <c r="E10" s="2"/>
      <c r="F10" s="2"/>
      <c r="G10" s="2"/>
      <c r="H10" s="2"/>
      <c r="I10" s="2">
        <v>50</v>
      </c>
      <c r="J10" s="2">
        <v>400</v>
      </c>
      <c r="K10" s="2">
        <v>660</v>
      </c>
      <c r="L10" s="2"/>
      <c r="M10" s="2"/>
      <c r="N10" s="2"/>
      <c r="O10" s="2"/>
      <c r="P10" s="2">
        <v>6500</v>
      </c>
      <c r="Q10" s="2"/>
      <c r="R10" s="2">
        <v>374</v>
      </c>
      <c r="S10" s="2" t="s">
        <v>51</v>
      </c>
      <c r="T10" s="2">
        <f t="shared" si="2"/>
        <v>7984</v>
      </c>
      <c r="V10" s="34" t="s">
        <v>10</v>
      </c>
      <c r="W10" s="36">
        <f>J34</f>
        <v>400</v>
      </c>
    </row>
    <row r="11" spans="1:23" x14ac:dyDescent="0.35">
      <c r="A11" s="17">
        <v>45329</v>
      </c>
      <c r="B11" s="2"/>
      <c r="C11" s="2"/>
      <c r="D11" s="2"/>
      <c r="E11" s="2"/>
      <c r="F11" s="2"/>
      <c r="G11" s="2">
        <v>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5"/>
      <c r="T11" s="2">
        <f t="shared" si="2"/>
        <v>50</v>
      </c>
      <c r="V11" s="34" t="s">
        <v>11</v>
      </c>
      <c r="W11" s="36">
        <f>K34</f>
        <v>660</v>
      </c>
    </row>
    <row r="12" spans="1:23" x14ac:dyDescent="0.35">
      <c r="A12" s="17">
        <v>45330</v>
      </c>
      <c r="B12" s="2"/>
      <c r="C12" s="2"/>
      <c r="D12" s="2"/>
      <c r="E12" s="2"/>
      <c r="F12" s="2"/>
      <c r="G12" s="2"/>
      <c r="H12" s="2"/>
      <c r="I12" s="2">
        <v>132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2"/>
        <v>132</v>
      </c>
      <c r="V12" s="34" t="s">
        <v>12</v>
      </c>
      <c r="W12" s="36">
        <f>L34</f>
        <v>3064.2000000000003</v>
      </c>
    </row>
    <row r="13" spans="1:23" x14ac:dyDescent="0.35">
      <c r="A13" s="17">
        <v>45331</v>
      </c>
      <c r="B13" s="2"/>
      <c r="C13" s="2"/>
      <c r="D13" s="2"/>
      <c r="E13" s="2"/>
      <c r="F13" s="2"/>
      <c r="G13" s="2">
        <v>50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f>199+24</f>
        <v>223</v>
      </c>
      <c r="S13" s="2" t="s">
        <v>133</v>
      </c>
      <c r="T13" s="2">
        <f t="shared" si="2"/>
        <v>273</v>
      </c>
      <c r="V13" s="34" t="s">
        <v>13</v>
      </c>
      <c r="W13" s="36">
        <f>M34</f>
        <v>10000</v>
      </c>
    </row>
    <row r="14" spans="1:23" x14ac:dyDescent="0.35">
      <c r="A14" s="17">
        <v>45332</v>
      </c>
      <c r="B14" s="2"/>
      <c r="C14" s="2"/>
      <c r="D14" s="2"/>
      <c r="E14" s="2"/>
      <c r="F14" s="2"/>
      <c r="G14" s="2"/>
      <c r="H14" s="2"/>
      <c r="I14">
        <v>129</v>
      </c>
      <c r="J14" s="2"/>
      <c r="K14" s="2"/>
      <c r="L14" s="2">
        <f>418+95</f>
        <v>513</v>
      </c>
      <c r="M14" s="2"/>
      <c r="N14" s="2"/>
      <c r="O14" s="2"/>
      <c r="P14" s="2"/>
      <c r="Q14" s="2"/>
      <c r="R14" s="2">
        <v>80</v>
      </c>
      <c r="S14" s="2" t="s">
        <v>134</v>
      </c>
      <c r="T14" s="2">
        <f>SUM(B14:R14)</f>
        <v>722</v>
      </c>
      <c r="V14" s="34" t="s">
        <v>16</v>
      </c>
      <c r="W14" s="36">
        <f>N34</f>
        <v>0</v>
      </c>
    </row>
    <row r="15" spans="1:23" x14ac:dyDescent="0.35">
      <c r="A15" s="17">
        <v>45333</v>
      </c>
      <c r="B15" s="2"/>
      <c r="C15" s="2"/>
      <c r="D15" s="2"/>
      <c r="E15" s="2"/>
      <c r="F15" s="2"/>
      <c r="G15" s="2">
        <f>50+50</f>
        <v>100</v>
      </c>
      <c r="H15" s="2"/>
      <c r="I15" s="2">
        <v>100</v>
      </c>
      <c r="J15" s="2"/>
      <c r="K15" s="2"/>
      <c r="L15" s="2">
        <v>890</v>
      </c>
      <c r="M15" s="2"/>
      <c r="N15" s="2"/>
      <c r="O15" s="2">
        <v>199</v>
      </c>
      <c r="P15" s="2"/>
      <c r="Q15" s="2"/>
      <c r="R15" s="30">
        <f>3364+5114+113</f>
        <v>8591</v>
      </c>
      <c r="S15" s="27" t="s">
        <v>135</v>
      </c>
      <c r="T15" s="2">
        <f t="shared" si="2"/>
        <v>9880</v>
      </c>
      <c r="V15" s="34" t="s">
        <v>43</v>
      </c>
      <c r="W15" s="36">
        <f>O34</f>
        <v>274</v>
      </c>
    </row>
    <row r="16" spans="1:23" x14ac:dyDescent="0.35">
      <c r="A16" s="17">
        <v>45334</v>
      </c>
      <c r="B16" s="2"/>
      <c r="C16" s="2"/>
      <c r="D16" s="2"/>
      <c r="E16" s="2"/>
      <c r="F16" s="2"/>
      <c r="G16" s="2"/>
      <c r="H16" s="2"/>
      <c r="I16" s="2">
        <v>290</v>
      </c>
      <c r="J16" s="2"/>
      <c r="K16" s="2"/>
      <c r="L16" s="2">
        <v>242</v>
      </c>
      <c r="M16" s="2"/>
      <c r="N16" s="2"/>
      <c r="O16" s="2"/>
      <c r="P16" s="2"/>
      <c r="Q16" s="2"/>
      <c r="R16" s="2"/>
      <c r="S16" s="15"/>
      <c r="T16" s="2">
        <f>SUM(B16:Q16)</f>
        <v>532</v>
      </c>
      <c r="V16" s="34" t="s">
        <v>64</v>
      </c>
      <c r="W16" s="36">
        <f>P34</f>
        <v>6500</v>
      </c>
    </row>
    <row r="17" spans="1:23" x14ac:dyDescent="0.35">
      <c r="A17" s="17">
        <v>45335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5000</v>
      </c>
      <c r="N17" s="2"/>
      <c r="O17" s="2"/>
      <c r="P17" s="2"/>
      <c r="Q17" s="2"/>
      <c r="R17" s="2"/>
      <c r="S17" s="2"/>
      <c r="T17" s="2">
        <f t="shared" si="2"/>
        <v>5000</v>
      </c>
      <c r="V17" s="34" t="s">
        <v>14</v>
      </c>
      <c r="W17" s="36">
        <f>Q34</f>
        <v>8000</v>
      </c>
    </row>
    <row r="18" spans="1:23" x14ac:dyDescent="0.35">
      <c r="A18" s="17">
        <v>45336</v>
      </c>
      <c r="B18" s="2"/>
      <c r="C18" s="2"/>
      <c r="D18" s="2"/>
      <c r="E18" s="2"/>
      <c r="F18" s="2"/>
      <c r="G18" s="2"/>
      <c r="H18" s="2"/>
      <c r="I18" s="2">
        <v>104</v>
      </c>
      <c r="J18" s="2"/>
      <c r="K18" s="2"/>
      <c r="L18" s="2"/>
      <c r="M18" s="2"/>
      <c r="N18" s="2"/>
      <c r="O18" s="2"/>
      <c r="P18" s="2"/>
      <c r="Q18" s="2"/>
      <c r="R18" s="2">
        <f>1644+6064</f>
        <v>7708</v>
      </c>
      <c r="S18" s="2" t="s">
        <v>136</v>
      </c>
      <c r="T18" s="2">
        <f t="shared" si="2"/>
        <v>7812</v>
      </c>
      <c r="V18" s="34" t="s">
        <v>15</v>
      </c>
      <c r="W18" s="36">
        <f>R34</f>
        <v>27987.599999999999</v>
      </c>
    </row>
    <row r="19" spans="1:23" x14ac:dyDescent="0.35">
      <c r="A19" s="17">
        <v>45337</v>
      </c>
      <c r="B19" s="2"/>
      <c r="C19" s="2"/>
      <c r="D19" s="2"/>
      <c r="E19" s="2"/>
      <c r="F19" s="2"/>
      <c r="G19" s="2">
        <v>50</v>
      </c>
      <c r="H19" s="2">
        <v>239</v>
      </c>
      <c r="I19" s="2">
        <f>8+85</f>
        <v>93</v>
      </c>
      <c r="J19" s="2"/>
      <c r="K19" s="2"/>
      <c r="L19" s="2"/>
      <c r="M19" s="2"/>
      <c r="N19" s="2"/>
      <c r="O19" s="2"/>
      <c r="P19" s="2"/>
      <c r="Q19" s="2"/>
      <c r="R19" s="2"/>
      <c r="S19" s="15"/>
      <c r="T19" s="2">
        <f t="shared" si="2"/>
        <v>382</v>
      </c>
    </row>
    <row r="20" spans="1:23" x14ac:dyDescent="0.35">
      <c r="A20" s="17">
        <v>45338</v>
      </c>
      <c r="B20" s="2"/>
      <c r="C20" s="2"/>
      <c r="D20" s="2"/>
      <c r="E20" s="2"/>
      <c r="F20" s="2"/>
      <c r="G20" s="2"/>
      <c r="H20" s="2"/>
      <c r="I20" s="2">
        <v>84</v>
      </c>
      <c r="J20" s="2"/>
      <c r="K20" s="2"/>
      <c r="L20" s="2"/>
      <c r="M20" s="2"/>
      <c r="N20" s="2"/>
      <c r="O20" s="2"/>
      <c r="P20" s="2"/>
      <c r="Q20" s="2"/>
      <c r="R20" s="2">
        <v>110</v>
      </c>
      <c r="S20" s="2" t="s">
        <v>51</v>
      </c>
      <c r="T20" s="2">
        <f t="shared" si="2"/>
        <v>194</v>
      </c>
    </row>
    <row r="21" spans="1:23" x14ac:dyDescent="0.35">
      <c r="A21" s="17">
        <v>45339</v>
      </c>
      <c r="B21" s="2"/>
      <c r="C21" s="2"/>
      <c r="D21" s="2"/>
      <c r="E21" s="2"/>
      <c r="F21" s="2"/>
      <c r="G21" s="2">
        <v>50</v>
      </c>
      <c r="H21" s="2"/>
      <c r="I21" s="2">
        <f>125+234</f>
        <v>359</v>
      </c>
      <c r="J21" s="2"/>
      <c r="K21" s="2"/>
      <c r="L21" s="2"/>
      <c r="M21" s="2"/>
      <c r="N21" s="2"/>
      <c r="O21" s="2"/>
      <c r="P21" s="2"/>
      <c r="Q21" s="2"/>
      <c r="R21" s="2">
        <v>4707</v>
      </c>
      <c r="S21" s="2" t="s">
        <v>137</v>
      </c>
      <c r="T21" s="2">
        <f t="shared" si="2"/>
        <v>5116</v>
      </c>
    </row>
    <row r="22" spans="1:23" x14ac:dyDescent="0.35">
      <c r="A22" s="17">
        <v>45340</v>
      </c>
      <c r="B22" s="2"/>
      <c r="C22" s="2"/>
      <c r="D22" s="2"/>
      <c r="E22" s="2"/>
      <c r="F22" s="2"/>
      <c r="G22" s="2"/>
      <c r="H22" s="2"/>
      <c r="I22" s="2">
        <v>233</v>
      </c>
      <c r="J22" s="2"/>
      <c r="K22" s="2"/>
      <c r="L22" s="2"/>
      <c r="M22" s="2"/>
      <c r="N22" s="2"/>
      <c r="O22" s="2"/>
      <c r="P22" s="2"/>
      <c r="Q22" s="2"/>
      <c r="R22" s="2"/>
      <c r="S22" s="15"/>
      <c r="T22" s="2">
        <f t="shared" si="2"/>
        <v>233</v>
      </c>
    </row>
    <row r="23" spans="1:23" x14ac:dyDescent="0.35">
      <c r="A23" s="17">
        <v>45341</v>
      </c>
      <c r="B23" s="2"/>
      <c r="C23" s="2"/>
      <c r="D23" s="2"/>
      <c r="E23" s="2"/>
      <c r="F23" s="2"/>
      <c r="G23" s="2"/>
      <c r="H23" s="2"/>
      <c r="I23" s="2">
        <f>5+110</f>
        <v>115</v>
      </c>
      <c r="J23" s="2"/>
      <c r="K23" s="2"/>
      <c r="L23" s="2"/>
      <c r="M23" s="2"/>
      <c r="N23" s="2"/>
      <c r="O23" s="2"/>
      <c r="P23" s="2"/>
      <c r="Q23" s="2"/>
      <c r="R23" s="2">
        <v>800</v>
      </c>
      <c r="S23" s="2" t="s">
        <v>138</v>
      </c>
      <c r="T23" s="2">
        <f t="shared" si="2"/>
        <v>915</v>
      </c>
    </row>
    <row r="24" spans="1:23" x14ac:dyDescent="0.35">
      <c r="A24" s="17">
        <v>45342</v>
      </c>
      <c r="B24" s="2"/>
      <c r="C24" s="2"/>
      <c r="D24" s="2"/>
      <c r="E24" s="2"/>
      <c r="F24" s="2"/>
      <c r="G24" s="2">
        <v>50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 t="shared" si="2"/>
        <v>50</v>
      </c>
    </row>
    <row r="25" spans="1:23" x14ac:dyDescent="0.35">
      <c r="A25" s="17">
        <v>45343</v>
      </c>
      <c r="B25" s="2"/>
      <c r="C25" s="2"/>
      <c r="D25" s="2"/>
      <c r="E25" s="2"/>
      <c r="F25" s="2"/>
      <c r="G25" s="2"/>
      <c r="H25" s="2"/>
      <c r="I25" s="2">
        <v>194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f t="shared" si="2"/>
        <v>194</v>
      </c>
    </row>
    <row r="26" spans="1:23" x14ac:dyDescent="0.35">
      <c r="A26" s="17">
        <v>45344</v>
      </c>
      <c r="B26" s="2"/>
      <c r="C26" s="2"/>
      <c r="D26" s="2"/>
      <c r="E26" s="2"/>
      <c r="F26" s="2"/>
      <c r="G26" s="2">
        <v>50</v>
      </c>
      <c r="H26" s="2"/>
      <c r="I26" s="2"/>
      <c r="J26" s="2"/>
      <c r="K26" s="2"/>
      <c r="L26" s="2">
        <v>170</v>
      </c>
      <c r="M26" s="2"/>
      <c r="N26" s="2"/>
      <c r="O26" s="2"/>
      <c r="P26" s="2"/>
      <c r="Q26" s="2"/>
      <c r="R26" s="2">
        <v>335</v>
      </c>
      <c r="S26" s="2" t="s">
        <v>51</v>
      </c>
      <c r="T26" s="2">
        <f t="shared" si="2"/>
        <v>555</v>
      </c>
    </row>
    <row r="27" spans="1:23" x14ac:dyDescent="0.35">
      <c r="A27" s="17">
        <v>45345</v>
      </c>
      <c r="B27" s="2"/>
      <c r="C27" s="2"/>
      <c r="D27" s="2"/>
      <c r="E27" s="2"/>
      <c r="F27" s="2"/>
      <c r="G27" s="2"/>
      <c r="H27" s="2"/>
      <c r="I27" s="2">
        <v>164</v>
      </c>
      <c r="J27" s="2"/>
      <c r="K27" s="2"/>
      <c r="L27" s="2"/>
      <c r="M27" s="2"/>
      <c r="N27" s="2"/>
      <c r="O27" s="2">
        <v>75</v>
      </c>
      <c r="P27" s="2"/>
      <c r="Q27" s="2"/>
      <c r="R27" s="2">
        <v>269</v>
      </c>
      <c r="S27" s="2" t="s">
        <v>139</v>
      </c>
      <c r="T27" s="2">
        <f t="shared" si="2"/>
        <v>508</v>
      </c>
    </row>
    <row r="28" spans="1:23" x14ac:dyDescent="0.35">
      <c r="A28" s="17">
        <v>45346</v>
      </c>
      <c r="B28" s="2"/>
      <c r="C28" s="2"/>
      <c r="D28" s="2"/>
      <c r="E28" s="2"/>
      <c r="F28" s="2"/>
      <c r="G28" s="2">
        <v>50</v>
      </c>
      <c r="H28" s="2"/>
      <c r="I28" s="2">
        <f>252+64</f>
        <v>316</v>
      </c>
      <c r="J28" s="2"/>
      <c r="K28" s="2"/>
      <c r="L28" s="2">
        <v>48</v>
      </c>
      <c r="M28" s="2"/>
      <c r="N28" s="2"/>
      <c r="O28" s="2"/>
      <c r="P28" s="2"/>
      <c r="Q28" s="2"/>
      <c r="R28" s="2">
        <v>99</v>
      </c>
      <c r="S28" s="2" t="s">
        <v>140</v>
      </c>
      <c r="T28" s="2">
        <f t="shared" si="2"/>
        <v>513</v>
      </c>
    </row>
    <row r="29" spans="1:23" x14ac:dyDescent="0.35">
      <c r="A29" s="17">
        <v>45347</v>
      </c>
      <c r="B29" s="2"/>
      <c r="C29" s="2"/>
      <c r="D29" s="2"/>
      <c r="E29" s="2">
        <v>636</v>
      </c>
      <c r="F29" s="2"/>
      <c r="G29" s="2">
        <v>50</v>
      </c>
      <c r="H29" s="2"/>
      <c r="I29" s="2">
        <v>98</v>
      </c>
      <c r="J29" s="2"/>
      <c r="K29" s="2"/>
      <c r="L29" s="2">
        <v>255.44</v>
      </c>
      <c r="M29" s="2"/>
      <c r="N29" s="2"/>
      <c r="O29" s="2"/>
      <c r="P29" s="2"/>
      <c r="Q29" s="2"/>
      <c r="R29" s="2">
        <v>2728</v>
      </c>
      <c r="S29" s="2" t="s">
        <v>141</v>
      </c>
      <c r="T29" s="2">
        <f t="shared" si="2"/>
        <v>3767.44</v>
      </c>
    </row>
    <row r="30" spans="1:23" x14ac:dyDescent="0.35">
      <c r="A30" s="17">
        <v>45348</v>
      </c>
      <c r="B30" s="2"/>
      <c r="C30" s="2"/>
      <c r="D30" s="2"/>
      <c r="E30" s="2"/>
      <c r="F30" s="2"/>
      <c r="H30" s="2"/>
      <c r="I30" s="2">
        <v>100</v>
      </c>
      <c r="J30" s="2"/>
      <c r="K30" s="2"/>
      <c r="L30" s="2"/>
      <c r="M30" s="2"/>
      <c r="N30" s="2"/>
      <c r="O30" s="2"/>
      <c r="P30" s="2"/>
      <c r="Q30" s="2"/>
      <c r="T30" s="2">
        <f t="shared" si="2"/>
        <v>100</v>
      </c>
    </row>
    <row r="31" spans="1:23" x14ac:dyDescent="0.35">
      <c r="A31" s="17">
        <v>45349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v>388.6</v>
      </c>
      <c r="S31" s="28" t="s">
        <v>142</v>
      </c>
      <c r="T31" s="2">
        <f>SUM(B31:Q31)</f>
        <v>0</v>
      </c>
    </row>
    <row r="32" spans="1:23" x14ac:dyDescent="0.35">
      <c r="A32" s="17">
        <v>45350</v>
      </c>
      <c r="B32" s="2"/>
      <c r="C32" s="2"/>
      <c r="D32" s="2"/>
      <c r="E32" s="2"/>
      <c r="F32" s="2"/>
      <c r="G32" s="2">
        <v>50</v>
      </c>
      <c r="H32" s="2"/>
      <c r="I32" s="2">
        <v>160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f t="shared" si="2"/>
        <v>210</v>
      </c>
    </row>
    <row r="33" spans="1:20" x14ac:dyDescent="0.35">
      <c r="A33" s="17">
        <v>45351</v>
      </c>
      <c r="B33" s="2"/>
      <c r="C33" s="2"/>
      <c r="D33" s="2"/>
      <c r="E33" s="2"/>
      <c r="F33" s="2"/>
      <c r="G33" s="2"/>
      <c r="H33" s="2"/>
      <c r="I33" s="2">
        <v>158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f t="shared" si="2"/>
        <v>158</v>
      </c>
    </row>
    <row r="34" spans="1:20" x14ac:dyDescent="0.35">
      <c r="A34" s="16" t="s">
        <v>29</v>
      </c>
      <c r="B34" s="16">
        <f t="shared" ref="B34:R34" si="3">SUM(B5:B33)</f>
        <v>22000</v>
      </c>
      <c r="C34" s="16">
        <f t="shared" si="3"/>
        <v>51166</v>
      </c>
      <c r="D34" s="16">
        <f t="shared" si="3"/>
        <v>0</v>
      </c>
      <c r="E34" s="16">
        <f t="shared" si="3"/>
        <v>636</v>
      </c>
      <c r="F34" s="16">
        <f t="shared" si="3"/>
        <v>700</v>
      </c>
      <c r="G34" s="16">
        <f t="shared" si="3"/>
        <v>650</v>
      </c>
      <c r="H34" s="16">
        <f t="shared" si="3"/>
        <v>239</v>
      </c>
      <c r="I34" s="16">
        <f t="shared" si="3"/>
        <v>5477</v>
      </c>
      <c r="J34" s="16">
        <f t="shared" si="3"/>
        <v>400</v>
      </c>
      <c r="K34" s="16">
        <f t="shared" si="3"/>
        <v>660</v>
      </c>
      <c r="L34" s="16">
        <f t="shared" si="3"/>
        <v>3064.2000000000003</v>
      </c>
      <c r="M34" s="16">
        <f t="shared" si="3"/>
        <v>10000</v>
      </c>
      <c r="N34" s="16">
        <f t="shared" si="3"/>
        <v>0</v>
      </c>
      <c r="O34" s="16">
        <f t="shared" si="3"/>
        <v>274</v>
      </c>
      <c r="P34" s="16">
        <f t="shared" si="3"/>
        <v>6500</v>
      </c>
      <c r="Q34" s="16">
        <f t="shared" si="3"/>
        <v>8000</v>
      </c>
      <c r="R34" s="16">
        <f t="shared" si="3"/>
        <v>27987.599999999999</v>
      </c>
      <c r="S34" s="16"/>
      <c r="T34" s="2"/>
    </row>
    <row r="36" spans="1:20" x14ac:dyDescent="0.35">
      <c r="A36" s="24" t="s">
        <v>46</v>
      </c>
      <c r="B36" s="2">
        <v>159983</v>
      </c>
    </row>
    <row r="37" spans="1:20" x14ac:dyDescent="0.35">
      <c r="A37" s="24" t="s">
        <v>17</v>
      </c>
      <c r="B37" s="2">
        <f>SUM(B2:R2)-M2</f>
        <v>127430</v>
      </c>
    </row>
    <row r="38" spans="1:20" x14ac:dyDescent="0.35">
      <c r="A38" s="24" t="s">
        <v>47</v>
      </c>
      <c r="B38" s="2">
        <f>SUM(T5:T33)-M34</f>
        <v>127365.20000000001</v>
      </c>
    </row>
    <row r="39" spans="1:20" x14ac:dyDescent="0.35">
      <c r="A39" s="24" t="s">
        <v>18</v>
      </c>
      <c r="B39" s="2">
        <f>B37-B38</f>
        <v>64.799999999988358</v>
      </c>
    </row>
    <row r="40" spans="1:20" x14ac:dyDescent="0.35">
      <c r="A40" s="24" t="s">
        <v>34</v>
      </c>
      <c r="B40" s="2">
        <f>B36-SUM(B34:R34)</f>
        <v>22229.200000000012</v>
      </c>
    </row>
    <row r="41" spans="1:20" x14ac:dyDescent="0.35">
      <c r="A41" s="24" t="s">
        <v>83</v>
      </c>
      <c r="B41" s="2">
        <f>SUM(D34:L34)+SUM(N34:R34)</f>
        <v>54587.8</v>
      </c>
    </row>
    <row r="42" spans="1:20" x14ac:dyDescent="0.35">
      <c r="A42" s="32" t="s">
        <v>162</v>
      </c>
      <c r="B42">
        <f>B36-B41</f>
        <v>105395.2</v>
      </c>
    </row>
  </sheetData>
  <mergeCells count="1">
    <mergeCell ref="V1:W1"/>
  </mergeCells>
  <conditionalFormatting sqref="B4:R4">
    <cfRule type="cellIs" dxfId="32" priority="1" operator="greaterThan">
      <formula>99</formula>
    </cfRule>
    <cfRule type="cellIs" dxfId="31" priority="2" operator="between">
      <formula>51</formula>
      <formula>99</formula>
    </cfRule>
    <cfRule type="cellIs" dxfId="30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5" zoomScaleNormal="85" workbookViewId="0">
      <pane ySplit="1" topLeftCell="A15" activePane="bottomLeft" state="frozen"/>
      <selection activeCell="G40" sqref="G40"/>
      <selection pane="bottomLeft" activeCell="E35" sqref="E35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36.7265625" customWidth="1"/>
    <col min="20" max="20" width="17.453125" customWidth="1"/>
    <col min="22" max="22" width="21.81640625" bestFit="1" customWidth="1"/>
    <col min="23" max="23" width="17.1796875" customWidth="1"/>
  </cols>
  <sheetData>
    <row r="1" spans="1:23" x14ac:dyDescent="0.35">
      <c r="A1" s="31" t="s">
        <v>33</v>
      </c>
      <c r="B1" s="31" t="s">
        <v>2</v>
      </c>
      <c r="C1" s="31" t="s">
        <v>3</v>
      </c>
      <c r="D1" s="31" t="s">
        <v>4</v>
      </c>
      <c r="E1" s="31" t="s">
        <v>5</v>
      </c>
      <c r="F1" s="31" t="s">
        <v>6</v>
      </c>
      <c r="G1" s="31" t="s">
        <v>7</v>
      </c>
      <c r="H1" s="31" t="s">
        <v>8</v>
      </c>
      <c r="I1" s="31" t="s">
        <v>9</v>
      </c>
      <c r="J1" s="31" t="s">
        <v>10</v>
      </c>
      <c r="K1" s="31" t="s">
        <v>11</v>
      </c>
      <c r="L1" s="31" t="s">
        <v>12</v>
      </c>
      <c r="M1" s="31" t="s">
        <v>13</v>
      </c>
      <c r="N1" s="31" t="s">
        <v>16</v>
      </c>
      <c r="O1" s="31" t="s">
        <v>43</v>
      </c>
      <c r="P1" s="31" t="s">
        <v>64</v>
      </c>
      <c r="Q1" s="31" t="s">
        <v>14</v>
      </c>
      <c r="R1" s="31" t="s">
        <v>15</v>
      </c>
      <c r="S1" s="31" t="s">
        <v>35</v>
      </c>
      <c r="T1" s="31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22000</v>
      </c>
      <c r="C2" s="19">
        <v>51166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132430</v>
      </c>
      <c r="V2" s="34" t="s">
        <v>2</v>
      </c>
      <c r="W2" s="35">
        <f>B36</f>
        <v>22000</v>
      </c>
    </row>
    <row r="3" spans="1:23" s="23" customFormat="1" x14ac:dyDescent="0.35">
      <c r="A3" s="19" t="s">
        <v>18</v>
      </c>
      <c r="B3" s="19">
        <f t="shared" ref="B3:R3" si="0">B2-B36</f>
        <v>0</v>
      </c>
      <c r="C3" s="19">
        <f t="shared" si="0"/>
        <v>-2950</v>
      </c>
      <c r="D3" s="19">
        <f t="shared" si="0"/>
        <v>2500</v>
      </c>
      <c r="E3" s="19">
        <f t="shared" si="0"/>
        <v>1179</v>
      </c>
      <c r="F3" s="19">
        <f t="shared" si="0"/>
        <v>400</v>
      </c>
      <c r="G3" s="19">
        <f t="shared" si="0"/>
        <v>650</v>
      </c>
      <c r="H3" s="19">
        <f t="shared" si="0"/>
        <v>500</v>
      </c>
      <c r="I3" s="19">
        <f t="shared" si="0"/>
        <v>-382</v>
      </c>
      <c r="J3" s="19">
        <f t="shared" si="0"/>
        <v>100</v>
      </c>
      <c r="K3" s="19">
        <f t="shared" si="0"/>
        <v>1200</v>
      </c>
      <c r="L3" s="19">
        <f t="shared" si="0"/>
        <v>-441</v>
      </c>
      <c r="M3" s="19">
        <f t="shared" si="0"/>
        <v>0</v>
      </c>
      <c r="N3" s="19">
        <f t="shared" si="0"/>
        <v>1500</v>
      </c>
      <c r="O3" s="19">
        <f t="shared" si="0"/>
        <v>190</v>
      </c>
      <c r="P3" s="19">
        <f t="shared" si="0"/>
        <v>1500</v>
      </c>
      <c r="Q3" s="19">
        <f t="shared" si="0"/>
        <v>-775</v>
      </c>
      <c r="R3" s="19">
        <f t="shared" si="0"/>
        <v>-6567</v>
      </c>
      <c r="S3" s="19"/>
      <c r="T3" s="19">
        <f>SUM(B3:R3)</f>
        <v>-1396</v>
      </c>
      <c r="V3" s="34" t="s">
        <v>3</v>
      </c>
      <c r="W3" s="35">
        <f>C36</f>
        <v>54116</v>
      </c>
    </row>
    <row r="4" spans="1:23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105.76554743384278</v>
      </c>
      <c r="D4" s="19">
        <f t="shared" si="1"/>
        <v>0</v>
      </c>
      <c r="E4" s="19">
        <f t="shared" si="1"/>
        <v>41.05</v>
      </c>
      <c r="F4" s="19">
        <f t="shared" si="1"/>
        <v>63.636363636363633</v>
      </c>
      <c r="G4" s="19">
        <f t="shared" si="1"/>
        <v>35</v>
      </c>
      <c r="H4" s="19">
        <f t="shared" si="1"/>
        <v>0</v>
      </c>
      <c r="I4" s="19">
        <f t="shared" si="1"/>
        <v>105.45714285714286</v>
      </c>
      <c r="J4" s="19">
        <f t="shared" si="1"/>
        <v>80</v>
      </c>
      <c r="K4" s="19">
        <f t="shared" si="1"/>
        <v>0</v>
      </c>
      <c r="L4" s="19">
        <f t="shared" si="1"/>
        <v>122.05</v>
      </c>
      <c r="M4" s="19">
        <f t="shared" si="1"/>
        <v>100</v>
      </c>
      <c r="N4" s="19">
        <f t="shared" si="1"/>
        <v>0</v>
      </c>
      <c r="O4" s="19">
        <f t="shared" si="1"/>
        <v>59.051724137931039</v>
      </c>
      <c r="P4" s="19">
        <f t="shared" si="1"/>
        <v>76.923076923076934</v>
      </c>
      <c r="Q4" s="19">
        <f t="shared" si="1"/>
        <v>109.6875</v>
      </c>
      <c r="R4" s="21">
        <f t="shared" si="1"/>
        <v>132.83499999999998</v>
      </c>
      <c r="S4" s="19"/>
      <c r="T4" s="21">
        <f t="shared" si="1"/>
        <v>101.05414181076794</v>
      </c>
      <c r="V4" s="34" t="s">
        <v>4</v>
      </c>
      <c r="W4" s="35">
        <f>D36</f>
        <v>0</v>
      </c>
    </row>
    <row r="5" spans="1:23" x14ac:dyDescent="0.35">
      <c r="A5" s="17">
        <v>45352</v>
      </c>
      <c r="B5" s="2">
        <v>22000</v>
      </c>
      <c r="C5" s="2"/>
      <c r="D5" s="2"/>
      <c r="E5" s="2"/>
      <c r="F5" s="2">
        <v>700</v>
      </c>
      <c r="G5" s="2">
        <v>50</v>
      </c>
      <c r="H5" s="2"/>
      <c r="I5" s="2">
        <v>43</v>
      </c>
      <c r="J5" s="2"/>
      <c r="K5" s="2"/>
      <c r="L5" s="2"/>
      <c r="M5" s="2"/>
      <c r="N5" s="2"/>
      <c r="O5" s="2"/>
      <c r="P5" s="2">
        <v>5000</v>
      </c>
      <c r="Q5" s="2">
        <v>8000</v>
      </c>
      <c r="R5" s="2"/>
      <c r="S5" s="2"/>
      <c r="T5" s="2">
        <f>SUM(B5:R5)</f>
        <v>35793</v>
      </c>
      <c r="V5" s="34" t="s">
        <v>5</v>
      </c>
      <c r="W5" s="36">
        <f>E36</f>
        <v>821</v>
      </c>
    </row>
    <row r="6" spans="1:23" x14ac:dyDescent="0.35">
      <c r="A6" s="17">
        <v>45353</v>
      </c>
      <c r="B6" s="2"/>
      <c r="C6" s="2"/>
      <c r="D6" s="2"/>
      <c r="E6" s="2"/>
      <c r="F6" s="2"/>
      <c r="G6" s="2"/>
      <c r="H6" s="2"/>
      <c r="I6" s="2">
        <f>630+2961+189</f>
        <v>3780</v>
      </c>
      <c r="J6" s="2"/>
      <c r="K6" s="2"/>
      <c r="L6" s="2">
        <v>418</v>
      </c>
      <c r="M6" s="2">
        <v>5000</v>
      </c>
      <c r="N6" s="2"/>
      <c r="O6" s="2"/>
      <c r="P6" s="2"/>
      <c r="Q6" s="2"/>
      <c r="R6" s="2"/>
      <c r="S6" s="2"/>
      <c r="T6" s="2">
        <f>SUM(B6:R6)</f>
        <v>9198</v>
      </c>
      <c r="V6" s="34" t="s">
        <v>6</v>
      </c>
      <c r="W6" s="36">
        <f>F36</f>
        <v>700</v>
      </c>
    </row>
    <row r="7" spans="1:23" x14ac:dyDescent="0.35">
      <c r="A7" s="17">
        <v>45354</v>
      </c>
      <c r="B7" s="2"/>
      <c r="C7" s="2"/>
      <c r="D7" s="2"/>
      <c r="E7" s="2"/>
      <c r="F7" s="2"/>
      <c r="H7" s="2"/>
      <c r="I7" s="2">
        <v>92</v>
      </c>
      <c r="J7" s="2"/>
      <c r="K7" s="2"/>
      <c r="L7" s="2"/>
      <c r="M7" s="2"/>
      <c r="N7" s="2"/>
      <c r="O7" s="2"/>
      <c r="P7" s="2"/>
      <c r="Q7" s="2"/>
      <c r="R7" s="2">
        <f>150+1063+183</f>
        <v>1396</v>
      </c>
      <c r="S7" s="2" t="s">
        <v>146</v>
      </c>
      <c r="T7" s="2">
        <f t="shared" ref="T7:T35" si="2">SUM(B7:R7)</f>
        <v>1488</v>
      </c>
      <c r="V7" s="34" t="s">
        <v>7</v>
      </c>
      <c r="W7" s="36">
        <f>G36</f>
        <v>350</v>
      </c>
    </row>
    <row r="8" spans="1:23" x14ac:dyDescent="0.35">
      <c r="A8" s="17">
        <v>45355</v>
      </c>
      <c r="B8" s="2"/>
      <c r="D8" s="2"/>
      <c r="E8" s="2"/>
      <c r="F8" s="2"/>
      <c r="G8" s="2">
        <v>50</v>
      </c>
      <c r="H8" s="2"/>
      <c r="I8" s="2"/>
      <c r="J8" s="2">
        <v>400</v>
      </c>
      <c r="K8" s="2"/>
      <c r="L8" s="2"/>
      <c r="M8" s="2"/>
      <c r="N8" s="2"/>
      <c r="O8" s="2"/>
      <c r="P8" s="2"/>
      <c r="Q8" s="2"/>
      <c r="R8" s="2">
        <v>753</v>
      </c>
      <c r="S8" s="15" t="s">
        <v>147</v>
      </c>
      <c r="T8" s="2">
        <f t="shared" si="2"/>
        <v>1203</v>
      </c>
      <c r="V8" s="34" t="s">
        <v>8</v>
      </c>
      <c r="W8" s="36">
        <f>H36</f>
        <v>0</v>
      </c>
    </row>
    <row r="9" spans="1:23" x14ac:dyDescent="0.35">
      <c r="A9" s="17">
        <v>45356</v>
      </c>
      <c r="B9" s="2"/>
      <c r="C9" s="2">
        <v>51166</v>
      </c>
      <c r="D9" s="2"/>
      <c r="E9" s="2"/>
      <c r="F9" s="2"/>
      <c r="G9" s="2"/>
      <c r="H9" s="2"/>
      <c r="I9" s="2">
        <v>94</v>
      </c>
      <c r="J9" s="2"/>
      <c r="K9" s="2"/>
      <c r="L9" s="2"/>
      <c r="M9" s="2"/>
      <c r="N9" s="2"/>
      <c r="O9" s="2"/>
      <c r="P9" s="2"/>
      <c r="Q9" s="2"/>
      <c r="R9" s="2">
        <v>6500</v>
      </c>
      <c r="S9" s="2" t="s">
        <v>85</v>
      </c>
      <c r="T9" s="2">
        <f t="shared" si="2"/>
        <v>57760</v>
      </c>
      <c r="V9" s="34" t="s">
        <v>9</v>
      </c>
      <c r="W9" s="36">
        <f>I36</f>
        <v>7382</v>
      </c>
    </row>
    <row r="10" spans="1:23" x14ac:dyDescent="0.35">
      <c r="A10" s="17">
        <v>45357</v>
      </c>
      <c r="B10" s="2"/>
      <c r="C10" s="2"/>
      <c r="D10" s="2"/>
      <c r="E10" s="2"/>
      <c r="F10" s="2"/>
      <c r="G10" s="2">
        <v>50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199</v>
      </c>
      <c r="S10" s="2" t="s">
        <v>86</v>
      </c>
      <c r="T10" s="2">
        <f t="shared" si="2"/>
        <v>249</v>
      </c>
      <c r="V10" s="34" t="s">
        <v>10</v>
      </c>
      <c r="W10" s="36">
        <f>J36</f>
        <v>400</v>
      </c>
    </row>
    <row r="11" spans="1:23" x14ac:dyDescent="0.35">
      <c r="A11" s="17">
        <v>45358</v>
      </c>
      <c r="B11" s="2"/>
      <c r="C11" s="2"/>
      <c r="D11" s="2"/>
      <c r="E11" s="2"/>
      <c r="F11" s="2"/>
      <c r="G11" s="2"/>
      <c r="H11" s="2"/>
      <c r="I11" s="2">
        <v>700</v>
      </c>
      <c r="J11" s="2"/>
      <c r="K11" s="2"/>
      <c r="L11" s="2">
        <v>257</v>
      </c>
      <c r="M11" s="2"/>
      <c r="N11" s="2"/>
      <c r="O11" s="2"/>
      <c r="P11" s="2"/>
      <c r="Q11" s="2"/>
      <c r="R11" s="2">
        <v>860</v>
      </c>
      <c r="S11" s="15" t="s">
        <v>148</v>
      </c>
      <c r="T11" s="2">
        <f t="shared" si="2"/>
        <v>1817</v>
      </c>
      <c r="V11" s="34" t="s">
        <v>11</v>
      </c>
      <c r="W11" s="36">
        <f>K36</f>
        <v>0</v>
      </c>
    </row>
    <row r="12" spans="1:23" x14ac:dyDescent="0.35">
      <c r="A12" s="17">
        <v>45359</v>
      </c>
      <c r="B12" s="2"/>
      <c r="C12" s="2"/>
      <c r="D12" s="2"/>
      <c r="E12" s="2"/>
      <c r="F12" s="2"/>
      <c r="G12" s="2">
        <v>50</v>
      </c>
      <c r="H12" s="2"/>
      <c r="I12" s="2"/>
      <c r="J12" s="2"/>
      <c r="K12" s="2"/>
      <c r="L12" s="2">
        <v>130</v>
      </c>
      <c r="M12" s="2"/>
      <c r="N12" s="2"/>
      <c r="O12" s="2"/>
      <c r="P12" s="2"/>
      <c r="Q12" s="2"/>
      <c r="R12" s="2">
        <f>365+50+30</f>
        <v>445</v>
      </c>
      <c r="S12" s="2" t="s">
        <v>149</v>
      </c>
      <c r="T12" s="2">
        <f t="shared" si="2"/>
        <v>625</v>
      </c>
      <c r="V12" s="34" t="s">
        <v>12</v>
      </c>
      <c r="W12" s="36">
        <f>L36</f>
        <v>2441</v>
      </c>
    </row>
    <row r="13" spans="1:23" x14ac:dyDescent="0.35">
      <c r="A13" s="17">
        <v>45360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>
        <v>710</v>
      </c>
      <c r="S13" s="2" t="s">
        <v>150</v>
      </c>
      <c r="T13" s="2">
        <f t="shared" si="2"/>
        <v>710</v>
      </c>
      <c r="V13" s="34" t="s">
        <v>13</v>
      </c>
      <c r="W13" s="36">
        <f>M36</f>
        <v>5000</v>
      </c>
    </row>
    <row r="14" spans="1:23" x14ac:dyDescent="0.35">
      <c r="A14" s="17">
        <v>45361</v>
      </c>
      <c r="B14" s="2"/>
      <c r="C14" s="2"/>
      <c r="D14" s="2"/>
      <c r="E14" s="2"/>
      <c r="F14" s="2"/>
      <c r="G14" s="2"/>
      <c r="H14" s="2"/>
      <c r="I14">
        <f>88+50</f>
        <v>138</v>
      </c>
      <c r="J14" s="2"/>
      <c r="K14" s="2"/>
      <c r="L14" s="2">
        <v>135</v>
      </c>
      <c r="M14" s="2"/>
      <c r="N14" s="2"/>
      <c r="O14" s="2"/>
      <c r="P14" s="2"/>
      <c r="Q14" s="2"/>
      <c r="R14" s="2">
        <v>240</v>
      </c>
      <c r="S14" s="2" t="s">
        <v>151</v>
      </c>
      <c r="T14" s="2">
        <f>SUM(B14:R14)</f>
        <v>513</v>
      </c>
      <c r="V14" s="34" t="s">
        <v>16</v>
      </c>
      <c r="W14" s="36">
        <f>N36</f>
        <v>0</v>
      </c>
    </row>
    <row r="15" spans="1:23" x14ac:dyDescent="0.35">
      <c r="A15" s="17">
        <v>45362</v>
      </c>
      <c r="B15" s="2"/>
      <c r="C15" s="2"/>
      <c r="D15" s="2"/>
      <c r="E15" s="2"/>
      <c r="F15" s="2"/>
      <c r="G15" s="2"/>
      <c r="H15" s="2"/>
      <c r="I15" s="2">
        <f>80+150</f>
        <v>230</v>
      </c>
      <c r="J15" s="2"/>
      <c r="K15" s="2"/>
      <c r="L15" s="2">
        <v>90</v>
      </c>
      <c r="M15" s="2"/>
      <c r="N15" s="2"/>
      <c r="O15" s="2">
        <v>199</v>
      </c>
      <c r="P15" s="2"/>
      <c r="Q15" s="2"/>
      <c r="R15" s="30"/>
      <c r="S15" s="27"/>
      <c r="T15" s="2">
        <f t="shared" si="2"/>
        <v>519</v>
      </c>
      <c r="V15" s="34" t="s">
        <v>43</v>
      </c>
      <c r="W15" s="36">
        <f>O36</f>
        <v>274</v>
      </c>
    </row>
    <row r="16" spans="1:23" x14ac:dyDescent="0.35">
      <c r="A16" s="17">
        <v>45363</v>
      </c>
      <c r="B16" s="2"/>
      <c r="C16" s="2"/>
      <c r="D16" s="2"/>
      <c r="E16" s="2"/>
      <c r="F16" s="2"/>
      <c r="G16" s="2"/>
      <c r="H16" s="2"/>
      <c r="I16" s="2">
        <v>50</v>
      </c>
      <c r="J16" s="2"/>
      <c r="K16" s="2"/>
      <c r="L16" s="2"/>
      <c r="M16" s="2"/>
      <c r="N16" s="2"/>
      <c r="O16" s="2"/>
      <c r="P16" s="2"/>
      <c r="Q16" s="2"/>
      <c r="R16" s="2">
        <f>310+4500+20+15-700</f>
        <v>4145</v>
      </c>
      <c r="S16" s="15" t="s">
        <v>152</v>
      </c>
      <c r="T16" s="2">
        <f>SUM(B16:Q16)</f>
        <v>50</v>
      </c>
      <c r="V16" s="34" t="s">
        <v>64</v>
      </c>
      <c r="W16" s="36">
        <f>P36</f>
        <v>5000</v>
      </c>
    </row>
    <row r="17" spans="1:23" x14ac:dyDescent="0.35">
      <c r="A17" s="17">
        <v>45364</v>
      </c>
      <c r="B17" s="2"/>
      <c r="C17" s="2"/>
      <c r="D17" s="2"/>
      <c r="E17" s="2"/>
      <c r="F17" s="2"/>
      <c r="G17" s="2"/>
      <c r="H17" s="2"/>
      <c r="I17" s="2">
        <v>274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2"/>
        <v>274</v>
      </c>
      <c r="V17" s="34" t="s">
        <v>14</v>
      </c>
      <c r="W17" s="36">
        <f>Q36</f>
        <v>8775</v>
      </c>
    </row>
    <row r="18" spans="1:23" x14ac:dyDescent="0.35">
      <c r="A18" s="17">
        <v>45365</v>
      </c>
      <c r="B18" s="2"/>
      <c r="C18" s="2"/>
      <c r="D18" s="2"/>
      <c r="E18" s="2"/>
      <c r="F18" s="2"/>
      <c r="G18" s="2"/>
      <c r="H18" s="2"/>
      <c r="I18" s="2">
        <f>100+265</f>
        <v>365</v>
      </c>
      <c r="J18" s="2"/>
      <c r="K18" s="2"/>
      <c r="L18" s="2"/>
      <c r="M18" s="2"/>
      <c r="N18" s="2"/>
      <c r="O18" s="2"/>
      <c r="P18" s="2"/>
      <c r="Q18" s="2"/>
      <c r="R18" s="2">
        <v>20</v>
      </c>
      <c r="S18" s="2" t="s">
        <v>63</v>
      </c>
      <c r="T18" s="2">
        <f t="shared" si="2"/>
        <v>385</v>
      </c>
      <c r="V18" s="34" t="s">
        <v>15</v>
      </c>
      <c r="W18" s="36">
        <f>R36</f>
        <v>26567</v>
      </c>
    </row>
    <row r="19" spans="1:23" x14ac:dyDescent="0.35">
      <c r="A19" s="17">
        <v>45366</v>
      </c>
      <c r="B19" s="2"/>
      <c r="C19" s="2">
        <v>2950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f>297+15+239</f>
        <v>551</v>
      </c>
      <c r="S19" s="15" t="s">
        <v>153</v>
      </c>
      <c r="T19" s="2">
        <f t="shared" si="2"/>
        <v>3501</v>
      </c>
    </row>
    <row r="20" spans="1:23" x14ac:dyDescent="0.35">
      <c r="A20" s="17">
        <v>45367</v>
      </c>
      <c r="B20" s="2"/>
      <c r="C20" s="2"/>
      <c r="D20" s="2"/>
      <c r="E20" s="2"/>
      <c r="F20" s="2"/>
      <c r="G20" s="2"/>
      <c r="H20" s="2"/>
      <c r="I20" s="2">
        <f>200+160</f>
        <v>360</v>
      </c>
      <c r="J20" s="2"/>
      <c r="K20" s="2"/>
      <c r="L20" s="2"/>
      <c r="M20" s="2"/>
      <c r="N20" s="2"/>
      <c r="O20" s="2"/>
      <c r="P20" s="2"/>
      <c r="Q20" s="2"/>
      <c r="R20" s="2">
        <f>239+25</f>
        <v>264</v>
      </c>
      <c r="S20" s="2" t="s">
        <v>154</v>
      </c>
      <c r="T20" s="2">
        <f t="shared" si="2"/>
        <v>624</v>
      </c>
    </row>
    <row r="21" spans="1:23" x14ac:dyDescent="0.35">
      <c r="A21" s="17">
        <v>45368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>
        <v>30</v>
      </c>
      <c r="M21" s="2"/>
      <c r="N21" s="2"/>
      <c r="O21" s="2"/>
      <c r="P21" s="2"/>
      <c r="Q21" s="2"/>
      <c r="R21" s="2">
        <v>330</v>
      </c>
      <c r="S21" s="2" t="s">
        <v>155</v>
      </c>
      <c r="T21" s="2">
        <f t="shared" si="2"/>
        <v>360</v>
      </c>
    </row>
    <row r="22" spans="1:23" x14ac:dyDescent="0.35">
      <c r="A22" s="17">
        <v>45369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f>234+86</f>
        <v>320</v>
      </c>
      <c r="S22" s="15" t="s">
        <v>156</v>
      </c>
      <c r="T22" s="2">
        <f t="shared" si="2"/>
        <v>320</v>
      </c>
    </row>
    <row r="23" spans="1:23" x14ac:dyDescent="0.35">
      <c r="A23" s="17">
        <v>45370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v>22</v>
      </c>
      <c r="M23" s="2"/>
      <c r="N23" s="2"/>
      <c r="O23" s="2"/>
      <c r="P23" s="2"/>
      <c r="Q23" s="2"/>
      <c r="R23" s="2"/>
      <c r="S23" s="2"/>
      <c r="T23" s="2">
        <f t="shared" si="2"/>
        <v>22</v>
      </c>
    </row>
    <row r="24" spans="1:23" x14ac:dyDescent="0.35">
      <c r="A24" s="17">
        <v>45371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f>250+25</f>
        <v>275</v>
      </c>
      <c r="S24" s="2" t="s">
        <v>51</v>
      </c>
      <c r="T24" s="2">
        <f t="shared" si="2"/>
        <v>275</v>
      </c>
    </row>
    <row r="25" spans="1:23" x14ac:dyDescent="0.35">
      <c r="A25" s="17">
        <v>45372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f>484+600</f>
        <v>1084</v>
      </c>
      <c r="S25" s="2" t="s">
        <v>157</v>
      </c>
      <c r="T25" s="2">
        <f t="shared" si="2"/>
        <v>1084</v>
      </c>
    </row>
    <row r="26" spans="1:23" x14ac:dyDescent="0.35">
      <c r="A26" s="17">
        <v>45373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f>454+321</f>
        <v>775</v>
      </c>
      <c r="R26" s="2"/>
      <c r="S26" s="2"/>
      <c r="T26" s="2">
        <f t="shared" si="2"/>
        <v>775</v>
      </c>
    </row>
    <row r="27" spans="1:23" x14ac:dyDescent="0.35">
      <c r="A27" s="17">
        <v>45374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f>413+280</f>
        <v>693</v>
      </c>
      <c r="M27" s="2"/>
      <c r="N27" s="2"/>
      <c r="O27" s="2">
        <v>75</v>
      </c>
      <c r="P27" s="2"/>
      <c r="Q27" s="2"/>
      <c r="R27" s="2">
        <f>1250+150+472+102</f>
        <v>1974</v>
      </c>
      <c r="S27" s="2" t="s">
        <v>158</v>
      </c>
      <c r="T27" s="2">
        <f t="shared" si="2"/>
        <v>2742</v>
      </c>
    </row>
    <row r="28" spans="1:23" x14ac:dyDescent="0.35">
      <c r="A28" s="17">
        <v>45375</v>
      </c>
      <c r="B28" s="2"/>
      <c r="C28" s="2"/>
      <c r="D28" s="2"/>
      <c r="E28" s="2"/>
      <c r="F28" s="2"/>
      <c r="G28" s="2"/>
      <c r="H28" s="2"/>
      <c r="I28" s="2">
        <f>289+109+30+44</f>
        <v>472</v>
      </c>
      <c r="J28" s="2"/>
      <c r="K28" s="2"/>
      <c r="L28" s="2">
        <f>168+70+90</f>
        <v>328</v>
      </c>
      <c r="M28" s="2"/>
      <c r="N28" s="2"/>
      <c r="O28" s="2"/>
      <c r="P28" s="2"/>
      <c r="Q28" s="2"/>
      <c r="R28" s="2">
        <v>549</v>
      </c>
      <c r="S28" s="2" t="s">
        <v>159</v>
      </c>
      <c r="T28" s="2">
        <f t="shared" si="2"/>
        <v>1349</v>
      </c>
    </row>
    <row r="29" spans="1:23" x14ac:dyDescent="0.35">
      <c r="A29" s="17">
        <v>45376</v>
      </c>
      <c r="B29" s="2"/>
      <c r="C29" s="2"/>
      <c r="D29" s="2"/>
      <c r="E29" s="2"/>
      <c r="F29" s="2"/>
      <c r="G29" s="2">
        <v>50</v>
      </c>
      <c r="H29" s="2"/>
      <c r="I29" s="2">
        <f>135+94</f>
        <v>229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 t="shared" si="2"/>
        <v>279</v>
      </c>
    </row>
    <row r="30" spans="1:23" x14ac:dyDescent="0.35">
      <c r="A30" s="17">
        <v>45377</v>
      </c>
      <c r="B30" s="2"/>
      <c r="C30" s="2"/>
      <c r="D30" s="2"/>
      <c r="E30" s="2"/>
      <c r="F30" s="2"/>
      <c r="H30" s="2"/>
      <c r="I30" s="2"/>
      <c r="J30" s="2"/>
      <c r="K30" s="2"/>
      <c r="L30" s="2"/>
      <c r="M30" s="2"/>
      <c r="N30" s="2"/>
      <c r="O30" s="2"/>
      <c r="P30" s="2"/>
      <c r="Q30" s="2"/>
      <c r="R30">
        <v>500</v>
      </c>
      <c r="S30" s="30" t="s">
        <v>51</v>
      </c>
      <c r="T30" s="2">
        <f t="shared" si="2"/>
        <v>500</v>
      </c>
    </row>
    <row r="31" spans="1:23" ht="15" customHeight="1" x14ac:dyDescent="0.35">
      <c r="A31" s="17">
        <v>45378</v>
      </c>
      <c r="B31" s="2"/>
      <c r="C31" s="2"/>
      <c r="D31" s="2"/>
      <c r="E31" s="2"/>
      <c r="F31" s="2"/>
      <c r="G31" s="2">
        <v>50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f>5000+250</f>
        <v>5250</v>
      </c>
      <c r="S31" s="28" t="s">
        <v>160</v>
      </c>
      <c r="T31" s="2">
        <f>SUM(B31:Q31)</f>
        <v>50</v>
      </c>
    </row>
    <row r="32" spans="1:23" ht="15" customHeight="1" x14ac:dyDescent="0.35">
      <c r="A32" s="17">
        <v>45379</v>
      </c>
      <c r="B32" s="2"/>
      <c r="C32" s="2"/>
      <c r="D32" s="2"/>
      <c r="E32" s="2"/>
      <c r="F32" s="2"/>
      <c r="G32" s="2"/>
      <c r="H32" s="2"/>
      <c r="I32" s="2">
        <v>121</v>
      </c>
      <c r="J32" s="2"/>
      <c r="K32" s="2"/>
      <c r="L32" s="2"/>
      <c r="M32" s="2"/>
      <c r="N32" s="2"/>
      <c r="O32" s="2"/>
      <c r="P32" s="2"/>
      <c r="Q32" s="2"/>
      <c r="R32" s="2"/>
      <c r="S32" s="28"/>
      <c r="T32" s="2"/>
    </row>
    <row r="33" spans="1:20" ht="15" customHeight="1" x14ac:dyDescent="0.35">
      <c r="A33" s="17">
        <v>45380</v>
      </c>
      <c r="B33" s="2"/>
      <c r="C33" s="2"/>
      <c r="D33" s="2"/>
      <c r="E33" s="2"/>
      <c r="F33" s="2"/>
      <c r="G33" s="2">
        <v>50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8"/>
      <c r="T33" s="2"/>
    </row>
    <row r="34" spans="1:20" x14ac:dyDescent="0.35">
      <c r="A34" s="17">
        <v>45381</v>
      </c>
      <c r="B34" s="2"/>
      <c r="C34" s="2"/>
      <c r="D34" s="2"/>
      <c r="E34" s="2">
        <v>821</v>
      </c>
      <c r="F34" s="2"/>
      <c r="G34" s="2"/>
      <c r="H34" s="2"/>
      <c r="I34" s="2">
        <v>30</v>
      </c>
      <c r="J34" s="2"/>
      <c r="K34" s="2"/>
      <c r="L34" s="2">
        <f>100+190</f>
        <v>290</v>
      </c>
      <c r="M34" s="2"/>
      <c r="N34" s="2"/>
      <c r="O34" s="2"/>
      <c r="P34" s="2"/>
      <c r="Q34" s="2"/>
      <c r="R34" s="2"/>
      <c r="S34" s="2"/>
      <c r="T34" s="2">
        <f t="shared" si="2"/>
        <v>1141</v>
      </c>
    </row>
    <row r="35" spans="1:20" x14ac:dyDescent="0.35">
      <c r="A35" s="17">
        <v>45382</v>
      </c>
      <c r="B35" s="2"/>
      <c r="C35" s="2"/>
      <c r="D35" s="2"/>
      <c r="E35" s="2"/>
      <c r="F35" s="2"/>
      <c r="G35" s="2"/>
      <c r="H35" s="2"/>
      <c r="I35" s="2">
        <f>100+304</f>
        <v>404</v>
      </c>
      <c r="J35" s="2"/>
      <c r="K35" s="2"/>
      <c r="L35" s="2">
        <v>48</v>
      </c>
      <c r="M35" s="2"/>
      <c r="N35" s="2"/>
      <c r="O35" s="2"/>
      <c r="P35" s="2"/>
      <c r="Q35" s="2"/>
      <c r="R35" s="2">
        <v>202</v>
      </c>
      <c r="S35" s="2" t="s">
        <v>161</v>
      </c>
      <c r="T35" s="2">
        <f t="shared" si="2"/>
        <v>654</v>
      </c>
    </row>
    <row r="36" spans="1:20" x14ac:dyDescent="0.35">
      <c r="A36" s="16" t="s">
        <v>29</v>
      </c>
      <c r="B36" s="16">
        <f t="shared" ref="B36:R36" si="3">SUM(B5:B35)</f>
        <v>22000</v>
      </c>
      <c r="C36" s="16">
        <f t="shared" si="3"/>
        <v>54116</v>
      </c>
      <c r="D36" s="16">
        <f t="shared" si="3"/>
        <v>0</v>
      </c>
      <c r="E36" s="16">
        <f t="shared" si="3"/>
        <v>821</v>
      </c>
      <c r="F36" s="16">
        <f t="shared" si="3"/>
        <v>700</v>
      </c>
      <c r="G36" s="16">
        <f t="shared" si="3"/>
        <v>350</v>
      </c>
      <c r="H36" s="16">
        <f t="shared" si="3"/>
        <v>0</v>
      </c>
      <c r="I36" s="16">
        <f t="shared" si="3"/>
        <v>7382</v>
      </c>
      <c r="J36" s="16">
        <f t="shared" si="3"/>
        <v>400</v>
      </c>
      <c r="K36" s="16">
        <f t="shared" si="3"/>
        <v>0</v>
      </c>
      <c r="L36" s="16">
        <f t="shared" si="3"/>
        <v>2441</v>
      </c>
      <c r="M36" s="16">
        <f t="shared" si="3"/>
        <v>5000</v>
      </c>
      <c r="N36" s="16">
        <f t="shared" si="3"/>
        <v>0</v>
      </c>
      <c r="O36" s="16">
        <f t="shared" si="3"/>
        <v>274</v>
      </c>
      <c r="P36" s="16">
        <f t="shared" si="3"/>
        <v>5000</v>
      </c>
      <c r="Q36" s="16">
        <f t="shared" si="3"/>
        <v>8775</v>
      </c>
      <c r="R36" s="16">
        <f t="shared" si="3"/>
        <v>26567</v>
      </c>
      <c r="S36" s="16"/>
      <c r="T36" s="2"/>
    </row>
    <row r="38" spans="1:20" x14ac:dyDescent="0.35">
      <c r="A38" s="24" t="s">
        <v>46</v>
      </c>
      <c r="B38" s="2">
        <v>144134</v>
      </c>
    </row>
    <row r="39" spans="1:20" x14ac:dyDescent="0.35">
      <c r="A39" s="24" t="s">
        <v>17</v>
      </c>
      <c r="B39" s="2">
        <f>SUM(B2:R2)-M2</f>
        <v>127430</v>
      </c>
    </row>
    <row r="40" spans="1:20" x14ac:dyDescent="0.35">
      <c r="A40" s="24" t="s">
        <v>47</v>
      </c>
      <c r="B40" s="2">
        <f>SUM(T5:T35)-M36</f>
        <v>119260</v>
      </c>
    </row>
    <row r="41" spans="1:20" x14ac:dyDescent="0.35">
      <c r="A41" s="24" t="s">
        <v>18</v>
      </c>
      <c r="B41" s="2">
        <f>B39-B40</f>
        <v>8170</v>
      </c>
    </row>
    <row r="42" spans="1:20" x14ac:dyDescent="0.35">
      <c r="A42" s="24" t="s">
        <v>34</v>
      </c>
      <c r="B42" s="2">
        <f>B38-SUM(B36:R36)</f>
        <v>10308</v>
      </c>
    </row>
    <row r="43" spans="1:20" x14ac:dyDescent="0.35">
      <c r="A43" s="24" t="s">
        <v>83</v>
      </c>
      <c r="B43" s="2">
        <f>SUM(D36:L36)+SUM(N36:R36)</f>
        <v>52710</v>
      </c>
    </row>
    <row r="44" spans="1:20" x14ac:dyDescent="0.35">
      <c r="A44" s="32" t="s">
        <v>162</v>
      </c>
      <c r="B44">
        <f>B38-B43</f>
        <v>91424</v>
      </c>
    </row>
  </sheetData>
  <mergeCells count="1">
    <mergeCell ref="V1:W1"/>
  </mergeCells>
  <conditionalFormatting sqref="B4:R4">
    <cfRule type="cellIs" dxfId="29" priority="1" operator="greaterThan">
      <formula>99</formula>
    </cfRule>
    <cfRule type="cellIs" dxfId="28" priority="2" operator="between">
      <formula>51</formula>
      <formula>99</formula>
    </cfRule>
    <cfRule type="cellIs" dxfId="27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80" zoomScaleNormal="80" workbookViewId="0">
      <pane ySplit="1" topLeftCell="A2" activePane="bottomLeft" state="frozen"/>
      <selection pane="bottomLeft" activeCell="E34" sqref="E34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36.7265625" customWidth="1"/>
    <col min="20" max="20" width="17.453125" customWidth="1"/>
    <col min="22" max="22" width="21.81640625" bestFit="1" customWidth="1"/>
    <col min="23" max="23" width="12.1796875" customWidth="1"/>
  </cols>
  <sheetData>
    <row r="1" spans="1:23" x14ac:dyDescent="0.35">
      <c r="A1" s="33" t="s">
        <v>33</v>
      </c>
      <c r="B1" s="33" t="s">
        <v>2</v>
      </c>
      <c r="C1" s="33" t="s">
        <v>3</v>
      </c>
      <c r="D1" s="33" t="s">
        <v>4</v>
      </c>
      <c r="E1" s="33" t="s">
        <v>5</v>
      </c>
      <c r="F1" s="33" t="s">
        <v>6</v>
      </c>
      <c r="G1" s="33" t="s">
        <v>7</v>
      </c>
      <c r="H1" s="33" t="s">
        <v>8</v>
      </c>
      <c r="I1" s="33" t="s">
        <v>9</v>
      </c>
      <c r="J1" s="33" t="s">
        <v>10</v>
      </c>
      <c r="K1" s="33" t="s">
        <v>11</v>
      </c>
      <c r="L1" s="33" t="s">
        <v>12</v>
      </c>
      <c r="M1" s="33" t="s">
        <v>13</v>
      </c>
      <c r="N1" s="33" t="s">
        <v>16</v>
      </c>
      <c r="O1" s="33" t="s">
        <v>43</v>
      </c>
      <c r="P1" s="33" t="s">
        <v>64</v>
      </c>
      <c r="Q1" s="33" t="s">
        <v>14</v>
      </c>
      <c r="R1" s="33" t="s">
        <v>15</v>
      </c>
      <c r="S1" s="33" t="s">
        <v>35</v>
      </c>
      <c r="T1" s="33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22000</v>
      </c>
      <c r="C2" s="19">
        <v>51166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132430</v>
      </c>
      <c r="V2" s="34" t="s">
        <v>2</v>
      </c>
      <c r="W2" s="35">
        <f>B35</f>
        <v>21000</v>
      </c>
    </row>
    <row r="3" spans="1:23" s="23" customFormat="1" x14ac:dyDescent="0.35">
      <c r="A3" s="19" t="s">
        <v>18</v>
      </c>
      <c r="B3" s="19">
        <f t="shared" ref="B3:R3" si="0">B2-B35</f>
        <v>1000</v>
      </c>
      <c r="C3" s="19">
        <f t="shared" si="0"/>
        <v>0</v>
      </c>
      <c r="D3" s="19">
        <f t="shared" si="0"/>
        <v>2500</v>
      </c>
      <c r="E3" s="19">
        <f t="shared" si="0"/>
        <v>1179</v>
      </c>
      <c r="F3" s="19">
        <f t="shared" si="0"/>
        <v>645</v>
      </c>
      <c r="G3" s="19">
        <f t="shared" si="0"/>
        <v>520</v>
      </c>
      <c r="H3" s="19">
        <f t="shared" si="0"/>
        <v>16</v>
      </c>
      <c r="I3" s="19">
        <f t="shared" si="0"/>
        <v>2464</v>
      </c>
      <c r="J3" s="19">
        <f t="shared" si="0"/>
        <v>500</v>
      </c>
      <c r="K3" s="19">
        <f t="shared" si="0"/>
        <v>371</v>
      </c>
      <c r="L3" s="19">
        <f t="shared" si="0"/>
        <v>589</v>
      </c>
      <c r="M3" s="19">
        <f t="shared" si="0"/>
        <v>-15867</v>
      </c>
      <c r="N3" s="19">
        <f t="shared" si="0"/>
        <v>1500</v>
      </c>
      <c r="O3" s="19">
        <f t="shared" si="0"/>
        <v>265</v>
      </c>
      <c r="P3" s="19">
        <f t="shared" si="0"/>
        <v>-1000</v>
      </c>
      <c r="Q3" s="19">
        <f t="shared" si="0"/>
        <v>0</v>
      </c>
      <c r="R3" s="19">
        <f t="shared" si="0"/>
        <v>6363</v>
      </c>
      <c r="S3" s="19"/>
      <c r="T3" s="19">
        <f>SUM(B3:R3)</f>
        <v>1045</v>
      </c>
      <c r="V3" s="34" t="s">
        <v>3</v>
      </c>
      <c r="W3" s="35">
        <f>C35</f>
        <v>51166</v>
      </c>
    </row>
    <row r="4" spans="1:23" s="23" customFormat="1" x14ac:dyDescent="0.35">
      <c r="A4" s="19" t="s">
        <v>44</v>
      </c>
      <c r="B4" s="19">
        <f>((B2-B3)/B2)*100</f>
        <v>95.454545454545453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41.05</v>
      </c>
      <c r="F4" s="19">
        <f t="shared" si="1"/>
        <v>41.363636363636367</v>
      </c>
      <c r="G4" s="19">
        <f t="shared" si="1"/>
        <v>48</v>
      </c>
      <c r="H4" s="19">
        <f t="shared" si="1"/>
        <v>96.8</v>
      </c>
      <c r="I4" s="19">
        <f t="shared" si="1"/>
        <v>64.8</v>
      </c>
      <c r="J4" s="19">
        <f t="shared" si="1"/>
        <v>0</v>
      </c>
      <c r="K4" s="19">
        <f t="shared" si="1"/>
        <v>69.083333333333329</v>
      </c>
      <c r="L4" s="19">
        <f t="shared" si="1"/>
        <v>70.55</v>
      </c>
      <c r="M4" s="19">
        <f t="shared" si="1"/>
        <v>417.34</v>
      </c>
      <c r="N4" s="19">
        <f t="shared" si="1"/>
        <v>0</v>
      </c>
      <c r="O4" s="19">
        <f t="shared" si="1"/>
        <v>42.887931034482754</v>
      </c>
      <c r="P4" s="19">
        <f t="shared" si="1"/>
        <v>115.38461538461537</v>
      </c>
      <c r="Q4" s="19">
        <f t="shared" si="1"/>
        <v>100</v>
      </c>
      <c r="R4" s="21">
        <f t="shared" si="1"/>
        <v>68.185000000000002</v>
      </c>
      <c r="S4" s="19"/>
      <c r="T4" s="21">
        <f t="shared" si="1"/>
        <v>99.210903873744613</v>
      </c>
      <c r="V4" s="34" t="s">
        <v>4</v>
      </c>
      <c r="W4" s="35">
        <f>D35</f>
        <v>0</v>
      </c>
    </row>
    <row r="5" spans="1:23" x14ac:dyDescent="0.35">
      <c r="A5" s="17">
        <v>45383</v>
      </c>
      <c r="B5" s="2">
        <v>21000</v>
      </c>
      <c r="C5" s="2"/>
      <c r="D5" s="2"/>
      <c r="E5" s="2"/>
      <c r="F5" s="2"/>
      <c r="G5" s="2"/>
      <c r="H5" s="2"/>
      <c r="I5" s="2">
        <v>20</v>
      </c>
      <c r="J5" s="2"/>
      <c r="K5" s="2"/>
      <c r="L5" s="2"/>
      <c r="M5" s="2"/>
      <c r="N5" s="2"/>
      <c r="O5" s="2"/>
      <c r="P5" s="2"/>
      <c r="Q5" s="2"/>
      <c r="R5" s="2"/>
      <c r="S5" s="2"/>
      <c r="T5" s="2">
        <f>SUM(B5:R5)</f>
        <v>21020</v>
      </c>
      <c r="V5" s="34" t="s">
        <v>5</v>
      </c>
      <c r="W5" s="36">
        <f>E35</f>
        <v>821</v>
      </c>
    </row>
    <row r="6" spans="1:23" x14ac:dyDescent="0.35">
      <c r="A6" s="17">
        <v>45384</v>
      </c>
      <c r="B6" s="2"/>
      <c r="C6" s="2"/>
      <c r="D6" s="2"/>
      <c r="E6" s="2"/>
      <c r="F6" s="2"/>
      <c r="G6" s="2">
        <v>50</v>
      </c>
      <c r="H6" s="2"/>
      <c r="I6" s="2">
        <v>45</v>
      </c>
      <c r="J6" s="2"/>
      <c r="K6" s="2">
        <v>829</v>
      </c>
      <c r="L6" s="2"/>
      <c r="M6" s="2">
        <f>15867+5000</f>
        <v>20867</v>
      </c>
      <c r="N6" s="2"/>
      <c r="O6" s="2"/>
      <c r="P6" s="2"/>
      <c r="Q6" s="2">
        <v>8000</v>
      </c>
      <c r="R6" s="2"/>
      <c r="S6" s="2" t="s">
        <v>175</v>
      </c>
      <c r="T6" s="2">
        <f>SUM(B6:R6)</f>
        <v>29791</v>
      </c>
      <c r="V6" s="34" t="s">
        <v>6</v>
      </c>
      <c r="W6" s="36">
        <f>F35</f>
        <v>455</v>
      </c>
    </row>
    <row r="7" spans="1:23" x14ac:dyDescent="0.35">
      <c r="A7" s="17">
        <v>45385</v>
      </c>
      <c r="B7" s="2"/>
      <c r="C7" s="2"/>
      <c r="D7" s="2"/>
      <c r="E7" s="2"/>
      <c r="F7" s="2">
        <v>455</v>
      </c>
      <c r="G7">
        <v>50</v>
      </c>
      <c r="H7" s="2"/>
      <c r="I7" s="2">
        <v>100</v>
      </c>
      <c r="J7" s="2"/>
      <c r="K7" s="2"/>
      <c r="L7" s="2"/>
      <c r="M7" s="2"/>
      <c r="N7" s="2"/>
      <c r="O7" s="2"/>
      <c r="P7" s="2">
        <v>7500</v>
      </c>
      <c r="Q7" s="2"/>
      <c r="R7" s="2">
        <f>4601+1000</f>
        <v>5601</v>
      </c>
      <c r="S7" s="2" t="s">
        <v>176</v>
      </c>
      <c r="T7" s="2">
        <f t="shared" ref="T7:T34" si="2">SUM(B7:R7)</f>
        <v>13706</v>
      </c>
      <c r="V7" s="34" t="s">
        <v>7</v>
      </c>
      <c r="W7" s="36">
        <f>G35</f>
        <v>480</v>
      </c>
    </row>
    <row r="8" spans="1:23" x14ac:dyDescent="0.35">
      <c r="A8" s="17">
        <v>45386</v>
      </c>
      <c r="B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f>942+1000</f>
        <v>1942</v>
      </c>
      <c r="S8" s="15" t="s">
        <v>177</v>
      </c>
      <c r="T8" s="2">
        <f t="shared" si="2"/>
        <v>1942</v>
      </c>
      <c r="V8" s="34" t="s">
        <v>8</v>
      </c>
      <c r="W8" s="36">
        <f>H35</f>
        <v>484</v>
      </c>
    </row>
    <row r="9" spans="1:23" x14ac:dyDescent="0.35">
      <c r="A9" s="17">
        <v>45387</v>
      </c>
      <c r="B9" s="2"/>
      <c r="C9" s="2">
        <v>51166</v>
      </c>
      <c r="D9" s="2"/>
      <c r="E9" s="2"/>
      <c r="F9" s="2"/>
      <c r="G9" s="2"/>
      <c r="H9" s="2"/>
      <c r="I9" s="2">
        <f>33+100</f>
        <v>133</v>
      </c>
      <c r="J9" s="2"/>
      <c r="K9" s="2"/>
      <c r="L9" s="2"/>
      <c r="M9" s="2"/>
      <c r="N9" s="2"/>
      <c r="O9" s="2"/>
      <c r="P9" s="2"/>
      <c r="Q9" s="2"/>
      <c r="R9" s="2">
        <v>360</v>
      </c>
      <c r="S9" s="2" t="s">
        <v>178</v>
      </c>
      <c r="T9" s="2">
        <f t="shared" si="2"/>
        <v>51659</v>
      </c>
      <c r="V9" s="34" t="s">
        <v>9</v>
      </c>
      <c r="W9" s="36">
        <f>I35</f>
        <v>4536</v>
      </c>
    </row>
    <row r="10" spans="1:23" x14ac:dyDescent="0.35">
      <c r="A10" s="17">
        <v>45388</v>
      </c>
      <c r="B10" s="2"/>
      <c r="C10" s="2"/>
      <c r="D10" s="2"/>
      <c r="E10" s="2"/>
      <c r="F10" s="2"/>
      <c r="G10" s="2">
        <v>50</v>
      </c>
      <c r="H10" s="2"/>
      <c r="I10" s="2">
        <f>100+240</f>
        <v>340</v>
      </c>
      <c r="J10" s="2"/>
      <c r="K10" s="2"/>
      <c r="L10" s="2">
        <f>548+63+20</f>
        <v>631</v>
      </c>
      <c r="M10" s="2"/>
      <c r="N10" s="2"/>
      <c r="O10" s="2"/>
      <c r="P10" s="2"/>
      <c r="Q10" s="2"/>
      <c r="R10" s="2">
        <f>1550+199</f>
        <v>1749</v>
      </c>
      <c r="S10" s="2" t="s">
        <v>179</v>
      </c>
      <c r="T10" s="2">
        <f t="shared" si="2"/>
        <v>2770</v>
      </c>
      <c r="V10" s="34" t="s">
        <v>10</v>
      </c>
      <c r="W10" s="36">
        <f>J35</f>
        <v>0</v>
      </c>
    </row>
    <row r="11" spans="1:23" x14ac:dyDescent="0.35">
      <c r="A11" s="17">
        <v>45389</v>
      </c>
      <c r="B11" s="2"/>
      <c r="C11" s="2"/>
      <c r="D11" s="2"/>
      <c r="E11" s="2"/>
      <c r="F11" s="2"/>
      <c r="G11" s="2"/>
      <c r="H11" s="2"/>
      <c r="I11" s="2">
        <v>275</v>
      </c>
      <c r="J11" s="2"/>
      <c r="K11" s="2"/>
      <c r="L11" s="2">
        <v>75</v>
      </c>
      <c r="M11" s="2"/>
      <c r="N11" s="2"/>
      <c r="O11" s="2"/>
      <c r="P11" s="2"/>
      <c r="Q11" s="2"/>
      <c r="R11" s="2"/>
      <c r="S11" s="15"/>
      <c r="T11" s="2">
        <f t="shared" si="2"/>
        <v>350</v>
      </c>
      <c r="V11" s="34" t="s">
        <v>11</v>
      </c>
      <c r="W11" s="36">
        <f>K35</f>
        <v>829</v>
      </c>
    </row>
    <row r="12" spans="1:23" x14ac:dyDescent="0.35">
      <c r="A12" s="17">
        <v>45390</v>
      </c>
      <c r="B12" s="2"/>
      <c r="C12" s="2"/>
      <c r="D12" s="2"/>
      <c r="E12" s="2"/>
      <c r="F12" s="2"/>
      <c r="G12" s="2">
        <v>30</v>
      </c>
      <c r="H12" s="2"/>
      <c r="I12" s="2">
        <f>610+100</f>
        <v>710</v>
      </c>
      <c r="J12" s="2"/>
      <c r="K12" s="2"/>
      <c r="L12" s="2"/>
      <c r="M12" s="2"/>
      <c r="N12" s="2"/>
      <c r="O12" s="2"/>
      <c r="P12" s="2"/>
      <c r="Q12" s="2"/>
      <c r="R12" s="2">
        <v>303</v>
      </c>
      <c r="S12" s="2" t="s">
        <v>180</v>
      </c>
      <c r="T12" s="2">
        <f t="shared" si="2"/>
        <v>1043</v>
      </c>
      <c r="V12" s="34" t="s">
        <v>12</v>
      </c>
      <c r="W12" s="36">
        <f>L35</f>
        <v>1411</v>
      </c>
    </row>
    <row r="13" spans="1:23" x14ac:dyDescent="0.35">
      <c r="A13" s="17">
        <v>45391</v>
      </c>
      <c r="B13" s="2"/>
      <c r="C13" s="2"/>
      <c r="D13" s="2"/>
      <c r="E13" s="2"/>
      <c r="F13" s="2"/>
      <c r="G13" s="2"/>
      <c r="H13" s="2"/>
      <c r="I13" s="2">
        <f>70+615</f>
        <v>685</v>
      </c>
      <c r="J13" s="2"/>
      <c r="K13" s="2"/>
      <c r="L13" s="2"/>
      <c r="M13" s="2"/>
      <c r="N13" s="2"/>
      <c r="O13" s="2"/>
      <c r="P13" s="2"/>
      <c r="Q13" s="2"/>
      <c r="R13" s="2">
        <f>323+115</f>
        <v>438</v>
      </c>
      <c r="S13" s="2" t="s">
        <v>51</v>
      </c>
      <c r="T13" s="2">
        <f t="shared" si="2"/>
        <v>1123</v>
      </c>
      <c r="V13" s="34" t="s">
        <v>13</v>
      </c>
      <c r="W13" s="36">
        <f>M35</f>
        <v>20867</v>
      </c>
    </row>
    <row r="14" spans="1:23" x14ac:dyDescent="0.35">
      <c r="A14" s="17">
        <v>45392</v>
      </c>
      <c r="B14" s="2"/>
      <c r="C14" s="2"/>
      <c r="D14" s="2"/>
      <c r="E14" s="2"/>
      <c r="F14" s="2"/>
      <c r="G14" s="2"/>
      <c r="H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>SUM(B14:R14)</f>
        <v>0</v>
      </c>
      <c r="V14" s="34" t="s">
        <v>16</v>
      </c>
      <c r="W14" s="36">
        <f>N35</f>
        <v>0</v>
      </c>
    </row>
    <row r="15" spans="1:23" x14ac:dyDescent="0.35">
      <c r="A15" s="17">
        <v>45393</v>
      </c>
      <c r="B15" s="2"/>
      <c r="C15" s="2"/>
      <c r="D15" s="2"/>
      <c r="E15" s="2"/>
      <c r="F15" s="2"/>
      <c r="G15" s="2">
        <v>50</v>
      </c>
      <c r="H15" s="2"/>
      <c r="I15" s="2"/>
      <c r="J15" s="2"/>
      <c r="K15" s="2"/>
      <c r="L15" s="2"/>
      <c r="M15" s="2"/>
      <c r="N15" s="2"/>
      <c r="O15" s="2">
        <v>199</v>
      </c>
      <c r="P15" s="2"/>
      <c r="Q15" s="2"/>
      <c r="R15" s="30"/>
      <c r="S15" s="27"/>
      <c r="T15" s="2">
        <f t="shared" si="2"/>
        <v>249</v>
      </c>
      <c r="V15" s="34" t="s">
        <v>43</v>
      </c>
      <c r="W15" s="36">
        <f>O35</f>
        <v>199</v>
      </c>
    </row>
    <row r="16" spans="1:23" x14ac:dyDescent="0.35">
      <c r="A16" s="17">
        <v>45394</v>
      </c>
      <c r="B16" s="2"/>
      <c r="C16" s="2"/>
      <c r="D16" s="2"/>
      <c r="E16" s="2"/>
      <c r="F16" s="2"/>
      <c r="G16" s="2"/>
      <c r="H16" s="2">
        <v>242</v>
      </c>
      <c r="I16" s="2">
        <f>95+160</f>
        <v>255</v>
      </c>
      <c r="J16" s="2"/>
      <c r="K16" s="2"/>
      <c r="L16" s="2">
        <v>48</v>
      </c>
      <c r="M16" s="2"/>
      <c r="N16" s="2"/>
      <c r="O16" s="2"/>
      <c r="P16" s="2"/>
      <c r="Q16" s="2"/>
      <c r="R16" s="2">
        <f>458+12</f>
        <v>470</v>
      </c>
      <c r="S16" s="15" t="s">
        <v>181</v>
      </c>
      <c r="T16" s="2">
        <f>SUM(B16:Q16)</f>
        <v>545</v>
      </c>
      <c r="V16" s="34" t="s">
        <v>64</v>
      </c>
      <c r="W16" s="36">
        <f>P35</f>
        <v>7500</v>
      </c>
    </row>
    <row r="17" spans="1:23" x14ac:dyDescent="0.35">
      <c r="A17" s="17">
        <v>45395</v>
      </c>
      <c r="B17" s="2"/>
      <c r="C17" s="2"/>
      <c r="D17" s="2"/>
      <c r="E17" s="2"/>
      <c r="F17" s="2"/>
      <c r="G17" s="2">
        <v>50</v>
      </c>
      <c r="H17" s="2">
        <v>242</v>
      </c>
      <c r="I17" s="2"/>
      <c r="J17" s="2"/>
      <c r="K17" s="2"/>
      <c r="L17" s="2">
        <v>48</v>
      </c>
      <c r="M17" s="2"/>
      <c r="N17" s="2"/>
      <c r="O17" s="2"/>
      <c r="P17" s="2"/>
      <c r="Q17" s="2"/>
      <c r="R17" s="2">
        <f>440+40</f>
        <v>480</v>
      </c>
      <c r="S17" s="2" t="s">
        <v>182</v>
      </c>
      <c r="T17" s="2">
        <f t="shared" si="2"/>
        <v>820</v>
      </c>
      <c r="V17" s="34" t="s">
        <v>14</v>
      </c>
      <c r="W17" s="36">
        <f>Q35</f>
        <v>8000</v>
      </c>
    </row>
    <row r="18" spans="1:23" x14ac:dyDescent="0.35">
      <c r="A18" s="17">
        <v>45396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2"/>
        <v>0</v>
      </c>
      <c r="V18" s="34" t="s">
        <v>15</v>
      </c>
      <c r="W18" s="36">
        <f>R35</f>
        <v>13637</v>
      </c>
    </row>
    <row r="19" spans="1:23" x14ac:dyDescent="0.35">
      <c r="A19" s="17">
        <v>45397</v>
      </c>
      <c r="B19" s="2"/>
      <c r="C19" s="2"/>
      <c r="D19" s="2"/>
      <c r="E19" s="2"/>
      <c r="F19" s="2"/>
      <c r="G19" s="2"/>
      <c r="H19" s="2"/>
      <c r="I19" s="2">
        <f>35+25+150</f>
        <v>210</v>
      </c>
      <c r="J19" s="2"/>
      <c r="K19" s="2"/>
      <c r="L19" s="2"/>
      <c r="M19" s="2"/>
      <c r="N19" s="2"/>
      <c r="O19" s="2"/>
      <c r="P19" s="2"/>
      <c r="Q19" s="2"/>
      <c r="R19" s="2">
        <v>180</v>
      </c>
      <c r="S19" s="15" t="s">
        <v>183</v>
      </c>
      <c r="T19" s="2">
        <f t="shared" si="2"/>
        <v>390</v>
      </c>
    </row>
    <row r="20" spans="1:23" x14ac:dyDescent="0.35">
      <c r="A20" s="17">
        <v>45398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2"/>
        <v>0</v>
      </c>
    </row>
    <row r="21" spans="1:23" x14ac:dyDescent="0.35">
      <c r="A21" s="17">
        <v>45399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f t="shared" si="2"/>
        <v>0</v>
      </c>
    </row>
    <row r="22" spans="1:23" x14ac:dyDescent="0.35">
      <c r="A22" s="17">
        <v>45400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5"/>
      <c r="T22" s="2">
        <f t="shared" si="2"/>
        <v>0</v>
      </c>
    </row>
    <row r="23" spans="1:23" x14ac:dyDescent="0.35">
      <c r="A23" s="17">
        <v>45401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f t="shared" si="2"/>
        <v>0</v>
      </c>
    </row>
    <row r="24" spans="1:23" x14ac:dyDescent="0.35">
      <c r="A24" s="17">
        <v>45402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 t="shared" si="2"/>
        <v>0</v>
      </c>
    </row>
    <row r="25" spans="1:23" x14ac:dyDescent="0.35">
      <c r="A25" s="17">
        <v>45403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>
        <f>448+60+156</f>
        <v>664</v>
      </c>
      <c r="S25" s="2" t="s">
        <v>184</v>
      </c>
      <c r="T25" s="2">
        <f t="shared" si="2"/>
        <v>664</v>
      </c>
    </row>
    <row r="26" spans="1:23" x14ac:dyDescent="0.35">
      <c r="A26" s="17">
        <v>45404</v>
      </c>
      <c r="B26" s="2"/>
      <c r="C26" s="2"/>
      <c r="D26" s="2"/>
      <c r="E26" s="2"/>
      <c r="F26" s="2"/>
      <c r="G26" s="2"/>
      <c r="H26" s="2"/>
      <c r="I26" s="2">
        <f>80+35</f>
        <v>115</v>
      </c>
      <c r="J26" s="2"/>
      <c r="K26" s="2"/>
      <c r="L26" s="2">
        <v>519</v>
      </c>
      <c r="M26" s="2"/>
      <c r="N26" s="2"/>
      <c r="O26" s="2"/>
      <c r="P26" s="2"/>
      <c r="Q26" s="2"/>
      <c r="R26" s="2">
        <f>50+335+350</f>
        <v>735</v>
      </c>
      <c r="S26" s="2" t="s">
        <v>185</v>
      </c>
      <c r="T26" s="2">
        <f t="shared" si="2"/>
        <v>1369</v>
      </c>
    </row>
    <row r="27" spans="1:23" x14ac:dyDescent="0.35">
      <c r="A27" s="17">
        <v>45405</v>
      </c>
      <c r="B27" s="2"/>
      <c r="C27" s="2"/>
      <c r="D27" s="2"/>
      <c r="E27" s="2"/>
      <c r="F27" s="2"/>
      <c r="G27" s="2"/>
      <c r="H27" s="2"/>
      <c r="I27" s="2">
        <v>250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f t="shared" si="2"/>
        <v>250</v>
      </c>
    </row>
    <row r="28" spans="1:23" x14ac:dyDescent="0.35">
      <c r="A28" s="17">
        <v>45406</v>
      </c>
      <c r="B28" s="2"/>
      <c r="C28" s="2"/>
      <c r="D28" s="2"/>
      <c r="E28" s="2"/>
      <c r="F28" s="2"/>
      <c r="G28" s="2">
        <v>50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f t="shared" si="2"/>
        <v>50</v>
      </c>
    </row>
    <row r="29" spans="1:23" x14ac:dyDescent="0.35">
      <c r="A29" s="17">
        <v>45407</v>
      </c>
      <c r="B29" s="2"/>
      <c r="C29" s="2"/>
      <c r="D29" s="2"/>
      <c r="E29" s="2"/>
      <c r="F29" s="2"/>
      <c r="G29" s="2"/>
      <c r="H29" s="2"/>
      <c r="I29" s="2">
        <v>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 t="shared" si="2"/>
        <v>5</v>
      </c>
    </row>
    <row r="30" spans="1:23" x14ac:dyDescent="0.35">
      <c r="A30" s="17">
        <v>45408</v>
      </c>
      <c r="B30" s="2"/>
      <c r="C30" s="2"/>
      <c r="D30" s="2"/>
      <c r="E30" s="2"/>
      <c r="F30" s="2"/>
      <c r="G30">
        <v>50</v>
      </c>
      <c r="H30" s="2"/>
      <c r="I30" s="2">
        <f>122+40</f>
        <v>162</v>
      </c>
      <c r="J30" s="2"/>
      <c r="K30" s="2"/>
      <c r="L30" s="2"/>
      <c r="M30" s="2"/>
      <c r="N30" s="2"/>
      <c r="O30" s="2"/>
      <c r="P30" s="2"/>
      <c r="Q30" s="2"/>
      <c r="R30">
        <v>417</v>
      </c>
      <c r="S30" s="30" t="s">
        <v>51</v>
      </c>
      <c r="T30" s="2">
        <f t="shared" si="2"/>
        <v>629</v>
      </c>
    </row>
    <row r="31" spans="1:23" ht="15" customHeight="1" x14ac:dyDescent="0.35">
      <c r="A31" s="17">
        <v>45409</v>
      </c>
      <c r="B31" s="2"/>
      <c r="C31" s="2"/>
      <c r="D31" s="2"/>
      <c r="E31" s="2"/>
      <c r="F31" s="2"/>
      <c r="G31" s="2"/>
      <c r="H31" s="2"/>
      <c r="I31" s="2">
        <f>586+20</f>
        <v>606</v>
      </c>
      <c r="J31" s="2"/>
      <c r="K31" s="2"/>
      <c r="L31" s="2">
        <v>90</v>
      </c>
      <c r="M31" s="2"/>
      <c r="N31" s="2"/>
      <c r="O31" s="2"/>
      <c r="P31" s="2"/>
      <c r="Q31" s="2"/>
      <c r="R31" s="2"/>
      <c r="S31" s="28"/>
      <c r="T31" s="2">
        <f>SUM(B31:Q31)</f>
        <v>696</v>
      </c>
    </row>
    <row r="32" spans="1:23" ht="15" customHeight="1" x14ac:dyDescent="0.35">
      <c r="A32" s="17">
        <v>45410</v>
      </c>
      <c r="B32" s="2"/>
      <c r="C32" s="2"/>
      <c r="D32" s="2"/>
      <c r="E32" s="2"/>
      <c r="F32" s="2"/>
      <c r="G32" s="2">
        <v>50</v>
      </c>
      <c r="H32" s="2"/>
      <c r="I32" s="2">
        <v>243</v>
      </c>
      <c r="J32" s="2"/>
      <c r="K32" s="2"/>
      <c r="L32" s="2"/>
      <c r="M32" s="2"/>
      <c r="N32" s="2"/>
      <c r="O32" s="2"/>
      <c r="P32" s="2"/>
      <c r="Q32" s="2"/>
      <c r="R32" s="2"/>
      <c r="S32" s="28"/>
      <c r="T32" s="2"/>
    </row>
    <row r="33" spans="1:20" ht="15" customHeight="1" x14ac:dyDescent="0.35">
      <c r="A33" s="17">
        <v>45411</v>
      </c>
      <c r="B33" s="2"/>
      <c r="C33" s="2"/>
      <c r="D33" s="2"/>
      <c r="E33" s="2">
        <v>821</v>
      </c>
      <c r="F33" s="2"/>
      <c r="G33" s="2"/>
      <c r="H33" s="2"/>
      <c r="I33" s="2">
        <v>234</v>
      </c>
      <c r="J33" s="2"/>
      <c r="K33" s="2"/>
      <c r="L33" s="2"/>
      <c r="M33" s="2"/>
      <c r="N33" s="2"/>
      <c r="O33" s="2"/>
      <c r="P33" s="2"/>
      <c r="Q33" s="2"/>
      <c r="R33" s="2"/>
      <c r="S33" s="28"/>
      <c r="T33" s="2"/>
    </row>
    <row r="34" spans="1:20" x14ac:dyDescent="0.35">
      <c r="A34" s="17">
        <v>45412</v>
      </c>
      <c r="B34" s="2"/>
      <c r="C34" s="2"/>
      <c r="D34" s="2"/>
      <c r="E34" s="2"/>
      <c r="F34" s="2"/>
      <c r="G34" s="2">
        <v>50</v>
      </c>
      <c r="H34" s="2"/>
      <c r="I34" s="2">
        <v>148</v>
      </c>
      <c r="J34" s="2"/>
      <c r="K34" s="2"/>
      <c r="L34" s="2"/>
      <c r="M34" s="2"/>
      <c r="N34" s="2"/>
      <c r="O34" s="2"/>
      <c r="P34" s="2"/>
      <c r="Q34" s="2"/>
      <c r="R34" s="2">
        <f>115+183</f>
        <v>298</v>
      </c>
      <c r="S34" s="2"/>
      <c r="T34" s="2">
        <f t="shared" si="2"/>
        <v>496</v>
      </c>
    </row>
    <row r="35" spans="1:20" x14ac:dyDescent="0.35">
      <c r="A35" s="16" t="s">
        <v>29</v>
      </c>
      <c r="B35" s="16">
        <f t="shared" ref="B35:R35" si="3">SUM(B5:B34)</f>
        <v>21000</v>
      </c>
      <c r="C35" s="16">
        <f t="shared" si="3"/>
        <v>51166</v>
      </c>
      <c r="D35" s="16">
        <f t="shared" si="3"/>
        <v>0</v>
      </c>
      <c r="E35" s="16">
        <f t="shared" si="3"/>
        <v>821</v>
      </c>
      <c r="F35" s="16">
        <f t="shared" si="3"/>
        <v>455</v>
      </c>
      <c r="G35" s="16">
        <f t="shared" si="3"/>
        <v>480</v>
      </c>
      <c r="H35" s="16">
        <f t="shared" si="3"/>
        <v>484</v>
      </c>
      <c r="I35" s="16">
        <f t="shared" si="3"/>
        <v>4536</v>
      </c>
      <c r="J35" s="16">
        <f t="shared" si="3"/>
        <v>0</v>
      </c>
      <c r="K35" s="16">
        <f t="shared" si="3"/>
        <v>829</v>
      </c>
      <c r="L35" s="16">
        <f t="shared" si="3"/>
        <v>1411</v>
      </c>
      <c r="M35" s="16">
        <f t="shared" si="3"/>
        <v>20867</v>
      </c>
      <c r="N35" s="16">
        <f t="shared" si="3"/>
        <v>0</v>
      </c>
      <c r="O35" s="16">
        <f t="shared" si="3"/>
        <v>199</v>
      </c>
      <c r="P35" s="16">
        <f t="shared" si="3"/>
        <v>7500</v>
      </c>
      <c r="Q35" s="16">
        <f t="shared" si="3"/>
        <v>8000</v>
      </c>
      <c r="R35" s="16">
        <f t="shared" si="3"/>
        <v>13637</v>
      </c>
      <c r="S35" s="16"/>
      <c r="T35" s="2"/>
    </row>
    <row r="37" spans="1:20" x14ac:dyDescent="0.35">
      <c r="A37" s="24" t="s">
        <v>46</v>
      </c>
      <c r="B37" s="2">
        <v>144946</v>
      </c>
    </row>
    <row r="38" spans="1:20" x14ac:dyDescent="0.35">
      <c r="A38" s="24" t="s">
        <v>17</v>
      </c>
      <c r="B38" s="2">
        <f>SUM(B2:R2)-M2</f>
        <v>127430</v>
      </c>
    </row>
    <row r="39" spans="1:20" x14ac:dyDescent="0.35">
      <c r="A39" s="24" t="s">
        <v>47</v>
      </c>
      <c r="B39" s="2">
        <f>SUM(T5:T34)-M35</f>
        <v>108700</v>
      </c>
    </row>
    <row r="40" spans="1:20" x14ac:dyDescent="0.35">
      <c r="A40" s="24" t="s">
        <v>18</v>
      </c>
      <c r="B40" s="2">
        <f>B38-B39</f>
        <v>18730</v>
      </c>
    </row>
    <row r="41" spans="1:20" x14ac:dyDescent="0.35">
      <c r="A41" s="24" t="s">
        <v>34</v>
      </c>
      <c r="B41" s="2">
        <f>B37-SUM(B35:R35)</f>
        <v>13561</v>
      </c>
    </row>
    <row r="42" spans="1:20" x14ac:dyDescent="0.35">
      <c r="A42" s="24" t="s">
        <v>83</v>
      </c>
      <c r="B42" s="2">
        <f>SUM(D35:L35)+SUM(N35:R35)</f>
        <v>38352</v>
      </c>
    </row>
    <row r="43" spans="1:20" x14ac:dyDescent="0.35">
      <c r="A43" s="24" t="s">
        <v>162</v>
      </c>
      <c r="B43" s="2">
        <f>B37-B42</f>
        <v>106594</v>
      </c>
    </row>
  </sheetData>
  <mergeCells count="1">
    <mergeCell ref="V1:W1"/>
  </mergeCells>
  <conditionalFormatting sqref="B4:R4">
    <cfRule type="cellIs" dxfId="26" priority="1" operator="greaterThan">
      <formula>99</formula>
    </cfRule>
    <cfRule type="cellIs" dxfId="25" priority="2" operator="between">
      <formula>51</formula>
      <formula>99</formula>
    </cfRule>
    <cfRule type="cellIs" dxfId="24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0" zoomScaleNormal="80" workbookViewId="0">
      <pane ySplit="1" topLeftCell="A2" activePane="bottomLeft" state="frozen"/>
      <selection pane="bottomLeft" activeCell="A13" sqref="A13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38.54296875" bestFit="1" customWidth="1"/>
    <col min="20" max="20" width="17.453125" customWidth="1"/>
    <col min="22" max="22" width="19.7265625" bestFit="1" customWidth="1"/>
    <col min="23" max="23" width="8.1796875" bestFit="1" customWidth="1"/>
  </cols>
  <sheetData>
    <row r="1" spans="1:23" x14ac:dyDescent="0.35">
      <c r="A1" s="43" t="s">
        <v>33</v>
      </c>
      <c r="B1" s="43" t="s">
        <v>2</v>
      </c>
      <c r="C1" s="43" t="s">
        <v>3</v>
      </c>
      <c r="D1" s="43" t="s">
        <v>4</v>
      </c>
      <c r="E1" s="43" t="s">
        <v>5</v>
      </c>
      <c r="F1" s="43" t="s">
        <v>6</v>
      </c>
      <c r="G1" s="43" t="s">
        <v>7</v>
      </c>
      <c r="H1" s="43" t="s">
        <v>8</v>
      </c>
      <c r="I1" s="43" t="s">
        <v>9</v>
      </c>
      <c r="J1" s="43" t="s">
        <v>10</v>
      </c>
      <c r="K1" s="43" t="s">
        <v>11</v>
      </c>
      <c r="L1" s="43" t="s">
        <v>12</v>
      </c>
      <c r="M1" s="43" t="s">
        <v>13</v>
      </c>
      <c r="N1" s="43" t="s">
        <v>16</v>
      </c>
      <c r="O1" s="43" t="s">
        <v>43</v>
      </c>
      <c r="P1" s="43" t="s">
        <v>64</v>
      </c>
      <c r="Q1" s="43" t="s">
        <v>14</v>
      </c>
      <c r="R1" s="43" t="s">
        <v>15</v>
      </c>
      <c r="S1" s="43" t="s">
        <v>35</v>
      </c>
      <c r="T1" s="43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22000</v>
      </c>
      <c r="C2" s="19">
        <v>51166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132430</v>
      </c>
      <c r="V2" s="34" t="s">
        <v>2</v>
      </c>
      <c r="W2" s="35">
        <f>B36</f>
        <v>22000</v>
      </c>
    </row>
    <row r="3" spans="1:23" s="23" customFormat="1" x14ac:dyDescent="0.35">
      <c r="A3" s="19" t="s">
        <v>18</v>
      </c>
      <c r="B3" s="19">
        <f t="shared" ref="B3:R3" si="0">B2-B36</f>
        <v>0</v>
      </c>
      <c r="C3" s="19">
        <f t="shared" si="0"/>
        <v>0</v>
      </c>
      <c r="D3" s="19">
        <f t="shared" si="0"/>
        <v>2500</v>
      </c>
      <c r="E3" s="19">
        <f t="shared" si="0"/>
        <v>1179</v>
      </c>
      <c r="F3" s="19">
        <f t="shared" si="0"/>
        <v>295</v>
      </c>
      <c r="G3" s="19">
        <f t="shared" si="0"/>
        <v>370</v>
      </c>
      <c r="H3" s="19">
        <f t="shared" si="0"/>
        <v>16</v>
      </c>
      <c r="I3" s="19">
        <f t="shared" si="0"/>
        <v>-5165.3999999999996</v>
      </c>
      <c r="J3" s="19">
        <f t="shared" si="0"/>
        <v>100</v>
      </c>
      <c r="K3" s="19">
        <f t="shared" si="0"/>
        <v>1200</v>
      </c>
      <c r="L3" s="19">
        <f t="shared" si="0"/>
        <v>-889</v>
      </c>
      <c r="M3" s="19">
        <f t="shared" si="0"/>
        <v>0</v>
      </c>
      <c r="N3" s="19">
        <f t="shared" si="0"/>
        <v>438</v>
      </c>
      <c r="O3" s="19">
        <f t="shared" si="0"/>
        <v>265</v>
      </c>
      <c r="P3" s="19">
        <f t="shared" si="0"/>
        <v>-3000</v>
      </c>
      <c r="Q3" s="19">
        <f t="shared" si="0"/>
        <v>-348</v>
      </c>
      <c r="R3" s="19">
        <f t="shared" si="0"/>
        <v>8388</v>
      </c>
      <c r="S3" s="19"/>
      <c r="T3" s="19">
        <f>SUM(B3:R3)</f>
        <v>5348.6</v>
      </c>
      <c r="V3" s="34" t="s">
        <v>3</v>
      </c>
      <c r="W3" s="35">
        <f>C36</f>
        <v>51166</v>
      </c>
    </row>
    <row r="4" spans="1:23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41.05</v>
      </c>
      <c r="F4" s="19">
        <f t="shared" si="1"/>
        <v>73.181818181818187</v>
      </c>
      <c r="G4" s="19">
        <f t="shared" si="1"/>
        <v>63</v>
      </c>
      <c r="H4" s="19">
        <f t="shared" si="1"/>
        <v>96.8</v>
      </c>
      <c r="I4" s="19">
        <f t="shared" si="1"/>
        <v>173.79142857142858</v>
      </c>
      <c r="J4" s="19">
        <f t="shared" si="1"/>
        <v>80</v>
      </c>
      <c r="K4" s="19">
        <f t="shared" si="1"/>
        <v>0</v>
      </c>
      <c r="L4" s="19">
        <f t="shared" si="1"/>
        <v>144.44999999999999</v>
      </c>
      <c r="M4" s="19">
        <f t="shared" si="1"/>
        <v>100</v>
      </c>
      <c r="N4" s="19">
        <f t="shared" si="1"/>
        <v>70.8</v>
      </c>
      <c r="O4" s="19">
        <f t="shared" si="1"/>
        <v>42.887931034482754</v>
      </c>
      <c r="P4" s="19">
        <f t="shared" si="1"/>
        <v>146.15384615384613</v>
      </c>
      <c r="Q4" s="19">
        <f t="shared" si="1"/>
        <v>104.35000000000001</v>
      </c>
      <c r="R4" s="21">
        <f t="shared" si="1"/>
        <v>58.06</v>
      </c>
      <c r="S4" s="19"/>
      <c r="T4" s="21">
        <f t="shared" si="1"/>
        <v>95.961187042210966</v>
      </c>
      <c r="V4" s="34" t="s">
        <v>4</v>
      </c>
      <c r="W4" s="35">
        <f>D36</f>
        <v>0</v>
      </c>
    </row>
    <row r="5" spans="1:23" x14ac:dyDescent="0.35">
      <c r="A5" s="17">
        <v>45413</v>
      </c>
      <c r="B5" s="2">
        <v>22000</v>
      </c>
      <c r="C5" s="2"/>
      <c r="D5" s="2"/>
      <c r="E5" s="2"/>
      <c r="F5" s="2"/>
      <c r="G5" s="2"/>
      <c r="H5" s="2"/>
      <c r="I5" s="2">
        <v>200</v>
      </c>
      <c r="J5" s="2"/>
      <c r="K5" s="2"/>
      <c r="L5" s="2">
        <v>293</v>
      </c>
      <c r="M5" s="2"/>
      <c r="N5" s="2">
        <v>1062</v>
      </c>
      <c r="O5" s="2"/>
      <c r="P5" s="2">
        <f>8000+1500</f>
        <v>9500</v>
      </c>
      <c r="Q5" s="2"/>
      <c r="R5" s="2">
        <v>899</v>
      </c>
      <c r="S5" s="2" t="s">
        <v>186</v>
      </c>
      <c r="T5" s="2">
        <f>SUM(B5:R5)</f>
        <v>33954</v>
      </c>
      <c r="V5" s="34" t="s">
        <v>5</v>
      </c>
      <c r="W5" s="36">
        <f>E36</f>
        <v>821</v>
      </c>
    </row>
    <row r="6" spans="1:23" x14ac:dyDescent="0.35">
      <c r="A6" s="17">
        <v>45414</v>
      </c>
      <c r="B6" s="2"/>
      <c r="C6" s="2"/>
      <c r="D6" s="2"/>
      <c r="E6" s="2"/>
      <c r="F6" s="2">
        <v>805</v>
      </c>
      <c r="G6" s="2">
        <v>30</v>
      </c>
      <c r="H6" s="2"/>
      <c r="I6" s="2">
        <v>120</v>
      </c>
      <c r="J6" s="2"/>
      <c r="K6" s="2"/>
      <c r="L6" s="2"/>
      <c r="M6" s="2">
        <v>5000</v>
      </c>
      <c r="N6" s="2"/>
      <c r="O6" s="2"/>
      <c r="P6" s="2"/>
      <c r="Q6" s="2">
        <v>8000</v>
      </c>
      <c r="R6" s="2">
        <f>749+1412</f>
        <v>2161</v>
      </c>
      <c r="S6" s="2" t="s">
        <v>187</v>
      </c>
      <c r="T6" s="2">
        <f>SUM(B6:R6)</f>
        <v>16116</v>
      </c>
      <c r="V6" s="34" t="s">
        <v>6</v>
      </c>
      <c r="W6" s="36">
        <f>F36</f>
        <v>805</v>
      </c>
    </row>
    <row r="7" spans="1:23" x14ac:dyDescent="0.35">
      <c r="A7" s="17">
        <v>45415</v>
      </c>
      <c r="B7" s="2"/>
      <c r="C7" s="2"/>
      <c r="D7" s="2"/>
      <c r="E7" s="2"/>
      <c r="F7" s="2"/>
      <c r="H7" s="2"/>
      <c r="I7" s="2">
        <v>60</v>
      </c>
      <c r="J7" s="2"/>
      <c r="K7" s="2"/>
      <c r="L7" s="2"/>
      <c r="M7" s="2"/>
      <c r="N7" s="2"/>
      <c r="O7" s="2"/>
      <c r="P7" s="2"/>
      <c r="Q7" s="2"/>
      <c r="R7" s="2">
        <f>1999+225</f>
        <v>2224</v>
      </c>
      <c r="S7" s="2" t="s">
        <v>188</v>
      </c>
      <c r="T7" s="2">
        <f t="shared" ref="T7:T34" si="2">SUM(B7:R7)</f>
        <v>2284</v>
      </c>
      <c r="V7" s="34" t="s">
        <v>7</v>
      </c>
      <c r="W7" s="36">
        <f>G36</f>
        <v>630</v>
      </c>
    </row>
    <row r="8" spans="1:23" x14ac:dyDescent="0.35">
      <c r="A8" s="17">
        <v>45416</v>
      </c>
      <c r="B8" s="2"/>
      <c r="D8" s="2"/>
      <c r="E8" s="2"/>
      <c r="F8" s="2"/>
      <c r="G8" s="2">
        <v>50</v>
      </c>
      <c r="H8" s="2"/>
      <c r="I8" s="2">
        <f>106+2779+90</f>
        <v>2975</v>
      </c>
      <c r="J8" s="2"/>
      <c r="K8" s="2"/>
      <c r="L8" s="2">
        <v>567</v>
      </c>
      <c r="M8" s="2"/>
      <c r="N8" s="2"/>
      <c r="O8" s="2"/>
      <c r="P8" s="2"/>
      <c r="Q8" s="2"/>
      <c r="R8" s="2"/>
      <c r="S8" s="15"/>
      <c r="T8" s="2">
        <f t="shared" si="2"/>
        <v>3592</v>
      </c>
      <c r="V8" s="34" t="s">
        <v>8</v>
      </c>
      <c r="W8" s="36">
        <f>H36</f>
        <v>484</v>
      </c>
    </row>
    <row r="9" spans="1:23" x14ac:dyDescent="0.35">
      <c r="A9" s="17">
        <v>45417</v>
      </c>
      <c r="B9" s="2"/>
      <c r="C9" s="2">
        <v>51166</v>
      </c>
      <c r="D9" s="2"/>
      <c r="E9" s="2"/>
      <c r="F9" s="2"/>
      <c r="G9" s="2"/>
      <c r="H9" s="2"/>
      <c r="I9" s="2">
        <f>100+100</f>
        <v>200</v>
      </c>
      <c r="J9" s="2">
        <v>400</v>
      </c>
      <c r="K9" s="2"/>
      <c r="L9" s="2"/>
      <c r="M9" s="2"/>
      <c r="N9" s="2"/>
      <c r="O9" s="2"/>
      <c r="P9" s="2"/>
      <c r="Q9" s="2"/>
      <c r="R9" s="2"/>
      <c r="S9" s="2"/>
      <c r="T9" s="2">
        <f t="shared" si="2"/>
        <v>51766</v>
      </c>
      <c r="V9" s="34" t="s">
        <v>9</v>
      </c>
      <c r="W9" s="36">
        <f>I36</f>
        <v>12165.4</v>
      </c>
    </row>
    <row r="10" spans="1:23" x14ac:dyDescent="0.35">
      <c r="A10" s="17">
        <v>45418</v>
      </c>
      <c r="B10" s="2"/>
      <c r="C10" s="2"/>
      <c r="D10" s="2"/>
      <c r="E10" s="2"/>
      <c r="F10" s="2"/>
      <c r="G10" s="2"/>
      <c r="H10" s="2"/>
      <c r="I10" s="2">
        <f>1242+100+330</f>
        <v>1672</v>
      </c>
      <c r="J10" s="2"/>
      <c r="K10" s="2"/>
      <c r="L10" s="2"/>
      <c r="M10" s="2"/>
      <c r="N10" s="2"/>
      <c r="O10" s="2"/>
      <c r="P10" s="2"/>
      <c r="Q10" s="2"/>
      <c r="R10" s="2">
        <f>300+262+199</f>
        <v>761</v>
      </c>
      <c r="S10" s="2" t="s">
        <v>189</v>
      </c>
      <c r="T10" s="2">
        <f t="shared" si="2"/>
        <v>2433</v>
      </c>
      <c r="V10" s="34" t="s">
        <v>10</v>
      </c>
      <c r="W10" s="36">
        <f>J36</f>
        <v>400</v>
      </c>
    </row>
    <row r="11" spans="1:23" x14ac:dyDescent="0.35">
      <c r="A11" s="17">
        <v>45419</v>
      </c>
      <c r="B11" s="2"/>
      <c r="C11" s="2"/>
      <c r="D11" s="2"/>
      <c r="E11" s="2"/>
      <c r="F11" s="2"/>
      <c r="G11" s="2">
        <v>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900</v>
      </c>
      <c r="S11" s="15" t="s">
        <v>190</v>
      </c>
      <c r="T11" s="2">
        <f t="shared" si="2"/>
        <v>950</v>
      </c>
      <c r="V11" s="34" t="s">
        <v>11</v>
      </c>
      <c r="W11" s="36">
        <f>K36</f>
        <v>0</v>
      </c>
    </row>
    <row r="12" spans="1:23" x14ac:dyDescent="0.35">
      <c r="A12" s="17">
        <v>45420</v>
      </c>
      <c r="B12" s="2"/>
      <c r="C12" s="2"/>
      <c r="D12" s="2"/>
      <c r="E12" s="2"/>
      <c r="F12" s="2"/>
      <c r="G12" s="2"/>
      <c r="H12" s="2"/>
      <c r="I12" s="2">
        <v>120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2"/>
        <v>120</v>
      </c>
      <c r="V12" s="34" t="s">
        <v>12</v>
      </c>
      <c r="W12" s="36">
        <f>L36</f>
        <v>2889</v>
      </c>
    </row>
    <row r="13" spans="1:23" x14ac:dyDescent="0.35">
      <c r="A13" s="17">
        <v>45421</v>
      </c>
      <c r="B13" s="2"/>
      <c r="C13" s="2"/>
      <c r="D13" s="2"/>
      <c r="E13" s="2"/>
      <c r="F13" s="2"/>
      <c r="G13" s="2">
        <v>50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2"/>
        <v>50</v>
      </c>
      <c r="V13" s="34" t="s">
        <v>13</v>
      </c>
      <c r="W13" s="36">
        <f>M36</f>
        <v>5000</v>
      </c>
    </row>
    <row r="14" spans="1:23" x14ac:dyDescent="0.35">
      <c r="A14" s="17">
        <v>45422</v>
      </c>
      <c r="B14" s="2"/>
      <c r="C14" s="2"/>
      <c r="D14" s="2"/>
      <c r="E14" s="2"/>
      <c r="F14" s="2"/>
      <c r="G14" s="2"/>
      <c r="H14" s="2">
        <v>242</v>
      </c>
      <c r="I14">
        <v>156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>SUM(B14:R14)</f>
        <v>398</v>
      </c>
      <c r="V14" s="34" t="s">
        <v>16</v>
      </c>
      <c r="W14" s="36">
        <f>N36</f>
        <v>1062</v>
      </c>
    </row>
    <row r="15" spans="1:23" x14ac:dyDescent="0.35">
      <c r="A15" s="17">
        <v>45423</v>
      </c>
      <c r="B15" s="2"/>
      <c r="C15" s="2"/>
      <c r="D15" s="2"/>
      <c r="E15" s="2"/>
      <c r="F15" s="2"/>
      <c r="G15" s="2">
        <v>50</v>
      </c>
      <c r="H15" s="2">
        <v>242</v>
      </c>
      <c r="I15" s="2">
        <v>710</v>
      </c>
      <c r="J15" s="2"/>
      <c r="K15" s="2"/>
      <c r="L15" s="2">
        <f>389+531</f>
        <v>920</v>
      </c>
      <c r="M15" s="2"/>
      <c r="N15" s="2"/>
      <c r="O15" s="2">
        <v>199</v>
      </c>
      <c r="P15" s="2"/>
      <c r="Q15" s="2"/>
      <c r="R15" s="30"/>
      <c r="S15" s="27"/>
      <c r="T15" s="2">
        <f t="shared" si="2"/>
        <v>2121</v>
      </c>
      <c r="V15" s="34" t="s">
        <v>43</v>
      </c>
      <c r="W15" s="36">
        <f>O36</f>
        <v>199</v>
      </c>
    </row>
    <row r="16" spans="1:23" x14ac:dyDescent="0.35">
      <c r="A16" s="17">
        <v>45424</v>
      </c>
      <c r="B16" s="2"/>
      <c r="C16" s="2"/>
      <c r="D16" s="2"/>
      <c r="E16" s="2"/>
      <c r="F16" s="2"/>
      <c r="G16" s="2"/>
      <c r="H16" s="2"/>
      <c r="I16" s="2">
        <f>383+804</f>
        <v>1187</v>
      </c>
      <c r="J16" s="2"/>
      <c r="K16" s="2"/>
      <c r="L16" s="2">
        <f>96+95</f>
        <v>191</v>
      </c>
      <c r="M16" s="2"/>
      <c r="N16" s="2"/>
      <c r="O16" s="2"/>
      <c r="P16" s="2"/>
      <c r="Q16" s="2"/>
      <c r="R16" s="2">
        <v>123</v>
      </c>
      <c r="S16" s="15" t="s">
        <v>191</v>
      </c>
      <c r="T16" s="2">
        <f>SUM(B16:Q16)</f>
        <v>1378</v>
      </c>
      <c r="V16" s="34" t="s">
        <v>64</v>
      </c>
      <c r="W16" s="36">
        <f>P36</f>
        <v>9500</v>
      </c>
    </row>
    <row r="17" spans="1:23" x14ac:dyDescent="0.35">
      <c r="A17" s="17">
        <v>45425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2"/>
        <v>0</v>
      </c>
      <c r="V17" s="34" t="s">
        <v>14</v>
      </c>
      <c r="W17" s="36">
        <f>Q36</f>
        <v>8348</v>
      </c>
    </row>
    <row r="18" spans="1:23" x14ac:dyDescent="0.35">
      <c r="A18" s="17">
        <v>45426</v>
      </c>
      <c r="B18" s="2"/>
      <c r="C18" s="2"/>
      <c r="D18" s="2"/>
      <c r="E18" s="2"/>
      <c r="F18" s="2"/>
      <c r="G18" s="2">
        <v>50</v>
      </c>
      <c r="H18" s="2"/>
      <c r="I18" s="2">
        <f>350+150+80</f>
        <v>580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2"/>
        <v>630</v>
      </c>
      <c r="V18" s="34" t="s">
        <v>15</v>
      </c>
      <c r="W18" s="36">
        <f>R36</f>
        <v>11612</v>
      </c>
    </row>
    <row r="19" spans="1:23" x14ac:dyDescent="0.35">
      <c r="A19" s="17">
        <v>45427</v>
      </c>
      <c r="B19" s="2"/>
      <c r="C19" s="2"/>
      <c r="D19" s="2"/>
      <c r="E19" s="2"/>
      <c r="F19" s="2"/>
      <c r="G19" s="2"/>
      <c r="H19" s="2"/>
      <c r="I19" s="2">
        <v>160</v>
      </c>
      <c r="J19" s="2"/>
      <c r="K19" s="2"/>
      <c r="L19" s="2"/>
      <c r="M19" s="2"/>
      <c r="N19" s="2"/>
      <c r="O19" s="2"/>
      <c r="P19" s="2"/>
      <c r="Q19" s="2"/>
      <c r="R19" s="2"/>
      <c r="S19" s="15"/>
      <c r="T19" s="2">
        <f t="shared" si="2"/>
        <v>160</v>
      </c>
    </row>
    <row r="20" spans="1:23" x14ac:dyDescent="0.35">
      <c r="A20" s="17">
        <v>45428</v>
      </c>
      <c r="B20" s="2"/>
      <c r="C20" s="2"/>
      <c r="D20" s="2"/>
      <c r="E20" s="2"/>
      <c r="F20" s="2"/>
      <c r="G20" s="2">
        <v>50</v>
      </c>
      <c r="H20" s="2"/>
      <c r="I20" s="2">
        <f>50+10</f>
        <v>60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2"/>
        <v>110</v>
      </c>
    </row>
    <row r="21" spans="1:23" x14ac:dyDescent="0.35">
      <c r="A21" s="17">
        <v>45429</v>
      </c>
      <c r="B21" s="2"/>
      <c r="C21" s="2"/>
      <c r="D21" s="2"/>
      <c r="E21" s="2"/>
      <c r="F21" s="2"/>
      <c r="G21" s="2"/>
      <c r="H21" s="2"/>
      <c r="I21" s="2">
        <v>139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f t="shared" si="2"/>
        <v>139</v>
      </c>
    </row>
    <row r="22" spans="1:23" x14ac:dyDescent="0.35">
      <c r="A22" s="17">
        <v>45430</v>
      </c>
      <c r="B22" s="2"/>
      <c r="C22" s="2"/>
      <c r="D22" s="2"/>
      <c r="E22" s="2"/>
      <c r="F22" s="2"/>
      <c r="G22" s="2">
        <v>50</v>
      </c>
      <c r="H22" s="2"/>
      <c r="I22" s="2">
        <f>100+100</f>
        <v>200</v>
      </c>
      <c r="J22" s="2"/>
      <c r="K22" s="2"/>
      <c r="L22" s="2">
        <f>339+90</f>
        <v>429</v>
      </c>
      <c r="M22" s="2"/>
      <c r="N22" s="2"/>
      <c r="O22" s="2"/>
      <c r="P22" s="2"/>
      <c r="Q22" s="2"/>
      <c r="R22" s="2">
        <f>144+1142</f>
        <v>1286</v>
      </c>
      <c r="S22" s="15" t="s">
        <v>192</v>
      </c>
      <c r="T22" s="2">
        <f t="shared" si="2"/>
        <v>1965</v>
      </c>
    </row>
    <row r="23" spans="1:23" x14ac:dyDescent="0.35">
      <c r="A23" s="17">
        <v>45431</v>
      </c>
      <c r="B23" s="2"/>
      <c r="C23" s="2"/>
      <c r="D23" s="2"/>
      <c r="E23" s="2"/>
      <c r="F23" s="2"/>
      <c r="G23" s="2"/>
      <c r="H23" s="2"/>
      <c r="I23" s="2">
        <f>602+240</f>
        <v>842</v>
      </c>
      <c r="J23" s="2"/>
      <c r="K23" s="2"/>
      <c r="L23" s="2"/>
      <c r="M23" s="2"/>
      <c r="N23" s="2"/>
      <c r="O23" s="2"/>
      <c r="P23" s="2"/>
      <c r="Q23" s="2"/>
      <c r="R23" s="2">
        <v>488</v>
      </c>
      <c r="S23" s="2" t="s">
        <v>193</v>
      </c>
      <c r="T23" s="2">
        <f t="shared" si="2"/>
        <v>1330</v>
      </c>
    </row>
    <row r="24" spans="1:23" x14ac:dyDescent="0.35">
      <c r="A24" s="17">
        <v>45432</v>
      </c>
      <c r="B24" s="2"/>
      <c r="C24" s="2"/>
      <c r="D24" s="2"/>
      <c r="E24" s="2"/>
      <c r="F24" s="2"/>
      <c r="G24" s="2">
        <v>50</v>
      </c>
      <c r="H24" s="2"/>
      <c r="I24" s="2">
        <f>320+543.4</f>
        <v>863.4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 t="shared" si="2"/>
        <v>913.4</v>
      </c>
    </row>
    <row r="25" spans="1:23" x14ac:dyDescent="0.35">
      <c r="A25" s="17">
        <v>45433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f t="shared" si="2"/>
        <v>0</v>
      </c>
    </row>
    <row r="26" spans="1:23" x14ac:dyDescent="0.35">
      <c r="A26" s="17">
        <v>45434</v>
      </c>
      <c r="B26" s="2"/>
      <c r="C26" s="2"/>
      <c r="D26" s="2"/>
      <c r="E26" s="2"/>
      <c r="F26" s="2"/>
      <c r="G26" s="2"/>
      <c r="H26" s="2"/>
      <c r="I26" s="2">
        <v>120</v>
      </c>
      <c r="J26" s="2"/>
      <c r="K26" s="2"/>
      <c r="L26" s="2"/>
      <c r="M26" s="2"/>
      <c r="N26" s="2"/>
      <c r="O26" s="2"/>
      <c r="P26" s="2"/>
      <c r="Q26" s="2"/>
      <c r="R26" s="2">
        <v>600</v>
      </c>
      <c r="S26" s="2"/>
      <c r="T26" s="2">
        <f t="shared" si="2"/>
        <v>720</v>
      </c>
    </row>
    <row r="27" spans="1:23" x14ac:dyDescent="0.35">
      <c r="A27" s="17">
        <v>45435</v>
      </c>
      <c r="B27" s="2"/>
      <c r="C27" s="2"/>
      <c r="D27" s="2"/>
      <c r="E27" s="2"/>
      <c r="F27" s="2"/>
      <c r="G27" s="2"/>
      <c r="H27" s="2"/>
      <c r="I27" s="2">
        <v>121</v>
      </c>
      <c r="J27" s="2"/>
      <c r="K27" s="2"/>
      <c r="L27" s="2"/>
      <c r="M27" s="2"/>
      <c r="N27" s="2"/>
      <c r="O27" s="2"/>
      <c r="P27" s="2"/>
      <c r="Q27" s="2"/>
      <c r="R27" s="2">
        <v>299</v>
      </c>
      <c r="S27" s="2"/>
      <c r="T27" s="2">
        <f t="shared" si="2"/>
        <v>420</v>
      </c>
    </row>
    <row r="28" spans="1:23" x14ac:dyDescent="0.35">
      <c r="A28" s="17">
        <v>45436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f t="shared" si="2"/>
        <v>0</v>
      </c>
    </row>
    <row r="29" spans="1:23" x14ac:dyDescent="0.35">
      <c r="A29" s="17">
        <v>45437</v>
      </c>
      <c r="B29" s="2"/>
      <c r="C29" s="2"/>
      <c r="D29" s="2"/>
      <c r="E29" s="2"/>
      <c r="F29" s="2"/>
      <c r="G29" s="2">
        <v>100</v>
      </c>
      <c r="H29" s="2"/>
      <c r="I29" s="2">
        <f>158+(764/2)+220</f>
        <v>760</v>
      </c>
      <c r="J29" s="2"/>
      <c r="K29" s="2"/>
      <c r="L29" s="2">
        <v>489</v>
      </c>
      <c r="M29" s="2"/>
      <c r="N29" s="2"/>
      <c r="O29" s="2"/>
      <c r="P29" s="2"/>
      <c r="Q29" s="2"/>
      <c r="R29" s="2">
        <f>115+(764/2)+400+343</f>
        <v>1240</v>
      </c>
      <c r="S29" s="2" t="s">
        <v>194</v>
      </c>
      <c r="T29" s="2">
        <f t="shared" si="2"/>
        <v>2589</v>
      </c>
    </row>
    <row r="30" spans="1:23" x14ac:dyDescent="0.35">
      <c r="A30" s="17">
        <v>45438</v>
      </c>
      <c r="B30" s="2"/>
      <c r="C30" s="2"/>
      <c r="D30" s="2"/>
      <c r="E30" s="2"/>
      <c r="F30" s="2"/>
      <c r="H30" s="2"/>
      <c r="I30" s="2">
        <v>64</v>
      </c>
      <c r="J30" s="2"/>
      <c r="K30" s="2"/>
      <c r="L30" s="2"/>
      <c r="M30" s="2"/>
      <c r="N30" s="2"/>
      <c r="O30" s="2"/>
      <c r="P30" s="2"/>
      <c r="Q30" s="2">
        <v>348</v>
      </c>
      <c r="R30">
        <v>448</v>
      </c>
      <c r="S30" s="30" t="s">
        <v>195</v>
      </c>
      <c r="T30" s="2">
        <f t="shared" si="2"/>
        <v>860</v>
      </c>
    </row>
    <row r="31" spans="1:23" ht="15" customHeight="1" x14ac:dyDescent="0.35">
      <c r="A31" s="17">
        <v>45439</v>
      </c>
      <c r="B31" s="2"/>
      <c r="C31" s="2"/>
      <c r="D31" s="2"/>
      <c r="E31" s="2"/>
      <c r="F31" s="2"/>
      <c r="G31" s="2">
        <v>50</v>
      </c>
      <c r="H31" s="2"/>
      <c r="I31" s="2">
        <v>380</v>
      </c>
      <c r="J31" s="2"/>
      <c r="K31" s="2"/>
      <c r="L31" s="2"/>
      <c r="M31" s="2"/>
      <c r="N31" s="2"/>
      <c r="O31" s="2"/>
      <c r="P31" s="2"/>
      <c r="Q31" s="2"/>
      <c r="R31" s="2"/>
      <c r="S31" s="28"/>
      <c r="T31" s="2">
        <f>SUM(B31:Q31)</f>
        <v>430</v>
      </c>
    </row>
    <row r="32" spans="1:23" ht="15" customHeight="1" x14ac:dyDescent="0.35">
      <c r="A32" s="17">
        <v>45440</v>
      </c>
      <c r="B32" s="2"/>
      <c r="C32" s="2"/>
      <c r="D32" s="2"/>
      <c r="E32" s="2"/>
      <c r="F32" s="2"/>
      <c r="G32" s="2"/>
      <c r="H32" s="2"/>
      <c r="I32" s="2">
        <v>230</v>
      </c>
      <c r="J32" s="2"/>
      <c r="K32" s="2"/>
      <c r="L32" s="2"/>
      <c r="M32" s="2"/>
      <c r="N32" s="2"/>
      <c r="O32" s="2"/>
      <c r="P32" s="2"/>
      <c r="Q32" s="2"/>
      <c r="R32" s="2"/>
      <c r="S32" s="28"/>
      <c r="T32" s="2"/>
    </row>
    <row r="33" spans="1:20" ht="15" customHeight="1" x14ac:dyDescent="0.35">
      <c r="A33" s="17">
        <v>45441</v>
      </c>
      <c r="B33" s="2"/>
      <c r="C33" s="2"/>
      <c r="D33" s="2"/>
      <c r="E33" s="2"/>
      <c r="F33" s="2"/>
      <c r="G33" s="2">
        <v>50</v>
      </c>
      <c r="H33" s="2"/>
      <c r="I33" s="2">
        <v>191</v>
      </c>
      <c r="J33" s="2"/>
      <c r="K33" s="2"/>
      <c r="L33" s="2"/>
      <c r="M33" s="2"/>
      <c r="N33" s="2"/>
      <c r="O33" s="2"/>
      <c r="P33" s="2"/>
      <c r="Q33" s="2"/>
      <c r="R33" s="2"/>
      <c r="S33" s="28"/>
      <c r="T33" s="2"/>
    </row>
    <row r="34" spans="1:20" x14ac:dyDescent="0.35">
      <c r="A34" s="17">
        <v>45442</v>
      </c>
      <c r="B34" s="2"/>
      <c r="C34" s="2"/>
      <c r="D34" s="2"/>
      <c r="E34" s="2">
        <v>821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v>183</v>
      </c>
      <c r="S34" s="2" t="s">
        <v>69</v>
      </c>
      <c r="T34" s="2">
        <f t="shared" si="2"/>
        <v>1004</v>
      </c>
    </row>
    <row r="35" spans="1:20" x14ac:dyDescent="0.35">
      <c r="A35" s="17">
        <v>45443</v>
      </c>
      <c r="B35" s="2"/>
      <c r="C35" s="2"/>
      <c r="D35" s="2"/>
      <c r="E35" s="2"/>
      <c r="F35" s="2"/>
      <c r="G35" s="2"/>
      <c r="H35" s="2"/>
      <c r="I35" s="2">
        <v>55</v>
      </c>
      <c r="J35" s="2"/>
      <c r="K35" s="2"/>
      <c r="L35" s="2"/>
      <c r="M35" s="2"/>
      <c r="N35" s="2"/>
      <c r="O35" s="2"/>
      <c r="P35" s="2"/>
      <c r="Q35" s="2"/>
      <c r="R35" s="2">
        <v>554</v>
      </c>
      <c r="S35" s="2" t="s">
        <v>147</v>
      </c>
      <c r="T35" s="2"/>
    </row>
    <row r="36" spans="1:20" x14ac:dyDescent="0.35">
      <c r="A36" s="16" t="s">
        <v>29</v>
      </c>
      <c r="B36" s="16">
        <f t="shared" ref="B36:R36" si="3">SUM(B5:B34)</f>
        <v>22000</v>
      </c>
      <c r="C36" s="16">
        <f t="shared" si="3"/>
        <v>51166</v>
      </c>
      <c r="D36" s="16">
        <f t="shared" si="3"/>
        <v>0</v>
      </c>
      <c r="E36" s="16">
        <f t="shared" si="3"/>
        <v>821</v>
      </c>
      <c r="F36" s="16">
        <f t="shared" si="3"/>
        <v>805</v>
      </c>
      <c r="G36" s="16">
        <f t="shared" si="3"/>
        <v>630</v>
      </c>
      <c r="H36" s="16">
        <f t="shared" si="3"/>
        <v>484</v>
      </c>
      <c r="I36" s="16">
        <f>SUM(I5:I35)</f>
        <v>12165.4</v>
      </c>
      <c r="J36" s="16">
        <f t="shared" si="3"/>
        <v>400</v>
      </c>
      <c r="K36" s="16">
        <f t="shared" si="3"/>
        <v>0</v>
      </c>
      <c r="L36" s="16">
        <f t="shared" si="3"/>
        <v>2889</v>
      </c>
      <c r="M36" s="16">
        <f t="shared" si="3"/>
        <v>5000</v>
      </c>
      <c r="N36" s="16">
        <f t="shared" si="3"/>
        <v>1062</v>
      </c>
      <c r="O36" s="16">
        <f t="shared" si="3"/>
        <v>199</v>
      </c>
      <c r="P36" s="16">
        <f t="shared" si="3"/>
        <v>9500</v>
      </c>
      <c r="Q36" s="16">
        <f t="shared" si="3"/>
        <v>8348</v>
      </c>
      <c r="R36" s="16">
        <f t="shared" si="3"/>
        <v>11612</v>
      </c>
      <c r="S36" s="16"/>
      <c r="T36" s="2"/>
    </row>
    <row r="38" spans="1:20" x14ac:dyDescent="0.35">
      <c r="A38" s="24" t="s">
        <v>46</v>
      </c>
      <c r="B38" s="2">
        <v>151375</v>
      </c>
    </row>
    <row r="39" spans="1:20" x14ac:dyDescent="0.35">
      <c r="A39" s="24" t="s">
        <v>17</v>
      </c>
      <c r="B39" s="2">
        <f>SUM(B2:R2)-M2</f>
        <v>127430</v>
      </c>
    </row>
    <row r="40" spans="1:20" x14ac:dyDescent="0.35">
      <c r="A40" s="24" t="s">
        <v>47</v>
      </c>
      <c r="B40" s="2">
        <f>SUM(T5:T34)-M36</f>
        <v>121432.4</v>
      </c>
    </row>
    <row r="41" spans="1:20" x14ac:dyDescent="0.35">
      <c r="A41" s="24" t="s">
        <v>18</v>
      </c>
      <c r="B41" s="2">
        <f>B39-B40</f>
        <v>5997.6000000000058</v>
      </c>
    </row>
    <row r="42" spans="1:20" x14ac:dyDescent="0.35">
      <c r="A42" s="24" t="s">
        <v>34</v>
      </c>
      <c r="B42" s="2">
        <f>B38-SUM(B36:R36)</f>
        <v>24293.600000000006</v>
      </c>
    </row>
    <row r="43" spans="1:20" x14ac:dyDescent="0.35">
      <c r="A43" s="24" t="s">
        <v>83</v>
      </c>
      <c r="B43" s="2">
        <f>SUM(D36:L36)+SUM(N36:R36)</f>
        <v>48915.4</v>
      </c>
    </row>
    <row r="44" spans="1:20" x14ac:dyDescent="0.35">
      <c r="A44" s="24" t="s">
        <v>162</v>
      </c>
      <c r="B44" s="2">
        <f>B38-B43</f>
        <v>102459.6</v>
      </c>
    </row>
  </sheetData>
  <mergeCells count="1">
    <mergeCell ref="V1:W1"/>
  </mergeCells>
  <conditionalFormatting sqref="B4:R4">
    <cfRule type="cellIs" dxfId="23" priority="1" operator="greaterThan">
      <formula>99</formula>
    </cfRule>
    <cfRule type="cellIs" dxfId="22" priority="2" operator="between">
      <formula>51</formula>
      <formula>99</formula>
    </cfRule>
    <cfRule type="cellIs" dxfId="21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80" zoomScaleNormal="80" workbookViewId="0">
      <pane ySplit="1" topLeftCell="A2" activePane="bottomLeft" state="frozen"/>
      <selection pane="bottomLeft" activeCell="F5" sqref="F5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36.7265625" customWidth="1"/>
    <col min="20" max="20" width="17.453125" customWidth="1"/>
    <col min="22" max="22" width="21.81640625" bestFit="1" customWidth="1"/>
    <col min="23" max="23" width="12.1796875" customWidth="1"/>
  </cols>
  <sheetData>
    <row r="1" spans="1:23" x14ac:dyDescent="0.35">
      <c r="A1" s="43" t="s">
        <v>33</v>
      </c>
      <c r="B1" s="43" t="s">
        <v>2</v>
      </c>
      <c r="C1" s="43" t="s">
        <v>3</v>
      </c>
      <c r="D1" s="43" t="s">
        <v>4</v>
      </c>
      <c r="E1" s="43" t="s">
        <v>5</v>
      </c>
      <c r="F1" s="43" t="s">
        <v>6</v>
      </c>
      <c r="G1" s="43" t="s">
        <v>7</v>
      </c>
      <c r="H1" s="43" t="s">
        <v>8</v>
      </c>
      <c r="I1" s="43" t="s">
        <v>9</v>
      </c>
      <c r="J1" s="43" t="s">
        <v>10</v>
      </c>
      <c r="K1" s="43" t="s">
        <v>11</v>
      </c>
      <c r="L1" s="43" t="s">
        <v>12</v>
      </c>
      <c r="M1" s="43" t="s">
        <v>13</v>
      </c>
      <c r="N1" s="43" t="s">
        <v>16</v>
      </c>
      <c r="O1" s="43" t="s">
        <v>43</v>
      </c>
      <c r="P1" s="43" t="s">
        <v>64</v>
      </c>
      <c r="Q1" s="43" t="s">
        <v>14</v>
      </c>
      <c r="R1" s="43" t="s">
        <v>15</v>
      </c>
      <c r="S1" s="43" t="s">
        <v>35</v>
      </c>
      <c r="T1" s="43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22000</v>
      </c>
      <c r="C2" s="19">
        <v>51166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132430</v>
      </c>
      <c r="V2" s="34" t="s">
        <v>2</v>
      </c>
      <c r="W2" s="35">
        <f>B35</f>
        <v>22000</v>
      </c>
    </row>
    <row r="3" spans="1:23" s="23" customFormat="1" x14ac:dyDescent="0.35">
      <c r="A3" s="19" t="s">
        <v>18</v>
      </c>
      <c r="B3" s="19">
        <f t="shared" ref="B3:R3" si="0">B2-B35</f>
        <v>0</v>
      </c>
      <c r="C3" s="19">
        <f t="shared" si="0"/>
        <v>0</v>
      </c>
      <c r="D3" s="19">
        <f t="shared" si="0"/>
        <v>2500</v>
      </c>
      <c r="E3" s="19">
        <f t="shared" si="0"/>
        <v>862</v>
      </c>
      <c r="F3" s="19">
        <f t="shared" si="0"/>
        <v>292</v>
      </c>
      <c r="G3" s="19">
        <f t="shared" si="0"/>
        <v>690</v>
      </c>
      <c r="H3" s="19">
        <f t="shared" si="0"/>
        <v>16</v>
      </c>
      <c r="I3" s="19">
        <f t="shared" si="0"/>
        <v>3396</v>
      </c>
      <c r="J3" s="19">
        <f t="shared" si="0"/>
        <v>500</v>
      </c>
      <c r="K3" s="19">
        <f t="shared" si="0"/>
        <v>1200</v>
      </c>
      <c r="L3" s="19">
        <f t="shared" si="0"/>
        <v>159</v>
      </c>
      <c r="M3" s="19">
        <f t="shared" si="0"/>
        <v>0</v>
      </c>
      <c r="N3" s="19">
        <f t="shared" si="0"/>
        <v>438</v>
      </c>
      <c r="O3" s="19">
        <f t="shared" si="0"/>
        <v>190</v>
      </c>
      <c r="P3" s="19">
        <f t="shared" si="0"/>
        <v>2000</v>
      </c>
      <c r="Q3" s="19">
        <f t="shared" si="0"/>
        <v>0</v>
      </c>
      <c r="R3" s="19">
        <f t="shared" si="0"/>
        <v>-6418.5</v>
      </c>
      <c r="S3" s="19"/>
      <c r="T3" s="19">
        <f>SUM(B3:R3)</f>
        <v>5824.5</v>
      </c>
      <c r="V3" s="34" t="s">
        <v>3</v>
      </c>
      <c r="W3" s="35">
        <f>C35</f>
        <v>51166</v>
      </c>
    </row>
    <row r="4" spans="1:23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56.899999999999991</v>
      </c>
      <c r="F4" s="19">
        <f t="shared" si="1"/>
        <v>73.454545454545453</v>
      </c>
      <c r="G4" s="19">
        <f t="shared" si="1"/>
        <v>31</v>
      </c>
      <c r="H4" s="19">
        <f t="shared" si="1"/>
        <v>96.8</v>
      </c>
      <c r="I4" s="19">
        <f t="shared" si="1"/>
        <v>51.485714285714288</v>
      </c>
      <c r="J4" s="19">
        <f t="shared" si="1"/>
        <v>0</v>
      </c>
      <c r="K4" s="19">
        <f t="shared" si="1"/>
        <v>0</v>
      </c>
      <c r="L4" s="19">
        <f t="shared" si="1"/>
        <v>92.05</v>
      </c>
      <c r="M4" s="19">
        <f t="shared" si="1"/>
        <v>100</v>
      </c>
      <c r="N4" s="19">
        <f t="shared" si="1"/>
        <v>70.8</v>
      </c>
      <c r="O4" s="19">
        <f t="shared" si="1"/>
        <v>59.051724137931039</v>
      </c>
      <c r="P4" s="19">
        <f t="shared" si="1"/>
        <v>69.230769230769226</v>
      </c>
      <c r="Q4" s="19">
        <f t="shared" si="1"/>
        <v>100</v>
      </c>
      <c r="R4" s="21">
        <f t="shared" si="1"/>
        <v>132.0925</v>
      </c>
      <c r="S4" s="19"/>
      <c r="T4" s="21">
        <f t="shared" si="1"/>
        <v>95.601827380502897</v>
      </c>
      <c r="V4" s="34" t="s">
        <v>4</v>
      </c>
      <c r="W4" s="35">
        <f>D35</f>
        <v>0</v>
      </c>
    </row>
    <row r="5" spans="1:23" x14ac:dyDescent="0.35">
      <c r="A5" s="17">
        <v>45444</v>
      </c>
      <c r="B5" s="2"/>
      <c r="C5" s="2"/>
      <c r="D5" s="2"/>
      <c r="E5" s="2">
        <v>1138</v>
      </c>
      <c r="F5" s="2"/>
      <c r="G5" s="2"/>
      <c r="H5" s="2"/>
      <c r="I5" s="2">
        <v>35</v>
      </c>
      <c r="J5" s="2"/>
      <c r="K5" s="2"/>
      <c r="L5" s="2">
        <f>280+45+30+10+20+10</f>
        <v>395</v>
      </c>
      <c r="M5" s="2"/>
      <c r="N5" s="2">
        <v>1062</v>
      </c>
      <c r="O5" s="2"/>
      <c r="P5" s="2"/>
      <c r="Q5" s="2">
        <v>8000</v>
      </c>
      <c r="R5" s="2">
        <v>236</v>
      </c>
      <c r="S5" s="2" t="s">
        <v>241</v>
      </c>
      <c r="T5" s="2">
        <f>SUM(B5:R5)</f>
        <v>10866</v>
      </c>
      <c r="V5" s="34" t="s">
        <v>5</v>
      </c>
      <c r="W5" s="36">
        <f>E35</f>
        <v>1138</v>
      </c>
    </row>
    <row r="6" spans="1:23" x14ac:dyDescent="0.35">
      <c r="A6" s="17">
        <v>45445</v>
      </c>
      <c r="B6" s="2">
        <v>22000</v>
      </c>
      <c r="C6" s="2"/>
      <c r="D6" s="2"/>
      <c r="E6" s="2"/>
      <c r="F6" s="2"/>
      <c r="G6" s="2"/>
      <c r="H6" s="2"/>
      <c r="I6" s="2">
        <f>48+350</f>
        <v>398</v>
      </c>
      <c r="J6" s="2"/>
      <c r="K6" s="2"/>
      <c r="L6" s="2">
        <v>15</v>
      </c>
      <c r="M6" s="2">
        <v>5000</v>
      </c>
      <c r="N6" s="2"/>
      <c r="O6" s="2"/>
      <c r="P6" s="2">
        <v>1500</v>
      </c>
      <c r="Q6" s="2"/>
      <c r="R6" s="2"/>
      <c r="S6" s="2"/>
      <c r="T6" s="2">
        <f>SUM(B6:R6)</f>
        <v>28913</v>
      </c>
      <c r="V6" s="34" t="s">
        <v>6</v>
      </c>
      <c r="W6" s="36">
        <f>F35</f>
        <v>808</v>
      </c>
    </row>
    <row r="7" spans="1:23" x14ac:dyDescent="0.35">
      <c r="A7" s="17">
        <v>45446</v>
      </c>
      <c r="B7" s="2"/>
      <c r="C7" s="2"/>
      <c r="D7" s="2"/>
      <c r="E7" s="2"/>
      <c r="F7" s="2">
        <v>700</v>
      </c>
      <c r="H7" s="2"/>
      <c r="I7" s="2">
        <v>183</v>
      </c>
      <c r="J7" s="2"/>
      <c r="K7" s="2"/>
      <c r="L7" s="2"/>
      <c r="M7" s="2"/>
      <c r="N7" s="2"/>
      <c r="O7" s="2"/>
      <c r="P7" s="2"/>
      <c r="Q7" s="2"/>
      <c r="R7" s="2">
        <v>180</v>
      </c>
      <c r="S7" s="2" t="s">
        <v>244</v>
      </c>
      <c r="T7" s="2">
        <f t="shared" ref="T7:T34" si="2">SUM(B7:R7)</f>
        <v>1063</v>
      </c>
      <c r="V7" s="34" t="s">
        <v>7</v>
      </c>
      <c r="W7" s="36">
        <f>G35</f>
        <v>310</v>
      </c>
    </row>
    <row r="8" spans="1:23" x14ac:dyDescent="0.35">
      <c r="A8" s="17">
        <v>45447</v>
      </c>
      <c r="B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>
        <v>1142</v>
      </c>
      <c r="S8" s="15" t="s">
        <v>242</v>
      </c>
      <c r="T8" s="2">
        <f t="shared" si="2"/>
        <v>1142</v>
      </c>
      <c r="V8" s="34" t="s">
        <v>8</v>
      </c>
      <c r="W8" s="36">
        <f>H35</f>
        <v>484</v>
      </c>
    </row>
    <row r="9" spans="1:23" x14ac:dyDescent="0.35">
      <c r="A9" s="17">
        <v>45448</v>
      </c>
      <c r="B9" s="2"/>
      <c r="C9" s="2">
        <v>51166</v>
      </c>
      <c r="D9" s="2"/>
      <c r="E9" s="2"/>
      <c r="F9" s="2"/>
      <c r="G9" s="2"/>
      <c r="H9" s="2"/>
      <c r="I9" s="2"/>
      <c r="J9" s="2"/>
      <c r="K9" s="2"/>
      <c r="L9" s="2">
        <v>160</v>
      </c>
      <c r="M9" s="2"/>
      <c r="N9" s="2"/>
      <c r="O9" s="2"/>
      <c r="P9" s="2">
        <v>3000</v>
      </c>
      <c r="Q9" s="2"/>
      <c r="R9" s="2">
        <f>1824+750+120</f>
        <v>2694</v>
      </c>
      <c r="S9" s="2" t="s">
        <v>243</v>
      </c>
      <c r="T9" s="2">
        <f t="shared" si="2"/>
        <v>57020</v>
      </c>
      <c r="V9" s="34" t="s">
        <v>9</v>
      </c>
      <c r="W9" s="36">
        <f>I35</f>
        <v>3604</v>
      </c>
    </row>
    <row r="10" spans="1:23" x14ac:dyDescent="0.35">
      <c r="A10" s="17">
        <v>45449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f>5000+116</f>
        <v>5116</v>
      </c>
      <c r="S10" s="2" t="s">
        <v>245</v>
      </c>
      <c r="T10" s="2">
        <f t="shared" si="2"/>
        <v>5116</v>
      </c>
      <c r="V10" s="34" t="s">
        <v>10</v>
      </c>
      <c r="W10" s="36">
        <f>J35</f>
        <v>0</v>
      </c>
    </row>
    <row r="11" spans="1:23" x14ac:dyDescent="0.35">
      <c r="A11" s="17">
        <v>45450</v>
      </c>
      <c r="B11" s="2"/>
      <c r="C11" s="2"/>
      <c r="D11" s="2"/>
      <c r="E11" s="2"/>
      <c r="F11" s="2"/>
      <c r="G11" s="2"/>
      <c r="H11" s="2">
        <v>242</v>
      </c>
      <c r="I11" s="2">
        <v>30</v>
      </c>
      <c r="J11" s="2"/>
      <c r="K11" s="2"/>
      <c r="L11" s="2">
        <v>40</v>
      </c>
      <c r="M11" s="2"/>
      <c r="N11" s="2"/>
      <c r="O11" s="2"/>
      <c r="P11" s="2"/>
      <c r="Q11" s="2"/>
      <c r="R11" s="2">
        <f>199+86</f>
        <v>285</v>
      </c>
      <c r="S11" s="15" t="s">
        <v>246</v>
      </c>
      <c r="T11" s="2">
        <f t="shared" si="2"/>
        <v>597</v>
      </c>
      <c r="V11" s="34" t="s">
        <v>11</v>
      </c>
      <c r="W11" s="36">
        <f>K35</f>
        <v>0</v>
      </c>
    </row>
    <row r="12" spans="1:23" x14ac:dyDescent="0.35">
      <c r="A12" s="17">
        <v>45451</v>
      </c>
      <c r="B12" s="2"/>
      <c r="C12" s="2"/>
      <c r="D12" s="2"/>
      <c r="E12" s="2"/>
      <c r="F12" s="2"/>
      <c r="G12" s="2"/>
      <c r="H12" s="2">
        <v>242</v>
      </c>
      <c r="I12" s="2">
        <f>221+60+40</f>
        <v>321</v>
      </c>
      <c r="J12" s="2"/>
      <c r="K12" s="2"/>
      <c r="L12" s="2">
        <v>150</v>
      </c>
      <c r="M12" s="2"/>
      <c r="N12" s="2"/>
      <c r="O12" s="2"/>
      <c r="P12" s="2"/>
      <c r="Q12" s="2"/>
      <c r="R12" s="2"/>
      <c r="S12" s="2"/>
      <c r="T12" s="2">
        <f t="shared" si="2"/>
        <v>713</v>
      </c>
      <c r="V12" s="34" t="s">
        <v>12</v>
      </c>
      <c r="W12" s="36">
        <f>L35</f>
        <v>1841</v>
      </c>
    </row>
    <row r="13" spans="1:23" x14ac:dyDescent="0.35">
      <c r="A13" s="17">
        <v>45452</v>
      </c>
      <c r="B13" s="2"/>
      <c r="C13" s="2"/>
      <c r="D13" s="2"/>
      <c r="E13" s="2"/>
      <c r="F13" s="2"/>
      <c r="G13" s="2"/>
      <c r="H13" s="2"/>
      <c r="I13" s="2">
        <v>75</v>
      </c>
      <c r="J13" s="2"/>
      <c r="K13" s="2"/>
      <c r="L13" s="2"/>
      <c r="M13" s="2"/>
      <c r="N13" s="2"/>
      <c r="O13" s="2"/>
      <c r="P13" s="2"/>
      <c r="Q13" s="2"/>
      <c r="R13" s="2">
        <f>444+3000+4546</f>
        <v>7990</v>
      </c>
      <c r="S13" s="2" t="s">
        <v>247</v>
      </c>
      <c r="T13" s="2">
        <f t="shared" si="2"/>
        <v>8065</v>
      </c>
      <c r="V13" s="34" t="s">
        <v>13</v>
      </c>
      <c r="W13" s="36">
        <f>M35</f>
        <v>5000</v>
      </c>
    </row>
    <row r="14" spans="1:23" x14ac:dyDescent="0.35">
      <c r="A14" s="17">
        <v>45453</v>
      </c>
      <c r="B14" s="2"/>
      <c r="C14" s="2"/>
      <c r="D14" s="2"/>
      <c r="E14" s="2"/>
      <c r="F14" s="2"/>
      <c r="G14" s="2"/>
      <c r="H14" s="2"/>
      <c r="J14" s="2"/>
      <c r="K14" s="2"/>
      <c r="L14" s="2">
        <v>30</v>
      </c>
      <c r="M14" s="2"/>
      <c r="N14" s="2"/>
      <c r="O14" s="2"/>
      <c r="P14" s="2"/>
      <c r="Q14" s="2"/>
      <c r="R14" s="2"/>
      <c r="S14" s="2"/>
      <c r="T14" s="2">
        <f>SUM(B14:R14)</f>
        <v>30</v>
      </c>
      <c r="V14" s="34" t="s">
        <v>16</v>
      </c>
      <c r="W14" s="36">
        <f>N35</f>
        <v>1062</v>
      </c>
    </row>
    <row r="15" spans="1:23" x14ac:dyDescent="0.35">
      <c r="A15" s="17">
        <v>45454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240</v>
      </c>
      <c r="M15" s="2"/>
      <c r="N15" s="2"/>
      <c r="O15" s="2">
        <v>199</v>
      </c>
      <c r="P15" s="2"/>
      <c r="Q15" s="2"/>
      <c r="R15" s="30"/>
      <c r="S15" s="27"/>
      <c r="T15" s="2">
        <f t="shared" si="2"/>
        <v>439</v>
      </c>
      <c r="V15" s="34" t="s">
        <v>43</v>
      </c>
      <c r="W15" s="36">
        <f>O35</f>
        <v>274</v>
      </c>
    </row>
    <row r="16" spans="1:23" x14ac:dyDescent="0.35">
      <c r="A16" s="17">
        <v>45455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5"/>
      <c r="T16" s="2">
        <f>SUM(B16:Q16)</f>
        <v>0</v>
      </c>
      <c r="V16" s="34" t="s">
        <v>64</v>
      </c>
      <c r="W16" s="36">
        <f>P35</f>
        <v>4500</v>
      </c>
    </row>
    <row r="17" spans="1:23" x14ac:dyDescent="0.35">
      <c r="A17" s="17">
        <v>45456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19</v>
      </c>
      <c r="S17" s="2" t="s">
        <v>16</v>
      </c>
      <c r="T17" s="2">
        <f t="shared" si="2"/>
        <v>19</v>
      </c>
      <c r="V17" s="34" t="s">
        <v>14</v>
      </c>
      <c r="W17" s="36">
        <f>Q35</f>
        <v>8000</v>
      </c>
    </row>
    <row r="18" spans="1:23" x14ac:dyDescent="0.35">
      <c r="A18" s="17">
        <v>45457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f>29+2000</f>
        <v>2029</v>
      </c>
      <c r="S18" s="2" t="s">
        <v>248</v>
      </c>
      <c r="T18" s="2">
        <f t="shared" si="2"/>
        <v>2029</v>
      </c>
      <c r="V18" s="34" t="s">
        <v>15</v>
      </c>
      <c r="W18" s="36">
        <f>R35</f>
        <v>26418.5</v>
      </c>
    </row>
    <row r="19" spans="1:23" x14ac:dyDescent="0.35">
      <c r="A19" s="17">
        <v>45458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642</v>
      </c>
      <c r="M19" s="2"/>
      <c r="N19" s="2"/>
      <c r="O19" s="2"/>
      <c r="P19" s="2"/>
      <c r="Q19" s="2"/>
      <c r="R19" s="2"/>
      <c r="S19" s="15"/>
      <c r="T19" s="2">
        <f t="shared" si="2"/>
        <v>642</v>
      </c>
    </row>
    <row r="20" spans="1:23" x14ac:dyDescent="0.35">
      <c r="A20" s="17">
        <v>45459</v>
      </c>
      <c r="B20" s="2"/>
      <c r="C20" s="2"/>
      <c r="D20" s="2"/>
      <c r="E20" s="2"/>
      <c r="F20" s="2"/>
      <c r="G20" s="2"/>
      <c r="H20" s="2"/>
      <c r="I20" s="2">
        <f>224+213+50+65</f>
        <v>552</v>
      </c>
      <c r="J20" s="2"/>
      <c r="K20" s="2"/>
      <c r="L20" s="2">
        <v>147</v>
      </c>
      <c r="M20" s="2"/>
      <c r="N20" s="2"/>
      <c r="O20" s="2"/>
      <c r="P20" s="2"/>
      <c r="Q20" s="2"/>
      <c r="R20" s="2"/>
      <c r="S20" s="2"/>
      <c r="T20" s="2">
        <f t="shared" si="2"/>
        <v>699</v>
      </c>
    </row>
    <row r="21" spans="1:23" x14ac:dyDescent="0.35">
      <c r="A21" s="17">
        <v>45460</v>
      </c>
      <c r="B21" s="2"/>
      <c r="C21" s="2"/>
      <c r="D21" s="2"/>
      <c r="E21" s="2"/>
      <c r="F21" s="2"/>
      <c r="G21" s="2">
        <v>50</v>
      </c>
      <c r="H21" s="2"/>
      <c r="I21" s="2">
        <v>114</v>
      </c>
      <c r="J21" s="2"/>
      <c r="K21" s="2"/>
      <c r="L21" s="2"/>
      <c r="M21" s="2"/>
      <c r="N21" s="2"/>
      <c r="O21" s="2"/>
      <c r="P21" s="2"/>
      <c r="Q21" s="2"/>
      <c r="R21" s="2">
        <v>800</v>
      </c>
      <c r="S21" s="2" t="s">
        <v>249</v>
      </c>
      <c r="T21" s="2">
        <f t="shared" si="2"/>
        <v>964</v>
      </c>
    </row>
    <row r="22" spans="1:23" x14ac:dyDescent="0.35">
      <c r="A22" s="17">
        <v>45461</v>
      </c>
      <c r="B22" s="2"/>
      <c r="C22" s="2"/>
      <c r="D22" s="2"/>
      <c r="E22" s="2"/>
      <c r="F22" s="2"/>
      <c r="G22" s="2">
        <v>30</v>
      </c>
      <c r="H22" s="2"/>
      <c r="I22" s="2">
        <v>30</v>
      </c>
      <c r="J22" s="2"/>
      <c r="K22" s="2"/>
      <c r="L22" s="2"/>
      <c r="M22" s="2"/>
      <c r="N22" s="2"/>
      <c r="O22" s="2"/>
      <c r="P22" s="2"/>
      <c r="Q22" s="2"/>
      <c r="R22" s="2">
        <f>335.5+1136</f>
        <v>1471.5</v>
      </c>
      <c r="S22" s="15" t="s">
        <v>250</v>
      </c>
      <c r="T22" s="2">
        <f t="shared" si="2"/>
        <v>1531.5</v>
      </c>
    </row>
    <row r="23" spans="1:23" x14ac:dyDescent="0.35">
      <c r="A23" s="17">
        <v>45462</v>
      </c>
      <c r="B23" s="2"/>
      <c r="C23" s="2"/>
      <c r="D23" s="2"/>
      <c r="E23" s="2"/>
      <c r="F23" s="2"/>
      <c r="G23" s="2"/>
      <c r="H23" s="2"/>
      <c r="I23" s="2">
        <v>332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f t="shared" si="2"/>
        <v>332</v>
      </c>
    </row>
    <row r="24" spans="1:23" x14ac:dyDescent="0.35">
      <c r="A24" s="17">
        <v>45463</v>
      </c>
      <c r="B24" s="2"/>
      <c r="C24" s="2"/>
      <c r="D24" s="2"/>
      <c r="E24" s="2"/>
      <c r="F24" s="2"/>
      <c r="G24" s="2"/>
      <c r="H24" s="2"/>
      <c r="I24" s="2">
        <v>254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 t="shared" si="2"/>
        <v>254</v>
      </c>
    </row>
    <row r="25" spans="1:23" x14ac:dyDescent="0.35">
      <c r="A25" s="17">
        <v>45464</v>
      </c>
      <c r="B25" s="2"/>
      <c r="C25" s="2"/>
      <c r="D25" s="2"/>
      <c r="E25" s="2"/>
      <c r="F25" s="2"/>
      <c r="G25" s="2">
        <v>30</v>
      </c>
      <c r="H25" s="2"/>
      <c r="I25" s="2">
        <v>17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f t="shared" si="2"/>
        <v>47</v>
      </c>
    </row>
    <row r="26" spans="1:23" x14ac:dyDescent="0.35">
      <c r="A26" s="17">
        <v>45465</v>
      </c>
      <c r="B26" s="2"/>
      <c r="C26" s="2"/>
      <c r="D26" s="2"/>
      <c r="E26" s="2"/>
      <c r="F26" s="2"/>
      <c r="G26" s="2"/>
      <c r="H26" s="2"/>
      <c r="I26" s="2">
        <v>165</v>
      </c>
      <c r="J26" s="2"/>
      <c r="K26" s="2"/>
      <c r="L26" s="2">
        <v>22</v>
      </c>
      <c r="M26" s="2"/>
      <c r="N26" s="2"/>
      <c r="O26" s="2">
        <v>75</v>
      </c>
      <c r="P26" s="2"/>
      <c r="Q26" s="2"/>
      <c r="R26" s="2">
        <v>550</v>
      </c>
      <c r="S26" s="2" t="s">
        <v>251</v>
      </c>
      <c r="T26" s="2">
        <f t="shared" si="2"/>
        <v>812</v>
      </c>
    </row>
    <row r="27" spans="1:23" x14ac:dyDescent="0.35">
      <c r="A27" s="17">
        <v>45466</v>
      </c>
      <c r="B27" s="2"/>
      <c r="C27" s="2"/>
      <c r="D27" s="2"/>
      <c r="E27" s="2"/>
      <c r="F27" s="2">
        <v>54</v>
      </c>
      <c r="G27" s="2">
        <v>50</v>
      </c>
      <c r="H27" s="2"/>
      <c r="I27" s="2">
        <v>340</v>
      </c>
      <c r="J27" s="2"/>
      <c r="K27" s="2"/>
      <c r="L27" s="2"/>
      <c r="M27" s="2"/>
      <c r="N27" s="2"/>
      <c r="O27" s="2"/>
      <c r="P27" s="2"/>
      <c r="Q27" s="2"/>
      <c r="R27" s="2">
        <v>1361</v>
      </c>
      <c r="S27" s="2" t="s">
        <v>252</v>
      </c>
      <c r="T27" s="2">
        <f t="shared" si="2"/>
        <v>1805</v>
      </c>
    </row>
    <row r="28" spans="1:23" x14ac:dyDescent="0.35">
      <c r="A28" s="17">
        <v>45467</v>
      </c>
      <c r="B28" s="2"/>
      <c r="C28" s="2"/>
      <c r="D28" s="2"/>
      <c r="E28" s="2"/>
      <c r="F28" s="2"/>
      <c r="G28" s="2"/>
      <c r="H28" s="2"/>
      <c r="I28" s="2">
        <v>44</v>
      </c>
      <c r="J28" s="2"/>
      <c r="K28" s="2"/>
      <c r="L28" s="2"/>
      <c r="M28" s="2"/>
      <c r="N28" s="2"/>
      <c r="O28" s="2"/>
      <c r="P28" s="2"/>
      <c r="Q28" s="2"/>
      <c r="R28" s="2">
        <v>548</v>
      </c>
      <c r="S28" s="2" t="s">
        <v>253</v>
      </c>
      <c r="T28" s="2">
        <f t="shared" si="2"/>
        <v>592</v>
      </c>
    </row>
    <row r="29" spans="1:23" x14ac:dyDescent="0.35">
      <c r="A29" s="17">
        <v>45468</v>
      </c>
      <c r="B29" s="2"/>
      <c r="C29" s="2"/>
      <c r="D29" s="2"/>
      <c r="E29" s="2"/>
      <c r="F29" s="2">
        <v>54</v>
      </c>
      <c r="G29" s="2">
        <v>50</v>
      </c>
      <c r="H29" s="2"/>
      <c r="I29" s="2">
        <v>85</v>
      </c>
      <c r="J29" s="2"/>
      <c r="K29" s="2"/>
      <c r="L29" s="2"/>
      <c r="M29" s="2"/>
      <c r="N29" s="2"/>
      <c r="O29" s="2"/>
      <c r="P29" s="2"/>
      <c r="Q29" s="2"/>
      <c r="R29" s="2">
        <v>1450</v>
      </c>
      <c r="S29" s="2" t="s">
        <v>8</v>
      </c>
      <c r="T29" s="2">
        <f t="shared" si="2"/>
        <v>1639</v>
      </c>
    </row>
    <row r="30" spans="1:23" x14ac:dyDescent="0.35">
      <c r="A30" s="17">
        <v>45469</v>
      </c>
      <c r="B30" s="2"/>
      <c r="C30" s="2"/>
      <c r="D30" s="2"/>
      <c r="E30" s="2"/>
      <c r="F30" s="2"/>
      <c r="H30" s="2"/>
      <c r="I30" s="2">
        <v>394</v>
      </c>
      <c r="J30" s="2"/>
      <c r="K30" s="2"/>
      <c r="L30" s="2"/>
      <c r="M30" s="2"/>
      <c r="N30" s="2"/>
      <c r="O30" s="2"/>
      <c r="P30" s="2"/>
      <c r="Q30" s="2"/>
      <c r="S30" s="30"/>
      <c r="T30" s="2">
        <f t="shared" si="2"/>
        <v>394</v>
      </c>
    </row>
    <row r="31" spans="1:23" ht="15" customHeight="1" x14ac:dyDescent="0.35">
      <c r="A31" s="17">
        <v>45470</v>
      </c>
      <c r="B31" s="2"/>
      <c r="C31" s="2"/>
      <c r="D31" s="2"/>
      <c r="E31" s="2"/>
      <c r="F31" s="2"/>
      <c r="G31" s="2">
        <v>50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f>389+158</f>
        <v>547</v>
      </c>
      <c r="S31" s="28" t="s">
        <v>254</v>
      </c>
      <c r="T31" s="2">
        <f>SUM(B31:Q31)</f>
        <v>50</v>
      </c>
    </row>
    <row r="32" spans="1:23" ht="15" customHeight="1" x14ac:dyDescent="0.35">
      <c r="A32" s="17">
        <v>45471</v>
      </c>
      <c r="B32" s="2"/>
      <c r="C32" s="2"/>
      <c r="D32" s="2"/>
      <c r="E32" s="2"/>
      <c r="F32" s="2"/>
      <c r="G32" s="2">
        <v>50</v>
      </c>
      <c r="H32" s="2"/>
      <c r="I32" s="2">
        <v>235</v>
      </c>
      <c r="J32" s="2"/>
      <c r="K32" s="2"/>
      <c r="L32" s="2"/>
      <c r="M32" s="2"/>
      <c r="N32" s="2"/>
      <c r="O32" s="2"/>
      <c r="P32" s="2"/>
      <c r="Q32" s="2"/>
      <c r="R32" s="2"/>
      <c r="S32" s="28"/>
      <c r="T32" s="2"/>
    </row>
    <row r="33" spans="1:20" ht="15" customHeight="1" x14ac:dyDescent="0.35">
      <c r="A33" s="17">
        <v>45472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8"/>
      <c r="T33" s="2"/>
    </row>
    <row r="34" spans="1:20" x14ac:dyDescent="0.35">
      <c r="A34" s="17">
        <v>45473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f t="shared" si="2"/>
        <v>0</v>
      </c>
    </row>
    <row r="35" spans="1:20" x14ac:dyDescent="0.35">
      <c r="A35" s="16" t="s">
        <v>29</v>
      </c>
      <c r="B35" s="16">
        <f t="shared" ref="B35:R35" si="3">SUM(B5:B34)</f>
        <v>22000</v>
      </c>
      <c r="C35" s="16">
        <f t="shared" si="3"/>
        <v>51166</v>
      </c>
      <c r="D35" s="16">
        <f t="shared" si="3"/>
        <v>0</v>
      </c>
      <c r="E35" s="16">
        <f t="shared" si="3"/>
        <v>1138</v>
      </c>
      <c r="F35" s="16">
        <f t="shared" si="3"/>
        <v>808</v>
      </c>
      <c r="G35" s="16">
        <f t="shared" si="3"/>
        <v>310</v>
      </c>
      <c r="H35" s="16">
        <f t="shared" si="3"/>
        <v>484</v>
      </c>
      <c r="I35" s="16">
        <f t="shared" si="3"/>
        <v>3604</v>
      </c>
      <c r="J35" s="16">
        <f t="shared" si="3"/>
        <v>0</v>
      </c>
      <c r="K35" s="16">
        <f t="shared" si="3"/>
        <v>0</v>
      </c>
      <c r="L35" s="16">
        <f t="shared" si="3"/>
        <v>1841</v>
      </c>
      <c r="M35" s="16">
        <f t="shared" si="3"/>
        <v>5000</v>
      </c>
      <c r="N35" s="16">
        <f t="shared" si="3"/>
        <v>1062</v>
      </c>
      <c r="O35" s="16">
        <f t="shared" si="3"/>
        <v>274</v>
      </c>
      <c r="P35" s="16">
        <f t="shared" si="3"/>
        <v>4500</v>
      </c>
      <c r="Q35" s="16">
        <f t="shared" si="3"/>
        <v>8000</v>
      </c>
      <c r="R35" s="16">
        <f t="shared" si="3"/>
        <v>26418.5</v>
      </c>
      <c r="S35" s="16"/>
      <c r="T35" s="2"/>
    </row>
    <row r="37" spans="1:20" x14ac:dyDescent="0.35">
      <c r="A37" s="24" t="s">
        <v>46</v>
      </c>
      <c r="B37" s="2">
        <v>150720</v>
      </c>
    </row>
    <row r="38" spans="1:20" x14ac:dyDescent="0.35">
      <c r="A38" s="24" t="s">
        <v>17</v>
      </c>
      <c r="B38" s="2">
        <f>SUM(B2:R2)-M2</f>
        <v>127430</v>
      </c>
    </row>
    <row r="39" spans="1:20" x14ac:dyDescent="0.35">
      <c r="A39" s="24" t="s">
        <v>47</v>
      </c>
      <c r="B39" s="2">
        <f>SUM(T5:T34)-M35</f>
        <v>120773.5</v>
      </c>
    </row>
    <row r="40" spans="1:20" x14ac:dyDescent="0.35">
      <c r="A40" s="24" t="s">
        <v>18</v>
      </c>
      <c r="B40" s="2">
        <f>B38-B39</f>
        <v>6656.5</v>
      </c>
    </row>
    <row r="41" spans="1:20" x14ac:dyDescent="0.35">
      <c r="A41" s="24" t="s">
        <v>34</v>
      </c>
      <c r="B41" s="2">
        <f>B37-SUM(B35:R35)</f>
        <v>24114.5</v>
      </c>
    </row>
    <row r="42" spans="1:20" x14ac:dyDescent="0.35">
      <c r="A42" s="24" t="s">
        <v>83</v>
      </c>
      <c r="B42" s="2">
        <f>SUM(D35:L35)+SUM(N35:R35)</f>
        <v>48439.5</v>
      </c>
    </row>
    <row r="43" spans="1:20" x14ac:dyDescent="0.35">
      <c r="A43" s="24" t="s">
        <v>162</v>
      </c>
      <c r="B43" s="2">
        <f>B37-B42</f>
        <v>102280.5</v>
      </c>
    </row>
  </sheetData>
  <mergeCells count="1">
    <mergeCell ref="V1:W1"/>
  </mergeCells>
  <conditionalFormatting sqref="B4:R4">
    <cfRule type="cellIs" dxfId="20" priority="1" operator="greaterThan">
      <formula>99</formula>
    </cfRule>
    <cfRule type="cellIs" dxfId="19" priority="2" operator="between">
      <formula>51</formula>
      <formula>99</formula>
    </cfRule>
    <cfRule type="cellIs" dxfId="18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zoomScale="80" zoomScaleNormal="80" workbookViewId="0">
      <pane ySplit="1" topLeftCell="A2" activePane="bottomLeft" state="frozen"/>
      <selection pane="bottomLeft" activeCell="F5" sqref="F5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8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36.7265625" customWidth="1"/>
    <col min="20" max="20" width="17.453125" customWidth="1"/>
    <col min="22" max="22" width="21.81640625" bestFit="1" customWidth="1"/>
    <col min="23" max="23" width="12.1796875" customWidth="1"/>
  </cols>
  <sheetData>
    <row r="1" spans="1:23" x14ac:dyDescent="0.35">
      <c r="A1" s="47" t="s">
        <v>33</v>
      </c>
      <c r="B1" s="47" t="s">
        <v>2</v>
      </c>
      <c r="C1" s="47" t="s">
        <v>3</v>
      </c>
      <c r="D1" s="47" t="s">
        <v>4</v>
      </c>
      <c r="E1" s="47" t="s">
        <v>5</v>
      </c>
      <c r="F1" s="47" t="s">
        <v>6</v>
      </c>
      <c r="G1" s="47" t="s">
        <v>7</v>
      </c>
      <c r="H1" s="47" t="s">
        <v>8</v>
      </c>
      <c r="I1" s="47" t="s">
        <v>9</v>
      </c>
      <c r="J1" s="47" t="s">
        <v>10</v>
      </c>
      <c r="K1" s="47" t="s">
        <v>11</v>
      </c>
      <c r="L1" s="47" t="s">
        <v>12</v>
      </c>
      <c r="M1" s="47" t="s">
        <v>13</v>
      </c>
      <c r="N1" s="47" t="s">
        <v>16</v>
      </c>
      <c r="O1" s="47" t="s">
        <v>43</v>
      </c>
      <c r="P1" s="47" t="s">
        <v>64</v>
      </c>
      <c r="Q1" s="47" t="s">
        <v>14</v>
      </c>
      <c r="R1" s="47" t="s">
        <v>15</v>
      </c>
      <c r="S1" s="47" t="s">
        <v>35</v>
      </c>
      <c r="T1" s="47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23100</v>
      </c>
      <c r="C2" s="19">
        <v>51166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133530</v>
      </c>
      <c r="V2" s="34" t="s">
        <v>2</v>
      </c>
      <c r="W2" s="35">
        <f>B36</f>
        <v>23100</v>
      </c>
    </row>
    <row r="3" spans="1:23" s="23" customFormat="1" x14ac:dyDescent="0.35">
      <c r="A3" s="19" t="s">
        <v>18</v>
      </c>
      <c r="B3" s="19">
        <f t="shared" ref="B3:R3" si="0">B2-B36</f>
        <v>0</v>
      </c>
      <c r="C3" s="19">
        <f t="shared" si="0"/>
        <v>0</v>
      </c>
      <c r="D3" s="19">
        <f t="shared" si="0"/>
        <v>2500</v>
      </c>
      <c r="E3" s="19">
        <f t="shared" si="0"/>
        <v>862</v>
      </c>
      <c r="F3" s="19">
        <f t="shared" si="0"/>
        <v>820</v>
      </c>
      <c r="G3" s="19">
        <f t="shared" si="0"/>
        <v>300</v>
      </c>
      <c r="H3" s="19">
        <f t="shared" si="0"/>
        <v>2</v>
      </c>
      <c r="I3" s="19">
        <f t="shared" si="0"/>
        <v>-3926</v>
      </c>
      <c r="J3" s="19">
        <f t="shared" si="0"/>
        <v>-300</v>
      </c>
      <c r="K3" s="19">
        <f t="shared" si="0"/>
        <v>607</v>
      </c>
      <c r="L3" s="19">
        <f t="shared" si="0"/>
        <v>-3181</v>
      </c>
      <c r="M3" s="19">
        <f t="shared" si="0"/>
        <v>0</v>
      </c>
      <c r="N3" s="19">
        <f t="shared" si="0"/>
        <v>438</v>
      </c>
      <c r="O3" s="19">
        <f t="shared" si="0"/>
        <v>190</v>
      </c>
      <c r="P3" s="19">
        <f t="shared" si="0"/>
        <v>0</v>
      </c>
      <c r="Q3" s="19">
        <f t="shared" si="0"/>
        <v>0</v>
      </c>
      <c r="R3" s="19">
        <f t="shared" si="0"/>
        <v>-4991</v>
      </c>
      <c r="S3" s="19"/>
      <c r="T3" s="19">
        <f>SUM(B3:R3)</f>
        <v>-6679</v>
      </c>
      <c r="V3" s="34" t="s">
        <v>3</v>
      </c>
      <c r="W3" s="35">
        <f>C36</f>
        <v>51166</v>
      </c>
    </row>
    <row r="4" spans="1:23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56.899999999999991</v>
      </c>
      <c r="F4" s="19">
        <f t="shared" si="1"/>
        <v>25.454545454545453</v>
      </c>
      <c r="G4" s="19">
        <f t="shared" si="1"/>
        <v>70</v>
      </c>
      <c r="H4" s="19">
        <f t="shared" si="1"/>
        <v>99.6</v>
      </c>
      <c r="I4" s="19">
        <f t="shared" si="1"/>
        <v>156.08571428571429</v>
      </c>
      <c r="J4" s="19">
        <f t="shared" si="1"/>
        <v>160</v>
      </c>
      <c r="K4" s="19">
        <f t="shared" si="1"/>
        <v>49.416666666666664</v>
      </c>
      <c r="L4" s="19">
        <f t="shared" si="1"/>
        <v>259.05</v>
      </c>
      <c r="M4" s="19">
        <f t="shared" si="1"/>
        <v>100</v>
      </c>
      <c r="N4" s="19">
        <f t="shared" si="1"/>
        <v>70.8</v>
      </c>
      <c r="O4" s="19">
        <f t="shared" si="1"/>
        <v>59.051724137931039</v>
      </c>
      <c r="P4" s="19">
        <f t="shared" si="1"/>
        <v>100</v>
      </c>
      <c r="Q4" s="19">
        <f t="shared" si="1"/>
        <v>100</v>
      </c>
      <c r="R4" s="21">
        <f t="shared" si="1"/>
        <v>124.955</v>
      </c>
      <c r="S4" s="19"/>
      <c r="T4" s="21">
        <f t="shared" si="1"/>
        <v>105.00187223844829</v>
      </c>
      <c r="V4" s="34" t="s">
        <v>4</v>
      </c>
      <c r="W4" s="35">
        <f>D36</f>
        <v>0</v>
      </c>
    </row>
    <row r="5" spans="1:23" x14ac:dyDescent="0.35">
      <c r="A5" s="17">
        <v>45474</v>
      </c>
      <c r="B5" s="2">
        <v>23100</v>
      </c>
      <c r="C5" s="2"/>
      <c r="D5" s="2"/>
      <c r="E5" s="2">
        <v>1138</v>
      </c>
      <c r="F5" s="2"/>
      <c r="G5" s="2">
        <v>50</v>
      </c>
      <c r="H5" s="2"/>
      <c r="I5" s="2">
        <f>116+2138+300</f>
        <v>2554</v>
      </c>
      <c r="J5" s="2">
        <v>400</v>
      </c>
      <c r="K5" s="2"/>
      <c r="L5" s="2">
        <f>105+60</f>
        <v>165</v>
      </c>
      <c r="M5" s="2">
        <v>5000</v>
      </c>
      <c r="N5" s="2">
        <v>1062</v>
      </c>
      <c r="O5" s="2"/>
      <c r="P5" s="2">
        <v>5000</v>
      </c>
      <c r="Q5" s="2">
        <v>8000</v>
      </c>
      <c r="R5" s="2">
        <v>320</v>
      </c>
      <c r="S5" s="2" t="s">
        <v>256</v>
      </c>
      <c r="T5" s="2">
        <f>SUM(B5:R5)</f>
        <v>46789</v>
      </c>
      <c r="V5" s="34" t="s">
        <v>5</v>
      </c>
      <c r="W5" s="36">
        <f>E36</f>
        <v>1138</v>
      </c>
    </row>
    <row r="6" spans="1:23" x14ac:dyDescent="0.35">
      <c r="A6" s="17">
        <v>45475</v>
      </c>
      <c r="B6" s="2"/>
      <c r="C6" s="2"/>
      <c r="D6" s="2"/>
      <c r="E6" s="2"/>
      <c r="F6" s="2">
        <v>280</v>
      </c>
      <c r="G6" s="2">
        <v>50</v>
      </c>
      <c r="H6" s="2"/>
      <c r="I6" s="2">
        <f>463+359</f>
        <v>822</v>
      </c>
      <c r="J6" s="2"/>
      <c r="K6" s="2"/>
      <c r="L6" s="2">
        <f>1004+1253</f>
        <v>2257</v>
      </c>
      <c r="M6" s="2"/>
      <c r="N6" s="2"/>
      <c r="O6" s="2"/>
      <c r="P6" s="2"/>
      <c r="Q6" s="2"/>
      <c r="R6" s="2">
        <f>250+18+220+242</f>
        <v>730</v>
      </c>
      <c r="S6" s="2" t="s">
        <v>256</v>
      </c>
      <c r="T6" s="2">
        <f>SUM(B6:R6)</f>
        <v>4139</v>
      </c>
      <c r="V6" s="34" t="s">
        <v>6</v>
      </c>
      <c r="W6" s="36">
        <f>F36</f>
        <v>280</v>
      </c>
    </row>
    <row r="7" spans="1:23" x14ac:dyDescent="0.35">
      <c r="A7" s="17">
        <v>45476</v>
      </c>
      <c r="B7" s="2"/>
      <c r="C7" s="2"/>
      <c r="D7" s="2"/>
      <c r="E7" s="2"/>
      <c r="F7" s="2"/>
      <c r="H7" s="2"/>
      <c r="I7" s="2">
        <v>660</v>
      </c>
      <c r="J7" s="2"/>
      <c r="K7" s="2"/>
      <c r="L7" s="2"/>
      <c r="M7" s="2"/>
      <c r="N7" s="2"/>
      <c r="O7" s="2"/>
      <c r="P7" s="2"/>
      <c r="Q7" s="2"/>
      <c r="R7" s="2">
        <v>20</v>
      </c>
      <c r="S7" s="2" t="s">
        <v>257</v>
      </c>
      <c r="T7" s="2">
        <f t="shared" ref="T7:T34" si="2">SUM(B7:R7)</f>
        <v>680</v>
      </c>
      <c r="V7" s="34" t="s">
        <v>7</v>
      </c>
      <c r="W7" s="36">
        <f>G36</f>
        <v>700</v>
      </c>
    </row>
    <row r="8" spans="1:23" x14ac:dyDescent="0.35">
      <c r="A8" s="17">
        <v>45477</v>
      </c>
      <c r="B8" s="2"/>
      <c r="D8" s="2"/>
      <c r="E8" s="2"/>
      <c r="F8" s="2"/>
      <c r="G8" s="2"/>
      <c r="H8" s="2"/>
      <c r="I8" s="2">
        <v>1212</v>
      </c>
      <c r="J8" s="2"/>
      <c r="K8" s="2">
        <v>593</v>
      </c>
      <c r="L8" s="2"/>
      <c r="M8" s="2"/>
      <c r="N8" s="2"/>
      <c r="O8" s="2"/>
      <c r="P8" s="2">
        <v>1500</v>
      </c>
      <c r="Q8" s="2"/>
      <c r="R8" s="2">
        <f>388+100</f>
        <v>488</v>
      </c>
      <c r="S8" s="15" t="s">
        <v>258</v>
      </c>
      <c r="T8" s="2">
        <f t="shared" si="2"/>
        <v>3793</v>
      </c>
      <c r="V8" s="34" t="s">
        <v>8</v>
      </c>
      <c r="W8" s="36">
        <f>H36</f>
        <v>498</v>
      </c>
    </row>
    <row r="9" spans="1:23" x14ac:dyDescent="0.35">
      <c r="A9" s="17">
        <v>45478</v>
      </c>
      <c r="B9" s="2"/>
      <c r="C9" s="2">
        <v>51166</v>
      </c>
      <c r="D9" s="2"/>
      <c r="E9" s="2"/>
      <c r="F9" s="2"/>
      <c r="G9" s="2">
        <v>50</v>
      </c>
      <c r="H9" s="2">
        <v>249</v>
      </c>
      <c r="I9" s="2">
        <v>270</v>
      </c>
      <c r="J9" s="2"/>
      <c r="K9" s="2"/>
      <c r="L9" s="2"/>
      <c r="M9" s="2"/>
      <c r="N9" s="2"/>
      <c r="O9" s="2"/>
      <c r="P9" s="2"/>
      <c r="Q9" s="2"/>
      <c r="R9" s="2">
        <v>512</v>
      </c>
      <c r="S9" s="2" t="s">
        <v>69</v>
      </c>
      <c r="T9" s="2">
        <f t="shared" si="2"/>
        <v>52247</v>
      </c>
      <c r="V9" s="34" t="s">
        <v>9</v>
      </c>
      <c r="W9" s="36">
        <f>I36</f>
        <v>10926</v>
      </c>
    </row>
    <row r="10" spans="1:23" x14ac:dyDescent="0.35">
      <c r="A10" s="17">
        <v>45479</v>
      </c>
      <c r="B10" s="2"/>
      <c r="C10" s="2"/>
      <c r="D10" s="2"/>
      <c r="E10" s="2"/>
      <c r="F10" s="2"/>
      <c r="G10" s="2"/>
      <c r="H10" s="2">
        <v>249</v>
      </c>
      <c r="I10" s="2">
        <v>110</v>
      </c>
      <c r="J10" s="2"/>
      <c r="K10" s="2"/>
      <c r="L10" s="2">
        <f>400+390+20</f>
        <v>810</v>
      </c>
      <c r="M10" s="2"/>
      <c r="N10" s="2"/>
      <c r="O10" s="2"/>
      <c r="P10" s="2"/>
      <c r="Q10" s="2"/>
      <c r="R10" s="2"/>
      <c r="S10" s="2"/>
      <c r="T10" s="2">
        <f t="shared" si="2"/>
        <v>1169</v>
      </c>
      <c r="V10" s="34" t="s">
        <v>10</v>
      </c>
      <c r="W10" s="36">
        <f>J36</f>
        <v>800</v>
      </c>
    </row>
    <row r="11" spans="1:23" x14ac:dyDescent="0.35">
      <c r="A11" s="17">
        <v>45480</v>
      </c>
      <c r="B11" s="2"/>
      <c r="C11" s="2"/>
      <c r="D11" s="2"/>
      <c r="E11" s="2"/>
      <c r="F11" s="2"/>
      <c r="G11" s="2"/>
      <c r="H11" s="2"/>
      <c r="I11" s="2">
        <f>66+90+235</f>
        <v>391</v>
      </c>
      <c r="J11" s="2"/>
      <c r="K11" s="2"/>
      <c r="L11" s="2">
        <v>114</v>
      </c>
      <c r="M11" s="2"/>
      <c r="N11" s="2"/>
      <c r="O11" s="2"/>
      <c r="P11" s="2"/>
      <c r="Q11" s="2"/>
      <c r="R11" s="2">
        <f>199+700+220</f>
        <v>1119</v>
      </c>
      <c r="S11" s="15" t="s">
        <v>259</v>
      </c>
      <c r="T11" s="2">
        <f t="shared" si="2"/>
        <v>1624</v>
      </c>
      <c r="V11" s="34" t="s">
        <v>11</v>
      </c>
      <c r="W11" s="36">
        <f>K36</f>
        <v>593</v>
      </c>
    </row>
    <row r="12" spans="1:23" x14ac:dyDescent="0.35">
      <c r="A12" s="17">
        <v>45481</v>
      </c>
      <c r="B12" s="2"/>
      <c r="C12" s="2"/>
      <c r="D12" s="2"/>
      <c r="E12" s="2"/>
      <c r="F12" s="2"/>
      <c r="G12" s="2">
        <v>50</v>
      </c>
      <c r="H12" s="2"/>
      <c r="I12" s="2">
        <v>144</v>
      </c>
      <c r="J12" s="2"/>
      <c r="K12" s="2"/>
      <c r="L12" s="2"/>
      <c r="M12" s="2"/>
      <c r="N12" s="2"/>
      <c r="O12" s="2"/>
      <c r="P12" s="2"/>
      <c r="Q12" s="2"/>
      <c r="R12" s="2">
        <f>40+346</f>
        <v>386</v>
      </c>
      <c r="S12" s="2" t="s">
        <v>260</v>
      </c>
      <c r="T12" s="2">
        <f t="shared" si="2"/>
        <v>580</v>
      </c>
      <c r="V12" s="34" t="s">
        <v>12</v>
      </c>
      <c r="W12" s="36">
        <f>L36</f>
        <v>5181</v>
      </c>
    </row>
    <row r="13" spans="1:23" x14ac:dyDescent="0.35">
      <c r="A13" s="17">
        <v>45482</v>
      </c>
      <c r="B13" s="2"/>
      <c r="C13" s="2"/>
      <c r="D13" s="2"/>
      <c r="E13" s="2"/>
      <c r="F13" s="2"/>
      <c r="G13" s="2"/>
      <c r="H13" s="2"/>
      <c r="I13" s="2">
        <v>434</v>
      </c>
      <c r="J13" s="2"/>
      <c r="K13" s="2"/>
      <c r="L13" s="2"/>
      <c r="M13" s="2"/>
      <c r="N13" s="2"/>
      <c r="O13" s="2"/>
      <c r="P13" s="2"/>
      <c r="Q13" s="2"/>
      <c r="R13" s="2">
        <v>43</v>
      </c>
      <c r="S13" s="2" t="s">
        <v>51</v>
      </c>
      <c r="T13" s="2">
        <f t="shared" si="2"/>
        <v>477</v>
      </c>
      <c r="V13" s="34" t="s">
        <v>13</v>
      </c>
      <c r="W13" s="36">
        <f>M36</f>
        <v>5000</v>
      </c>
    </row>
    <row r="14" spans="1:23" x14ac:dyDescent="0.35">
      <c r="A14" s="17">
        <v>45483</v>
      </c>
      <c r="B14" s="2"/>
      <c r="C14" s="2"/>
      <c r="D14" s="2"/>
      <c r="E14" s="2"/>
      <c r="F14" s="2"/>
      <c r="G14" s="2">
        <v>50</v>
      </c>
      <c r="H14" s="2"/>
      <c r="I14" s="30">
        <f>190+30</f>
        <v>220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>SUM(B14:R14)</f>
        <v>270</v>
      </c>
      <c r="V14" s="34" t="s">
        <v>16</v>
      </c>
      <c r="W14" s="36">
        <f>N36</f>
        <v>1062</v>
      </c>
    </row>
    <row r="15" spans="1:23" x14ac:dyDescent="0.35">
      <c r="A15" s="17">
        <v>45484</v>
      </c>
      <c r="B15" s="2"/>
      <c r="C15" s="2"/>
      <c r="D15" s="2"/>
      <c r="E15" s="2"/>
      <c r="F15" s="2"/>
      <c r="G15" s="2"/>
      <c r="H15" s="2"/>
      <c r="I15" s="2">
        <v>143</v>
      </c>
      <c r="J15" s="2"/>
      <c r="K15" s="2"/>
      <c r="L15" s="2"/>
      <c r="M15" s="2"/>
      <c r="N15" s="2"/>
      <c r="O15" s="2">
        <v>199</v>
      </c>
      <c r="P15" s="2"/>
      <c r="Q15" s="2"/>
      <c r="R15" s="30">
        <v>13700</v>
      </c>
      <c r="S15" s="27" t="s">
        <v>262</v>
      </c>
      <c r="T15" s="2">
        <f t="shared" si="2"/>
        <v>14042</v>
      </c>
      <c r="V15" s="34" t="s">
        <v>43</v>
      </c>
      <c r="W15" s="36">
        <f>O36</f>
        <v>274</v>
      </c>
    </row>
    <row r="16" spans="1:23" x14ac:dyDescent="0.35">
      <c r="A16" s="17">
        <v>45485</v>
      </c>
      <c r="B16" s="2"/>
      <c r="C16" s="2"/>
      <c r="D16" s="2"/>
      <c r="E16" s="2"/>
      <c r="F16" s="2"/>
      <c r="G16" s="2">
        <v>50</v>
      </c>
      <c r="H16" s="2"/>
      <c r="I16" s="2">
        <v>219</v>
      </c>
      <c r="J16" s="2"/>
      <c r="K16" s="2"/>
      <c r="L16" s="2"/>
      <c r="M16" s="2"/>
      <c r="N16" s="2"/>
      <c r="O16" s="2"/>
      <c r="P16" s="2"/>
      <c r="Q16" s="2"/>
      <c r="R16" s="2"/>
      <c r="S16" s="15"/>
      <c r="T16" s="2">
        <f>SUM(B16:Q16)</f>
        <v>269</v>
      </c>
      <c r="V16" s="34" t="s">
        <v>64</v>
      </c>
      <c r="W16" s="36">
        <f>P36</f>
        <v>6500</v>
      </c>
    </row>
    <row r="17" spans="1:23" x14ac:dyDescent="0.35">
      <c r="A17" s="17">
        <v>45486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>
        <f>298+200</f>
        <v>498</v>
      </c>
      <c r="M17" s="2"/>
      <c r="N17" s="2"/>
      <c r="O17" s="2"/>
      <c r="P17" s="2"/>
      <c r="Q17" s="2"/>
      <c r="R17" s="2">
        <f>242+600+347</f>
        <v>1189</v>
      </c>
      <c r="S17" s="2" t="s">
        <v>263</v>
      </c>
      <c r="T17" s="2">
        <f t="shared" si="2"/>
        <v>1687</v>
      </c>
      <c r="V17" s="34" t="s">
        <v>14</v>
      </c>
      <c r="W17" s="36">
        <f>Q36</f>
        <v>8000</v>
      </c>
    </row>
    <row r="18" spans="1:23" x14ac:dyDescent="0.35">
      <c r="A18" s="17">
        <v>45487</v>
      </c>
      <c r="B18" s="2"/>
      <c r="C18" s="2"/>
      <c r="D18" s="2"/>
      <c r="E18" s="2"/>
      <c r="F18" s="2"/>
      <c r="G18" s="2">
        <v>50</v>
      </c>
      <c r="H18" s="2"/>
      <c r="I18" s="2">
        <v>80</v>
      </c>
      <c r="J18" s="2"/>
      <c r="K18" s="2"/>
      <c r="L18" s="2">
        <f>160+519</f>
        <v>679</v>
      </c>
      <c r="M18" s="2"/>
      <c r="N18" s="2"/>
      <c r="O18" s="2"/>
      <c r="P18" s="2"/>
      <c r="Q18" s="2"/>
      <c r="R18" s="2">
        <f>400-85</f>
        <v>315</v>
      </c>
      <c r="S18" s="2" t="s">
        <v>256</v>
      </c>
      <c r="T18" s="2">
        <f t="shared" si="2"/>
        <v>1124</v>
      </c>
      <c r="V18" s="34" t="s">
        <v>15</v>
      </c>
      <c r="W18" s="36">
        <f>R36</f>
        <v>24991</v>
      </c>
    </row>
    <row r="19" spans="1:23" x14ac:dyDescent="0.35">
      <c r="A19" s="17">
        <v>45488</v>
      </c>
      <c r="B19" s="2"/>
      <c r="C19" s="2"/>
      <c r="D19" s="2"/>
      <c r="E19" s="2"/>
      <c r="F19" s="2"/>
      <c r="G19" s="2">
        <v>50</v>
      </c>
      <c r="H19" s="2"/>
      <c r="I19" s="2">
        <f>458+160+145</f>
        <v>763</v>
      </c>
      <c r="J19" s="2"/>
      <c r="K19" s="2"/>
      <c r="L19" s="2"/>
      <c r="M19" s="2"/>
      <c r="N19" s="2"/>
      <c r="O19" s="2"/>
      <c r="P19" s="2"/>
      <c r="Q19" s="2"/>
      <c r="R19" s="2"/>
      <c r="S19" s="15"/>
      <c r="T19" s="2">
        <f t="shared" si="2"/>
        <v>813</v>
      </c>
    </row>
    <row r="20" spans="1:23" x14ac:dyDescent="0.35">
      <c r="A20" s="17">
        <v>45489</v>
      </c>
      <c r="B20" s="2"/>
      <c r="C20" s="2"/>
      <c r="D20" s="2"/>
      <c r="E20" s="2"/>
      <c r="F20" s="2"/>
      <c r="G20" s="2"/>
      <c r="H20" s="2"/>
      <c r="I20" s="2">
        <v>174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2"/>
        <v>174</v>
      </c>
    </row>
    <row r="21" spans="1:23" x14ac:dyDescent="0.35">
      <c r="A21" s="17">
        <v>45490</v>
      </c>
      <c r="B21" s="2"/>
      <c r="C21" s="2"/>
      <c r="D21" s="2"/>
      <c r="E21" s="2"/>
      <c r="F21" s="2"/>
      <c r="G21" s="2">
        <v>50</v>
      </c>
      <c r="H21" s="2"/>
      <c r="I21" s="2">
        <v>110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f t="shared" si="2"/>
        <v>160</v>
      </c>
    </row>
    <row r="22" spans="1:23" x14ac:dyDescent="0.35">
      <c r="A22" s="17">
        <v>45491</v>
      </c>
      <c r="B22" s="2"/>
      <c r="C22" s="2"/>
      <c r="D22" s="2"/>
      <c r="E22" s="2"/>
      <c r="F22" s="2"/>
      <c r="G22" s="2"/>
      <c r="H22" s="2"/>
      <c r="I22" s="2">
        <v>249</v>
      </c>
      <c r="J22" s="2"/>
      <c r="K22" s="2"/>
      <c r="L22" s="2"/>
      <c r="M22" s="2"/>
      <c r="N22" s="2"/>
      <c r="O22" s="2"/>
      <c r="P22" s="2"/>
      <c r="Q22" s="2"/>
      <c r="R22" s="2"/>
      <c r="S22" s="15"/>
      <c r="T22" s="2">
        <f t="shared" si="2"/>
        <v>249</v>
      </c>
    </row>
    <row r="23" spans="1:23" x14ac:dyDescent="0.35">
      <c r="A23" s="17">
        <v>45492</v>
      </c>
      <c r="B23" s="2"/>
      <c r="C23" s="2"/>
      <c r="D23" s="2"/>
      <c r="E23" s="2"/>
      <c r="F23" s="2"/>
      <c r="G23" s="2">
        <v>50</v>
      </c>
      <c r="H23" s="2"/>
      <c r="I23" s="2">
        <v>65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f t="shared" si="2"/>
        <v>115</v>
      </c>
    </row>
    <row r="24" spans="1:23" x14ac:dyDescent="0.35">
      <c r="A24" s="17">
        <v>45493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658</v>
      </c>
      <c r="M24" s="2"/>
      <c r="N24" s="2"/>
      <c r="O24" s="2"/>
      <c r="P24" s="2"/>
      <c r="Q24" s="2"/>
      <c r="R24" s="2">
        <v>395</v>
      </c>
      <c r="S24" s="2" t="s">
        <v>264</v>
      </c>
      <c r="T24" s="2">
        <f t="shared" si="2"/>
        <v>1053</v>
      </c>
    </row>
    <row r="25" spans="1:23" x14ac:dyDescent="0.35">
      <c r="A25" s="17">
        <v>45494</v>
      </c>
      <c r="B25" s="2"/>
      <c r="C25" s="2"/>
      <c r="D25" s="2"/>
      <c r="E25" s="2"/>
      <c r="F25" s="2"/>
      <c r="G25" s="2"/>
      <c r="H25" s="2"/>
      <c r="I25" s="2">
        <f>225+150</f>
        <v>375</v>
      </c>
      <c r="J25" s="2"/>
      <c r="K25" s="2"/>
      <c r="L25" s="2"/>
      <c r="M25" s="2"/>
      <c r="N25" s="2"/>
      <c r="O25" s="2">
        <v>75</v>
      </c>
      <c r="P25" s="2"/>
      <c r="Q25" s="2"/>
      <c r="R25" s="2">
        <f>1676+1198</f>
        <v>2874</v>
      </c>
      <c r="S25" s="2" t="s">
        <v>265</v>
      </c>
      <c r="T25" s="2">
        <f t="shared" si="2"/>
        <v>3324</v>
      </c>
    </row>
    <row r="26" spans="1:23" x14ac:dyDescent="0.35">
      <c r="A26" s="17">
        <v>45495</v>
      </c>
      <c r="B26" s="2"/>
      <c r="C26" s="2"/>
      <c r="D26" s="2"/>
      <c r="E26" s="2"/>
      <c r="F26" s="2"/>
      <c r="G26" s="2">
        <v>50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 t="shared" si="2"/>
        <v>50</v>
      </c>
    </row>
    <row r="27" spans="1:23" x14ac:dyDescent="0.35">
      <c r="A27" s="17">
        <v>45496</v>
      </c>
      <c r="B27" s="2"/>
      <c r="C27" s="2"/>
      <c r="D27" s="2"/>
      <c r="E27" s="2"/>
      <c r="F27" s="2"/>
      <c r="G27" s="2"/>
      <c r="H27" s="2"/>
      <c r="I27" s="2">
        <v>100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f t="shared" si="2"/>
        <v>100</v>
      </c>
    </row>
    <row r="28" spans="1:23" x14ac:dyDescent="0.35">
      <c r="A28" s="17">
        <v>45497</v>
      </c>
      <c r="B28" s="2"/>
      <c r="C28" s="2"/>
      <c r="D28" s="2"/>
      <c r="E28" s="2"/>
      <c r="F28" s="2"/>
      <c r="G28" s="2"/>
      <c r="H28" s="2"/>
      <c r="I28" s="2">
        <v>325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f t="shared" si="2"/>
        <v>325</v>
      </c>
    </row>
    <row r="29" spans="1:23" x14ac:dyDescent="0.35">
      <c r="A29" s="17">
        <v>45498</v>
      </c>
      <c r="B29" s="2"/>
      <c r="C29" s="2"/>
      <c r="D29" s="2"/>
      <c r="E29" s="2"/>
      <c r="F29" s="2"/>
      <c r="G29" s="2">
        <v>50</v>
      </c>
      <c r="H29" s="2"/>
      <c r="I29" s="2">
        <v>75</v>
      </c>
      <c r="J29" s="2"/>
      <c r="K29" s="2"/>
      <c r="L29" s="2"/>
      <c r="M29" s="2"/>
      <c r="N29" s="2"/>
      <c r="O29" s="2"/>
      <c r="P29" s="2"/>
      <c r="Q29" s="2"/>
      <c r="R29" s="2">
        <f>1874+800</f>
        <v>2674</v>
      </c>
      <c r="S29" s="2" t="s">
        <v>266</v>
      </c>
      <c r="T29" s="2">
        <f t="shared" si="2"/>
        <v>2799</v>
      </c>
    </row>
    <row r="30" spans="1:23" x14ac:dyDescent="0.35">
      <c r="A30" s="17">
        <v>45499</v>
      </c>
      <c r="B30" s="2"/>
      <c r="C30" s="2"/>
      <c r="D30" s="2"/>
      <c r="E30" s="2"/>
      <c r="F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30"/>
      <c r="T30" s="2">
        <f t="shared" si="2"/>
        <v>0</v>
      </c>
    </row>
    <row r="31" spans="1:23" ht="15" customHeight="1" x14ac:dyDescent="0.35">
      <c r="A31" s="17">
        <v>45500</v>
      </c>
      <c r="B31" s="2"/>
      <c r="C31" s="2"/>
      <c r="D31" s="2"/>
      <c r="E31" s="2"/>
      <c r="F31" s="2"/>
      <c r="G31" s="2">
        <v>50</v>
      </c>
      <c r="H31" s="2"/>
      <c r="I31" s="2">
        <v>350</v>
      </c>
      <c r="J31" s="2"/>
      <c r="K31" s="2"/>
      <c r="L31" s="2"/>
      <c r="M31" s="2"/>
      <c r="N31" s="2"/>
      <c r="O31" s="2"/>
      <c r="P31" s="2"/>
      <c r="Q31" s="2"/>
      <c r="R31" s="2">
        <v>20</v>
      </c>
      <c r="S31" s="28" t="s">
        <v>267</v>
      </c>
      <c r="T31" s="2">
        <f>SUM(B31:Q31)</f>
        <v>400</v>
      </c>
    </row>
    <row r="32" spans="1:23" ht="15" customHeight="1" x14ac:dyDescent="0.35">
      <c r="A32" s="17">
        <v>45501</v>
      </c>
      <c r="B32" s="2"/>
      <c r="C32" s="2"/>
      <c r="D32" s="2"/>
      <c r="E32" s="2"/>
      <c r="F32" s="2"/>
      <c r="G32" s="2"/>
      <c r="H32" s="2"/>
      <c r="I32" s="2">
        <f>176+320+220+10</f>
        <v>726</v>
      </c>
      <c r="J32" s="2">
        <v>400</v>
      </c>
      <c r="K32" s="2"/>
      <c r="L32" s="2"/>
      <c r="M32" s="2"/>
      <c r="N32" s="2"/>
      <c r="O32" s="2"/>
      <c r="P32" s="2"/>
      <c r="Q32" s="2"/>
      <c r="R32" s="2"/>
      <c r="S32" s="28"/>
      <c r="T32" s="2"/>
    </row>
    <row r="33" spans="1:20" ht="15" customHeight="1" x14ac:dyDescent="0.35">
      <c r="A33" s="17">
        <v>45502</v>
      </c>
      <c r="B33" s="2"/>
      <c r="C33" s="2"/>
      <c r="D33" s="2"/>
      <c r="E33" s="2"/>
      <c r="F33" s="2"/>
      <c r="G33" s="2">
        <v>50</v>
      </c>
      <c r="H33" s="2"/>
      <c r="I33" s="2">
        <v>135</v>
      </c>
      <c r="J33" s="2"/>
      <c r="K33" s="2"/>
      <c r="L33" s="2"/>
      <c r="M33" s="2"/>
      <c r="N33" s="2"/>
      <c r="O33" s="2"/>
      <c r="P33" s="2"/>
      <c r="Q33" s="2"/>
      <c r="R33" s="2"/>
      <c r="S33" s="28"/>
      <c r="T33" s="2"/>
    </row>
    <row r="34" spans="1:20" x14ac:dyDescent="0.35">
      <c r="A34" s="17">
        <v>45503</v>
      </c>
      <c r="B34" s="2"/>
      <c r="C34" s="2"/>
      <c r="D34" s="2"/>
      <c r="E34" s="2"/>
      <c r="F34" s="2"/>
      <c r="G34" s="2"/>
      <c r="H34" s="2"/>
      <c r="I34" s="2">
        <v>80</v>
      </c>
      <c r="J34" s="2"/>
      <c r="K34" s="2"/>
      <c r="L34" s="2"/>
      <c r="M34" s="2"/>
      <c r="N34" s="2"/>
      <c r="O34" s="2"/>
      <c r="P34" s="2"/>
      <c r="Q34" s="2"/>
      <c r="R34" s="2">
        <v>206</v>
      </c>
      <c r="S34" s="2" t="s">
        <v>268</v>
      </c>
      <c r="T34" s="2">
        <f t="shared" si="2"/>
        <v>286</v>
      </c>
    </row>
    <row r="35" spans="1:20" x14ac:dyDescent="0.35">
      <c r="A35" s="17">
        <v>45504</v>
      </c>
      <c r="B35" s="2"/>
      <c r="C35" s="2"/>
      <c r="D35" s="2"/>
      <c r="E35" s="2"/>
      <c r="F35" s="2"/>
      <c r="G35" s="2"/>
      <c r="H35" s="2"/>
      <c r="I35" s="2">
        <f>40+100</f>
        <v>140</v>
      </c>
      <c r="J35" s="2"/>
      <c r="K35" s="2"/>
      <c r="L35" s="2"/>
      <c r="M35" s="2"/>
      <c r="N35" s="2"/>
      <c r="O35" s="2"/>
      <c r="P35" s="2"/>
      <c r="Q35" s="2"/>
      <c r="R35" s="2">
        <f>382+70</f>
        <v>452</v>
      </c>
      <c r="S35" s="2" t="s">
        <v>269</v>
      </c>
      <c r="T35" s="2"/>
    </row>
    <row r="36" spans="1:20" x14ac:dyDescent="0.35">
      <c r="A36" s="16" t="s">
        <v>29</v>
      </c>
      <c r="B36" s="16">
        <f t="shared" ref="B36:R36" si="3">SUM(B5:B34)</f>
        <v>23100</v>
      </c>
      <c r="C36" s="16">
        <f t="shared" si="3"/>
        <v>51166</v>
      </c>
      <c r="D36" s="16">
        <f t="shared" si="3"/>
        <v>0</v>
      </c>
      <c r="E36" s="16">
        <f t="shared" si="3"/>
        <v>1138</v>
      </c>
      <c r="F36" s="16">
        <f t="shared" si="3"/>
        <v>280</v>
      </c>
      <c r="G36" s="16">
        <f t="shared" si="3"/>
        <v>700</v>
      </c>
      <c r="H36" s="16">
        <f t="shared" si="3"/>
        <v>498</v>
      </c>
      <c r="I36" s="16">
        <f>SUM(I5:I35)</f>
        <v>10926</v>
      </c>
      <c r="J36" s="16">
        <f t="shared" si="3"/>
        <v>800</v>
      </c>
      <c r="K36" s="16">
        <f t="shared" si="3"/>
        <v>593</v>
      </c>
      <c r="L36" s="16">
        <f t="shared" si="3"/>
        <v>5181</v>
      </c>
      <c r="M36" s="16">
        <f t="shared" si="3"/>
        <v>5000</v>
      </c>
      <c r="N36" s="16">
        <f t="shared" si="3"/>
        <v>1062</v>
      </c>
      <c r="O36" s="16">
        <f t="shared" si="3"/>
        <v>274</v>
      </c>
      <c r="P36" s="16">
        <f t="shared" si="3"/>
        <v>6500</v>
      </c>
      <c r="Q36" s="16">
        <f t="shared" si="3"/>
        <v>8000</v>
      </c>
      <c r="R36" s="16">
        <f t="shared" si="3"/>
        <v>24991</v>
      </c>
      <c r="S36" s="16"/>
      <c r="T36" s="2"/>
    </row>
    <row r="38" spans="1:20" x14ac:dyDescent="0.35">
      <c r="A38" s="24" t="s">
        <v>46</v>
      </c>
      <c r="B38" s="2">
        <v>149686</v>
      </c>
    </row>
    <row r="39" spans="1:20" x14ac:dyDescent="0.35">
      <c r="A39" s="24" t="s">
        <v>17</v>
      </c>
      <c r="B39" s="2">
        <f>SUM(B2:R2)-M2</f>
        <v>128530</v>
      </c>
    </row>
    <row r="40" spans="1:20" x14ac:dyDescent="0.35">
      <c r="A40" s="24" t="s">
        <v>47</v>
      </c>
      <c r="B40" s="2">
        <f>SUM(T5:T34)-M36</f>
        <v>133738</v>
      </c>
    </row>
    <row r="41" spans="1:20" x14ac:dyDescent="0.35">
      <c r="A41" s="24" t="s">
        <v>18</v>
      </c>
      <c r="B41" s="2">
        <f>B39-B40</f>
        <v>-5208</v>
      </c>
    </row>
    <row r="42" spans="1:20" x14ac:dyDescent="0.35">
      <c r="A42" s="24" t="s">
        <v>34</v>
      </c>
      <c r="B42" s="2">
        <f>B38-SUM(B36:R36)</f>
        <v>9477</v>
      </c>
    </row>
    <row r="43" spans="1:20" x14ac:dyDescent="0.35">
      <c r="A43" s="24" t="s">
        <v>83</v>
      </c>
      <c r="B43" s="2">
        <f>SUM(D36:L36)+SUM(N36:R36)</f>
        <v>60943</v>
      </c>
    </row>
    <row r="44" spans="1:20" x14ac:dyDescent="0.35">
      <c r="A44" s="24" t="s">
        <v>162</v>
      </c>
      <c r="B44" s="2">
        <f>B38-B43</f>
        <v>88743</v>
      </c>
    </row>
    <row r="45" spans="1:20" x14ac:dyDescent="0.35">
      <c r="A45" s="24" t="s">
        <v>31</v>
      </c>
      <c r="B45" s="2">
        <f>B38-B39</f>
        <v>21156</v>
      </c>
    </row>
  </sheetData>
  <mergeCells count="1">
    <mergeCell ref="V1:W1"/>
  </mergeCells>
  <conditionalFormatting sqref="B4:R4">
    <cfRule type="cellIs" dxfId="17" priority="1" operator="greaterThan">
      <formula>99</formula>
    </cfRule>
    <cfRule type="cellIs" dxfId="16" priority="2" operator="between">
      <formula>51</formula>
      <formula>99</formula>
    </cfRule>
    <cfRule type="cellIs" dxfId="15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zoomScale="80" zoomScaleNormal="80" workbookViewId="0">
      <pane ySplit="1" topLeftCell="A2" activePane="bottomLeft" state="frozen"/>
      <selection pane="bottomLeft" activeCell="N11" sqref="N11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8.81640625" bestFit="1" customWidth="1"/>
    <col min="16" max="16" width="16.81640625" customWidth="1"/>
    <col min="17" max="17" width="17.7265625" bestFit="1" customWidth="1"/>
    <col min="18" max="18" width="21.1796875" bestFit="1" customWidth="1"/>
    <col min="19" max="19" width="42.7265625" bestFit="1" customWidth="1"/>
    <col min="20" max="20" width="17.453125" customWidth="1"/>
    <col min="22" max="22" width="21.81640625" bestFit="1" customWidth="1"/>
    <col min="23" max="23" width="12.1796875" customWidth="1"/>
  </cols>
  <sheetData>
    <row r="1" spans="1:23" x14ac:dyDescent="0.35">
      <c r="A1" s="49" t="s">
        <v>33</v>
      </c>
      <c r="B1" s="49" t="s">
        <v>2</v>
      </c>
      <c r="C1" s="49" t="s">
        <v>3</v>
      </c>
      <c r="D1" s="49" t="s">
        <v>4</v>
      </c>
      <c r="E1" s="49" t="s">
        <v>5</v>
      </c>
      <c r="F1" s="49" t="s">
        <v>6</v>
      </c>
      <c r="G1" s="49" t="s">
        <v>7</v>
      </c>
      <c r="H1" s="49" t="s">
        <v>8</v>
      </c>
      <c r="I1" s="49" t="s">
        <v>9</v>
      </c>
      <c r="J1" s="49" t="s">
        <v>10</v>
      </c>
      <c r="K1" s="49" t="s">
        <v>11</v>
      </c>
      <c r="L1" s="49" t="s">
        <v>12</v>
      </c>
      <c r="M1" s="49" t="s">
        <v>13</v>
      </c>
      <c r="N1" s="49" t="s">
        <v>16</v>
      </c>
      <c r="O1" s="49" t="s">
        <v>43</v>
      </c>
      <c r="P1" s="49" t="s">
        <v>64</v>
      </c>
      <c r="Q1" s="49" t="s">
        <v>14</v>
      </c>
      <c r="R1" s="49" t="s">
        <v>15</v>
      </c>
      <c r="S1" s="49" t="s">
        <v>35</v>
      </c>
      <c r="T1" s="49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23100</v>
      </c>
      <c r="C2" s="19">
        <v>51166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133530</v>
      </c>
      <c r="V2" s="34" t="s">
        <v>2</v>
      </c>
      <c r="W2" s="35">
        <f>B36</f>
        <v>23100</v>
      </c>
    </row>
    <row r="3" spans="1:23" s="23" customFormat="1" x14ac:dyDescent="0.35">
      <c r="A3" s="19" t="s">
        <v>18</v>
      </c>
      <c r="B3" s="19">
        <f t="shared" ref="B3:R3" si="0">B2-B36</f>
        <v>0</v>
      </c>
      <c r="C3" s="19">
        <f t="shared" si="0"/>
        <v>-217</v>
      </c>
      <c r="D3" s="19">
        <f t="shared" si="0"/>
        <v>2500</v>
      </c>
      <c r="E3" s="19">
        <f t="shared" si="0"/>
        <v>862</v>
      </c>
      <c r="F3" s="19">
        <f t="shared" si="0"/>
        <v>575</v>
      </c>
      <c r="G3" s="19">
        <f t="shared" si="0"/>
        <v>450</v>
      </c>
      <c r="H3" s="19">
        <f t="shared" si="0"/>
        <v>2</v>
      </c>
      <c r="I3" s="19">
        <f t="shared" si="0"/>
        <v>-560</v>
      </c>
      <c r="J3" s="19">
        <f t="shared" si="0"/>
        <v>500</v>
      </c>
      <c r="K3" s="19">
        <f t="shared" si="0"/>
        <v>1200</v>
      </c>
      <c r="L3" s="19">
        <f t="shared" si="0"/>
        <v>-1025</v>
      </c>
      <c r="M3" s="19">
        <f t="shared" si="0"/>
        <v>-100</v>
      </c>
      <c r="N3" s="19">
        <f t="shared" si="0"/>
        <v>556</v>
      </c>
      <c r="O3" s="19">
        <f t="shared" si="0"/>
        <v>-9</v>
      </c>
      <c r="P3" s="19">
        <f t="shared" si="0"/>
        <v>0</v>
      </c>
      <c r="Q3" s="19">
        <f t="shared" si="0"/>
        <v>-1918</v>
      </c>
      <c r="R3" s="19">
        <f t="shared" si="0"/>
        <v>3952</v>
      </c>
      <c r="S3" s="19"/>
      <c r="T3" s="19">
        <f>SUM(B3:R3)</f>
        <v>6768</v>
      </c>
      <c r="V3" s="34" t="s">
        <v>3</v>
      </c>
      <c r="W3" s="35">
        <f>C36</f>
        <v>51383</v>
      </c>
    </row>
    <row r="4" spans="1:23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100.42410976038776</v>
      </c>
      <c r="D4" s="19">
        <f t="shared" si="1"/>
        <v>0</v>
      </c>
      <c r="E4" s="19">
        <f t="shared" si="1"/>
        <v>56.899999999999991</v>
      </c>
      <c r="F4" s="19">
        <f t="shared" si="1"/>
        <v>47.727272727272727</v>
      </c>
      <c r="G4" s="19">
        <f t="shared" si="1"/>
        <v>55.000000000000007</v>
      </c>
      <c r="H4" s="19">
        <f t="shared" si="1"/>
        <v>99.6</v>
      </c>
      <c r="I4" s="19">
        <f t="shared" si="1"/>
        <v>108</v>
      </c>
      <c r="J4" s="19">
        <f t="shared" si="1"/>
        <v>0</v>
      </c>
      <c r="K4" s="19">
        <f t="shared" si="1"/>
        <v>0</v>
      </c>
      <c r="L4" s="19">
        <f t="shared" si="1"/>
        <v>151.25</v>
      </c>
      <c r="M4" s="19">
        <f t="shared" si="1"/>
        <v>102</v>
      </c>
      <c r="N4" s="19">
        <f t="shared" si="1"/>
        <v>62.93333333333333</v>
      </c>
      <c r="O4" s="19">
        <f t="shared" si="1"/>
        <v>101.93965517241379</v>
      </c>
      <c r="P4" s="19">
        <f t="shared" si="1"/>
        <v>100</v>
      </c>
      <c r="Q4" s="19">
        <f t="shared" si="1"/>
        <v>123.97499999999999</v>
      </c>
      <c r="R4" s="21">
        <f t="shared" si="1"/>
        <v>80.239999999999995</v>
      </c>
      <c r="S4" s="19"/>
      <c r="T4" s="21">
        <f t="shared" si="1"/>
        <v>94.931476072792634</v>
      </c>
      <c r="V4" s="34" t="s">
        <v>4</v>
      </c>
      <c r="W4" s="35">
        <f>D36</f>
        <v>0</v>
      </c>
    </row>
    <row r="5" spans="1:23" x14ac:dyDescent="0.35">
      <c r="A5" s="17">
        <v>45505</v>
      </c>
      <c r="B5" s="2">
        <v>23100</v>
      </c>
      <c r="C5" s="2"/>
      <c r="D5" s="2"/>
      <c r="E5" s="2">
        <v>1138</v>
      </c>
      <c r="F5" s="2"/>
      <c r="G5" s="2">
        <v>50</v>
      </c>
      <c r="H5" s="2"/>
      <c r="I5" s="2">
        <v>2250</v>
      </c>
      <c r="J5" s="2"/>
      <c r="K5" s="2"/>
      <c r="L5" s="2">
        <v>70</v>
      </c>
      <c r="M5" s="2"/>
      <c r="N5" s="2"/>
      <c r="O5" s="2"/>
      <c r="P5" s="2">
        <v>6500</v>
      </c>
      <c r="Q5" s="2"/>
      <c r="R5" s="2">
        <f>3267+99</f>
        <v>3366</v>
      </c>
      <c r="S5" s="2" t="s">
        <v>273</v>
      </c>
      <c r="T5" s="2">
        <f>SUM(B5:R5)</f>
        <v>36474</v>
      </c>
      <c r="V5" s="34" t="s">
        <v>5</v>
      </c>
      <c r="W5" s="36">
        <f>E36</f>
        <v>1138</v>
      </c>
    </row>
    <row r="6" spans="1:23" x14ac:dyDescent="0.35">
      <c r="A6" s="17">
        <v>45506</v>
      </c>
      <c r="B6" s="2"/>
      <c r="C6" s="2"/>
      <c r="D6" s="2"/>
      <c r="E6" s="2"/>
      <c r="F6" s="2"/>
      <c r="G6" s="2"/>
      <c r="H6" s="2">
        <v>249</v>
      </c>
      <c r="I6" s="2"/>
      <c r="J6" s="2"/>
      <c r="K6" s="2"/>
      <c r="L6" s="2"/>
      <c r="M6" s="2"/>
      <c r="N6" s="2"/>
      <c r="O6" s="2"/>
      <c r="P6" s="2"/>
      <c r="Q6" s="2"/>
      <c r="R6" s="2">
        <v>1473</v>
      </c>
      <c r="S6" s="2" t="s">
        <v>270</v>
      </c>
      <c r="T6" s="2">
        <f>SUM(B6:R6)</f>
        <v>1722</v>
      </c>
      <c r="V6" s="34" t="s">
        <v>6</v>
      </c>
      <c r="W6" s="36">
        <f>F36</f>
        <v>525</v>
      </c>
    </row>
    <row r="7" spans="1:23" x14ac:dyDescent="0.35">
      <c r="A7" s="17">
        <v>45507</v>
      </c>
      <c r="B7" s="2"/>
      <c r="C7" s="2"/>
      <c r="D7" s="2"/>
      <c r="E7" s="2"/>
      <c r="F7" s="2"/>
      <c r="G7">
        <v>50</v>
      </c>
      <c r="H7" s="2"/>
      <c r="I7" s="2">
        <v>283</v>
      </c>
      <c r="J7" s="2"/>
      <c r="K7" s="2"/>
      <c r="L7" s="2">
        <f>180+38</f>
        <v>218</v>
      </c>
      <c r="M7" s="2"/>
      <c r="N7" s="2"/>
      <c r="O7" s="2"/>
      <c r="P7" s="2"/>
      <c r="Q7" s="2"/>
      <c r="R7" s="2">
        <v>404</v>
      </c>
      <c r="S7" s="2" t="s">
        <v>271</v>
      </c>
      <c r="T7" s="2">
        <f t="shared" ref="T7:T35" si="2">SUM(B7:R7)</f>
        <v>955</v>
      </c>
      <c r="V7" s="34" t="s">
        <v>7</v>
      </c>
      <c r="W7" s="36">
        <f>G36</f>
        <v>550</v>
      </c>
    </row>
    <row r="8" spans="1:23" x14ac:dyDescent="0.35">
      <c r="A8" s="17">
        <v>45508</v>
      </c>
      <c r="B8" s="2"/>
      <c r="D8" s="2"/>
      <c r="E8" s="2"/>
      <c r="F8" s="2"/>
      <c r="G8" s="2"/>
      <c r="H8" s="2"/>
      <c r="I8" s="2">
        <v>186</v>
      </c>
      <c r="J8" s="2"/>
      <c r="K8" s="2"/>
      <c r="L8" s="2"/>
      <c r="M8" s="2"/>
      <c r="N8" s="2"/>
      <c r="O8" s="2"/>
      <c r="P8" s="2"/>
      <c r="Q8" s="2"/>
      <c r="R8" s="2">
        <f>655+169</f>
        <v>824</v>
      </c>
      <c r="S8" s="15" t="s">
        <v>274</v>
      </c>
      <c r="T8" s="2">
        <f t="shared" si="2"/>
        <v>1010</v>
      </c>
      <c r="V8" s="34" t="s">
        <v>8</v>
      </c>
      <c r="W8" s="36">
        <f>H36</f>
        <v>498</v>
      </c>
    </row>
    <row r="9" spans="1:23" x14ac:dyDescent="0.35">
      <c r="A9" s="17">
        <v>45509</v>
      </c>
      <c r="B9" s="2"/>
      <c r="C9" s="2">
        <v>51166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si="2"/>
        <v>51166</v>
      </c>
      <c r="V9" s="34" t="s">
        <v>9</v>
      </c>
      <c r="W9" s="36">
        <f>I36</f>
        <v>7560</v>
      </c>
    </row>
    <row r="10" spans="1:23" x14ac:dyDescent="0.35">
      <c r="A10" s="17">
        <v>45510</v>
      </c>
      <c r="B10" s="2"/>
      <c r="C10" s="2"/>
      <c r="D10" s="2"/>
      <c r="E10" s="2"/>
      <c r="F10" s="2">
        <v>525</v>
      </c>
      <c r="G10" s="2"/>
      <c r="H10" s="2"/>
      <c r="I10" s="2">
        <v>115</v>
      </c>
      <c r="J10" s="2"/>
      <c r="K10" s="2"/>
      <c r="L10" s="2"/>
      <c r="M10" s="2"/>
      <c r="N10" s="2"/>
      <c r="O10" s="2">
        <v>199</v>
      </c>
      <c r="P10" s="2"/>
      <c r="Q10" s="2"/>
      <c r="R10" s="2"/>
      <c r="S10" s="2"/>
      <c r="T10" s="2">
        <f t="shared" si="2"/>
        <v>839</v>
      </c>
      <c r="V10" s="34" t="s">
        <v>10</v>
      </c>
      <c r="W10" s="36">
        <f>J36</f>
        <v>0</v>
      </c>
    </row>
    <row r="11" spans="1:23" x14ac:dyDescent="0.35">
      <c r="A11" s="17">
        <v>45511</v>
      </c>
      <c r="B11" s="2"/>
      <c r="C11" s="2"/>
      <c r="D11" s="2"/>
      <c r="E11" s="2"/>
      <c r="F11" s="2"/>
      <c r="G11" s="2"/>
      <c r="H11" s="2"/>
      <c r="I11" s="2">
        <v>160</v>
      </c>
      <c r="J11" s="2"/>
      <c r="K11" s="2"/>
      <c r="L11" s="2"/>
      <c r="M11" s="2"/>
      <c r="N11" s="2">
        <f>2832/3</f>
        <v>944</v>
      </c>
      <c r="O11" s="2"/>
      <c r="P11" s="2"/>
      <c r="Q11" s="2">
        <f>273+292+259</f>
        <v>824</v>
      </c>
      <c r="R11" s="2">
        <v>205</v>
      </c>
      <c r="S11" s="15" t="s">
        <v>275</v>
      </c>
      <c r="T11" s="2">
        <f t="shared" si="2"/>
        <v>2133</v>
      </c>
      <c r="V11" s="34" t="s">
        <v>11</v>
      </c>
      <c r="W11" s="36">
        <f>K36</f>
        <v>0</v>
      </c>
    </row>
    <row r="12" spans="1:23" x14ac:dyDescent="0.35">
      <c r="A12" s="17">
        <v>45512</v>
      </c>
      <c r="B12" s="2"/>
      <c r="C12" s="2"/>
      <c r="D12" s="2"/>
      <c r="E12" s="2"/>
      <c r="F12" s="2"/>
      <c r="G12" s="2">
        <v>100</v>
      </c>
      <c r="H12" s="2"/>
      <c r="I12" s="2">
        <f>100+72</f>
        <v>172</v>
      </c>
      <c r="J12" s="2"/>
      <c r="K12" s="2"/>
      <c r="L12" s="2"/>
      <c r="M12" s="2"/>
      <c r="N12" s="2"/>
      <c r="O12" s="2"/>
      <c r="P12" s="2"/>
      <c r="Q12" s="2"/>
      <c r="R12" s="2">
        <v>30</v>
      </c>
      <c r="S12" s="2" t="s">
        <v>276</v>
      </c>
      <c r="T12" s="2">
        <f t="shared" si="2"/>
        <v>302</v>
      </c>
      <c r="V12" s="34" t="s">
        <v>12</v>
      </c>
      <c r="W12" s="36">
        <f>L36</f>
        <v>3025</v>
      </c>
    </row>
    <row r="13" spans="1:23" x14ac:dyDescent="0.35">
      <c r="A13" s="17">
        <v>45513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50">
        <v>219</v>
      </c>
      <c r="R13" s="2"/>
      <c r="S13" s="2"/>
      <c r="T13" s="2">
        <f t="shared" si="2"/>
        <v>219</v>
      </c>
      <c r="V13" s="34" t="s">
        <v>13</v>
      </c>
      <c r="W13" s="36">
        <f>M36</f>
        <v>5100</v>
      </c>
    </row>
    <row r="14" spans="1:23" x14ac:dyDescent="0.35">
      <c r="A14" s="17">
        <v>45514</v>
      </c>
      <c r="B14" s="2"/>
      <c r="C14" s="2"/>
      <c r="D14" s="2"/>
      <c r="E14" s="2"/>
      <c r="F14" s="2"/>
      <c r="G14" s="2"/>
      <c r="H14" s="2"/>
      <c r="I14" s="30">
        <v>275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>SUM(B14:R14)</f>
        <v>275</v>
      </c>
      <c r="V14" s="34" t="s">
        <v>16</v>
      </c>
      <c r="W14" s="36">
        <f>N36</f>
        <v>944</v>
      </c>
    </row>
    <row r="15" spans="1:23" x14ac:dyDescent="0.35">
      <c r="A15" s="17">
        <v>45515</v>
      </c>
      <c r="B15" s="2"/>
      <c r="C15" s="2"/>
      <c r="D15" s="2"/>
      <c r="E15" s="2"/>
      <c r="F15" s="2"/>
      <c r="G15" s="2"/>
      <c r="H15" s="2"/>
      <c r="I15" s="2">
        <v>272</v>
      </c>
      <c r="J15" s="2"/>
      <c r="K15" s="2"/>
      <c r="L15" s="50">
        <v>357</v>
      </c>
      <c r="M15" s="2">
        <v>5000</v>
      </c>
      <c r="N15" s="2"/>
      <c r="O15" s="2">
        <v>199</v>
      </c>
      <c r="P15" s="2"/>
      <c r="Q15" s="50">
        <f>189+499</f>
        <v>688</v>
      </c>
      <c r="R15" s="51">
        <v>501</v>
      </c>
      <c r="S15" s="27" t="s">
        <v>278</v>
      </c>
      <c r="T15" s="2">
        <f t="shared" si="2"/>
        <v>7017</v>
      </c>
      <c r="V15" s="34" t="s">
        <v>43</v>
      </c>
      <c r="W15" s="36">
        <f>O36</f>
        <v>473</v>
      </c>
    </row>
    <row r="16" spans="1:23" x14ac:dyDescent="0.35">
      <c r="A16" s="17">
        <v>45516</v>
      </c>
      <c r="B16" s="2"/>
      <c r="C16" s="2"/>
      <c r="D16" s="2"/>
      <c r="E16" s="2"/>
      <c r="F16" s="2"/>
      <c r="G16" s="2">
        <v>50</v>
      </c>
      <c r="H16" s="2"/>
      <c r="I16" s="50">
        <v>1398</v>
      </c>
      <c r="J16" s="2"/>
      <c r="K16" s="2"/>
      <c r="L16" s="2"/>
      <c r="M16" s="2"/>
      <c r="N16" s="2"/>
      <c r="O16" s="2"/>
      <c r="P16" s="2"/>
      <c r="Q16" s="2">
        <v>4000</v>
      </c>
      <c r="R16" s="2"/>
      <c r="S16" s="15"/>
      <c r="T16" s="2">
        <f>SUM(B16:Q16)</f>
        <v>5448</v>
      </c>
      <c r="V16" s="34" t="s">
        <v>64</v>
      </c>
      <c r="W16" s="36">
        <f>P36</f>
        <v>6500</v>
      </c>
    </row>
    <row r="17" spans="1:23" x14ac:dyDescent="0.35">
      <c r="A17" s="17">
        <v>45517</v>
      </c>
      <c r="B17" s="2"/>
      <c r="C17" s="2"/>
      <c r="D17" s="2"/>
      <c r="E17" s="2"/>
      <c r="F17" s="2"/>
      <c r="G17" s="2"/>
      <c r="H17" s="2"/>
      <c r="I17" s="2">
        <v>168</v>
      </c>
      <c r="J17" s="2"/>
      <c r="K17" s="2"/>
      <c r="L17" s="2"/>
      <c r="M17" s="2"/>
      <c r="N17" s="2"/>
      <c r="O17" s="2"/>
      <c r="P17" s="2"/>
      <c r="Q17" s="2"/>
      <c r="R17" s="2">
        <v>150</v>
      </c>
      <c r="S17" s="2" t="s">
        <v>277</v>
      </c>
      <c r="T17" s="2">
        <f t="shared" si="2"/>
        <v>318</v>
      </c>
      <c r="V17" s="34" t="s">
        <v>14</v>
      </c>
      <c r="W17" s="36">
        <f>Q36</f>
        <v>9918</v>
      </c>
    </row>
    <row r="18" spans="1:23" x14ac:dyDescent="0.35">
      <c r="A18" s="17">
        <v>45518</v>
      </c>
      <c r="B18" s="2"/>
      <c r="C18" s="2"/>
      <c r="D18" s="2"/>
      <c r="E18" s="2"/>
      <c r="F18" s="2"/>
      <c r="G18" s="2"/>
      <c r="H18" s="2"/>
      <c r="I18" s="2">
        <v>260</v>
      </c>
      <c r="J18" s="2"/>
      <c r="K18" s="2"/>
      <c r="L18" s="2"/>
      <c r="M18" s="2"/>
      <c r="N18" s="2"/>
      <c r="O18" s="2"/>
      <c r="P18" s="2"/>
      <c r="Q18" s="50">
        <v>189</v>
      </c>
      <c r="R18" s="2"/>
      <c r="S18" s="2"/>
      <c r="T18" s="2">
        <f t="shared" si="2"/>
        <v>449</v>
      </c>
      <c r="V18" s="34" t="s">
        <v>15</v>
      </c>
      <c r="W18" s="36">
        <f>R36</f>
        <v>16048</v>
      </c>
    </row>
    <row r="19" spans="1:23" x14ac:dyDescent="0.35">
      <c r="A19" s="17">
        <v>45519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50">
        <f>586+48+247</f>
        <v>881</v>
      </c>
      <c r="M19" s="2"/>
      <c r="N19" s="2"/>
      <c r="O19" s="2"/>
      <c r="P19" s="2"/>
      <c r="Q19" s="50">
        <v>636</v>
      </c>
      <c r="R19" s="50">
        <f>459+29+20</f>
        <v>508</v>
      </c>
      <c r="S19" s="15" t="s">
        <v>279</v>
      </c>
      <c r="T19" s="2">
        <f t="shared" si="2"/>
        <v>2025</v>
      </c>
    </row>
    <row r="20" spans="1:23" x14ac:dyDescent="0.35">
      <c r="A20" s="17">
        <v>45520</v>
      </c>
      <c r="B20" s="2"/>
      <c r="C20" s="2"/>
      <c r="D20" s="2"/>
      <c r="E20" s="2"/>
      <c r="F20" s="2"/>
      <c r="G20" s="2">
        <v>50</v>
      </c>
      <c r="H20" s="2"/>
      <c r="I20" s="2"/>
      <c r="J20" s="2"/>
      <c r="K20" s="2"/>
      <c r="L20" s="2"/>
      <c r="M20" s="2"/>
      <c r="N20" s="2"/>
      <c r="O20" s="2"/>
      <c r="P20" s="2"/>
      <c r="R20" s="2"/>
      <c r="S20" s="2"/>
      <c r="T20" s="2">
        <f t="shared" si="2"/>
        <v>50</v>
      </c>
    </row>
    <row r="21" spans="1:23" x14ac:dyDescent="0.35">
      <c r="A21" s="17">
        <v>45521</v>
      </c>
      <c r="B21" s="2"/>
      <c r="C21" s="2"/>
      <c r="D21" s="2"/>
      <c r="E21" s="2"/>
      <c r="F21" s="2"/>
      <c r="G21" s="2"/>
      <c r="H21" s="2"/>
      <c r="I21" s="2">
        <v>70</v>
      </c>
      <c r="J21" s="2"/>
      <c r="K21" s="2"/>
      <c r="L21" s="2">
        <v>250</v>
      </c>
      <c r="M21" s="2">
        <v>100</v>
      </c>
      <c r="N21" s="2"/>
      <c r="O21" s="2"/>
      <c r="P21" s="2"/>
      <c r="Q21" s="2"/>
      <c r="R21" s="2">
        <v>10</v>
      </c>
      <c r="S21" s="2" t="s">
        <v>257</v>
      </c>
      <c r="T21" s="2">
        <f t="shared" si="2"/>
        <v>430</v>
      </c>
    </row>
    <row r="22" spans="1:23" x14ac:dyDescent="0.35">
      <c r="A22" s="17">
        <v>45522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5"/>
      <c r="T22" s="2">
        <f t="shared" si="2"/>
        <v>0</v>
      </c>
    </row>
    <row r="23" spans="1:23" x14ac:dyDescent="0.35">
      <c r="A23" s="17">
        <v>45523</v>
      </c>
      <c r="B23" s="2"/>
      <c r="C23" s="2"/>
      <c r="D23" s="2"/>
      <c r="E23" s="2"/>
      <c r="F23" s="2"/>
      <c r="G23" s="2">
        <v>50</v>
      </c>
      <c r="H23" s="2"/>
      <c r="I23" s="2">
        <f>346+210+30+60</f>
        <v>646</v>
      </c>
      <c r="J23" s="2"/>
      <c r="K23" s="2"/>
      <c r="L23" s="2"/>
      <c r="M23" s="2"/>
      <c r="N23" s="2"/>
      <c r="O23" s="2"/>
      <c r="P23" s="2"/>
      <c r="Q23" s="2"/>
      <c r="R23" s="50">
        <v>212</v>
      </c>
      <c r="S23" s="2" t="s">
        <v>51</v>
      </c>
      <c r="T23" s="2">
        <f t="shared" si="2"/>
        <v>908</v>
      </c>
    </row>
    <row r="24" spans="1:23" x14ac:dyDescent="0.35">
      <c r="A24" s="17">
        <v>45524</v>
      </c>
      <c r="B24" s="2"/>
      <c r="C24" s="2"/>
      <c r="D24" s="2"/>
      <c r="E24" s="2"/>
      <c r="F24" s="2"/>
      <c r="G24" s="2"/>
      <c r="H24" s="2"/>
      <c r="I24" s="2">
        <v>130</v>
      </c>
      <c r="J24" s="2"/>
      <c r="K24" s="2"/>
      <c r="L24" s="2"/>
      <c r="M24" s="2"/>
      <c r="N24" s="2"/>
      <c r="O24" s="2"/>
      <c r="P24" s="2"/>
      <c r="Q24" s="50">
        <f>799+331+155+1175+193+709</f>
        <v>3362</v>
      </c>
      <c r="S24" s="15" t="s">
        <v>285</v>
      </c>
      <c r="T24" s="2">
        <f>SUM(B24:Q24)</f>
        <v>3492</v>
      </c>
    </row>
    <row r="25" spans="1:23" x14ac:dyDescent="0.35">
      <c r="A25" s="17">
        <v>45525</v>
      </c>
      <c r="B25" s="2"/>
      <c r="C25" s="2"/>
      <c r="D25" s="2"/>
      <c r="E25" s="2"/>
      <c r="F25" s="2"/>
      <c r="G25" s="2"/>
      <c r="H25" s="2"/>
      <c r="I25" s="2">
        <v>390</v>
      </c>
      <c r="J25" s="2"/>
      <c r="K25" s="2"/>
      <c r="L25" s="2"/>
      <c r="M25" s="2"/>
      <c r="N25" s="2"/>
      <c r="O25" s="2">
        <v>75</v>
      </c>
      <c r="P25" s="2"/>
      <c r="Q25" s="2"/>
      <c r="R25" s="2">
        <v>441</v>
      </c>
      <c r="S25" s="2" t="s">
        <v>280</v>
      </c>
      <c r="T25" s="2">
        <f t="shared" si="2"/>
        <v>906</v>
      </c>
    </row>
    <row r="26" spans="1:23" x14ac:dyDescent="0.35">
      <c r="A26" s="17">
        <v>45526</v>
      </c>
      <c r="B26" s="2"/>
      <c r="C26" s="2"/>
      <c r="D26" s="2"/>
      <c r="E26" s="2"/>
      <c r="F26" s="2"/>
      <c r="G26" s="2"/>
      <c r="H26" s="2"/>
      <c r="I26" s="2">
        <v>60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 t="shared" si="2"/>
        <v>60</v>
      </c>
    </row>
    <row r="27" spans="1:23" x14ac:dyDescent="0.35">
      <c r="A27" s="17">
        <v>45527</v>
      </c>
      <c r="B27" s="2"/>
      <c r="C27" s="2"/>
      <c r="D27" s="2"/>
      <c r="E27" s="2"/>
      <c r="F27" s="2"/>
      <c r="G27" s="2">
        <v>50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>
        <v>130</v>
      </c>
      <c r="S27" s="2" t="s">
        <v>281</v>
      </c>
      <c r="T27" s="2">
        <f t="shared" si="2"/>
        <v>180</v>
      </c>
    </row>
    <row r="28" spans="1:23" x14ac:dyDescent="0.35">
      <c r="A28" s="17">
        <v>45528</v>
      </c>
      <c r="B28" s="2"/>
      <c r="C28" s="2"/>
      <c r="D28" s="2"/>
      <c r="E28" s="2"/>
      <c r="F28" s="2"/>
      <c r="G28" s="2">
        <v>50</v>
      </c>
      <c r="H28" s="2"/>
      <c r="I28" s="2">
        <v>100</v>
      </c>
      <c r="J28" s="2"/>
      <c r="K28" s="2"/>
      <c r="L28" s="2">
        <v>277</v>
      </c>
      <c r="M28" s="2"/>
      <c r="N28" s="2"/>
      <c r="O28" s="2"/>
      <c r="P28" s="2"/>
      <c r="Q28" s="2"/>
      <c r="R28" s="2">
        <v>500</v>
      </c>
      <c r="S28" s="2" t="s">
        <v>282</v>
      </c>
      <c r="T28" s="2">
        <f t="shared" si="2"/>
        <v>927</v>
      </c>
    </row>
    <row r="29" spans="1:23" x14ac:dyDescent="0.35">
      <c r="A29" s="17">
        <v>45529</v>
      </c>
      <c r="B29" s="2"/>
      <c r="C29" s="2"/>
      <c r="D29" s="2"/>
      <c r="E29" s="2"/>
      <c r="F29" s="2"/>
      <c r="G29" s="2"/>
      <c r="H29" s="2"/>
      <c r="I29" s="2">
        <v>146</v>
      </c>
      <c r="J29" s="2"/>
      <c r="K29" s="2"/>
      <c r="L29" s="2">
        <v>25</v>
      </c>
      <c r="M29" s="2"/>
      <c r="N29" s="2"/>
      <c r="O29" s="2"/>
      <c r="P29" s="2"/>
      <c r="Q29" s="2"/>
      <c r="R29" s="2"/>
      <c r="S29" s="2"/>
      <c r="T29" s="2">
        <f t="shared" si="2"/>
        <v>171</v>
      </c>
    </row>
    <row r="30" spans="1:23" x14ac:dyDescent="0.35">
      <c r="A30" s="17">
        <v>45530</v>
      </c>
      <c r="B30" s="2"/>
      <c r="C30" s="2"/>
      <c r="D30" s="2"/>
      <c r="E30" s="2"/>
      <c r="F30" s="2"/>
      <c r="G30">
        <v>50</v>
      </c>
      <c r="H30" s="2"/>
      <c r="I30" s="2">
        <f>30+60</f>
        <v>90</v>
      </c>
      <c r="J30" s="2"/>
      <c r="K30" s="2"/>
      <c r="L30" s="2"/>
      <c r="M30" s="2"/>
      <c r="N30" s="2"/>
      <c r="O30" s="2"/>
      <c r="P30" s="2"/>
      <c r="Q30" s="2"/>
      <c r="R30" s="30">
        <f>90+155</f>
        <v>245</v>
      </c>
      <c r="S30" s="30" t="s">
        <v>283</v>
      </c>
      <c r="T30" s="2">
        <f t="shared" si="2"/>
        <v>385</v>
      </c>
    </row>
    <row r="31" spans="1:23" ht="15" customHeight="1" x14ac:dyDescent="0.35">
      <c r="A31" s="17">
        <v>45531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f>168+667+379+500+800</f>
        <v>2514</v>
      </c>
      <c r="S31" s="28" t="s">
        <v>286</v>
      </c>
      <c r="T31" s="2">
        <f t="shared" si="2"/>
        <v>2514</v>
      </c>
    </row>
    <row r="32" spans="1:23" ht="15" customHeight="1" x14ac:dyDescent="0.35">
      <c r="A32" s="17">
        <v>45532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947</v>
      </c>
      <c r="M32" s="2"/>
      <c r="N32" s="2"/>
      <c r="O32" s="2"/>
      <c r="P32" s="2"/>
      <c r="Q32" s="2"/>
      <c r="R32" s="2">
        <v>3960</v>
      </c>
      <c r="S32" s="28" t="s">
        <v>284</v>
      </c>
      <c r="T32" s="2">
        <f t="shared" si="2"/>
        <v>4907</v>
      </c>
    </row>
    <row r="33" spans="1:20" ht="15" customHeight="1" x14ac:dyDescent="0.35">
      <c r="A33" s="17">
        <v>45533</v>
      </c>
      <c r="B33" s="2"/>
      <c r="C33" s="2"/>
      <c r="D33" s="2"/>
      <c r="E33" s="2"/>
      <c r="F33" s="2"/>
      <c r="G33" s="2"/>
      <c r="H33" s="2"/>
      <c r="I33" s="2">
        <f>264+125</f>
        <v>389</v>
      </c>
      <c r="J33" s="2"/>
      <c r="K33" s="2"/>
      <c r="L33" s="2"/>
      <c r="M33" s="2"/>
      <c r="N33" s="2"/>
      <c r="O33" s="2"/>
      <c r="P33" s="2"/>
      <c r="Q33" s="2"/>
      <c r="R33" s="2"/>
      <c r="S33" s="28"/>
      <c r="T33" s="2">
        <f t="shared" si="2"/>
        <v>389</v>
      </c>
    </row>
    <row r="34" spans="1:20" x14ac:dyDescent="0.35">
      <c r="A34" s="17">
        <v>45534</v>
      </c>
      <c r="B34" s="2"/>
      <c r="C34" s="2">
        <v>217</v>
      </c>
      <c r="D34" s="2"/>
      <c r="E34" s="2"/>
      <c r="F34" s="2"/>
      <c r="G34" s="2">
        <v>50</v>
      </c>
      <c r="H34" s="2">
        <v>249</v>
      </c>
      <c r="I34" s="2"/>
      <c r="J34" s="2"/>
      <c r="K34" s="2"/>
      <c r="L34" s="2"/>
      <c r="M34" s="2"/>
      <c r="N34" s="2"/>
      <c r="O34" s="2"/>
      <c r="P34" s="2"/>
      <c r="Q34" s="2"/>
      <c r="R34" s="2">
        <v>575</v>
      </c>
      <c r="S34" s="2" t="s">
        <v>51</v>
      </c>
      <c r="T34" s="2">
        <f t="shared" si="2"/>
        <v>1091</v>
      </c>
    </row>
    <row r="35" spans="1:20" x14ac:dyDescent="0.35">
      <c r="A35" s="17">
        <v>45535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>
        <f t="shared" si="2"/>
        <v>0</v>
      </c>
    </row>
    <row r="36" spans="1:20" x14ac:dyDescent="0.35">
      <c r="A36" s="16" t="s">
        <v>29</v>
      </c>
      <c r="B36" s="16">
        <f t="shared" ref="B36:R36" si="3">SUM(B5:B34)</f>
        <v>23100</v>
      </c>
      <c r="C36" s="16">
        <f t="shared" si="3"/>
        <v>51383</v>
      </c>
      <c r="D36" s="16">
        <f t="shared" si="3"/>
        <v>0</v>
      </c>
      <c r="E36" s="16">
        <f t="shared" si="3"/>
        <v>1138</v>
      </c>
      <c r="F36" s="16">
        <f t="shared" si="3"/>
        <v>525</v>
      </c>
      <c r="G36" s="16">
        <f t="shared" si="3"/>
        <v>550</v>
      </c>
      <c r="H36" s="16">
        <f t="shared" si="3"/>
        <v>498</v>
      </c>
      <c r="I36" s="16">
        <f>SUM(I5:I35)</f>
        <v>7560</v>
      </c>
      <c r="J36" s="16">
        <f t="shared" si="3"/>
        <v>0</v>
      </c>
      <c r="K36" s="16">
        <f t="shared" si="3"/>
        <v>0</v>
      </c>
      <c r="L36" s="16">
        <f t="shared" si="3"/>
        <v>3025</v>
      </c>
      <c r="M36" s="16">
        <f t="shared" si="3"/>
        <v>5100</v>
      </c>
      <c r="N36" s="16">
        <f t="shared" si="3"/>
        <v>944</v>
      </c>
      <c r="O36" s="16">
        <f t="shared" si="3"/>
        <v>473</v>
      </c>
      <c r="P36" s="16">
        <f t="shared" si="3"/>
        <v>6500</v>
      </c>
      <c r="Q36" s="16">
        <f t="shared" si="3"/>
        <v>9918</v>
      </c>
      <c r="R36" s="16">
        <f t="shared" si="3"/>
        <v>16048</v>
      </c>
      <c r="S36" s="16"/>
      <c r="T36" s="2"/>
    </row>
    <row r="38" spans="1:20" x14ac:dyDescent="0.35">
      <c r="A38" s="24" t="s">
        <v>46</v>
      </c>
      <c r="B38" s="2">
        <v>149507</v>
      </c>
    </row>
    <row r="39" spans="1:20" x14ac:dyDescent="0.35">
      <c r="A39" s="24" t="s">
        <v>17</v>
      </c>
      <c r="B39" s="2">
        <f>SUM(B2:R2)-M2</f>
        <v>128530</v>
      </c>
    </row>
    <row r="40" spans="1:20" x14ac:dyDescent="0.35">
      <c r="A40" s="24" t="s">
        <v>47</v>
      </c>
      <c r="B40" s="2">
        <f>SUM(T5:T34)-M36</f>
        <v>121662</v>
      </c>
    </row>
    <row r="41" spans="1:20" x14ac:dyDescent="0.35">
      <c r="A41" s="24" t="s">
        <v>18</v>
      </c>
      <c r="B41" s="2">
        <f>B39-B40</f>
        <v>6868</v>
      </c>
    </row>
    <row r="42" spans="1:20" x14ac:dyDescent="0.35">
      <c r="A42" s="24" t="s">
        <v>34</v>
      </c>
      <c r="B42" s="2">
        <f>B38-SUM(B36:R36)</f>
        <v>22745</v>
      </c>
    </row>
    <row r="43" spans="1:20" x14ac:dyDescent="0.35">
      <c r="A43" s="24" t="s">
        <v>83</v>
      </c>
      <c r="B43" s="2">
        <f>SUM(D36:L36)+SUM(N36:R36)</f>
        <v>47179</v>
      </c>
    </row>
    <row r="44" spans="1:20" x14ac:dyDescent="0.35">
      <c r="A44" s="24" t="s">
        <v>162</v>
      </c>
      <c r="B44" s="2">
        <f>B38-B43</f>
        <v>102328</v>
      </c>
    </row>
    <row r="45" spans="1:20" x14ac:dyDescent="0.35">
      <c r="A45" s="24" t="s">
        <v>31</v>
      </c>
      <c r="B45" s="2">
        <f>B38-B39</f>
        <v>20977</v>
      </c>
    </row>
  </sheetData>
  <mergeCells count="1">
    <mergeCell ref="V1:W1"/>
  </mergeCells>
  <conditionalFormatting sqref="B4:R4">
    <cfRule type="cellIs" dxfId="14" priority="1" operator="greaterThan">
      <formula>99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80" zoomScaleNormal="80" workbookViewId="0">
      <pane ySplit="1" topLeftCell="A2" activePane="bottomLeft" state="frozen"/>
      <selection pane="bottomLeft" activeCell="E6" sqref="E6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7.7265625" bestFit="1" customWidth="1"/>
    <col min="18" max="18" width="23.1796875" bestFit="1" customWidth="1"/>
    <col min="19" max="19" width="36.7265625" customWidth="1"/>
    <col min="20" max="20" width="17.453125" customWidth="1"/>
    <col min="22" max="22" width="21.81640625" bestFit="1" customWidth="1"/>
    <col min="23" max="23" width="12.1796875" customWidth="1"/>
  </cols>
  <sheetData>
    <row r="1" spans="1:23" x14ac:dyDescent="0.35">
      <c r="A1" s="55" t="s">
        <v>33</v>
      </c>
      <c r="B1" s="55" t="s">
        <v>2</v>
      </c>
      <c r="C1" s="55" t="s">
        <v>3</v>
      </c>
      <c r="D1" s="55" t="s">
        <v>4</v>
      </c>
      <c r="E1" s="55" t="s">
        <v>5</v>
      </c>
      <c r="F1" s="55" t="s">
        <v>6</v>
      </c>
      <c r="G1" s="55" t="s">
        <v>7</v>
      </c>
      <c r="H1" s="55" t="s">
        <v>8</v>
      </c>
      <c r="I1" s="55" t="s">
        <v>9</v>
      </c>
      <c r="J1" s="55" t="s">
        <v>10</v>
      </c>
      <c r="K1" s="55" t="s">
        <v>11</v>
      </c>
      <c r="L1" s="55" t="s">
        <v>12</v>
      </c>
      <c r="M1" s="55" t="s">
        <v>13</v>
      </c>
      <c r="N1" s="55" t="s">
        <v>16</v>
      </c>
      <c r="O1" s="55" t="s">
        <v>43</v>
      </c>
      <c r="P1" s="55" t="s">
        <v>64</v>
      </c>
      <c r="Q1" s="55" t="s">
        <v>14</v>
      </c>
      <c r="R1" s="55" t="s">
        <v>15</v>
      </c>
      <c r="S1" s="55" t="s">
        <v>35</v>
      </c>
      <c r="T1" s="55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23100</v>
      </c>
      <c r="C2" s="19">
        <v>51166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133530</v>
      </c>
      <c r="V2" s="34" t="s">
        <v>2</v>
      </c>
      <c r="W2" s="35">
        <f>B35</f>
        <v>23100</v>
      </c>
    </row>
    <row r="3" spans="1:23" s="23" customFormat="1" x14ac:dyDescent="0.35">
      <c r="A3" s="19" t="s">
        <v>18</v>
      </c>
      <c r="B3" s="19">
        <f t="shared" ref="B3:R3" si="0">B2-B35</f>
        <v>0</v>
      </c>
      <c r="C3" s="19">
        <f t="shared" si="0"/>
        <v>-4612</v>
      </c>
      <c r="D3" s="19">
        <f t="shared" si="0"/>
        <v>2500</v>
      </c>
      <c r="E3" s="19">
        <f t="shared" si="0"/>
        <v>1523</v>
      </c>
      <c r="F3" s="19">
        <f t="shared" si="0"/>
        <v>260</v>
      </c>
      <c r="G3" s="19">
        <f t="shared" si="0"/>
        <v>760</v>
      </c>
      <c r="H3" s="19">
        <f t="shared" si="0"/>
        <v>-366</v>
      </c>
      <c r="I3" s="19">
        <f t="shared" si="0"/>
        <v>701</v>
      </c>
      <c r="J3" s="19">
        <f t="shared" si="0"/>
        <v>95</v>
      </c>
      <c r="K3" s="19">
        <f t="shared" si="0"/>
        <v>371</v>
      </c>
      <c r="L3" s="19">
        <f t="shared" si="0"/>
        <v>-1235</v>
      </c>
      <c r="M3" s="19">
        <f t="shared" si="0"/>
        <v>5000</v>
      </c>
      <c r="N3" s="19">
        <f t="shared" si="0"/>
        <v>556</v>
      </c>
      <c r="O3" s="19">
        <f t="shared" si="0"/>
        <v>190</v>
      </c>
      <c r="P3" s="19">
        <f t="shared" si="0"/>
        <v>-3500</v>
      </c>
      <c r="Q3" s="19">
        <f t="shared" si="0"/>
        <v>-31944</v>
      </c>
      <c r="R3" s="19">
        <f t="shared" si="0"/>
        <v>4927</v>
      </c>
      <c r="S3" s="19"/>
      <c r="T3" s="19">
        <f>SUM(B3:R3)</f>
        <v>-24774</v>
      </c>
      <c r="V3" s="34" t="s">
        <v>3</v>
      </c>
      <c r="W3" s="35">
        <f>C35</f>
        <v>55778</v>
      </c>
    </row>
    <row r="4" spans="1:23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109.01379822538404</v>
      </c>
      <c r="D4" s="19">
        <f t="shared" si="1"/>
        <v>0</v>
      </c>
      <c r="E4" s="19">
        <f t="shared" si="1"/>
        <v>23.849999999999998</v>
      </c>
      <c r="F4" s="19">
        <f t="shared" si="1"/>
        <v>76.363636363636374</v>
      </c>
      <c r="G4" s="19">
        <f t="shared" si="1"/>
        <v>24</v>
      </c>
      <c r="H4" s="19">
        <f t="shared" si="1"/>
        <v>173.2</v>
      </c>
      <c r="I4" s="19">
        <f t="shared" si="1"/>
        <v>89.985714285714295</v>
      </c>
      <c r="J4" s="19">
        <f t="shared" si="1"/>
        <v>81</v>
      </c>
      <c r="K4" s="19">
        <f t="shared" si="1"/>
        <v>69.083333333333329</v>
      </c>
      <c r="L4" s="19">
        <f t="shared" si="1"/>
        <v>161.75</v>
      </c>
      <c r="M4" s="19">
        <f t="shared" si="1"/>
        <v>0</v>
      </c>
      <c r="N4" s="19">
        <f t="shared" si="1"/>
        <v>62.93333333333333</v>
      </c>
      <c r="O4" s="19">
        <f t="shared" si="1"/>
        <v>59.051724137931039</v>
      </c>
      <c r="P4" s="19">
        <f t="shared" si="1"/>
        <v>153.84615384615387</v>
      </c>
      <c r="Q4" s="19">
        <f t="shared" si="1"/>
        <v>499.3</v>
      </c>
      <c r="R4" s="21">
        <f t="shared" si="1"/>
        <v>75.365000000000009</v>
      </c>
      <c r="S4" s="19"/>
      <c r="T4" s="21">
        <f t="shared" si="1"/>
        <v>118.55313412716244</v>
      </c>
      <c r="V4" s="34" t="s">
        <v>4</v>
      </c>
      <c r="W4" s="35">
        <f>D35</f>
        <v>0</v>
      </c>
    </row>
    <row r="5" spans="1:23" x14ac:dyDescent="0.35">
      <c r="A5" s="17">
        <v>45536</v>
      </c>
      <c r="B5" s="2">
        <v>23100</v>
      </c>
      <c r="C5" s="2"/>
      <c r="D5" s="2"/>
      <c r="E5" s="2">
        <v>477</v>
      </c>
      <c r="F5" s="2">
        <v>840</v>
      </c>
      <c r="G5" s="2"/>
      <c r="H5" s="2">
        <v>249</v>
      </c>
      <c r="I5" s="2">
        <f>402+40+823</f>
        <v>1265</v>
      </c>
      <c r="J5" s="2">
        <v>405</v>
      </c>
      <c r="K5" s="2"/>
      <c r="L5" s="2">
        <v>60</v>
      </c>
      <c r="M5" s="2"/>
      <c r="N5" s="2"/>
      <c r="O5" s="2"/>
      <c r="P5" s="2"/>
      <c r="Q5" s="2"/>
      <c r="R5" s="2">
        <f>135+4237</f>
        <v>4372</v>
      </c>
      <c r="S5" s="2" t="s">
        <v>290</v>
      </c>
      <c r="T5" s="2">
        <f>SUM(B5:R5)</f>
        <v>30768</v>
      </c>
      <c r="V5" s="34" t="s">
        <v>5</v>
      </c>
      <c r="W5" s="36">
        <f>E35</f>
        <v>477</v>
      </c>
    </row>
    <row r="6" spans="1:23" x14ac:dyDescent="0.35">
      <c r="A6" s="17">
        <v>45537</v>
      </c>
      <c r="B6" s="2"/>
      <c r="C6" s="2"/>
      <c r="D6" s="2"/>
      <c r="E6" s="2"/>
      <c r="F6" s="2"/>
      <c r="G6" s="2"/>
      <c r="H6" s="2"/>
      <c r="I6" s="2">
        <v>150</v>
      </c>
      <c r="J6" s="2"/>
      <c r="K6" s="2">
        <v>829</v>
      </c>
      <c r="L6" s="2"/>
      <c r="M6" s="2"/>
      <c r="N6" s="2"/>
      <c r="O6" s="2"/>
      <c r="P6" s="2"/>
      <c r="Q6" s="2"/>
      <c r="R6" s="2"/>
      <c r="S6" s="2"/>
      <c r="T6" s="2">
        <f>SUM(B6:R6)</f>
        <v>979</v>
      </c>
      <c r="V6" s="34" t="s">
        <v>6</v>
      </c>
      <c r="W6" s="36">
        <f>F35</f>
        <v>840</v>
      </c>
    </row>
    <row r="7" spans="1:23" x14ac:dyDescent="0.35">
      <c r="A7" s="17">
        <v>45538</v>
      </c>
      <c r="B7" s="2"/>
      <c r="C7" s="2"/>
      <c r="D7" s="2"/>
      <c r="E7" s="2"/>
      <c r="F7" s="2"/>
      <c r="G7">
        <v>30</v>
      </c>
      <c r="H7" s="2">
        <v>100</v>
      </c>
      <c r="I7" s="2">
        <v>65</v>
      </c>
      <c r="J7" s="2"/>
      <c r="K7" s="2"/>
      <c r="L7" s="2"/>
      <c r="M7" s="2"/>
      <c r="N7" s="2"/>
      <c r="O7" s="2"/>
      <c r="P7" s="2"/>
      <c r="Q7" s="2"/>
      <c r="R7" s="2"/>
      <c r="S7" s="2"/>
      <c r="T7" s="2">
        <f t="shared" ref="T7:T34" si="2">SUM(B7:R7)</f>
        <v>195</v>
      </c>
      <c r="V7" s="34" t="s">
        <v>7</v>
      </c>
      <c r="W7" s="36">
        <f>G35</f>
        <v>240</v>
      </c>
    </row>
    <row r="8" spans="1:23" x14ac:dyDescent="0.35">
      <c r="A8" s="17">
        <v>45539</v>
      </c>
      <c r="B8" s="2"/>
      <c r="D8" s="2"/>
      <c r="E8" s="2"/>
      <c r="F8" s="2"/>
      <c r="G8" s="2">
        <v>50</v>
      </c>
      <c r="H8" s="2"/>
      <c r="I8" s="2">
        <v>130</v>
      </c>
      <c r="J8" s="2"/>
      <c r="K8" s="2"/>
      <c r="L8" s="2"/>
      <c r="M8" s="2"/>
      <c r="N8" s="2"/>
      <c r="O8" s="2"/>
      <c r="P8" s="2"/>
      <c r="Q8" s="2">
        <v>2000</v>
      </c>
      <c r="R8" s="2">
        <v>423</v>
      </c>
      <c r="S8" s="15" t="s">
        <v>291</v>
      </c>
      <c r="T8" s="2">
        <f t="shared" si="2"/>
        <v>2603</v>
      </c>
      <c r="V8" s="34" t="s">
        <v>8</v>
      </c>
      <c r="W8" s="36">
        <f>H35</f>
        <v>866</v>
      </c>
    </row>
    <row r="9" spans="1:23" x14ac:dyDescent="0.35">
      <c r="A9" s="17">
        <v>45540</v>
      </c>
      <c r="B9" s="2"/>
      <c r="C9" s="2">
        <v>52092</v>
      </c>
      <c r="D9" s="2"/>
      <c r="E9" s="2"/>
      <c r="F9" s="2"/>
      <c r="G9" s="2"/>
      <c r="H9" s="2"/>
      <c r="I9" s="2">
        <f>100+84+100</f>
        <v>284</v>
      </c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si="2"/>
        <v>52376</v>
      </c>
      <c r="V9" s="34" t="s">
        <v>9</v>
      </c>
      <c r="W9" s="36">
        <f>I35</f>
        <v>6299</v>
      </c>
    </row>
    <row r="10" spans="1:23" x14ac:dyDescent="0.35">
      <c r="A10" s="17">
        <v>45541</v>
      </c>
      <c r="B10" s="2"/>
      <c r="C10" s="2"/>
      <c r="D10" s="2"/>
      <c r="E10" s="2"/>
      <c r="F10" s="2"/>
      <c r="G10" s="2">
        <v>50</v>
      </c>
      <c r="H10" s="2"/>
      <c r="I10" s="2">
        <v>284</v>
      </c>
      <c r="J10" s="2"/>
      <c r="K10" s="2"/>
      <c r="L10" s="2"/>
      <c r="M10" s="2"/>
      <c r="N10" s="2"/>
      <c r="O10" s="2"/>
      <c r="P10" s="2"/>
      <c r="Q10" s="2"/>
      <c r="R10" s="2">
        <v>800</v>
      </c>
      <c r="S10" s="2" t="s">
        <v>292</v>
      </c>
      <c r="T10" s="2">
        <f t="shared" si="2"/>
        <v>1134</v>
      </c>
      <c r="V10" s="34" t="s">
        <v>10</v>
      </c>
      <c r="W10" s="36">
        <f>J35</f>
        <v>405</v>
      </c>
    </row>
    <row r="11" spans="1:23" x14ac:dyDescent="0.35">
      <c r="A11" s="17">
        <v>45542</v>
      </c>
      <c r="B11" s="2"/>
      <c r="C11" s="2"/>
      <c r="D11" s="2"/>
      <c r="E11" s="2"/>
      <c r="F11" s="2"/>
      <c r="G11" s="2"/>
      <c r="H11" s="2"/>
      <c r="I11" s="2">
        <f>100+454</f>
        <v>554</v>
      </c>
      <c r="J11" s="2"/>
      <c r="K11" s="2"/>
      <c r="L11" s="2"/>
      <c r="M11" s="2"/>
      <c r="N11" s="2"/>
      <c r="O11" s="2"/>
      <c r="P11" s="2"/>
      <c r="Q11" s="2"/>
      <c r="R11" s="2">
        <f>199+365</f>
        <v>564</v>
      </c>
      <c r="S11" s="15" t="s">
        <v>293</v>
      </c>
      <c r="T11" s="2">
        <f t="shared" si="2"/>
        <v>1118</v>
      </c>
      <c r="V11" s="34" t="s">
        <v>11</v>
      </c>
      <c r="W11" s="36">
        <f>K35</f>
        <v>829</v>
      </c>
    </row>
    <row r="12" spans="1:23" x14ac:dyDescent="0.35">
      <c r="A12" s="17">
        <v>45543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>
        <v>944</v>
      </c>
      <c r="O12" s="2"/>
      <c r="P12" s="2"/>
      <c r="Q12" s="2">
        <v>1500</v>
      </c>
      <c r="R12" s="2"/>
      <c r="S12" s="2"/>
      <c r="T12" s="2">
        <f t="shared" si="2"/>
        <v>2444</v>
      </c>
      <c r="V12" s="34" t="s">
        <v>12</v>
      </c>
      <c r="W12" s="36">
        <f>L35</f>
        <v>3235</v>
      </c>
    </row>
    <row r="13" spans="1:23" x14ac:dyDescent="0.35">
      <c r="A13" s="17">
        <v>45544</v>
      </c>
      <c r="B13" s="2"/>
      <c r="C13" s="2"/>
      <c r="D13" s="2"/>
      <c r="E13" s="2"/>
      <c r="F13" s="2"/>
      <c r="G13" s="2">
        <v>50</v>
      </c>
      <c r="H13" s="2"/>
      <c r="I13" s="2"/>
      <c r="J13" s="2"/>
      <c r="K13" s="2"/>
      <c r="L13" s="2"/>
      <c r="M13" s="2"/>
      <c r="N13" s="2"/>
      <c r="O13" s="2"/>
      <c r="P13" s="2">
        <v>5000</v>
      </c>
      <c r="Q13" s="2"/>
      <c r="R13" s="2"/>
      <c r="S13" s="2"/>
      <c r="T13" s="2">
        <f t="shared" si="2"/>
        <v>5050</v>
      </c>
      <c r="V13" s="34" t="s">
        <v>13</v>
      </c>
      <c r="W13" s="36">
        <f>M35</f>
        <v>0</v>
      </c>
    </row>
    <row r="14" spans="1:23" x14ac:dyDescent="0.35">
      <c r="A14" s="17">
        <v>45545</v>
      </c>
      <c r="B14" s="2"/>
      <c r="C14" s="2"/>
      <c r="D14" s="2"/>
      <c r="E14" s="2"/>
      <c r="F14" s="2"/>
      <c r="G14" s="2"/>
      <c r="H14" s="2"/>
      <c r="I14">
        <v>145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>SUM(B14:R14)</f>
        <v>145</v>
      </c>
      <c r="V14" s="34" t="s">
        <v>16</v>
      </c>
      <c r="W14" s="36">
        <f>N35</f>
        <v>944</v>
      </c>
    </row>
    <row r="15" spans="1:23" x14ac:dyDescent="0.35">
      <c r="A15" s="17">
        <v>45546</v>
      </c>
      <c r="B15" s="2"/>
      <c r="C15" s="2"/>
      <c r="D15" s="2"/>
      <c r="E15" s="2"/>
      <c r="F15" s="2"/>
      <c r="G15" s="2"/>
      <c r="H15" s="2"/>
      <c r="I15" s="2">
        <v>399</v>
      </c>
      <c r="J15" s="2"/>
      <c r="K15" s="2"/>
      <c r="L15" s="2"/>
      <c r="M15" s="2"/>
      <c r="N15" s="2"/>
      <c r="O15" s="2">
        <v>199</v>
      </c>
      <c r="P15" s="2"/>
      <c r="Q15" s="2">
        <v>599</v>
      </c>
      <c r="R15" s="30"/>
      <c r="S15" s="27" t="s">
        <v>294</v>
      </c>
      <c r="T15" s="2">
        <f t="shared" si="2"/>
        <v>1197</v>
      </c>
      <c r="V15" s="34" t="s">
        <v>43</v>
      </c>
      <c r="W15" s="36">
        <f>O35</f>
        <v>274</v>
      </c>
    </row>
    <row r="16" spans="1:23" x14ac:dyDescent="0.35">
      <c r="A16" s="17">
        <v>45547</v>
      </c>
      <c r="B16" s="2"/>
      <c r="C16" s="2"/>
      <c r="D16" s="2"/>
      <c r="E16" s="2"/>
      <c r="F16" s="2"/>
      <c r="G16" s="2">
        <v>30</v>
      </c>
      <c r="H16" s="2"/>
      <c r="I16" s="2">
        <f>155+300</f>
        <v>455</v>
      </c>
      <c r="J16" s="2"/>
      <c r="K16" s="2"/>
      <c r="L16" s="2"/>
      <c r="M16" s="2"/>
      <c r="N16" s="2"/>
      <c r="O16" s="2"/>
      <c r="P16" s="2"/>
      <c r="Q16" s="2"/>
      <c r="R16" s="2"/>
      <c r="S16" s="15"/>
      <c r="T16" s="2">
        <f>SUM(B16:Q16)</f>
        <v>485</v>
      </c>
      <c r="V16" s="34" t="s">
        <v>64</v>
      </c>
      <c r="W16" s="36">
        <f>P35</f>
        <v>10000</v>
      </c>
    </row>
    <row r="17" spans="1:23" x14ac:dyDescent="0.35">
      <c r="A17" s="17">
        <v>45548</v>
      </c>
      <c r="B17" s="2"/>
      <c r="C17" s="2"/>
      <c r="D17" s="2"/>
      <c r="E17" s="2"/>
      <c r="F17" s="2"/>
      <c r="G17" s="2"/>
      <c r="H17" s="2"/>
      <c r="I17" s="2">
        <v>135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2"/>
        <v>135</v>
      </c>
      <c r="V17" s="34" t="s">
        <v>14</v>
      </c>
      <c r="W17" s="36">
        <f>Q35</f>
        <v>39944</v>
      </c>
    </row>
    <row r="18" spans="1:23" x14ac:dyDescent="0.35">
      <c r="A18" s="17">
        <v>45549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f>355+316</f>
        <v>671</v>
      </c>
      <c r="M18" s="2"/>
      <c r="N18" s="2"/>
      <c r="O18" s="2"/>
      <c r="P18" s="2"/>
      <c r="Q18" s="2"/>
      <c r="R18" s="2">
        <v>201</v>
      </c>
      <c r="S18" s="2" t="s">
        <v>295</v>
      </c>
      <c r="T18" s="2">
        <f t="shared" si="2"/>
        <v>872</v>
      </c>
      <c r="V18" s="34" t="s">
        <v>15</v>
      </c>
      <c r="W18" s="36">
        <f>R35</f>
        <v>15073</v>
      </c>
    </row>
    <row r="19" spans="1:23" x14ac:dyDescent="0.35">
      <c r="A19" s="17">
        <v>45550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f>200+156</f>
        <v>356</v>
      </c>
      <c r="M19" s="2"/>
      <c r="N19" s="2"/>
      <c r="O19" s="2"/>
      <c r="P19" s="2"/>
      <c r="Q19" s="2">
        <v>10000</v>
      </c>
      <c r="R19" s="2">
        <v>10</v>
      </c>
      <c r="S19" s="15" t="s">
        <v>291</v>
      </c>
      <c r="T19" s="2">
        <f t="shared" si="2"/>
        <v>10366</v>
      </c>
    </row>
    <row r="20" spans="1:23" x14ac:dyDescent="0.35">
      <c r="A20" s="17">
        <v>45551</v>
      </c>
      <c r="B20" s="2"/>
      <c r="C20" s="2">
        <v>3686</v>
      </c>
      <c r="D20" s="2"/>
      <c r="E20" s="2"/>
      <c r="F20" s="2"/>
      <c r="G20" s="2">
        <v>30</v>
      </c>
      <c r="H20" s="2"/>
      <c r="I20" s="2">
        <f>70+297</f>
        <v>367</v>
      </c>
      <c r="J20" s="2"/>
      <c r="K20" s="2"/>
      <c r="L20" s="2"/>
      <c r="M20" s="2"/>
      <c r="N20" s="2"/>
      <c r="O20" s="2"/>
      <c r="P20" s="2"/>
      <c r="Q20" s="2"/>
      <c r="R20" s="2">
        <v>19</v>
      </c>
      <c r="S20" s="2" t="s">
        <v>296</v>
      </c>
      <c r="T20" s="2">
        <f t="shared" si="2"/>
        <v>4102</v>
      </c>
    </row>
    <row r="21" spans="1:23" x14ac:dyDescent="0.35">
      <c r="A21" s="17">
        <v>45552</v>
      </c>
      <c r="B21" s="2"/>
      <c r="C21" s="2"/>
      <c r="D21" s="2"/>
      <c r="E21" s="2"/>
      <c r="F21" s="2"/>
      <c r="G21" s="2"/>
      <c r="H21" s="2"/>
      <c r="I21" s="2">
        <v>67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f t="shared" si="2"/>
        <v>67</v>
      </c>
    </row>
    <row r="22" spans="1:23" x14ac:dyDescent="0.35">
      <c r="A22" s="17">
        <v>45553</v>
      </c>
      <c r="B22" s="2"/>
      <c r="C22" s="2"/>
      <c r="D22" s="2"/>
      <c r="E22" s="2"/>
      <c r="F22" s="2"/>
      <c r="G22" s="2"/>
      <c r="H22" s="2"/>
      <c r="I22" s="2">
        <v>76</v>
      </c>
      <c r="J22" s="2"/>
      <c r="K22" s="2"/>
      <c r="L22" s="2">
        <f>20+262</f>
        <v>282</v>
      </c>
      <c r="M22" s="2"/>
      <c r="N22" s="2"/>
      <c r="O22" s="2"/>
      <c r="P22" s="2"/>
      <c r="Q22" s="2"/>
      <c r="R22" s="2">
        <f>146+29+2000</f>
        <v>2175</v>
      </c>
      <c r="S22" s="15" t="s">
        <v>298</v>
      </c>
      <c r="T22" s="2">
        <f t="shared" si="2"/>
        <v>2533</v>
      </c>
    </row>
    <row r="23" spans="1:23" x14ac:dyDescent="0.35">
      <c r="A23" s="17">
        <v>45554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>
        <f>170+53+15</f>
        <v>238</v>
      </c>
      <c r="M23" s="2"/>
      <c r="N23" s="2"/>
      <c r="O23" s="2"/>
      <c r="P23" s="2"/>
      <c r="Q23" s="2">
        <v>5000</v>
      </c>
      <c r="R23" s="2">
        <f>454+236+162</f>
        <v>852</v>
      </c>
      <c r="S23" s="2" t="s">
        <v>297</v>
      </c>
      <c r="T23" s="2">
        <f t="shared" si="2"/>
        <v>6090</v>
      </c>
    </row>
    <row r="24" spans="1:23" x14ac:dyDescent="0.35">
      <c r="A24" s="17">
        <v>45555</v>
      </c>
      <c r="B24" s="2"/>
      <c r="C24" s="2"/>
      <c r="D24" s="2"/>
      <c r="E24" s="2"/>
      <c r="F24" s="2"/>
      <c r="G24" s="2"/>
      <c r="H24" s="2"/>
      <c r="I24" s="2">
        <v>344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 t="shared" si="2"/>
        <v>344</v>
      </c>
    </row>
    <row r="25" spans="1:23" x14ac:dyDescent="0.35">
      <c r="A25" s="17">
        <v>45556</v>
      </c>
      <c r="B25" s="2"/>
      <c r="C25" s="2"/>
      <c r="D25" s="2"/>
      <c r="E25" s="2"/>
      <c r="F25" s="2"/>
      <c r="G25" s="2"/>
      <c r="H25" s="2"/>
      <c r="I25" s="2">
        <v>250</v>
      </c>
      <c r="J25" s="2"/>
      <c r="K25" s="2"/>
      <c r="L25" s="2">
        <f>30+429</f>
        <v>459</v>
      </c>
      <c r="M25" s="2"/>
      <c r="N25" s="2"/>
      <c r="O25" s="2">
        <v>75</v>
      </c>
      <c r="P25" s="2"/>
      <c r="Q25" s="2"/>
      <c r="R25" s="2"/>
      <c r="S25" s="2"/>
      <c r="T25" s="2">
        <f t="shared" si="2"/>
        <v>784</v>
      </c>
    </row>
    <row r="26" spans="1:23" x14ac:dyDescent="0.35">
      <c r="A26" s="17">
        <v>45557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>
        <f>50+100</f>
        <v>150</v>
      </c>
      <c r="M26" s="2"/>
      <c r="N26" s="2"/>
      <c r="O26" s="2"/>
      <c r="P26" s="2"/>
      <c r="Q26" s="2"/>
      <c r="R26" s="2"/>
      <c r="S26" s="2"/>
      <c r="T26" s="2">
        <f t="shared" si="2"/>
        <v>150</v>
      </c>
    </row>
    <row r="27" spans="1:23" x14ac:dyDescent="0.35">
      <c r="A27" s="17">
        <v>45558</v>
      </c>
      <c r="B27" s="2"/>
      <c r="C27" s="2"/>
      <c r="D27" s="2"/>
      <c r="E27" s="2"/>
      <c r="F27" s="2"/>
      <c r="G27" s="2"/>
      <c r="H27" s="2"/>
      <c r="I27" s="2">
        <v>379</v>
      </c>
      <c r="J27" s="2"/>
      <c r="K27" s="2"/>
      <c r="L27" s="2"/>
      <c r="M27" s="2"/>
      <c r="N27" s="2"/>
      <c r="O27" s="2"/>
      <c r="P27" s="2"/>
      <c r="Q27" s="2">
        <v>5000</v>
      </c>
      <c r="R27" s="2"/>
      <c r="S27" s="2"/>
      <c r="T27" s="2">
        <f t="shared" si="2"/>
        <v>5379</v>
      </c>
    </row>
    <row r="28" spans="1:23" x14ac:dyDescent="0.35">
      <c r="A28" s="17">
        <v>45559</v>
      </c>
      <c r="B28" s="2"/>
      <c r="C28" s="2"/>
      <c r="D28" s="2"/>
      <c r="E28" s="2"/>
      <c r="F28" s="2"/>
      <c r="G28" s="2"/>
      <c r="H28" s="2"/>
      <c r="I28" s="2">
        <v>350</v>
      </c>
      <c r="J28" s="2"/>
      <c r="K28" s="2"/>
      <c r="L28" s="2">
        <v>15</v>
      </c>
      <c r="M28" s="2"/>
      <c r="N28" s="2"/>
      <c r="O28" s="2"/>
      <c r="P28" s="2">
        <v>5000</v>
      </c>
      <c r="Q28" s="2">
        <v>2000</v>
      </c>
      <c r="R28" s="2"/>
      <c r="S28" s="2"/>
      <c r="T28" s="2">
        <f t="shared" si="2"/>
        <v>7365</v>
      </c>
    </row>
    <row r="29" spans="1:23" x14ac:dyDescent="0.35">
      <c r="A29" s="17">
        <v>45560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 t="shared" si="2"/>
        <v>0</v>
      </c>
    </row>
    <row r="30" spans="1:23" x14ac:dyDescent="0.35">
      <c r="A30" s="17">
        <v>45561</v>
      </c>
      <c r="B30" s="2"/>
      <c r="C30" s="2"/>
      <c r="D30" s="2"/>
      <c r="E30" s="2"/>
      <c r="F30" s="2"/>
      <c r="H30" s="2">
        <v>268</v>
      </c>
      <c r="I30" s="2">
        <v>9</v>
      </c>
      <c r="J30" s="2"/>
      <c r="K30" s="2"/>
      <c r="L30" s="2"/>
      <c r="M30" s="2"/>
      <c r="N30" s="2"/>
      <c r="O30" s="2"/>
      <c r="P30" s="2"/>
      <c r="Q30" s="2"/>
      <c r="S30" s="30"/>
      <c r="T30" s="2">
        <f t="shared" si="2"/>
        <v>277</v>
      </c>
    </row>
    <row r="31" spans="1:23" ht="15" customHeight="1" x14ac:dyDescent="0.35">
      <c r="A31" s="17">
        <v>45562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f>1000+512</f>
        <v>1512</v>
      </c>
      <c r="S31" s="28" t="s">
        <v>299</v>
      </c>
      <c r="T31" s="2">
        <f>SUM(B31:Q31)</f>
        <v>0</v>
      </c>
    </row>
    <row r="32" spans="1:23" ht="15" customHeight="1" x14ac:dyDescent="0.35">
      <c r="A32" s="17">
        <v>45563</v>
      </c>
      <c r="B32" s="2"/>
      <c r="C32" s="2"/>
      <c r="D32" s="2"/>
      <c r="E32" s="2"/>
      <c r="F32" s="2"/>
      <c r="G32" s="2"/>
      <c r="H32" s="2"/>
      <c r="I32" s="2">
        <v>60</v>
      </c>
      <c r="J32" s="2"/>
      <c r="K32" s="2"/>
      <c r="L32" s="2"/>
      <c r="M32" s="2"/>
      <c r="N32" s="2"/>
      <c r="O32" s="2"/>
      <c r="P32" s="2"/>
      <c r="Q32" s="2"/>
      <c r="R32" s="2">
        <f>2100+1340+254</f>
        <v>3694</v>
      </c>
      <c r="S32" s="28" t="s">
        <v>300</v>
      </c>
      <c r="T32" s="2"/>
    </row>
    <row r="33" spans="1:20" ht="15" customHeight="1" x14ac:dyDescent="0.35">
      <c r="A33" s="17">
        <v>45564</v>
      </c>
      <c r="B33" s="2"/>
      <c r="C33" s="2"/>
      <c r="D33" s="2"/>
      <c r="E33" s="2"/>
      <c r="F33" s="2"/>
      <c r="G33" s="2"/>
      <c r="H33" s="2">
        <v>249</v>
      </c>
      <c r="I33" s="2">
        <v>386</v>
      </c>
      <c r="J33" s="2"/>
      <c r="K33" s="2"/>
      <c r="L33" s="2">
        <f>919+70</f>
        <v>989</v>
      </c>
      <c r="M33" s="2"/>
      <c r="N33" s="2"/>
      <c r="O33" s="2"/>
      <c r="P33" s="2"/>
      <c r="Q33" s="2">
        <v>10845</v>
      </c>
      <c r="R33" s="2"/>
      <c r="S33" s="28" t="s">
        <v>200</v>
      </c>
      <c r="T33" s="2"/>
    </row>
    <row r="34" spans="1:20" x14ac:dyDescent="0.35">
      <c r="A34" s="17">
        <v>45565</v>
      </c>
      <c r="B34" s="2"/>
      <c r="C34" s="2"/>
      <c r="D34" s="2"/>
      <c r="E34" s="2"/>
      <c r="F34" s="2"/>
      <c r="G34" s="2"/>
      <c r="H34" s="2"/>
      <c r="I34" s="2">
        <v>145</v>
      </c>
      <c r="J34" s="2"/>
      <c r="K34" s="2"/>
      <c r="L34" s="2">
        <v>15</v>
      </c>
      <c r="M34" s="2"/>
      <c r="N34" s="2"/>
      <c r="O34" s="2"/>
      <c r="P34" s="2"/>
      <c r="Q34" s="2">
        <v>3000</v>
      </c>
      <c r="R34" s="2">
        <f>251+200</f>
        <v>451</v>
      </c>
      <c r="S34" s="2" t="s">
        <v>275</v>
      </c>
      <c r="T34" s="2">
        <f t="shared" si="2"/>
        <v>3611</v>
      </c>
    </row>
    <row r="35" spans="1:20" x14ac:dyDescent="0.35">
      <c r="A35" s="17" t="s">
        <v>29</v>
      </c>
      <c r="B35" s="16">
        <f t="shared" ref="B35:R35" si="3">SUM(B5:B34)</f>
        <v>23100</v>
      </c>
      <c r="C35" s="16">
        <f t="shared" si="3"/>
        <v>55778</v>
      </c>
      <c r="D35" s="16">
        <f t="shared" si="3"/>
        <v>0</v>
      </c>
      <c r="E35" s="16">
        <f t="shared" si="3"/>
        <v>477</v>
      </c>
      <c r="F35" s="16">
        <f t="shared" si="3"/>
        <v>840</v>
      </c>
      <c r="G35" s="16">
        <f t="shared" si="3"/>
        <v>240</v>
      </c>
      <c r="H35" s="16">
        <f t="shared" si="3"/>
        <v>866</v>
      </c>
      <c r="I35" s="16">
        <f t="shared" si="3"/>
        <v>6299</v>
      </c>
      <c r="J35" s="16">
        <f t="shared" si="3"/>
        <v>405</v>
      </c>
      <c r="K35" s="16">
        <f t="shared" si="3"/>
        <v>829</v>
      </c>
      <c r="L35" s="16">
        <f t="shared" si="3"/>
        <v>3235</v>
      </c>
      <c r="M35" s="16">
        <f t="shared" si="3"/>
        <v>0</v>
      </c>
      <c r="N35" s="16">
        <f t="shared" si="3"/>
        <v>944</v>
      </c>
      <c r="O35" s="16">
        <f t="shared" si="3"/>
        <v>274</v>
      </c>
      <c r="P35" s="16">
        <f t="shared" si="3"/>
        <v>10000</v>
      </c>
      <c r="Q35" s="16">
        <f t="shared" si="3"/>
        <v>39944</v>
      </c>
      <c r="R35" s="16">
        <f t="shared" si="3"/>
        <v>15073</v>
      </c>
      <c r="S35" s="16"/>
      <c r="T35" s="2"/>
    </row>
    <row r="37" spans="1:20" x14ac:dyDescent="0.35">
      <c r="A37" s="24" t="s">
        <v>46</v>
      </c>
      <c r="B37" s="2">
        <v>155038</v>
      </c>
    </row>
    <row r="38" spans="1:20" x14ac:dyDescent="0.35">
      <c r="A38" s="24" t="s">
        <v>17</v>
      </c>
      <c r="B38" s="2">
        <f>SUM(B2:R2)-M2</f>
        <v>128530</v>
      </c>
    </row>
    <row r="39" spans="1:20" x14ac:dyDescent="0.35">
      <c r="A39" s="24" t="s">
        <v>47</v>
      </c>
      <c r="B39" s="2">
        <f>SUM(T5:T34)-M35</f>
        <v>140569</v>
      </c>
    </row>
    <row r="40" spans="1:20" x14ac:dyDescent="0.35">
      <c r="A40" s="24" t="s">
        <v>18</v>
      </c>
      <c r="B40" s="2">
        <f>B38-B39</f>
        <v>-12039</v>
      </c>
    </row>
    <row r="41" spans="1:20" x14ac:dyDescent="0.35">
      <c r="A41" s="24" t="s">
        <v>34</v>
      </c>
      <c r="B41" s="2">
        <f>B37-SUM(B35:R35)</f>
        <v>-3266</v>
      </c>
    </row>
    <row r="42" spans="1:20" x14ac:dyDescent="0.35">
      <c r="A42" s="24" t="s">
        <v>83</v>
      </c>
      <c r="B42" s="2">
        <f>SUM(D35:L35)+SUM(N35:R35)</f>
        <v>79426</v>
      </c>
    </row>
    <row r="43" spans="1:20" x14ac:dyDescent="0.35">
      <c r="A43" s="24" t="s">
        <v>162</v>
      </c>
      <c r="B43" s="2">
        <f>B37-B42</f>
        <v>75612</v>
      </c>
    </row>
  </sheetData>
  <mergeCells count="1">
    <mergeCell ref="V1:W1"/>
  </mergeCells>
  <conditionalFormatting sqref="B4:R4">
    <cfRule type="cellIs" dxfId="11" priority="1" operator="greaterThan">
      <formula>99</formula>
    </cfRule>
    <cfRule type="cellIs" dxfId="10" priority="2" operator="between">
      <formula>51</formula>
      <formula>99</formula>
    </cfRule>
    <cfRule type="cellIs" dxfId="9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6" sqref="C16"/>
    </sheetView>
  </sheetViews>
  <sheetFormatPr defaultRowHeight="14.5" x14ac:dyDescent="0.35"/>
  <cols>
    <col min="1" max="1" width="16.81640625" bestFit="1" customWidth="1"/>
    <col min="2" max="2" width="18.54296875" bestFit="1" customWidth="1"/>
  </cols>
  <sheetData>
    <row r="1" spans="1:3" x14ac:dyDescent="0.35">
      <c r="A1" s="44" t="s">
        <v>37</v>
      </c>
      <c r="B1" s="44" t="s">
        <v>197</v>
      </c>
      <c r="C1" s="44" t="s">
        <v>38</v>
      </c>
    </row>
    <row r="2" spans="1:3" x14ac:dyDescent="0.35">
      <c r="A2" s="2" t="s">
        <v>203</v>
      </c>
      <c r="B2" s="2" t="s">
        <v>334</v>
      </c>
      <c r="C2" s="2">
        <f>700+250+80+150+660</f>
        <v>1840</v>
      </c>
    </row>
    <row r="3" spans="1:3" x14ac:dyDescent="0.35">
      <c r="A3" s="2" t="s">
        <v>12</v>
      </c>
      <c r="B3" s="2" t="s">
        <v>12</v>
      </c>
      <c r="C3" s="2">
        <f>1800+660+640</f>
        <v>3100</v>
      </c>
    </row>
    <row r="4" spans="1:3" x14ac:dyDescent="0.35">
      <c r="A4" s="2" t="s">
        <v>137</v>
      </c>
      <c r="B4" s="2" t="s">
        <v>336</v>
      </c>
      <c r="C4" s="2">
        <v>7940</v>
      </c>
    </row>
    <row r="5" spans="1:3" x14ac:dyDescent="0.35">
      <c r="A5" s="45" t="s">
        <v>29</v>
      </c>
      <c r="B5" s="45"/>
      <c r="C5" s="45">
        <f>SUM(C2:C4)</f>
        <v>12880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0" zoomScaleNormal="80" workbookViewId="0">
      <pane ySplit="1" topLeftCell="A2" activePane="bottomLeft" state="frozen"/>
      <selection pane="bottomLeft" activeCell="E6" sqref="E6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7.7265625" bestFit="1" customWidth="1"/>
    <col min="18" max="18" width="23.1796875" bestFit="1" customWidth="1"/>
    <col min="19" max="19" width="36.7265625" customWidth="1"/>
    <col min="20" max="20" width="17.453125" customWidth="1"/>
    <col min="22" max="22" width="21.81640625" bestFit="1" customWidth="1"/>
    <col min="23" max="23" width="12.1796875" customWidth="1"/>
  </cols>
  <sheetData>
    <row r="1" spans="1:23" x14ac:dyDescent="0.35">
      <c r="A1" s="57" t="s">
        <v>33</v>
      </c>
      <c r="B1" s="57" t="s">
        <v>2</v>
      </c>
      <c r="C1" s="57" t="s">
        <v>3</v>
      </c>
      <c r="D1" s="57" t="s">
        <v>4</v>
      </c>
      <c r="E1" s="57" t="s">
        <v>5</v>
      </c>
      <c r="F1" s="57" t="s">
        <v>6</v>
      </c>
      <c r="G1" s="57" t="s">
        <v>7</v>
      </c>
      <c r="H1" s="57" t="s">
        <v>8</v>
      </c>
      <c r="I1" s="57" t="s">
        <v>9</v>
      </c>
      <c r="J1" s="57" t="s">
        <v>10</v>
      </c>
      <c r="K1" s="57" t="s">
        <v>11</v>
      </c>
      <c r="L1" s="57" t="s">
        <v>12</v>
      </c>
      <c r="M1" s="57" t="s">
        <v>13</v>
      </c>
      <c r="N1" s="57" t="s">
        <v>16</v>
      </c>
      <c r="O1" s="57" t="s">
        <v>43</v>
      </c>
      <c r="P1" s="57" t="s">
        <v>64</v>
      </c>
      <c r="Q1" s="57" t="s">
        <v>14</v>
      </c>
      <c r="R1" s="57" t="s">
        <v>15</v>
      </c>
      <c r="S1" s="57" t="s">
        <v>35</v>
      </c>
      <c r="T1" s="57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23100</v>
      </c>
      <c r="C2" s="19">
        <v>55778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138142</v>
      </c>
      <c r="V2" s="34" t="s">
        <v>2</v>
      </c>
      <c r="W2" s="35">
        <f>B36</f>
        <v>23100</v>
      </c>
    </row>
    <row r="3" spans="1:23" s="23" customFormat="1" x14ac:dyDescent="0.35">
      <c r="A3" s="19" t="s">
        <v>18</v>
      </c>
      <c r="B3" s="19">
        <f t="shared" ref="B3:R3" si="0">B2-B36</f>
        <v>0</v>
      </c>
      <c r="C3" s="19">
        <f t="shared" si="0"/>
        <v>0</v>
      </c>
      <c r="D3" s="19">
        <f t="shared" si="0"/>
        <v>2500</v>
      </c>
      <c r="E3" s="19">
        <f t="shared" si="0"/>
        <v>1523</v>
      </c>
      <c r="F3" s="19">
        <f t="shared" si="0"/>
        <v>610</v>
      </c>
      <c r="G3" s="19">
        <f t="shared" si="0"/>
        <v>1000</v>
      </c>
      <c r="H3" s="19">
        <f t="shared" si="0"/>
        <v>299</v>
      </c>
      <c r="I3" s="19">
        <f t="shared" si="0"/>
        <v>1821</v>
      </c>
      <c r="J3" s="19">
        <f t="shared" si="0"/>
        <v>300</v>
      </c>
      <c r="K3" s="19">
        <f t="shared" si="0"/>
        <v>1200</v>
      </c>
      <c r="L3" s="19">
        <f t="shared" si="0"/>
        <v>-3176</v>
      </c>
      <c r="M3" s="19">
        <f t="shared" si="0"/>
        <v>-5000</v>
      </c>
      <c r="N3" s="19">
        <f t="shared" si="0"/>
        <v>556</v>
      </c>
      <c r="O3" s="19">
        <f t="shared" si="0"/>
        <v>-308</v>
      </c>
      <c r="P3" s="19">
        <f t="shared" si="0"/>
        <v>1500</v>
      </c>
      <c r="Q3" s="19">
        <f t="shared" si="0"/>
        <v>-5845</v>
      </c>
      <c r="R3" s="19">
        <f t="shared" si="0"/>
        <v>-1836</v>
      </c>
      <c r="S3" s="19"/>
      <c r="T3" s="19">
        <f>SUM(B3:R3)</f>
        <v>-4856</v>
      </c>
      <c r="V3" s="34" t="s">
        <v>3</v>
      </c>
      <c r="W3" s="35">
        <f>C36</f>
        <v>55778</v>
      </c>
    </row>
    <row r="4" spans="1:23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23.849999999999998</v>
      </c>
      <c r="F4" s="19">
        <f t="shared" si="1"/>
        <v>44.545454545454547</v>
      </c>
      <c r="G4" s="19">
        <f t="shared" si="1"/>
        <v>0</v>
      </c>
      <c r="H4" s="19">
        <f t="shared" si="1"/>
        <v>40.200000000000003</v>
      </c>
      <c r="I4" s="19">
        <f t="shared" si="1"/>
        <v>73.985714285714295</v>
      </c>
      <c r="J4" s="19">
        <f t="shared" si="1"/>
        <v>40</v>
      </c>
      <c r="K4" s="19">
        <f t="shared" si="1"/>
        <v>0</v>
      </c>
      <c r="L4" s="19">
        <f t="shared" si="1"/>
        <v>258.8</v>
      </c>
      <c r="M4" s="19">
        <f t="shared" si="1"/>
        <v>200</v>
      </c>
      <c r="N4" s="19">
        <f t="shared" si="1"/>
        <v>62.93333333333333</v>
      </c>
      <c r="O4" s="19">
        <f t="shared" si="1"/>
        <v>166.37931034482759</v>
      </c>
      <c r="P4" s="19">
        <f t="shared" si="1"/>
        <v>76.923076923076934</v>
      </c>
      <c r="Q4" s="19">
        <f t="shared" si="1"/>
        <v>173.0625</v>
      </c>
      <c r="R4" s="21">
        <f t="shared" si="1"/>
        <v>109.18</v>
      </c>
      <c r="S4" s="19"/>
      <c r="T4" s="21">
        <f t="shared" si="1"/>
        <v>103.5152234657092</v>
      </c>
      <c r="V4" s="34" t="s">
        <v>4</v>
      </c>
      <c r="W4" s="35">
        <f>D36</f>
        <v>0</v>
      </c>
    </row>
    <row r="5" spans="1:23" x14ac:dyDescent="0.35">
      <c r="A5" s="17">
        <v>45566</v>
      </c>
      <c r="B5" s="2"/>
      <c r="C5" s="2"/>
      <c r="D5" s="2"/>
      <c r="E5" s="2">
        <v>477</v>
      </c>
      <c r="F5" s="2"/>
      <c r="G5" s="2"/>
      <c r="H5" s="2"/>
      <c r="I5" s="2">
        <v>96</v>
      </c>
      <c r="J5" s="2"/>
      <c r="K5" s="2"/>
      <c r="L5" s="2">
        <v>30</v>
      </c>
      <c r="M5" s="2"/>
      <c r="N5" s="2">
        <v>944</v>
      </c>
      <c r="O5" s="2"/>
      <c r="P5" s="2"/>
      <c r="Q5" s="2">
        <v>10845</v>
      </c>
      <c r="R5" s="2">
        <f>30+783-630</f>
        <v>183</v>
      </c>
      <c r="S5" s="2" t="s">
        <v>147</v>
      </c>
      <c r="T5" s="2">
        <f>SUM(B5:R5)</f>
        <v>12575</v>
      </c>
      <c r="V5" s="34" t="s">
        <v>5</v>
      </c>
      <c r="W5" s="36">
        <f>E36</f>
        <v>477</v>
      </c>
    </row>
    <row r="6" spans="1:23" x14ac:dyDescent="0.35">
      <c r="A6" s="17">
        <v>45567</v>
      </c>
      <c r="B6" s="2">
        <v>23100</v>
      </c>
      <c r="C6" s="2"/>
      <c r="D6" s="2"/>
      <c r="E6" s="2"/>
      <c r="F6" s="2"/>
      <c r="G6" s="2"/>
      <c r="H6" s="2"/>
      <c r="I6" s="2">
        <v>170</v>
      </c>
      <c r="J6" s="2">
        <v>200</v>
      </c>
      <c r="K6" s="2"/>
      <c r="L6" s="2">
        <v>40</v>
      </c>
      <c r="M6" s="2"/>
      <c r="N6" s="2"/>
      <c r="O6" s="2"/>
      <c r="P6" s="2"/>
      <c r="Q6" s="2"/>
      <c r="R6" s="2"/>
      <c r="S6" s="2"/>
      <c r="T6" s="2">
        <f t="shared" ref="T6:T35" si="2">SUM(B6:R6)</f>
        <v>23510</v>
      </c>
      <c r="V6" s="34" t="s">
        <v>6</v>
      </c>
      <c r="W6" s="36">
        <f>F36</f>
        <v>490</v>
      </c>
    </row>
    <row r="7" spans="1:23" x14ac:dyDescent="0.35">
      <c r="A7" s="17">
        <v>45568</v>
      </c>
      <c r="B7" s="2"/>
      <c r="C7" s="2"/>
      <c r="D7" s="2"/>
      <c r="E7" s="2"/>
      <c r="F7" s="2">
        <v>490</v>
      </c>
      <c r="H7" s="2"/>
      <c r="I7" s="2"/>
      <c r="J7" s="2"/>
      <c r="K7" s="2"/>
      <c r="L7" s="2">
        <v>15</v>
      </c>
      <c r="M7" s="2">
        <v>10000</v>
      </c>
      <c r="N7" s="2"/>
      <c r="O7" s="2"/>
      <c r="P7" s="2"/>
      <c r="Q7" s="2"/>
      <c r="R7" s="2">
        <v>1408</v>
      </c>
      <c r="S7" s="2" t="s">
        <v>51</v>
      </c>
      <c r="T7" s="2">
        <f t="shared" si="2"/>
        <v>11913</v>
      </c>
      <c r="V7" s="34" t="s">
        <v>7</v>
      </c>
      <c r="W7" s="36">
        <f>G36</f>
        <v>0</v>
      </c>
    </row>
    <row r="8" spans="1:23" x14ac:dyDescent="0.35">
      <c r="A8" s="17">
        <v>45569</v>
      </c>
      <c r="B8" s="2"/>
      <c r="D8" s="2"/>
      <c r="E8" s="2"/>
      <c r="F8" s="2"/>
      <c r="G8" s="2"/>
      <c r="H8" s="2"/>
      <c r="I8" s="2">
        <f>96+74</f>
        <v>170</v>
      </c>
      <c r="J8" s="2"/>
      <c r="K8" s="2"/>
      <c r="L8" s="2">
        <v>30</v>
      </c>
      <c r="M8" s="2"/>
      <c r="N8" s="2"/>
      <c r="O8" s="2"/>
      <c r="P8" s="2"/>
      <c r="Q8" s="2"/>
      <c r="R8" s="2">
        <f>1900+942+396</f>
        <v>3238</v>
      </c>
      <c r="S8" s="15" t="s">
        <v>302</v>
      </c>
      <c r="T8" s="2">
        <f t="shared" si="2"/>
        <v>3438</v>
      </c>
      <c r="V8" s="34" t="s">
        <v>8</v>
      </c>
      <c r="W8" s="36">
        <f>H36</f>
        <v>201</v>
      </c>
    </row>
    <row r="9" spans="1:23" x14ac:dyDescent="0.35">
      <c r="A9" s="17">
        <v>45570</v>
      </c>
      <c r="B9" s="2"/>
      <c r="C9" s="2">
        <v>55778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si="2"/>
        <v>55778</v>
      </c>
      <c r="V9" s="34" t="s">
        <v>9</v>
      </c>
      <c r="W9" s="36">
        <f>I36</f>
        <v>5179</v>
      </c>
    </row>
    <row r="10" spans="1:23" x14ac:dyDescent="0.35">
      <c r="A10" s="17">
        <v>45571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199</v>
      </c>
      <c r="P10" s="2"/>
      <c r="Q10" s="2"/>
      <c r="R10" s="2">
        <f>2123-1570</f>
        <v>553</v>
      </c>
      <c r="S10" s="2" t="s">
        <v>147</v>
      </c>
      <c r="T10" s="2">
        <f t="shared" si="2"/>
        <v>752</v>
      </c>
      <c r="V10" s="34" t="s">
        <v>10</v>
      </c>
      <c r="W10" s="36">
        <f>J36</f>
        <v>200</v>
      </c>
    </row>
    <row r="11" spans="1:23" x14ac:dyDescent="0.35">
      <c r="A11" s="17">
        <v>45572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>
        <v>120</v>
      </c>
      <c r="S11" s="15" t="s">
        <v>147</v>
      </c>
      <c r="T11" s="2">
        <f t="shared" si="2"/>
        <v>120</v>
      </c>
      <c r="V11" s="34" t="s">
        <v>11</v>
      </c>
      <c r="W11" s="36">
        <f>K36</f>
        <v>0</v>
      </c>
    </row>
    <row r="12" spans="1:23" x14ac:dyDescent="0.35">
      <c r="A12" s="17">
        <v>45573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2"/>
        <v>0</v>
      </c>
      <c r="V12" s="34" t="s">
        <v>12</v>
      </c>
      <c r="W12" s="36">
        <f>L36</f>
        <v>5176</v>
      </c>
    </row>
    <row r="13" spans="1:23" x14ac:dyDescent="0.35">
      <c r="A13" s="17">
        <v>45574</v>
      </c>
      <c r="B13" s="2"/>
      <c r="C13" s="2"/>
      <c r="D13" s="2"/>
      <c r="E13" s="2"/>
      <c r="F13" s="2"/>
      <c r="G13" s="2"/>
      <c r="H13" s="2"/>
      <c r="I13" s="2">
        <v>270</v>
      </c>
      <c r="J13" s="2"/>
      <c r="K13" s="2"/>
      <c r="L13" s="2">
        <f>150+1600-266</f>
        <v>1484</v>
      </c>
      <c r="M13" s="2"/>
      <c r="N13" s="2"/>
      <c r="O13" s="2"/>
      <c r="P13" s="2"/>
      <c r="Q13" s="2"/>
      <c r="R13" s="2">
        <v>274</v>
      </c>
      <c r="S13" s="2" t="s">
        <v>51</v>
      </c>
      <c r="T13" s="2">
        <f t="shared" si="2"/>
        <v>2028</v>
      </c>
      <c r="V13" s="34" t="s">
        <v>13</v>
      </c>
      <c r="W13" s="36">
        <f>M36</f>
        <v>10000</v>
      </c>
    </row>
    <row r="14" spans="1:23" x14ac:dyDescent="0.35">
      <c r="A14" s="17">
        <v>45575</v>
      </c>
      <c r="B14" s="2"/>
      <c r="C14" s="2"/>
      <c r="D14" s="2"/>
      <c r="E14" s="2"/>
      <c r="F14" s="2"/>
      <c r="G14" s="2"/>
      <c r="H14" s="2"/>
      <c r="J14" s="2"/>
      <c r="K14" s="2"/>
      <c r="L14" s="2">
        <v>1215</v>
      </c>
      <c r="M14" s="2"/>
      <c r="N14" s="2"/>
      <c r="O14" s="2"/>
      <c r="P14" s="2"/>
      <c r="Q14" s="2"/>
      <c r="R14" s="2">
        <v>1700</v>
      </c>
      <c r="S14" s="2" t="s">
        <v>303</v>
      </c>
      <c r="T14" s="2">
        <f t="shared" si="2"/>
        <v>2915</v>
      </c>
      <c r="V14" s="34" t="s">
        <v>16</v>
      </c>
      <c r="W14" s="36">
        <f>N36</f>
        <v>944</v>
      </c>
    </row>
    <row r="15" spans="1:23" x14ac:dyDescent="0.35">
      <c r="A15" s="17">
        <v>45576</v>
      </c>
      <c r="B15" s="2"/>
      <c r="C15" s="2"/>
      <c r="D15" s="2"/>
      <c r="E15" s="2"/>
      <c r="F15" s="2"/>
      <c r="G15" s="2"/>
      <c r="H15" s="2">
        <v>201</v>
      </c>
      <c r="I15" s="2"/>
      <c r="J15" s="2"/>
      <c r="K15" s="2"/>
      <c r="L15" s="2">
        <v>35</v>
      </c>
      <c r="M15" s="2"/>
      <c r="N15" s="2"/>
      <c r="O15" s="2">
        <v>199</v>
      </c>
      <c r="P15" s="2"/>
      <c r="Q15" s="2"/>
      <c r="R15" s="30">
        <v>209</v>
      </c>
      <c r="S15" s="27" t="s">
        <v>51</v>
      </c>
      <c r="T15" s="2">
        <f t="shared" si="2"/>
        <v>644</v>
      </c>
      <c r="V15" s="34" t="s">
        <v>43</v>
      </c>
      <c r="W15" s="36">
        <f>O36</f>
        <v>772</v>
      </c>
    </row>
    <row r="16" spans="1:23" x14ac:dyDescent="0.35">
      <c r="A16" s="17">
        <v>45577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v>1000</v>
      </c>
      <c r="S16" s="15" t="s">
        <v>304</v>
      </c>
      <c r="T16" s="2">
        <f t="shared" si="2"/>
        <v>1000</v>
      </c>
      <c r="V16" s="34" t="s">
        <v>64</v>
      </c>
      <c r="W16" s="36">
        <f>P36</f>
        <v>5000</v>
      </c>
    </row>
    <row r="17" spans="1:23" x14ac:dyDescent="0.35">
      <c r="A17" s="17">
        <v>45578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2"/>
        <v>0</v>
      </c>
      <c r="V17" s="34" t="s">
        <v>14</v>
      </c>
      <c r="W17" s="36">
        <f>Q36</f>
        <v>13845</v>
      </c>
    </row>
    <row r="18" spans="1:23" x14ac:dyDescent="0.35">
      <c r="A18" s="17">
        <v>45579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f>1112+758+261</f>
        <v>2131</v>
      </c>
      <c r="S18" s="2" t="s">
        <v>305</v>
      </c>
      <c r="T18" s="2">
        <f t="shared" si="2"/>
        <v>2131</v>
      </c>
      <c r="V18" s="34" t="s">
        <v>15</v>
      </c>
      <c r="W18" s="36">
        <f>R36</f>
        <v>21836</v>
      </c>
    </row>
    <row r="19" spans="1:23" x14ac:dyDescent="0.35">
      <c r="A19" s="17">
        <v>45580</v>
      </c>
      <c r="B19" s="2"/>
      <c r="C19" s="2"/>
      <c r="D19" s="2"/>
      <c r="E19" s="2"/>
      <c r="F19" s="2"/>
      <c r="G19" s="2"/>
      <c r="H19" s="2"/>
      <c r="I19" s="2">
        <v>100</v>
      </c>
      <c r="J19" s="2"/>
      <c r="K19" s="2"/>
      <c r="L19" s="2">
        <f>1810+65</f>
        <v>1875</v>
      </c>
      <c r="M19" s="2"/>
      <c r="N19" s="2"/>
      <c r="O19" s="2"/>
      <c r="P19" s="2">
        <v>5000</v>
      </c>
      <c r="Q19" s="2"/>
      <c r="R19" s="2">
        <f>26+149+495</f>
        <v>670</v>
      </c>
      <c r="S19" s="15" t="s">
        <v>306</v>
      </c>
      <c r="T19" s="2">
        <f t="shared" si="2"/>
        <v>7645</v>
      </c>
    </row>
    <row r="20" spans="1:23" x14ac:dyDescent="0.35">
      <c r="A20" s="17">
        <v>45581</v>
      </c>
      <c r="B20" s="2"/>
      <c r="C20" s="2"/>
      <c r="D20" s="2"/>
      <c r="E20" s="2"/>
      <c r="F20" s="2"/>
      <c r="G20" s="2"/>
      <c r="H20" s="2"/>
      <c r="I20" s="2">
        <v>133</v>
      </c>
      <c r="J20" s="2"/>
      <c r="K20" s="2"/>
      <c r="L20" s="2">
        <v>60</v>
      </c>
      <c r="M20" s="2"/>
      <c r="N20" s="2"/>
      <c r="O20" s="2"/>
      <c r="P20" s="2"/>
      <c r="Q20" s="2"/>
      <c r="R20" s="2"/>
      <c r="S20" s="2"/>
      <c r="T20" s="2">
        <f t="shared" si="2"/>
        <v>193</v>
      </c>
    </row>
    <row r="21" spans="1:23" x14ac:dyDescent="0.35">
      <c r="A21" s="17">
        <v>45582</v>
      </c>
      <c r="B21" s="2"/>
      <c r="C21" s="2"/>
      <c r="D21" s="2"/>
      <c r="E21" s="2"/>
      <c r="F21" s="2"/>
      <c r="G21" s="2"/>
      <c r="H21" s="2"/>
      <c r="I21" s="2">
        <v>64</v>
      </c>
      <c r="J21" s="2"/>
      <c r="K21" s="2"/>
      <c r="L21" s="2"/>
      <c r="M21" s="2"/>
      <c r="N21" s="2"/>
      <c r="O21" s="2"/>
      <c r="P21" s="2"/>
      <c r="Q21" s="2"/>
      <c r="R21" s="2">
        <v>3960</v>
      </c>
      <c r="S21" s="2" t="s">
        <v>284</v>
      </c>
      <c r="T21" s="2">
        <f t="shared" si="2"/>
        <v>4024</v>
      </c>
    </row>
    <row r="22" spans="1:23" x14ac:dyDescent="0.35">
      <c r="A22" s="17">
        <v>45583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5"/>
      <c r="T22" s="2">
        <f t="shared" si="2"/>
        <v>0</v>
      </c>
    </row>
    <row r="23" spans="1:23" x14ac:dyDescent="0.35">
      <c r="A23" s="17">
        <v>45584</v>
      </c>
      <c r="B23" s="2"/>
      <c r="C23" s="2"/>
      <c r="D23" s="2"/>
      <c r="E23" s="2"/>
      <c r="F23" s="2"/>
      <c r="G23" s="2"/>
      <c r="H23" s="2"/>
      <c r="I23" s="2">
        <v>609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f t="shared" si="2"/>
        <v>609</v>
      </c>
    </row>
    <row r="24" spans="1:23" x14ac:dyDescent="0.35">
      <c r="A24" s="17">
        <v>45585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200</v>
      </c>
      <c r="M24" s="2"/>
      <c r="N24" s="2"/>
      <c r="O24" s="2"/>
      <c r="P24" s="2"/>
      <c r="Q24" s="2"/>
      <c r="R24" s="2">
        <v>105</v>
      </c>
      <c r="S24" s="2" t="s">
        <v>9</v>
      </c>
      <c r="T24" s="2">
        <f t="shared" si="2"/>
        <v>305</v>
      </c>
    </row>
    <row r="25" spans="1:23" x14ac:dyDescent="0.35">
      <c r="A25" s="17">
        <v>45586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>
        <v>50</v>
      </c>
      <c r="M25" s="2"/>
      <c r="N25" s="2"/>
      <c r="O25" s="2">
        <f>75+299</f>
        <v>374</v>
      </c>
      <c r="P25" s="2"/>
      <c r="Q25" s="2"/>
      <c r="R25" s="2"/>
      <c r="S25" s="2"/>
      <c r="T25" s="2">
        <f t="shared" si="2"/>
        <v>424</v>
      </c>
    </row>
    <row r="26" spans="1:23" x14ac:dyDescent="0.35">
      <c r="A26" s="17">
        <v>45587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v>265</v>
      </c>
      <c r="S26" s="2" t="s">
        <v>307</v>
      </c>
      <c r="T26" s="2">
        <f t="shared" si="2"/>
        <v>265</v>
      </c>
    </row>
    <row r="27" spans="1:23" x14ac:dyDescent="0.35">
      <c r="A27" s="17">
        <v>45588</v>
      </c>
      <c r="B27" s="2"/>
      <c r="C27" s="2"/>
      <c r="D27" s="2"/>
      <c r="E27" s="2"/>
      <c r="F27" s="2"/>
      <c r="G27" s="2"/>
      <c r="H27" s="2"/>
      <c r="I27" s="2">
        <v>1000</v>
      </c>
      <c r="J27" s="2"/>
      <c r="K27" s="2"/>
      <c r="L27" s="2"/>
      <c r="M27" s="2"/>
      <c r="N27" s="2"/>
      <c r="O27" s="2"/>
      <c r="P27" s="2"/>
      <c r="Q27" s="2"/>
      <c r="R27" s="2">
        <f>2000+1447</f>
        <v>3447</v>
      </c>
      <c r="S27" s="2" t="s">
        <v>308</v>
      </c>
      <c r="T27" s="2">
        <f t="shared" si="2"/>
        <v>4447</v>
      </c>
    </row>
    <row r="28" spans="1:23" x14ac:dyDescent="0.35">
      <c r="A28" s="17">
        <v>45589</v>
      </c>
      <c r="B28" s="2"/>
      <c r="C28" s="2"/>
      <c r="D28" s="2"/>
      <c r="E28" s="2"/>
      <c r="F28" s="2"/>
      <c r="G28" s="2"/>
      <c r="H28" s="2"/>
      <c r="I28" s="2">
        <v>1200</v>
      </c>
      <c r="J28" s="2"/>
      <c r="K28" s="2"/>
      <c r="L28" s="2">
        <v>40</v>
      </c>
      <c r="M28" s="2"/>
      <c r="N28" s="2"/>
      <c r="O28" s="2"/>
      <c r="P28" s="2"/>
      <c r="Q28" s="2">
        <v>3000</v>
      </c>
      <c r="R28" s="2">
        <v>339</v>
      </c>
      <c r="S28" s="2" t="s">
        <v>147</v>
      </c>
      <c r="T28" s="2">
        <f t="shared" si="2"/>
        <v>4579</v>
      </c>
    </row>
    <row r="29" spans="1:23" x14ac:dyDescent="0.35">
      <c r="A29" s="17">
        <v>45590</v>
      </c>
      <c r="B29" s="2"/>
      <c r="C29" s="2"/>
      <c r="D29" s="2"/>
      <c r="E29" s="2"/>
      <c r="F29" s="2"/>
      <c r="G29" s="2"/>
      <c r="H29" s="2"/>
      <c r="I29" s="2">
        <v>222</v>
      </c>
      <c r="J29" s="2"/>
      <c r="K29" s="2"/>
      <c r="L29" s="2"/>
      <c r="M29" s="2"/>
      <c r="N29" s="2"/>
      <c r="O29" s="2"/>
      <c r="P29" s="2"/>
      <c r="Q29" s="2"/>
      <c r="R29" s="2">
        <f>236+249</f>
        <v>485</v>
      </c>
      <c r="S29" s="2" t="s">
        <v>309</v>
      </c>
      <c r="T29" s="2">
        <f t="shared" si="2"/>
        <v>707</v>
      </c>
    </row>
    <row r="30" spans="1:23" x14ac:dyDescent="0.35">
      <c r="A30" s="17">
        <v>45591</v>
      </c>
      <c r="B30" s="2"/>
      <c r="C30" s="2"/>
      <c r="D30" s="2"/>
      <c r="E30" s="2"/>
      <c r="F30" s="2"/>
      <c r="H30" s="2"/>
      <c r="I30" s="2">
        <v>70</v>
      </c>
      <c r="J30" s="2"/>
      <c r="K30" s="2"/>
      <c r="L30" s="2"/>
      <c r="M30" s="2"/>
      <c r="N30" s="2"/>
      <c r="O30" s="2"/>
      <c r="P30" s="2"/>
      <c r="Q30" s="2"/>
      <c r="S30" s="30"/>
      <c r="T30" s="2">
        <f t="shared" si="2"/>
        <v>70</v>
      </c>
    </row>
    <row r="31" spans="1:23" ht="15" customHeight="1" x14ac:dyDescent="0.35">
      <c r="A31" s="17">
        <v>45592</v>
      </c>
      <c r="B31" s="2"/>
      <c r="C31" s="2"/>
      <c r="D31" s="2"/>
      <c r="E31" s="2"/>
      <c r="F31" s="2"/>
      <c r="G31" s="2"/>
      <c r="H31" s="2"/>
      <c r="I31" s="2">
        <v>1000</v>
      </c>
      <c r="J31" s="2"/>
      <c r="K31" s="2"/>
      <c r="L31" s="2"/>
      <c r="M31" s="2"/>
      <c r="N31" s="2"/>
      <c r="O31" s="2"/>
      <c r="P31" s="2"/>
      <c r="Q31" s="2"/>
      <c r="R31" s="2"/>
      <c r="S31" s="28"/>
      <c r="T31" s="2">
        <f t="shared" si="2"/>
        <v>1000</v>
      </c>
    </row>
    <row r="32" spans="1:23" ht="15" customHeight="1" x14ac:dyDescent="0.35">
      <c r="A32" s="17">
        <v>45593</v>
      </c>
      <c r="B32" s="2"/>
      <c r="C32" s="2"/>
      <c r="D32" s="2"/>
      <c r="E32" s="2"/>
      <c r="F32" s="2"/>
      <c r="G32" s="2"/>
      <c r="H32" s="2"/>
      <c r="I32" s="2">
        <v>75</v>
      </c>
      <c r="J32" s="2"/>
      <c r="K32" s="2"/>
      <c r="L32" s="2">
        <v>30</v>
      </c>
      <c r="M32" s="2"/>
      <c r="N32" s="2"/>
      <c r="O32" s="2"/>
      <c r="P32" s="2"/>
      <c r="Q32" s="2"/>
      <c r="R32" s="2">
        <v>249</v>
      </c>
      <c r="S32" s="28" t="s">
        <v>296</v>
      </c>
      <c r="T32" s="2">
        <f t="shared" si="2"/>
        <v>354</v>
      </c>
    </row>
    <row r="33" spans="1:20" ht="15" customHeight="1" x14ac:dyDescent="0.35">
      <c r="A33" s="17">
        <v>45594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8"/>
      <c r="T33" s="2">
        <f t="shared" si="2"/>
        <v>0</v>
      </c>
    </row>
    <row r="34" spans="1:20" x14ac:dyDescent="0.35">
      <c r="A34" s="17">
        <v>45595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>
        <v>72</v>
      </c>
      <c r="M34" s="2"/>
      <c r="N34" s="2"/>
      <c r="O34" s="2"/>
      <c r="P34" s="2"/>
      <c r="Q34" s="2"/>
      <c r="R34" s="2"/>
      <c r="S34" s="2"/>
      <c r="T34" s="2">
        <f t="shared" si="2"/>
        <v>72</v>
      </c>
    </row>
    <row r="35" spans="1:20" x14ac:dyDescent="0.35">
      <c r="A35" s="17">
        <v>45596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1500</v>
      </c>
      <c r="S35" s="2" t="s">
        <v>310</v>
      </c>
      <c r="T35" s="2">
        <f t="shared" si="2"/>
        <v>1500</v>
      </c>
    </row>
    <row r="36" spans="1:20" x14ac:dyDescent="0.35">
      <c r="A36" s="16" t="s">
        <v>29</v>
      </c>
      <c r="B36" s="16">
        <f>SUM(B5:B35)</f>
        <v>23100</v>
      </c>
      <c r="C36" s="16">
        <f t="shared" ref="C36:R36" si="3">SUM(C5:C35)</f>
        <v>55778</v>
      </c>
      <c r="D36" s="16">
        <f t="shared" si="3"/>
        <v>0</v>
      </c>
      <c r="E36" s="16">
        <f t="shared" si="3"/>
        <v>477</v>
      </c>
      <c r="F36" s="16">
        <f t="shared" si="3"/>
        <v>490</v>
      </c>
      <c r="G36" s="16">
        <f t="shared" si="3"/>
        <v>0</v>
      </c>
      <c r="H36" s="16">
        <f t="shared" si="3"/>
        <v>201</v>
      </c>
      <c r="I36" s="16">
        <f t="shared" si="3"/>
        <v>5179</v>
      </c>
      <c r="J36" s="16">
        <f t="shared" si="3"/>
        <v>200</v>
      </c>
      <c r="K36" s="16">
        <f t="shared" si="3"/>
        <v>0</v>
      </c>
      <c r="L36" s="16">
        <f t="shared" si="3"/>
        <v>5176</v>
      </c>
      <c r="M36" s="16">
        <f t="shared" si="3"/>
        <v>10000</v>
      </c>
      <c r="N36" s="16">
        <f t="shared" si="3"/>
        <v>944</v>
      </c>
      <c r="O36" s="16">
        <f t="shared" si="3"/>
        <v>772</v>
      </c>
      <c r="P36" s="16">
        <f t="shared" si="3"/>
        <v>5000</v>
      </c>
      <c r="Q36" s="16">
        <f t="shared" si="3"/>
        <v>13845</v>
      </c>
      <c r="R36" s="16">
        <f t="shared" si="3"/>
        <v>21836</v>
      </c>
      <c r="S36" s="16"/>
      <c r="T36" s="2"/>
    </row>
    <row r="38" spans="1:20" x14ac:dyDescent="0.35">
      <c r="A38" s="24" t="s">
        <v>46</v>
      </c>
      <c r="B38" s="2">
        <v>154779</v>
      </c>
    </row>
    <row r="39" spans="1:20" x14ac:dyDescent="0.35">
      <c r="A39" s="24" t="s">
        <v>17</v>
      </c>
      <c r="B39" s="2">
        <f>SUM(B2:R2)-M2</f>
        <v>133142</v>
      </c>
    </row>
    <row r="40" spans="1:20" x14ac:dyDescent="0.35">
      <c r="A40" s="24" t="s">
        <v>47</v>
      </c>
      <c r="B40" s="2">
        <f>SUM(T5:T34)-M36</f>
        <v>131498</v>
      </c>
    </row>
    <row r="41" spans="1:20" x14ac:dyDescent="0.35">
      <c r="A41" s="24" t="s">
        <v>18</v>
      </c>
      <c r="B41" s="2">
        <f>B39-B40</f>
        <v>1644</v>
      </c>
    </row>
    <row r="42" spans="1:20" x14ac:dyDescent="0.35">
      <c r="A42" s="24" t="s">
        <v>34</v>
      </c>
      <c r="B42" s="2">
        <f>B38-SUM(B36:R36)</f>
        <v>11781</v>
      </c>
    </row>
    <row r="43" spans="1:20" x14ac:dyDescent="0.35">
      <c r="A43" s="24" t="s">
        <v>83</v>
      </c>
      <c r="B43" s="2">
        <f>SUM(D36:L36)+SUM(N36:R36)</f>
        <v>54120</v>
      </c>
    </row>
    <row r="44" spans="1:20" x14ac:dyDescent="0.35">
      <c r="A44" s="24" t="s">
        <v>162</v>
      </c>
      <c r="B44" s="2">
        <f>B38-B43</f>
        <v>100659</v>
      </c>
    </row>
  </sheetData>
  <mergeCells count="1">
    <mergeCell ref="V1:W1"/>
  </mergeCells>
  <conditionalFormatting sqref="B4:R4">
    <cfRule type="cellIs" dxfId="8" priority="1" operator="greaterThan">
      <formula>99</formula>
    </cfRule>
    <cfRule type="cellIs" dxfId="7" priority="2" operator="between">
      <formula>51</formula>
      <formula>99</formula>
    </cfRule>
    <cfRule type="cellIs" dxfId="6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80" zoomScaleNormal="80" workbookViewId="0">
      <pane ySplit="1" topLeftCell="A2" activePane="bottomLeft" state="frozen"/>
      <selection pane="bottomLeft" activeCell="Q11" sqref="Q11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4" max="14" width="13" bestFit="1" customWidth="1"/>
    <col min="15" max="15" width="18.81640625" bestFit="1" customWidth="1"/>
    <col min="16" max="16" width="16.81640625" customWidth="1"/>
    <col min="17" max="17" width="17.7265625" bestFit="1" customWidth="1"/>
    <col min="18" max="18" width="23.1796875" bestFit="1" customWidth="1"/>
    <col min="19" max="19" width="36.7265625" customWidth="1"/>
    <col min="20" max="20" width="17.453125" customWidth="1"/>
    <col min="22" max="22" width="21.81640625" bestFit="1" customWidth="1"/>
    <col min="23" max="23" width="12.1796875" customWidth="1"/>
  </cols>
  <sheetData>
    <row r="1" spans="1:23" x14ac:dyDescent="0.35">
      <c r="A1" s="59" t="s">
        <v>33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9" t="s">
        <v>7</v>
      </c>
      <c r="H1" s="59" t="s">
        <v>8</v>
      </c>
      <c r="I1" s="59" t="s">
        <v>9</v>
      </c>
      <c r="J1" s="59" t="s">
        <v>10</v>
      </c>
      <c r="K1" s="59" t="s">
        <v>11</v>
      </c>
      <c r="L1" s="59" t="s">
        <v>12</v>
      </c>
      <c r="M1" s="59" t="s">
        <v>13</v>
      </c>
      <c r="N1" s="59" t="s">
        <v>16</v>
      </c>
      <c r="O1" s="59" t="s">
        <v>43</v>
      </c>
      <c r="P1" s="59" t="s">
        <v>64</v>
      </c>
      <c r="Q1" s="59" t="s">
        <v>14</v>
      </c>
      <c r="R1" s="59" t="s">
        <v>15</v>
      </c>
      <c r="S1" s="59" t="s">
        <v>35</v>
      </c>
      <c r="T1" s="59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23100</v>
      </c>
      <c r="C2" s="19">
        <v>55778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138142</v>
      </c>
      <c r="V2" s="34" t="s">
        <v>2</v>
      </c>
      <c r="W2" s="35">
        <f>B35</f>
        <v>22100</v>
      </c>
    </row>
    <row r="3" spans="1:23" s="23" customFormat="1" x14ac:dyDescent="0.35">
      <c r="A3" s="19" t="s">
        <v>18</v>
      </c>
      <c r="B3" s="19">
        <f t="shared" ref="B3:R3" si="0">B2-B35</f>
        <v>1000</v>
      </c>
      <c r="C3" s="19">
        <f t="shared" si="0"/>
        <v>0</v>
      </c>
      <c r="D3" s="19">
        <f t="shared" si="0"/>
        <v>2500</v>
      </c>
      <c r="E3" s="19">
        <f t="shared" si="0"/>
        <v>1523</v>
      </c>
      <c r="F3" s="19">
        <f t="shared" si="0"/>
        <v>645</v>
      </c>
      <c r="G3" s="19">
        <f t="shared" si="0"/>
        <v>670</v>
      </c>
      <c r="H3" s="19">
        <f t="shared" si="0"/>
        <v>-719</v>
      </c>
      <c r="I3" s="19">
        <f t="shared" si="0"/>
        <v>-3075</v>
      </c>
      <c r="J3" s="19">
        <f t="shared" si="0"/>
        <v>100</v>
      </c>
      <c r="K3" s="19">
        <f t="shared" si="0"/>
        <v>1200</v>
      </c>
      <c r="L3" s="19">
        <f t="shared" si="0"/>
        <v>-1554</v>
      </c>
      <c r="M3" s="19">
        <f t="shared" si="0"/>
        <v>-15000</v>
      </c>
      <c r="N3" s="19">
        <f t="shared" si="0"/>
        <v>556</v>
      </c>
      <c r="O3" s="19">
        <f t="shared" si="0"/>
        <v>-38</v>
      </c>
      <c r="P3" s="19">
        <f t="shared" si="0"/>
        <v>6500</v>
      </c>
      <c r="Q3" s="19">
        <f t="shared" si="0"/>
        <v>-1776</v>
      </c>
      <c r="R3" s="19">
        <f t="shared" si="0"/>
        <v>10334</v>
      </c>
      <c r="S3" s="19"/>
      <c r="T3" s="19">
        <f>SUM(B3:R3)</f>
        <v>2866</v>
      </c>
      <c r="V3" s="34" t="s">
        <v>3</v>
      </c>
      <c r="W3" s="35">
        <f>C35</f>
        <v>55778</v>
      </c>
    </row>
    <row r="4" spans="1:23" s="23" customFormat="1" x14ac:dyDescent="0.35">
      <c r="A4" s="19" t="s">
        <v>44</v>
      </c>
      <c r="B4" s="19">
        <f>((B2-B3)/B2)*100</f>
        <v>95.67099567099568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23.849999999999998</v>
      </c>
      <c r="F4" s="19">
        <f t="shared" si="1"/>
        <v>41.363636363636367</v>
      </c>
      <c r="G4" s="19">
        <f t="shared" si="1"/>
        <v>33</v>
      </c>
      <c r="H4" s="19">
        <f t="shared" si="1"/>
        <v>243.8</v>
      </c>
      <c r="I4" s="19">
        <f t="shared" si="1"/>
        <v>143.92857142857142</v>
      </c>
      <c r="J4" s="19">
        <f t="shared" si="1"/>
        <v>80</v>
      </c>
      <c r="K4" s="19">
        <f t="shared" si="1"/>
        <v>0</v>
      </c>
      <c r="L4" s="19">
        <f t="shared" si="1"/>
        <v>177.7</v>
      </c>
      <c r="M4" s="19">
        <f t="shared" si="1"/>
        <v>400</v>
      </c>
      <c r="N4" s="19">
        <f t="shared" si="1"/>
        <v>62.93333333333333</v>
      </c>
      <c r="O4" s="19">
        <f t="shared" si="1"/>
        <v>108.18965517241379</v>
      </c>
      <c r="P4" s="19">
        <f t="shared" si="1"/>
        <v>0</v>
      </c>
      <c r="Q4" s="19">
        <f t="shared" si="1"/>
        <v>122.2</v>
      </c>
      <c r="R4" s="21">
        <f t="shared" si="1"/>
        <v>48.33</v>
      </c>
      <c r="S4" s="19"/>
      <c r="T4" s="21">
        <f t="shared" si="1"/>
        <v>97.925323218137862</v>
      </c>
      <c r="V4" s="34" t="s">
        <v>4</v>
      </c>
      <c r="W4" s="35">
        <f>D35</f>
        <v>0</v>
      </c>
    </row>
    <row r="5" spans="1:23" x14ac:dyDescent="0.35">
      <c r="A5" s="17">
        <v>45536</v>
      </c>
      <c r="B5" s="2">
        <v>22100</v>
      </c>
      <c r="C5" s="2"/>
      <c r="D5" s="2"/>
      <c r="E5" s="2"/>
      <c r="F5" s="2"/>
      <c r="G5" s="2"/>
      <c r="H5" s="2"/>
      <c r="I5" s="2">
        <v>109</v>
      </c>
      <c r="J5" s="2"/>
      <c r="K5" s="2"/>
      <c r="L5" s="2">
        <v>473</v>
      </c>
      <c r="M5" s="2"/>
      <c r="N5" s="2">
        <v>944</v>
      </c>
      <c r="O5" s="2"/>
      <c r="P5" s="2"/>
      <c r="Q5" s="2">
        <v>992</v>
      </c>
      <c r="R5" s="2"/>
      <c r="S5" s="2"/>
      <c r="T5" s="2">
        <f>SUM(B5:R5)</f>
        <v>24618</v>
      </c>
      <c r="V5" s="34" t="s">
        <v>5</v>
      </c>
      <c r="W5" s="36">
        <f>E35</f>
        <v>477</v>
      </c>
    </row>
    <row r="6" spans="1:23" x14ac:dyDescent="0.35">
      <c r="A6" s="17">
        <v>45537</v>
      </c>
      <c r="B6" s="2"/>
      <c r="C6" s="2"/>
      <c r="D6" s="2"/>
      <c r="E6" s="2"/>
      <c r="F6" s="2"/>
      <c r="G6" s="2"/>
      <c r="H6" s="2">
        <v>249</v>
      </c>
      <c r="I6" s="2">
        <v>430</v>
      </c>
      <c r="J6" s="2"/>
      <c r="K6" s="2"/>
      <c r="L6" s="2"/>
      <c r="M6" s="2"/>
      <c r="N6" s="2"/>
      <c r="O6" s="2"/>
      <c r="P6" s="2"/>
      <c r="Q6" s="2"/>
      <c r="R6" s="2"/>
      <c r="S6" s="2"/>
      <c r="T6" s="2">
        <f>SUM(B6:R6)</f>
        <v>679</v>
      </c>
      <c r="V6" s="34" t="s">
        <v>6</v>
      </c>
      <c r="W6" s="36">
        <f>F35</f>
        <v>455</v>
      </c>
    </row>
    <row r="7" spans="1:23" x14ac:dyDescent="0.35">
      <c r="A7" s="17">
        <v>45538</v>
      </c>
      <c r="B7" s="2"/>
      <c r="C7" s="2"/>
      <c r="D7" s="2"/>
      <c r="E7" s="2"/>
      <c r="F7" s="2"/>
      <c r="H7" s="2"/>
      <c r="I7" s="2"/>
      <c r="J7" s="2">
        <v>400</v>
      </c>
      <c r="K7" s="2"/>
      <c r="L7" s="2"/>
      <c r="M7" s="2"/>
      <c r="N7" s="2"/>
      <c r="O7" s="2"/>
      <c r="P7" s="2"/>
      <c r="Q7" s="2"/>
      <c r="R7" s="2"/>
      <c r="S7" s="2"/>
      <c r="T7" s="2">
        <f t="shared" ref="T7:T34" si="2">SUM(B7:R7)</f>
        <v>400</v>
      </c>
      <c r="V7" s="34" t="s">
        <v>7</v>
      </c>
      <c r="W7" s="36">
        <f>G35</f>
        <v>330</v>
      </c>
    </row>
    <row r="8" spans="1:23" x14ac:dyDescent="0.35">
      <c r="A8" s="17">
        <v>45539</v>
      </c>
      <c r="B8" s="2"/>
      <c r="D8" s="2"/>
      <c r="E8" s="2"/>
      <c r="F8" s="2"/>
      <c r="G8" s="2"/>
      <c r="H8" s="2"/>
      <c r="I8" s="2">
        <v>18</v>
      </c>
      <c r="J8" s="2"/>
      <c r="K8" s="2"/>
      <c r="L8" s="2"/>
      <c r="M8" s="2"/>
      <c r="N8" s="2"/>
      <c r="O8" s="2"/>
      <c r="P8" s="2"/>
      <c r="Q8" s="2"/>
      <c r="R8" s="2"/>
      <c r="S8" s="15"/>
      <c r="T8" s="2">
        <f t="shared" si="2"/>
        <v>18</v>
      </c>
      <c r="V8" s="34" t="s">
        <v>8</v>
      </c>
      <c r="W8" s="36">
        <f>H35</f>
        <v>1219</v>
      </c>
    </row>
    <row r="9" spans="1:23" x14ac:dyDescent="0.35">
      <c r="A9" s="17">
        <v>45540</v>
      </c>
      <c r="B9" s="2"/>
      <c r="C9" s="2">
        <v>55778</v>
      </c>
      <c r="D9" s="2"/>
      <c r="E9" s="2"/>
      <c r="F9" s="2"/>
      <c r="G9" s="2"/>
      <c r="H9" s="2">
        <v>249</v>
      </c>
      <c r="I9" s="2"/>
      <c r="J9" s="2"/>
      <c r="K9" s="2"/>
      <c r="L9" s="2">
        <v>140</v>
      </c>
      <c r="M9" s="2">
        <v>5000</v>
      </c>
      <c r="N9" s="2"/>
      <c r="O9" s="2"/>
      <c r="P9" s="2"/>
      <c r="Q9" s="2"/>
      <c r="R9" s="2"/>
      <c r="S9" s="2"/>
      <c r="T9" s="2">
        <f t="shared" si="2"/>
        <v>61167</v>
      </c>
      <c r="V9" s="34" t="s">
        <v>9</v>
      </c>
      <c r="W9" s="36">
        <f>I35</f>
        <v>10075</v>
      </c>
    </row>
    <row r="10" spans="1:23" x14ac:dyDescent="0.35">
      <c r="A10" s="17">
        <v>45541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v>2000</v>
      </c>
      <c r="R10" s="2"/>
      <c r="S10" s="2"/>
      <c r="T10" s="2">
        <f t="shared" si="2"/>
        <v>2000</v>
      </c>
      <c r="V10" s="34" t="s">
        <v>10</v>
      </c>
      <c r="W10" s="36">
        <f>J35</f>
        <v>400</v>
      </c>
    </row>
    <row r="11" spans="1:23" x14ac:dyDescent="0.35">
      <c r="A11" s="17">
        <v>45542</v>
      </c>
      <c r="B11" s="2"/>
      <c r="C11" s="2"/>
      <c r="D11" s="2"/>
      <c r="E11" s="2"/>
      <c r="F11" s="2">
        <v>455</v>
      </c>
      <c r="G11" s="2"/>
      <c r="H11" s="2"/>
      <c r="I11" s="2"/>
      <c r="J11" s="2"/>
      <c r="K11" s="2"/>
      <c r="L11" s="2"/>
      <c r="M11" s="2"/>
      <c r="N11" s="2"/>
      <c r="O11" s="2">
        <v>199</v>
      </c>
      <c r="P11" s="2"/>
      <c r="Q11" s="2"/>
      <c r="R11" s="2">
        <v>104</v>
      </c>
      <c r="S11" s="15" t="s">
        <v>312</v>
      </c>
      <c r="T11" s="2">
        <f t="shared" si="2"/>
        <v>758</v>
      </c>
      <c r="V11" s="34" t="s">
        <v>11</v>
      </c>
      <c r="W11" s="36">
        <f>K35</f>
        <v>0</v>
      </c>
    </row>
    <row r="12" spans="1:23" x14ac:dyDescent="0.35">
      <c r="A12" s="17">
        <v>45543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 t="shared" si="2"/>
        <v>0</v>
      </c>
      <c r="V12" s="34" t="s">
        <v>12</v>
      </c>
      <c r="W12" s="36">
        <f>L35</f>
        <v>3554</v>
      </c>
    </row>
    <row r="13" spans="1:23" x14ac:dyDescent="0.35">
      <c r="A13" s="17">
        <v>45544</v>
      </c>
      <c r="B13" s="2"/>
      <c r="C13" s="2"/>
      <c r="D13" s="2"/>
      <c r="E13" s="2"/>
      <c r="F13" s="2"/>
      <c r="G13" s="2"/>
      <c r="H13" s="2">
        <v>201</v>
      </c>
      <c r="I13" s="2">
        <v>170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2"/>
        <v>371</v>
      </c>
      <c r="V13" s="34" t="s">
        <v>13</v>
      </c>
      <c r="W13" s="36">
        <f>M35</f>
        <v>20000</v>
      </c>
    </row>
    <row r="14" spans="1:23" x14ac:dyDescent="0.35">
      <c r="A14" s="17">
        <v>45545</v>
      </c>
      <c r="B14" s="2"/>
      <c r="C14" s="2"/>
      <c r="D14" s="2"/>
      <c r="E14" s="2"/>
      <c r="F14" s="2"/>
      <c r="G14" s="2">
        <v>50</v>
      </c>
      <c r="H14" s="2">
        <v>22</v>
      </c>
      <c r="I14">
        <f>40+283+76</f>
        <v>399</v>
      </c>
      <c r="J14" s="2"/>
      <c r="K14" s="2"/>
      <c r="L14" s="2">
        <f>649+227+78</f>
        <v>954</v>
      </c>
      <c r="M14" s="2"/>
      <c r="N14" s="2"/>
      <c r="O14" s="2">
        <v>29</v>
      </c>
      <c r="P14" s="2"/>
      <c r="Q14" s="2"/>
      <c r="R14" s="2"/>
      <c r="S14" s="2"/>
      <c r="T14" s="2">
        <f>SUM(B14:R14)</f>
        <v>1454</v>
      </c>
      <c r="V14" s="34" t="s">
        <v>16</v>
      </c>
      <c r="W14" s="36">
        <f>N35</f>
        <v>944</v>
      </c>
    </row>
    <row r="15" spans="1:23" x14ac:dyDescent="0.35">
      <c r="A15" s="17">
        <v>45546</v>
      </c>
      <c r="B15" s="2"/>
      <c r="C15" s="2"/>
      <c r="D15" s="2"/>
      <c r="E15" s="2"/>
      <c r="F15" s="2"/>
      <c r="G15" s="2"/>
      <c r="H15" s="2"/>
      <c r="I15" s="2">
        <v>150</v>
      </c>
      <c r="J15" s="2"/>
      <c r="K15" s="2"/>
      <c r="L15" s="2">
        <f>190+78</f>
        <v>268</v>
      </c>
      <c r="M15" s="2"/>
      <c r="N15" s="2"/>
      <c r="O15" s="2">
        <v>199</v>
      </c>
      <c r="P15" s="2"/>
      <c r="Q15" s="2">
        <f>230+230</f>
        <v>460</v>
      </c>
      <c r="R15" s="30"/>
      <c r="S15" s="27"/>
      <c r="T15" s="2">
        <f t="shared" si="2"/>
        <v>1077</v>
      </c>
      <c r="V15" s="34" t="s">
        <v>43</v>
      </c>
      <c r="W15" s="36">
        <f>O35</f>
        <v>502</v>
      </c>
    </row>
    <row r="16" spans="1:23" x14ac:dyDescent="0.35">
      <c r="A16" s="17">
        <v>45547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v>138</v>
      </c>
      <c r="R16" s="2">
        <v>681</v>
      </c>
      <c r="S16" s="15" t="s">
        <v>313</v>
      </c>
      <c r="T16" s="2">
        <f>SUM(B16:Q16)</f>
        <v>138</v>
      </c>
      <c r="V16" s="34" t="s">
        <v>64</v>
      </c>
      <c r="W16" s="36">
        <f>P35</f>
        <v>0</v>
      </c>
    </row>
    <row r="17" spans="1:23" x14ac:dyDescent="0.35">
      <c r="A17" s="17">
        <v>45548</v>
      </c>
      <c r="B17" s="2"/>
      <c r="C17" s="2"/>
      <c r="D17" s="2"/>
      <c r="E17" s="2"/>
      <c r="F17" s="2"/>
      <c r="G17" s="2">
        <v>50</v>
      </c>
      <c r="H17" s="2"/>
      <c r="I17" s="2">
        <f>83+70</f>
        <v>153</v>
      </c>
      <c r="J17" s="2"/>
      <c r="K17" s="2"/>
      <c r="L17" s="2">
        <v>20</v>
      </c>
      <c r="M17" s="2"/>
      <c r="N17" s="2"/>
      <c r="O17" s="2"/>
      <c r="P17" s="2"/>
      <c r="Q17" s="2">
        <v>434</v>
      </c>
      <c r="R17" s="2">
        <v>80</v>
      </c>
      <c r="S17" s="2" t="s">
        <v>51</v>
      </c>
      <c r="T17" s="2">
        <f t="shared" si="2"/>
        <v>737</v>
      </c>
      <c r="V17" s="34" t="s">
        <v>14</v>
      </c>
      <c r="W17" s="36">
        <f>Q35</f>
        <v>9776</v>
      </c>
    </row>
    <row r="18" spans="1:23" x14ac:dyDescent="0.35">
      <c r="A18" s="17">
        <v>45549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>
        <f>160+40</f>
        <v>200</v>
      </c>
      <c r="M18" s="2"/>
      <c r="N18" s="2"/>
      <c r="O18" s="2"/>
      <c r="P18" s="2"/>
      <c r="Q18" s="2">
        <v>449</v>
      </c>
      <c r="R18" s="2">
        <f>5900-4316</f>
        <v>1584</v>
      </c>
      <c r="S18" s="2" t="s">
        <v>314</v>
      </c>
      <c r="T18" s="2">
        <f t="shared" si="2"/>
        <v>2233</v>
      </c>
      <c r="V18" s="34" t="s">
        <v>15</v>
      </c>
      <c r="W18" s="36">
        <f>R35</f>
        <v>9666</v>
      </c>
    </row>
    <row r="19" spans="1:23" x14ac:dyDescent="0.35">
      <c r="A19" s="17">
        <v>45550</v>
      </c>
      <c r="B19" s="2"/>
      <c r="C19" s="2"/>
      <c r="D19" s="2"/>
      <c r="E19" s="2"/>
      <c r="F19" s="2"/>
      <c r="G19" s="2">
        <v>50</v>
      </c>
      <c r="H19" s="2"/>
      <c r="I19" s="2">
        <f>85+80+30</f>
        <v>195</v>
      </c>
      <c r="J19" s="2"/>
      <c r="K19" s="2"/>
      <c r="L19" s="2"/>
      <c r="M19" s="2"/>
      <c r="N19" s="2"/>
      <c r="O19" s="2"/>
      <c r="P19" s="2"/>
      <c r="Q19" s="2">
        <v>224</v>
      </c>
      <c r="R19" s="2"/>
      <c r="S19" s="15"/>
      <c r="T19" s="2">
        <f t="shared" si="2"/>
        <v>469</v>
      </c>
    </row>
    <row r="20" spans="1:23" x14ac:dyDescent="0.35">
      <c r="A20" s="17">
        <v>45551</v>
      </c>
      <c r="B20" s="2"/>
      <c r="C20" s="2"/>
      <c r="D20" s="2"/>
      <c r="E20" s="2"/>
      <c r="F20" s="2"/>
      <c r="G20" s="2"/>
      <c r="H20" s="2"/>
      <c r="I20" s="2">
        <f>29+50</f>
        <v>79</v>
      </c>
      <c r="J20" s="2"/>
      <c r="K20" s="2"/>
      <c r="L20" s="2">
        <v>471</v>
      </c>
      <c r="M20" s="2"/>
      <c r="N20" s="2"/>
      <c r="O20" s="2"/>
      <c r="P20" s="2"/>
      <c r="Q20" s="2">
        <v>259</v>
      </c>
      <c r="R20" s="2">
        <v>50</v>
      </c>
      <c r="S20" s="2" t="s">
        <v>315</v>
      </c>
      <c r="T20" s="2">
        <f t="shared" si="2"/>
        <v>859</v>
      </c>
    </row>
    <row r="21" spans="1:23" x14ac:dyDescent="0.35">
      <c r="A21" s="17">
        <v>45552</v>
      </c>
      <c r="B21" s="2"/>
      <c r="C21" s="2"/>
      <c r="D21" s="2"/>
      <c r="E21" s="2"/>
      <c r="F21" s="2"/>
      <c r="G21" s="2"/>
      <c r="H21" s="2"/>
      <c r="I21" s="2">
        <f>220+40+240</f>
        <v>500</v>
      </c>
      <c r="J21" s="2"/>
      <c r="K21" s="2"/>
      <c r="L21" s="2">
        <v>210</v>
      </c>
      <c r="M21" s="2"/>
      <c r="N21" s="2"/>
      <c r="O21" s="2"/>
      <c r="P21" s="2"/>
      <c r="Q21" s="2">
        <v>574</v>
      </c>
      <c r="R21" s="2">
        <f>5000+40</f>
        <v>5040</v>
      </c>
      <c r="S21" s="2" t="s">
        <v>316</v>
      </c>
      <c r="T21" s="2">
        <f t="shared" si="2"/>
        <v>6324</v>
      </c>
    </row>
    <row r="22" spans="1:23" x14ac:dyDescent="0.35">
      <c r="A22" s="17">
        <v>45553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10000</v>
      </c>
      <c r="N22" s="2"/>
      <c r="O22" s="2"/>
      <c r="P22" s="2"/>
      <c r="Q22" s="2">
        <v>259</v>
      </c>
      <c r="R22" s="2"/>
      <c r="S22" s="15"/>
      <c r="T22" s="2">
        <f t="shared" si="2"/>
        <v>10259</v>
      </c>
    </row>
    <row r="23" spans="1:23" x14ac:dyDescent="0.35">
      <c r="A23" s="17">
        <v>45554</v>
      </c>
      <c r="B23" s="2"/>
      <c r="C23" s="2"/>
      <c r="D23" s="2"/>
      <c r="E23" s="2"/>
      <c r="F23" s="2"/>
      <c r="G23" s="2"/>
      <c r="H23" s="2"/>
      <c r="I23" s="2">
        <v>5430</v>
      </c>
      <c r="J23" s="2"/>
      <c r="K23" s="2"/>
      <c r="L23" s="2"/>
      <c r="M23" s="2"/>
      <c r="N23" s="2"/>
      <c r="O23" s="2"/>
      <c r="P23" s="2"/>
      <c r="Q23" s="2">
        <v>302</v>
      </c>
      <c r="R23" s="2"/>
      <c r="S23" s="2"/>
      <c r="T23" s="2">
        <f t="shared" si="2"/>
        <v>5732</v>
      </c>
    </row>
    <row r="24" spans="1:23" x14ac:dyDescent="0.35">
      <c r="A24" s="17">
        <v>45555</v>
      </c>
      <c r="B24" s="2"/>
      <c r="C24" s="2"/>
      <c r="D24" s="2"/>
      <c r="E24" s="2"/>
      <c r="F24" s="2"/>
      <c r="G24" s="2"/>
      <c r="H24" s="2"/>
      <c r="I24" s="63">
        <v>290</v>
      </c>
      <c r="J24" s="2"/>
      <c r="K24" s="2"/>
      <c r="L24" s="2"/>
      <c r="M24" s="2"/>
      <c r="N24" s="2"/>
      <c r="O24" s="2"/>
      <c r="P24" s="2"/>
      <c r="Q24" s="2">
        <v>665</v>
      </c>
      <c r="R24" s="2"/>
      <c r="S24" s="2"/>
      <c r="T24" s="2">
        <f t="shared" si="2"/>
        <v>955</v>
      </c>
    </row>
    <row r="25" spans="1:23" ht="29" x14ac:dyDescent="0.35">
      <c r="A25" s="17">
        <v>45556</v>
      </c>
      <c r="B25" s="2"/>
      <c r="C25" s="2"/>
      <c r="D25" s="2"/>
      <c r="E25" s="2"/>
      <c r="F25" s="2"/>
      <c r="G25" s="2">
        <v>30</v>
      </c>
      <c r="H25" s="2"/>
      <c r="I25" s="2">
        <v>50</v>
      </c>
      <c r="J25" s="2"/>
      <c r="K25" s="2"/>
      <c r="L25" s="2"/>
      <c r="M25" s="2"/>
      <c r="N25" s="2"/>
      <c r="O25" s="2">
        <v>75</v>
      </c>
      <c r="P25" s="2"/>
      <c r="Q25" s="2">
        <v>493</v>
      </c>
      <c r="R25" s="2">
        <f>95+180+189</f>
        <v>464</v>
      </c>
      <c r="S25" s="15" t="s">
        <v>318</v>
      </c>
      <c r="T25" s="2">
        <f t="shared" si="2"/>
        <v>1112</v>
      </c>
    </row>
    <row r="26" spans="1:23" x14ac:dyDescent="0.35">
      <c r="A26" s="17">
        <v>45557</v>
      </c>
      <c r="B26" s="2"/>
      <c r="C26" s="2"/>
      <c r="D26" s="2"/>
      <c r="E26" s="2"/>
      <c r="F26" s="2"/>
      <c r="G26" s="2"/>
      <c r="H26" s="2">
        <v>249</v>
      </c>
      <c r="I26" s="2">
        <v>500</v>
      </c>
      <c r="J26" s="2"/>
      <c r="K26" s="2"/>
      <c r="L26" s="2"/>
      <c r="M26" s="2"/>
      <c r="N26" s="2"/>
      <c r="O26" s="2"/>
      <c r="P26" s="2"/>
      <c r="Q26" s="2">
        <f>602+290</f>
        <v>892</v>
      </c>
      <c r="R26" s="2">
        <v>1299</v>
      </c>
      <c r="S26" s="2" t="s">
        <v>319</v>
      </c>
      <c r="T26" s="2">
        <f t="shared" si="2"/>
        <v>2940</v>
      </c>
    </row>
    <row r="27" spans="1:23" x14ac:dyDescent="0.35">
      <c r="A27" s="17">
        <v>45558</v>
      </c>
      <c r="B27" s="2"/>
      <c r="C27" s="2"/>
      <c r="D27" s="2"/>
      <c r="E27" s="2"/>
      <c r="F27" s="2"/>
      <c r="G27" s="2"/>
      <c r="H27" s="2"/>
      <c r="I27" s="2">
        <v>150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f t="shared" si="2"/>
        <v>150</v>
      </c>
    </row>
    <row r="28" spans="1:23" x14ac:dyDescent="0.35">
      <c r="A28" s="17">
        <v>45559</v>
      </c>
      <c r="B28" s="2"/>
      <c r="C28" s="2"/>
      <c r="D28" s="2"/>
      <c r="E28" s="2"/>
      <c r="F28" s="2"/>
      <c r="G28" s="2">
        <v>50</v>
      </c>
      <c r="H28" s="2"/>
      <c r="I28" s="2">
        <f>270+147</f>
        <v>417</v>
      </c>
      <c r="J28" s="2"/>
      <c r="K28" s="2"/>
      <c r="L28" s="2">
        <f>18+64</f>
        <v>82</v>
      </c>
      <c r="M28" s="2"/>
      <c r="N28" s="2"/>
      <c r="O28" s="2"/>
      <c r="P28" s="2"/>
      <c r="Q28" s="2"/>
      <c r="R28" s="2">
        <v>199</v>
      </c>
      <c r="S28" s="2" t="s">
        <v>317</v>
      </c>
      <c r="T28" s="2">
        <f t="shared" si="2"/>
        <v>748</v>
      </c>
    </row>
    <row r="29" spans="1:23" x14ac:dyDescent="0.35">
      <c r="A29" s="17">
        <v>45560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 t="shared" si="2"/>
        <v>0</v>
      </c>
    </row>
    <row r="30" spans="1:23" x14ac:dyDescent="0.35">
      <c r="A30" s="17">
        <v>45561</v>
      </c>
      <c r="B30" s="2"/>
      <c r="C30" s="2"/>
      <c r="D30" s="2"/>
      <c r="E30" s="2">
        <v>477</v>
      </c>
      <c r="F30" s="2"/>
      <c r="G30">
        <v>50</v>
      </c>
      <c r="H30" s="2">
        <v>249</v>
      </c>
      <c r="I30" s="2">
        <f>98+15</f>
        <v>113</v>
      </c>
      <c r="J30" s="2"/>
      <c r="K30" s="2"/>
      <c r="L30" s="2"/>
      <c r="M30" s="2"/>
      <c r="N30" s="2"/>
      <c r="O30" s="2"/>
      <c r="P30" s="2"/>
      <c r="Q30" s="2">
        <v>239</v>
      </c>
      <c r="R30">
        <v>145</v>
      </c>
      <c r="S30" s="30" t="s">
        <v>51</v>
      </c>
      <c r="T30" s="2">
        <f t="shared" si="2"/>
        <v>1273</v>
      </c>
    </row>
    <row r="31" spans="1:23" ht="15" customHeight="1" x14ac:dyDescent="0.35">
      <c r="A31" s="17">
        <v>45562</v>
      </c>
      <c r="B31" s="2"/>
      <c r="C31" s="2"/>
      <c r="D31" s="2"/>
      <c r="E31" s="2"/>
      <c r="F31" s="2"/>
      <c r="G31" s="2"/>
      <c r="H31" s="2"/>
      <c r="I31" s="2">
        <v>206</v>
      </c>
      <c r="J31" s="2"/>
      <c r="K31" s="2"/>
      <c r="L31" s="2"/>
      <c r="M31" s="2"/>
      <c r="N31" s="2"/>
      <c r="O31" s="2"/>
      <c r="P31" s="2"/>
      <c r="Q31" s="2"/>
      <c r="R31" s="2"/>
      <c r="S31" s="28"/>
      <c r="T31" s="2">
        <f>SUM(B31:Q31)</f>
        <v>206</v>
      </c>
    </row>
    <row r="32" spans="1:23" ht="15" customHeight="1" x14ac:dyDescent="0.35">
      <c r="A32" s="17">
        <v>45563</v>
      </c>
      <c r="B32" s="2"/>
      <c r="C32" s="2"/>
      <c r="D32" s="2"/>
      <c r="E32" s="2"/>
      <c r="F32" s="2"/>
      <c r="G32" s="2">
        <v>50</v>
      </c>
      <c r="H32" s="2"/>
      <c r="I32" s="2">
        <v>252</v>
      </c>
      <c r="J32" s="2"/>
      <c r="K32" s="2"/>
      <c r="L32" s="2"/>
      <c r="M32" s="2">
        <v>5000</v>
      </c>
      <c r="N32" s="2"/>
      <c r="O32" s="2"/>
      <c r="P32" s="2"/>
      <c r="Q32" s="2">
        <f>299+139+159+249+383-602+599+170</f>
        <v>1396</v>
      </c>
      <c r="R32" s="2">
        <v>20</v>
      </c>
      <c r="S32" s="28" t="s">
        <v>51</v>
      </c>
      <c r="T32" s="2"/>
    </row>
    <row r="33" spans="1:20" ht="15" customHeight="1" x14ac:dyDescent="0.35">
      <c r="A33" s="17">
        <v>45564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8"/>
      <c r="T33" s="2"/>
    </row>
    <row r="34" spans="1:20" x14ac:dyDescent="0.35">
      <c r="A34" s="17">
        <v>45565</v>
      </c>
      <c r="B34" s="2"/>
      <c r="C34" s="2"/>
      <c r="D34" s="2"/>
      <c r="E34" s="2"/>
      <c r="F34" s="2"/>
      <c r="G34" s="2"/>
      <c r="H34" s="2"/>
      <c r="I34" s="2">
        <f>34+430</f>
        <v>464</v>
      </c>
      <c r="J34" s="2"/>
      <c r="K34" s="2"/>
      <c r="L34" s="2">
        <f>444+209+83</f>
        <v>736</v>
      </c>
      <c r="M34" s="2"/>
      <c r="N34" s="2"/>
      <c r="O34" s="2"/>
      <c r="P34" s="2"/>
      <c r="Q34" s="2"/>
      <c r="R34" s="2"/>
      <c r="S34" s="2"/>
      <c r="T34" s="2">
        <f t="shared" si="2"/>
        <v>1200</v>
      </c>
    </row>
    <row r="35" spans="1:20" x14ac:dyDescent="0.35">
      <c r="A35" s="17" t="s">
        <v>29</v>
      </c>
      <c r="B35" s="16">
        <f t="shared" ref="B35:R35" si="3">SUM(B5:B34)</f>
        <v>22100</v>
      </c>
      <c r="C35" s="16">
        <f t="shared" si="3"/>
        <v>55778</v>
      </c>
      <c r="D35" s="16">
        <f t="shared" si="3"/>
        <v>0</v>
      </c>
      <c r="E35" s="16">
        <f t="shared" si="3"/>
        <v>477</v>
      </c>
      <c r="F35" s="16">
        <f t="shared" si="3"/>
        <v>455</v>
      </c>
      <c r="G35" s="16">
        <f t="shared" si="3"/>
        <v>330</v>
      </c>
      <c r="H35" s="16">
        <f t="shared" si="3"/>
        <v>1219</v>
      </c>
      <c r="I35" s="16">
        <f t="shared" si="3"/>
        <v>10075</v>
      </c>
      <c r="J35" s="16">
        <f t="shared" si="3"/>
        <v>400</v>
      </c>
      <c r="K35" s="16">
        <f t="shared" si="3"/>
        <v>0</v>
      </c>
      <c r="L35" s="16">
        <f t="shared" si="3"/>
        <v>3554</v>
      </c>
      <c r="M35" s="16">
        <f t="shared" si="3"/>
        <v>20000</v>
      </c>
      <c r="N35" s="16">
        <f t="shared" si="3"/>
        <v>944</v>
      </c>
      <c r="O35" s="16">
        <f t="shared" si="3"/>
        <v>502</v>
      </c>
      <c r="P35" s="16">
        <f t="shared" si="3"/>
        <v>0</v>
      </c>
      <c r="Q35" s="16">
        <f t="shared" si="3"/>
        <v>9776</v>
      </c>
      <c r="R35" s="16">
        <f t="shared" si="3"/>
        <v>9666</v>
      </c>
      <c r="S35" s="16"/>
      <c r="T35" s="2"/>
    </row>
    <row r="37" spans="1:20" x14ac:dyDescent="0.35">
      <c r="A37" s="24" t="s">
        <v>46</v>
      </c>
      <c r="B37" s="2">
        <v>155038</v>
      </c>
    </row>
    <row r="38" spans="1:20" x14ac:dyDescent="0.35">
      <c r="A38" s="24" t="s">
        <v>17</v>
      </c>
      <c r="B38" s="2">
        <f>SUM(B2:R2)-M2</f>
        <v>133142</v>
      </c>
    </row>
    <row r="39" spans="1:20" x14ac:dyDescent="0.35">
      <c r="A39" s="24" t="s">
        <v>47</v>
      </c>
      <c r="B39" s="2">
        <f>SUM(T5:T34)-M35</f>
        <v>107877</v>
      </c>
    </row>
    <row r="40" spans="1:20" x14ac:dyDescent="0.35">
      <c r="A40" s="24" t="s">
        <v>18</v>
      </c>
      <c r="B40" s="2">
        <f>B38-B39</f>
        <v>25265</v>
      </c>
    </row>
    <row r="41" spans="1:20" x14ac:dyDescent="0.35">
      <c r="A41" s="24" t="s">
        <v>34</v>
      </c>
      <c r="B41" s="2">
        <f>B37-SUM(B35:R35)</f>
        <v>19762</v>
      </c>
    </row>
    <row r="42" spans="1:20" x14ac:dyDescent="0.35">
      <c r="A42" s="24" t="s">
        <v>83</v>
      </c>
      <c r="B42" s="2">
        <f>SUM(D35:L35)+SUM(N35:R35)</f>
        <v>37398</v>
      </c>
    </row>
    <row r="43" spans="1:20" x14ac:dyDescent="0.35">
      <c r="A43" s="24" t="s">
        <v>162</v>
      </c>
      <c r="B43" s="2">
        <f>B37-B42</f>
        <v>117640</v>
      </c>
    </row>
  </sheetData>
  <mergeCells count="1">
    <mergeCell ref="V1:W1"/>
  </mergeCells>
  <conditionalFormatting sqref="B4:R4">
    <cfRule type="cellIs" dxfId="5" priority="1" operator="greaterThan">
      <formula>99</formula>
    </cfRule>
    <cfRule type="cellIs" dxfId="4" priority="2" operator="between">
      <formula>51</formula>
      <formula>99</formula>
    </cfRule>
    <cfRule type="cellIs" dxfId="3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zoomScale="80" zoomScaleNormal="80" workbookViewId="0">
      <pane ySplit="1" topLeftCell="A2" activePane="bottomLeft" state="frozen"/>
      <selection pane="bottomLeft" activeCell="L19" sqref="L19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7.7265625" bestFit="1" customWidth="1"/>
    <col min="18" max="18" width="23.1796875" bestFit="1" customWidth="1"/>
    <col min="19" max="19" width="39.1796875" bestFit="1" customWidth="1"/>
    <col min="20" max="20" width="17.453125" customWidth="1"/>
    <col min="22" max="22" width="21.81640625" bestFit="1" customWidth="1"/>
    <col min="23" max="23" width="12.1796875" customWidth="1"/>
  </cols>
  <sheetData>
    <row r="1" spans="1:23" x14ac:dyDescent="0.35">
      <c r="A1" s="62" t="s">
        <v>33</v>
      </c>
      <c r="B1" s="62" t="s">
        <v>2</v>
      </c>
      <c r="C1" s="62" t="s">
        <v>3</v>
      </c>
      <c r="D1" s="62" t="s">
        <v>4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10</v>
      </c>
      <c r="K1" s="62" t="s">
        <v>11</v>
      </c>
      <c r="L1" s="62" t="s">
        <v>12</v>
      </c>
      <c r="M1" s="62" t="s">
        <v>13</v>
      </c>
      <c r="N1" s="62" t="s">
        <v>16</v>
      </c>
      <c r="O1" s="62" t="s">
        <v>43</v>
      </c>
      <c r="P1" s="62" t="s">
        <v>64</v>
      </c>
      <c r="Q1" s="62" t="s">
        <v>14</v>
      </c>
      <c r="R1" s="62" t="s">
        <v>15</v>
      </c>
      <c r="S1" s="62" t="s">
        <v>35</v>
      </c>
      <c r="T1" s="62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23100</v>
      </c>
      <c r="C2" s="19">
        <v>55778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138142</v>
      </c>
      <c r="V2" s="34" t="s">
        <v>2</v>
      </c>
      <c r="W2" s="35">
        <f>B36</f>
        <v>22500</v>
      </c>
    </row>
    <row r="3" spans="1:23" s="23" customFormat="1" x14ac:dyDescent="0.35">
      <c r="A3" s="19" t="s">
        <v>18</v>
      </c>
      <c r="B3" s="19">
        <f t="shared" ref="B3:R3" si="0">B2-B36</f>
        <v>600</v>
      </c>
      <c r="C3" s="19">
        <f t="shared" si="0"/>
        <v>0</v>
      </c>
      <c r="D3" s="19">
        <f t="shared" si="0"/>
        <v>2500</v>
      </c>
      <c r="E3" s="19">
        <f t="shared" si="0"/>
        <v>2000</v>
      </c>
      <c r="F3" s="19">
        <f t="shared" si="0"/>
        <v>645</v>
      </c>
      <c r="G3" s="19">
        <f t="shared" si="0"/>
        <v>530</v>
      </c>
      <c r="H3" s="19">
        <f t="shared" si="0"/>
        <v>-225</v>
      </c>
      <c r="I3" s="19">
        <f t="shared" si="0"/>
        <v>1981</v>
      </c>
      <c r="J3" s="19">
        <f t="shared" si="0"/>
        <v>100</v>
      </c>
      <c r="K3" s="19">
        <f t="shared" si="0"/>
        <v>1200</v>
      </c>
      <c r="L3" s="19">
        <f t="shared" si="0"/>
        <v>-381</v>
      </c>
      <c r="M3" s="19">
        <f t="shared" si="0"/>
        <v>-15000</v>
      </c>
      <c r="N3" s="19">
        <f t="shared" si="0"/>
        <v>556</v>
      </c>
      <c r="O3" s="19">
        <f t="shared" si="0"/>
        <v>-308</v>
      </c>
      <c r="P3" s="19">
        <f t="shared" si="0"/>
        <v>2540</v>
      </c>
      <c r="Q3" s="19">
        <f t="shared" si="0"/>
        <v>2437</v>
      </c>
      <c r="R3" s="19">
        <f t="shared" si="0"/>
        <v>-2522</v>
      </c>
      <c r="S3" s="19"/>
      <c r="T3" s="19">
        <f>SUM(B3:R3)</f>
        <v>-3347</v>
      </c>
      <c r="V3" s="34" t="s">
        <v>3</v>
      </c>
      <c r="W3" s="35">
        <f>C36</f>
        <v>55778</v>
      </c>
    </row>
    <row r="4" spans="1:23" s="23" customFormat="1" x14ac:dyDescent="0.35">
      <c r="A4" s="19" t="s">
        <v>44</v>
      </c>
      <c r="B4" s="19">
        <f>((B2-B3)/B2)*100</f>
        <v>97.402597402597408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0</v>
      </c>
      <c r="F4" s="19">
        <f t="shared" si="1"/>
        <v>41.363636363636367</v>
      </c>
      <c r="G4" s="19">
        <f t="shared" si="1"/>
        <v>47</v>
      </c>
      <c r="H4" s="19">
        <f t="shared" si="1"/>
        <v>145</v>
      </c>
      <c r="I4" s="19">
        <f t="shared" si="1"/>
        <v>71.7</v>
      </c>
      <c r="J4" s="19">
        <f t="shared" si="1"/>
        <v>80</v>
      </c>
      <c r="K4" s="19">
        <f t="shared" si="1"/>
        <v>0</v>
      </c>
      <c r="L4" s="19">
        <f t="shared" si="1"/>
        <v>119.04999999999998</v>
      </c>
      <c r="M4" s="19">
        <f t="shared" si="1"/>
        <v>400</v>
      </c>
      <c r="N4" s="19">
        <f t="shared" si="1"/>
        <v>62.93333333333333</v>
      </c>
      <c r="O4" s="19">
        <f t="shared" si="1"/>
        <v>166.37931034482759</v>
      </c>
      <c r="P4" s="19">
        <f t="shared" si="1"/>
        <v>60.923076923076927</v>
      </c>
      <c r="Q4" s="19">
        <f t="shared" si="1"/>
        <v>69.537499999999994</v>
      </c>
      <c r="R4" s="21">
        <f t="shared" si="1"/>
        <v>112.61000000000001</v>
      </c>
      <c r="S4" s="19"/>
      <c r="T4" s="21">
        <f t="shared" si="1"/>
        <v>102.42286922152569</v>
      </c>
      <c r="V4" s="34" t="s">
        <v>4</v>
      </c>
      <c r="W4" s="35">
        <f>D36</f>
        <v>0</v>
      </c>
    </row>
    <row r="5" spans="1:23" x14ac:dyDescent="0.35">
      <c r="A5" s="17">
        <v>45566</v>
      </c>
      <c r="B5" s="2">
        <f>23100+400-1000</f>
        <v>22500</v>
      </c>
      <c r="C5" s="2"/>
      <c r="D5" s="2"/>
      <c r="E5" s="2"/>
      <c r="F5" s="2">
        <v>455</v>
      </c>
      <c r="G5" s="2"/>
      <c r="H5" s="2"/>
      <c r="I5" s="2">
        <v>450</v>
      </c>
      <c r="J5" s="2"/>
      <c r="K5" s="2"/>
      <c r="L5" s="2"/>
      <c r="M5" s="2"/>
      <c r="N5" s="2"/>
      <c r="O5" s="2"/>
      <c r="P5" s="2"/>
      <c r="Q5" s="2"/>
      <c r="R5" s="2"/>
      <c r="S5" s="2"/>
      <c r="T5" s="2">
        <f>SUM(B5:R5)</f>
        <v>23405</v>
      </c>
      <c r="V5" s="34" t="s">
        <v>5</v>
      </c>
      <c r="W5" s="36">
        <f>E36</f>
        <v>0</v>
      </c>
    </row>
    <row r="6" spans="1:23" x14ac:dyDescent="0.35">
      <c r="A6" s="17">
        <v>45567</v>
      </c>
      <c r="B6" s="2"/>
      <c r="C6" s="2"/>
      <c r="D6" s="2"/>
      <c r="E6" s="2"/>
      <c r="F6" s="2"/>
      <c r="G6" s="2">
        <v>30</v>
      </c>
      <c r="H6" s="2"/>
      <c r="I6" s="2">
        <v>34</v>
      </c>
      <c r="J6" s="2"/>
      <c r="K6" s="2"/>
      <c r="L6" s="2"/>
      <c r="M6" s="2"/>
      <c r="N6" s="2"/>
      <c r="O6" s="2"/>
      <c r="P6" s="2"/>
      <c r="Q6" s="2"/>
      <c r="R6" s="2">
        <v>1500</v>
      </c>
      <c r="S6" s="2" t="s">
        <v>321</v>
      </c>
      <c r="T6" s="2">
        <f t="shared" ref="T6:T35" si="2">SUM(B6:R6)</f>
        <v>1564</v>
      </c>
      <c r="V6" s="34" t="s">
        <v>6</v>
      </c>
      <c r="W6" s="36">
        <f>F36</f>
        <v>455</v>
      </c>
    </row>
    <row r="7" spans="1:23" x14ac:dyDescent="0.35">
      <c r="A7" s="17">
        <v>45568</v>
      </c>
      <c r="B7" s="2"/>
      <c r="C7" s="2"/>
      <c r="D7" s="2"/>
      <c r="E7" s="2"/>
      <c r="F7" s="2"/>
      <c r="H7" s="2"/>
      <c r="I7" s="2">
        <v>252</v>
      </c>
      <c r="J7" s="2"/>
      <c r="K7" s="2"/>
      <c r="L7" s="2"/>
      <c r="M7" s="2">
        <v>10000</v>
      </c>
      <c r="N7" s="2"/>
      <c r="O7" s="2"/>
      <c r="P7" s="2"/>
      <c r="Q7" s="2">
        <f>189+220</f>
        <v>409</v>
      </c>
      <c r="R7" s="2"/>
      <c r="S7" s="2"/>
      <c r="T7" s="2">
        <f t="shared" si="2"/>
        <v>10661</v>
      </c>
      <c r="V7" s="34" t="s">
        <v>7</v>
      </c>
      <c r="W7" s="36">
        <f>G36</f>
        <v>470</v>
      </c>
    </row>
    <row r="8" spans="1:23" x14ac:dyDescent="0.35">
      <c r="A8" s="17">
        <v>45569</v>
      </c>
      <c r="B8" s="2"/>
      <c r="D8" s="2"/>
      <c r="E8" s="2"/>
      <c r="F8" s="2"/>
      <c r="G8" s="2">
        <v>30</v>
      </c>
      <c r="H8" s="2"/>
      <c r="I8" s="2">
        <f>119+20</f>
        <v>139</v>
      </c>
      <c r="J8" s="2"/>
      <c r="K8" s="2"/>
      <c r="L8" s="2"/>
      <c r="M8" s="2"/>
      <c r="N8" s="2"/>
      <c r="O8" s="2"/>
      <c r="P8" s="2"/>
      <c r="Q8" s="2">
        <v>975</v>
      </c>
      <c r="R8" s="2"/>
      <c r="S8" s="15"/>
      <c r="T8" s="2">
        <f t="shared" si="2"/>
        <v>1144</v>
      </c>
      <c r="V8" s="34" t="s">
        <v>8</v>
      </c>
      <c r="W8" s="36">
        <f>H36</f>
        <v>725</v>
      </c>
    </row>
    <row r="9" spans="1:23" x14ac:dyDescent="0.35">
      <c r="A9" s="17">
        <v>45570</v>
      </c>
      <c r="B9" s="2"/>
      <c r="C9" s="2">
        <v>55778</v>
      </c>
      <c r="D9" s="2"/>
      <c r="E9" s="2"/>
      <c r="F9" s="2"/>
      <c r="G9" s="2"/>
      <c r="H9" s="2"/>
      <c r="I9" s="2">
        <v>216</v>
      </c>
      <c r="J9" s="2"/>
      <c r="K9" s="2"/>
      <c r="L9" s="2"/>
      <c r="M9" s="2"/>
      <c r="N9" s="2"/>
      <c r="O9" s="2"/>
      <c r="P9" s="2"/>
      <c r="Q9" s="2">
        <v>230</v>
      </c>
      <c r="R9" s="2"/>
      <c r="S9" s="2"/>
      <c r="T9" s="2">
        <f t="shared" si="2"/>
        <v>56224</v>
      </c>
      <c r="V9" s="34" t="s">
        <v>9</v>
      </c>
      <c r="W9" s="36">
        <f>I36</f>
        <v>5019</v>
      </c>
    </row>
    <row r="10" spans="1:23" x14ac:dyDescent="0.35">
      <c r="A10" s="17">
        <v>45571</v>
      </c>
      <c r="B10" s="2"/>
      <c r="C10" s="2"/>
      <c r="D10" s="2"/>
      <c r="E10" s="2"/>
      <c r="F10" s="2"/>
      <c r="G10" s="2">
        <v>30</v>
      </c>
      <c r="H10" s="2"/>
      <c r="I10" s="2">
        <v>32</v>
      </c>
      <c r="J10" s="2"/>
      <c r="K10" s="2"/>
      <c r="L10" s="2"/>
      <c r="M10" s="2"/>
      <c r="N10" s="2">
        <v>944</v>
      </c>
      <c r="O10" s="2"/>
      <c r="P10" s="2"/>
      <c r="Q10" s="2">
        <f>291+406</f>
        <v>697</v>
      </c>
      <c r="R10" s="2"/>
      <c r="S10" s="2"/>
      <c r="T10" s="2">
        <f t="shared" si="2"/>
        <v>1703</v>
      </c>
      <c r="V10" s="34" t="s">
        <v>10</v>
      </c>
      <c r="W10" s="36">
        <f>J36</f>
        <v>400</v>
      </c>
    </row>
    <row r="11" spans="1:23" x14ac:dyDescent="0.35">
      <c r="A11" s="17">
        <v>45572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>
        <f>100+81+557+20</f>
        <v>758</v>
      </c>
      <c r="M11" s="2"/>
      <c r="N11" s="2"/>
      <c r="O11" s="2">
        <v>199</v>
      </c>
      <c r="P11" s="2"/>
      <c r="Q11" s="2">
        <f>611+233+252</f>
        <v>1096</v>
      </c>
      <c r="R11" s="2"/>
      <c r="S11" s="15"/>
      <c r="T11" s="2">
        <f t="shared" si="2"/>
        <v>2053</v>
      </c>
      <c r="V11" s="34" t="s">
        <v>11</v>
      </c>
      <c r="W11" s="36">
        <f>K36</f>
        <v>0</v>
      </c>
    </row>
    <row r="12" spans="1:23" x14ac:dyDescent="0.35">
      <c r="A12" s="17">
        <v>45573</v>
      </c>
      <c r="B12" s="2"/>
      <c r="C12" s="2"/>
      <c r="D12" s="2"/>
      <c r="E12" s="2"/>
      <c r="F12" s="2"/>
      <c r="G12" s="2"/>
      <c r="H12" s="2">
        <v>201</v>
      </c>
      <c r="I12" s="2">
        <f>28+48</f>
        <v>76</v>
      </c>
      <c r="J12" s="2"/>
      <c r="K12" s="2"/>
      <c r="L12" s="2"/>
      <c r="M12" s="2"/>
      <c r="N12" s="2"/>
      <c r="O12" s="2"/>
      <c r="P12" s="2"/>
      <c r="Q12" s="2"/>
      <c r="R12" s="2">
        <v>90</v>
      </c>
      <c r="S12" s="2" t="s">
        <v>322</v>
      </c>
      <c r="T12" s="2">
        <f t="shared" si="2"/>
        <v>367</v>
      </c>
      <c r="V12" s="34" t="s">
        <v>12</v>
      </c>
      <c r="W12" s="36">
        <f>L36</f>
        <v>2381</v>
      </c>
    </row>
    <row r="13" spans="1:23" x14ac:dyDescent="0.35">
      <c r="A13" s="17">
        <v>45574</v>
      </c>
      <c r="B13" s="2"/>
      <c r="C13" s="2"/>
      <c r="D13" s="2"/>
      <c r="E13" s="2"/>
      <c r="F13" s="2"/>
      <c r="G13" s="2">
        <v>50</v>
      </c>
      <c r="H13" s="2"/>
      <c r="I13" s="2">
        <v>500</v>
      </c>
      <c r="J13" s="2"/>
      <c r="K13" s="2"/>
      <c r="L13" s="2">
        <v>40</v>
      </c>
      <c r="M13" s="2"/>
      <c r="N13" s="2"/>
      <c r="O13" s="2"/>
      <c r="P13" s="2"/>
      <c r="Q13" s="2"/>
      <c r="R13" s="2"/>
      <c r="S13" s="2"/>
      <c r="T13" s="2">
        <f t="shared" si="2"/>
        <v>590</v>
      </c>
      <c r="V13" s="34" t="s">
        <v>13</v>
      </c>
      <c r="W13" s="36">
        <f>M36</f>
        <v>20000</v>
      </c>
    </row>
    <row r="14" spans="1:23" x14ac:dyDescent="0.35">
      <c r="A14" s="17">
        <v>45575</v>
      </c>
      <c r="B14" s="2"/>
      <c r="C14" s="2"/>
      <c r="D14" s="2"/>
      <c r="E14" s="2"/>
      <c r="F14" s="2"/>
      <c r="G14" s="2"/>
      <c r="H14" s="2"/>
      <c r="I14" s="30">
        <f>110+243</f>
        <v>353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2"/>
        <v>353</v>
      </c>
      <c r="V14" s="34" t="s">
        <v>16</v>
      </c>
      <c r="W14" s="36">
        <f>N36</f>
        <v>944</v>
      </c>
    </row>
    <row r="15" spans="1:23" x14ac:dyDescent="0.35">
      <c r="A15" s="17">
        <v>45576</v>
      </c>
      <c r="B15" s="2"/>
      <c r="C15" s="2"/>
      <c r="D15" s="2"/>
      <c r="E15" s="2"/>
      <c r="F15" s="2"/>
      <c r="G15" s="2">
        <v>50</v>
      </c>
      <c r="H15" s="2"/>
      <c r="I15" s="2">
        <f>243+309</f>
        <v>552</v>
      </c>
      <c r="J15" s="2"/>
      <c r="K15" s="2"/>
      <c r="L15" s="2"/>
      <c r="M15" s="2"/>
      <c r="N15" s="2"/>
      <c r="O15" s="2">
        <v>199</v>
      </c>
      <c r="P15" s="2"/>
      <c r="Q15" s="2"/>
      <c r="R15" s="30"/>
      <c r="S15" s="27"/>
      <c r="T15" s="2">
        <f t="shared" si="2"/>
        <v>801</v>
      </c>
      <c r="V15" s="34" t="s">
        <v>43</v>
      </c>
      <c r="W15" s="36">
        <f>O36</f>
        <v>772</v>
      </c>
    </row>
    <row r="16" spans="1:23" x14ac:dyDescent="0.35">
      <c r="A16" s="17">
        <v>45577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5000</v>
      </c>
      <c r="N16" s="2"/>
      <c r="O16" s="2"/>
      <c r="P16" s="2"/>
      <c r="Q16" s="2"/>
      <c r="R16" s="2"/>
      <c r="S16" s="15"/>
      <c r="T16" s="2">
        <f t="shared" si="2"/>
        <v>5000</v>
      </c>
      <c r="V16" s="34" t="s">
        <v>64</v>
      </c>
      <c r="W16" s="36">
        <f>P36</f>
        <v>3960</v>
      </c>
    </row>
    <row r="17" spans="1:23" x14ac:dyDescent="0.35">
      <c r="A17" s="17">
        <v>45578</v>
      </c>
      <c r="B17" s="2"/>
      <c r="C17" s="2"/>
      <c r="D17" s="2"/>
      <c r="E17" s="2"/>
      <c r="F17" s="2"/>
      <c r="G17" s="2"/>
      <c r="H17" s="2"/>
      <c r="I17" s="2">
        <v>210</v>
      </c>
      <c r="J17" s="2"/>
      <c r="K17" s="2"/>
      <c r="L17" s="2"/>
      <c r="M17" s="2"/>
      <c r="N17" s="2"/>
      <c r="O17" s="2"/>
      <c r="P17" s="2"/>
      <c r="Q17" s="2"/>
      <c r="R17" s="2">
        <v>20</v>
      </c>
      <c r="S17" s="2" t="s">
        <v>323</v>
      </c>
      <c r="T17" s="2">
        <f t="shared" si="2"/>
        <v>230</v>
      </c>
      <c r="V17" s="34" t="s">
        <v>14</v>
      </c>
      <c r="W17" s="36">
        <f>Q36</f>
        <v>5563</v>
      </c>
    </row>
    <row r="18" spans="1:23" x14ac:dyDescent="0.35">
      <c r="A18" s="17">
        <v>45579</v>
      </c>
      <c r="B18" s="2"/>
      <c r="C18" s="2"/>
      <c r="D18" s="2"/>
      <c r="E18" s="2"/>
      <c r="F18" s="2"/>
      <c r="G18" s="2">
        <v>50</v>
      </c>
      <c r="H18" s="2"/>
      <c r="I18" s="2">
        <f>20+118+100</f>
        <v>238</v>
      </c>
      <c r="J18" s="2"/>
      <c r="K18" s="2"/>
      <c r="L18" s="2">
        <f>79+500+522</f>
        <v>1101</v>
      </c>
      <c r="M18" s="2"/>
      <c r="N18" s="2"/>
      <c r="O18" s="2"/>
      <c r="P18" s="2"/>
      <c r="Q18" s="2"/>
      <c r="R18" s="2">
        <f>137+1000+1347</f>
        <v>2484</v>
      </c>
      <c r="S18" s="2" t="s">
        <v>326</v>
      </c>
      <c r="T18" s="2">
        <f t="shared" si="2"/>
        <v>3873</v>
      </c>
      <c r="V18" s="34" t="s">
        <v>15</v>
      </c>
      <c r="W18" s="36">
        <f>R36</f>
        <v>22522</v>
      </c>
    </row>
    <row r="19" spans="1:23" x14ac:dyDescent="0.35">
      <c r="A19" s="17">
        <v>45580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f>220+20</f>
        <v>240</v>
      </c>
      <c r="M19" s="2"/>
      <c r="N19" s="2"/>
      <c r="O19" s="2"/>
      <c r="P19" s="2"/>
      <c r="Q19" s="2"/>
      <c r="R19" s="2"/>
      <c r="S19" s="15"/>
      <c r="T19" s="2">
        <f t="shared" si="2"/>
        <v>240</v>
      </c>
    </row>
    <row r="20" spans="1:23" x14ac:dyDescent="0.35">
      <c r="A20" s="17">
        <v>45581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f>470+2000</f>
        <v>2470</v>
      </c>
      <c r="S20" s="2" t="s">
        <v>324</v>
      </c>
      <c r="T20" s="2">
        <f t="shared" si="2"/>
        <v>2470</v>
      </c>
    </row>
    <row r="21" spans="1:23" x14ac:dyDescent="0.35">
      <c r="A21" s="17">
        <v>45582</v>
      </c>
      <c r="B21" s="2"/>
      <c r="C21" s="2"/>
      <c r="D21" s="2"/>
      <c r="E21" s="2"/>
      <c r="F21" s="2"/>
      <c r="G21" s="2">
        <v>50</v>
      </c>
      <c r="H21" s="2"/>
      <c r="I21" s="2">
        <v>145</v>
      </c>
      <c r="J21" s="2">
        <v>400</v>
      </c>
      <c r="K21" s="2"/>
      <c r="L21" s="2"/>
      <c r="M21" s="2"/>
      <c r="N21" s="2"/>
      <c r="O21" s="2"/>
      <c r="P21" s="2"/>
      <c r="Q21" s="2">
        <f>199+199</f>
        <v>398</v>
      </c>
      <c r="R21" s="2">
        <v>500</v>
      </c>
      <c r="S21" s="2" t="s">
        <v>325</v>
      </c>
      <c r="T21" s="2">
        <f t="shared" si="2"/>
        <v>1493</v>
      </c>
    </row>
    <row r="22" spans="1:23" x14ac:dyDescent="0.35">
      <c r="A22" s="17">
        <v>45583</v>
      </c>
      <c r="B22" s="2"/>
      <c r="C22" s="2"/>
      <c r="D22" s="2"/>
      <c r="E22" s="2"/>
      <c r="F22" s="2"/>
      <c r="G22" s="2"/>
      <c r="H22" s="2"/>
      <c r="I22" s="2">
        <f>34+100</f>
        <v>134</v>
      </c>
      <c r="J22" s="2"/>
      <c r="K22" s="2"/>
      <c r="L22" s="2"/>
      <c r="M22" s="2"/>
      <c r="N22" s="2"/>
      <c r="O22" s="2"/>
      <c r="P22" s="2"/>
      <c r="Q22" s="2">
        <v>299</v>
      </c>
      <c r="R22" s="2"/>
      <c r="S22" s="15"/>
      <c r="T22" s="2">
        <f t="shared" si="2"/>
        <v>433</v>
      </c>
    </row>
    <row r="23" spans="1:23" x14ac:dyDescent="0.35">
      <c r="A23" s="17">
        <v>45584</v>
      </c>
      <c r="B23" s="2"/>
      <c r="C23" s="2"/>
      <c r="D23" s="2"/>
      <c r="E23" s="2"/>
      <c r="F23" s="2"/>
      <c r="G23" s="2">
        <v>50</v>
      </c>
      <c r="H23" s="2"/>
      <c r="I23" s="2">
        <f>240+115+40</f>
        <v>395</v>
      </c>
      <c r="J23" s="2"/>
      <c r="K23" s="2"/>
      <c r="L23" s="2"/>
      <c r="M23" s="2"/>
      <c r="N23" s="2"/>
      <c r="O23" s="2"/>
      <c r="P23" s="2"/>
      <c r="Q23" s="2"/>
      <c r="R23" s="2">
        <f>175+1000</f>
        <v>1175</v>
      </c>
      <c r="S23" s="2" t="s">
        <v>327</v>
      </c>
      <c r="T23" s="2">
        <f t="shared" si="2"/>
        <v>1620</v>
      </c>
    </row>
    <row r="24" spans="1:23" x14ac:dyDescent="0.35">
      <c r="A24" s="17">
        <v>45585</v>
      </c>
      <c r="B24" s="2"/>
      <c r="C24" s="2"/>
      <c r="D24" s="2"/>
      <c r="E24" s="2"/>
      <c r="F24" s="2"/>
      <c r="G24" s="2"/>
      <c r="H24" s="2">
        <v>249</v>
      </c>
      <c r="I24" s="2">
        <v>46</v>
      </c>
      <c r="J24" s="2"/>
      <c r="K24" s="2"/>
      <c r="L24" s="2"/>
      <c r="M24" s="2"/>
      <c r="N24" s="2"/>
      <c r="O24" s="2">
        <v>299</v>
      </c>
      <c r="P24" s="2"/>
      <c r="Q24" s="2">
        <v>299</v>
      </c>
      <c r="R24" s="2">
        <f>512+740</f>
        <v>1252</v>
      </c>
      <c r="S24" s="2" t="s">
        <v>328</v>
      </c>
      <c r="T24" s="2">
        <f t="shared" si="2"/>
        <v>2145</v>
      </c>
    </row>
    <row r="25" spans="1:23" x14ac:dyDescent="0.35">
      <c r="A25" s="17">
        <v>45586</v>
      </c>
      <c r="B25" s="2"/>
      <c r="C25" s="2"/>
      <c r="D25" s="2"/>
      <c r="E25" s="2"/>
      <c r="F25" s="2"/>
      <c r="G25" s="2"/>
      <c r="H25" s="2"/>
      <c r="I25" s="2">
        <v>230</v>
      </c>
      <c r="J25" s="2"/>
      <c r="K25" s="2"/>
      <c r="L25" s="2">
        <v>100</v>
      </c>
      <c r="M25" s="2"/>
      <c r="N25" s="2"/>
      <c r="O25" s="2">
        <v>75</v>
      </c>
      <c r="P25" s="2"/>
      <c r="Q25" s="2"/>
      <c r="R25" s="2">
        <f>6200+1314</f>
        <v>7514</v>
      </c>
      <c r="S25" s="2" t="s">
        <v>329</v>
      </c>
      <c r="T25" s="2">
        <f t="shared" si="2"/>
        <v>7919</v>
      </c>
    </row>
    <row r="26" spans="1:23" x14ac:dyDescent="0.35">
      <c r="A26" s="17">
        <v>45587</v>
      </c>
      <c r="B26" s="2"/>
      <c r="C26" s="2"/>
      <c r="D26" s="2"/>
      <c r="E26" s="2"/>
      <c r="F26" s="2"/>
      <c r="G26" s="2">
        <v>50</v>
      </c>
      <c r="H26" s="2"/>
      <c r="I26" s="2">
        <f>110+115</f>
        <v>225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 t="shared" si="2"/>
        <v>275</v>
      </c>
    </row>
    <row r="27" spans="1:23" x14ac:dyDescent="0.35">
      <c r="A27" s="17">
        <v>45588</v>
      </c>
      <c r="B27" s="2"/>
      <c r="C27" s="2"/>
      <c r="D27" s="2"/>
      <c r="E27" s="2"/>
      <c r="F27" s="2"/>
      <c r="G27" s="2"/>
      <c r="H27" s="2">
        <v>26</v>
      </c>
      <c r="I27" s="2">
        <f>119+148</f>
        <v>267</v>
      </c>
      <c r="J27" s="2"/>
      <c r="K27" s="2"/>
      <c r="L27" s="2"/>
      <c r="M27" s="2">
        <v>5000</v>
      </c>
      <c r="N27" s="2"/>
      <c r="O27" s="2"/>
      <c r="P27" s="2"/>
      <c r="Q27" s="2"/>
      <c r="R27" s="2"/>
      <c r="S27" s="2"/>
      <c r="T27" s="2">
        <f t="shared" si="2"/>
        <v>5293</v>
      </c>
    </row>
    <row r="28" spans="1:23" x14ac:dyDescent="0.35">
      <c r="A28" s="17">
        <v>45589</v>
      </c>
      <c r="B28" s="2"/>
      <c r="C28" s="2"/>
      <c r="D28" s="2"/>
      <c r="E28" s="2"/>
      <c r="F28" s="2"/>
      <c r="G28" s="2"/>
      <c r="H28" s="2"/>
      <c r="I28" s="2">
        <v>20</v>
      </c>
      <c r="J28" s="2"/>
      <c r="K28" s="2"/>
      <c r="L28" s="2"/>
      <c r="M28" s="2"/>
      <c r="N28" s="2"/>
      <c r="O28" s="2"/>
      <c r="P28" s="2"/>
      <c r="Q28" s="2"/>
      <c r="R28" s="2">
        <v>450</v>
      </c>
      <c r="S28" s="2" t="s">
        <v>330</v>
      </c>
      <c r="T28" s="2">
        <f t="shared" si="2"/>
        <v>470</v>
      </c>
    </row>
    <row r="29" spans="1:23" x14ac:dyDescent="0.35">
      <c r="A29" s="17">
        <v>45590</v>
      </c>
      <c r="B29" s="2"/>
      <c r="C29" s="2"/>
      <c r="D29" s="2"/>
      <c r="E29" s="2"/>
      <c r="F29" s="2"/>
      <c r="G29" s="2"/>
      <c r="H29" s="2">
        <v>249</v>
      </c>
      <c r="I29" s="2">
        <v>72</v>
      </c>
      <c r="J29" s="2"/>
      <c r="K29" s="2"/>
      <c r="L29" s="2">
        <v>64</v>
      </c>
      <c r="M29" s="2"/>
      <c r="N29" s="2"/>
      <c r="O29" s="2"/>
      <c r="P29" s="2">
        <v>3960</v>
      </c>
      <c r="Q29" s="2"/>
      <c r="R29" s="2"/>
      <c r="S29" s="2"/>
      <c r="T29" s="2">
        <f t="shared" si="2"/>
        <v>4345</v>
      </c>
    </row>
    <row r="30" spans="1:23" x14ac:dyDescent="0.35">
      <c r="A30" s="17">
        <v>45591</v>
      </c>
      <c r="B30" s="2"/>
      <c r="C30" s="2"/>
      <c r="D30" s="2"/>
      <c r="E30" s="2"/>
      <c r="F30" s="2"/>
      <c r="H30" s="2"/>
      <c r="I30" s="2"/>
      <c r="J30" s="2"/>
      <c r="K30" s="2"/>
      <c r="L30" s="2"/>
      <c r="M30" s="2"/>
      <c r="N30" s="2"/>
      <c r="O30" s="2"/>
      <c r="P30" s="2"/>
      <c r="Q30" s="2"/>
      <c r="R30">
        <f>250+170</f>
        <v>420</v>
      </c>
      <c r="S30" s="30" t="s">
        <v>331</v>
      </c>
      <c r="T30" s="2">
        <f t="shared" si="2"/>
        <v>420</v>
      </c>
    </row>
    <row r="31" spans="1:23" ht="15" customHeight="1" x14ac:dyDescent="0.35">
      <c r="A31" s="17">
        <v>45592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f>100+640+25+1000</f>
        <v>1765</v>
      </c>
      <c r="S31" s="28" t="s">
        <v>332</v>
      </c>
      <c r="T31" s="2">
        <f t="shared" si="2"/>
        <v>1765</v>
      </c>
    </row>
    <row r="32" spans="1:23" ht="15" customHeight="1" x14ac:dyDescent="0.35">
      <c r="A32" s="17">
        <v>45593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78</v>
      </c>
      <c r="M32" s="2"/>
      <c r="N32" s="2"/>
      <c r="O32" s="2"/>
      <c r="P32" s="2"/>
      <c r="Q32" s="2"/>
      <c r="R32" s="2">
        <f>1365+435</f>
        <v>1800</v>
      </c>
      <c r="S32" s="28" t="s">
        <v>335</v>
      </c>
      <c r="T32" s="2">
        <f t="shared" si="2"/>
        <v>1878</v>
      </c>
    </row>
    <row r="33" spans="1:20" ht="15" customHeight="1" x14ac:dyDescent="0.35">
      <c r="A33" s="17">
        <v>45594</v>
      </c>
      <c r="B33" s="2"/>
      <c r="C33" s="2"/>
      <c r="D33" s="2"/>
      <c r="E33" s="2"/>
      <c r="F33" s="2"/>
      <c r="G33" s="2"/>
      <c r="H33" s="2"/>
      <c r="I33" s="2">
        <v>348</v>
      </c>
      <c r="J33" s="2"/>
      <c r="K33" s="2"/>
      <c r="L33" s="2"/>
      <c r="M33" s="2"/>
      <c r="N33" s="2"/>
      <c r="O33" s="2"/>
      <c r="P33" s="2"/>
      <c r="Q33" s="2">
        <f>374+478</f>
        <v>852</v>
      </c>
      <c r="R33" s="2">
        <v>660</v>
      </c>
      <c r="S33" s="28" t="s">
        <v>333</v>
      </c>
      <c r="T33" s="2">
        <f t="shared" si="2"/>
        <v>1860</v>
      </c>
    </row>
    <row r="34" spans="1:20" x14ac:dyDescent="0.35">
      <c r="A34" s="17">
        <v>45595</v>
      </c>
      <c r="B34" s="2"/>
      <c r="C34" s="2"/>
      <c r="D34" s="2"/>
      <c r="E34" s="2"/>
      <c r="F34" s="2"/>
      <c r="G34" s="2">
        <v>50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f t="shared" si="2"/>
        <v>50</v>
      </c>
    </row>
    <row r="35" spans="1:20" x14ac:dyDescent="0.35">
      <c r="A35" s="17">
        <v>45596</v>
      </c>
      <c r="B35" s="2"/>
      <c r="C35" s="2"/>
      <c r="D35" s="2"/>
      <c r="E35" s="2"/>
      <c r="F35" s="2"/>
      <c r="G35" s="2">
        <v>30</v>
      </c>
      <c r="H35" s="2"/>
      <c r="I35" s="2">
        <v>85</v>
      </c>
      <c r="J35" s="2"/>
      <c r="K35" s="2"/>
      <c r="L35" s="2"/>
      <c r="M35" s="2"/>
      <c r="N35" s="2"/>
      <c r="O35" s="2"/>
      <c r="P35" s="2"/>
      <c r="Q35" s="2">
        <v>308</v>
      </c>
      <c r="R35" s="2">
        <v>422</v>
      </c>
      <c r="S35" s="2" t="s">
        <v>337</v>
      </c>
      <c r="T35" s="2">
        <f t="shared" si="2"/>
        <v>845</v>
      </c>
    </row>
    <row r="36" spans="1:20" x14ac:dyDescent="0.35">
      <c r="A36" s="16" t="s">
        <v>29</v>
      </c>
      <c r="B36" s="16">
        <f>SUM(B5:B35)</f>
        <v>22500</v>
      </c>
      <c r="C36" s="16">
        <f t="shared" ref="C36:R36" si="3">SUM(C5:C35)</f>
        <v>55778</v>
      </c>
      <c r="D36" s="16">
        <f t="shared" si="3"/>
        <v>0</v>
      </c>
      <c r="E36" s="16">
        <f t="shared" si="3"/>
        <v>0</v>
      </c>
      <c r="F36" s="16">
        <f t="shared" si="3"/>
        <v>455</v>
      </c>
      <c r="G36" s="16">
        <f t="shared" si="3"/>
        <v>470</v>
      </c>
      <c r="H36" s="16">
        <f t="shared" si="3"/>
        <v>725</v>
      </c>
      <c r="I36" s="16">
        <f t="shared" si="3"/>
        <v>5019</v>
      </c>
      <c r="J36" s="16">
        <f t="shared" si="3"/>
        <v>400</v>
      </c>
      <c r="K36" s="16">
        <f t="shared" si="3"/>
        <v>0</v>
      </c>
      <c r="L36" s="16">
        <f t="shared" si="3"/>
        <v>2381</v>
      </c>
      <c r="M36" s="16">
        <f t="shared" si="3"/>
        <v>20000</v>
      </c>
      <c r="N36" s="16">
        <f t="shared" si="3"/>
        <v>944</v>
      </c>
      <c r="O36" s="16">
        <f t="shared" si="3"/>
        <v>772</v>
      </c>
      <c r="P36" s="16">
        <f t="shared" si="3"/>
        <v>3960</v>
      </c>
      <c r="Q36" s="16">
        <f t="shared" si="3"/>
        <v>5563</v>
      </c>
      <c r="R36" s="16">
        <f t="shared" si="3"/>
        <v>22522</v>
      </c>
      <c r="S36" s="16"/>
      <c r="T36" s="2"/>
    </row>
    <row r="38" spans="1:20" x14ac:dyDescent="0.35">
      <c r="A38" s="24" t="s">
        <v>46</v>
      </c>
      <c r="B38" s="2">
        <v>154210</v>
      </c>
    </row>
    <row r="39" spans="1:20" x14ac:dyDescent="0.35">
      <c r="A39" s="24" t="s">
        <v>17</v>
      </c>
      <c r="B39" s="2">
        <f>SUM(B2:R2)-M2</f>
        <v>133142</v>
      </c>
    </row>
    <row r="40" spans="1:20" x14ac:dyDescent="0.35">
      <c r="A40" s="24" t="s">
        <v>47</v>
      </c>
      <c r="B40" s="2">
        <f>SUM(T5:T34)-M36</f>
        <v>120644</v>
      </c>
    </row>
    <row r="41" spans="1:20" x14ac:dyDescent="0.35">
      <c r="A41" s="24" t="s">
        <v>18</v>
      </c>
      <c r="B41" s="2">
        <f>B39-B40</f>
        <v>12498</v>
      </c>
    </row>
    <row r="42" spans="1:20" x14ac:dyDescent="0.35">
      <c r="A42" s="24" t="s">
        <v>34</v>
      </c>
      <c r="B42" s="2">
        <f>B38-SUM(B36:R36)</f>
        <v>12721</v>
      </c>
    </row>
    <row r="43" spans="1:20" x14ac:dyDescent="0.35">
      <c r="A43" s="24" t="s">
        <v>83</v>
      </c>
      <c r="B43" s="2">
        <f>SUM(D36:L36)+SUM(N36:R36)</f>
        <v>43211</v>
      </c>
    </row>
    <row r="44" spans="1:20" x14ac:dyDescent="0.35">
      <c r="A44" s="24" t="s">
        <v>162</v>
      </c>
      <c r="B44" s="2">
        <f>B38-B43</f>
        <v>110999</v>
      </c>
    </row>
  </sheetData>
  <mergeCells count="1">
    <mergeCell ref="V1:W1"/>
  </mergeCells>
  <conditionalFormatting sqref="B4:R4">
    <cfRule type="cellIs" dxfId="2" priority="1" operator="greaterThan">
      <formula>99</formula>
    </cfRule>
    <cfRule type="cellIs" dxfId="1" priority="2" operator="between">
      <formula>51</formula>
      <formula>99</formula>
    </cfRule>
    <cfRule type="cellIs" dxfId="0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zoomScale="80" zoomScaleNormal="80" workbookViewId="0">
      <selection activeCell="Q145" sqref="Q145"/>
    </sheetView>
  </sheetViews>
  <sheetFormatPr defaultRowHeight="14.5" x14ac:dyDescent="0.35"/>
  <cols>
    <col min="1" max="1" width="23.453125" customWidth="1"/>
    <col min="2" max="2" width="14.26953125" customWidth="1"/>
    <col min="3" max="3" width="15.26953125" customWidth="1"/>
    <col min="4" max="4" width="14.453125" customWidth="1"/>
    <col min="5" max="5" width="14.81640625" customWidth="1"/>
    <col min="6" max="6" width="16" customWidth="1"/>
    <col min="7" max="7" width="15.26953125" customWidth="1"/>
    <col min="8" max="17" width="15.7265625" customWidth="1"/>
    <col min="18" max="18" width="15.26953125" customWidth="1"/>
    <col min="19" max="19" width="13.54296875" customWidth="1"/>
    <col min="20" max="20" width="13.1796875" customWidth="1"/>
  </cols>
  <sheetData>
    <row r="1" spans="1:20" x14ac:dyDescent="0.35">
      <c r="A1" s="37" t="s">
        <v>163</v>
      </c>
      <c r="B1" s="39" t="s">
        <v>164</v>
      </c>
      <c r="C1" s="39" t="s">
        <v>165</v>
      </c>
      <c r="D1" s="39" t="s">
        <v>167</v>
      </c>
      <c r="E1" s="39" t="s">
        <v>168</v>
      </c>
      <c r="F1" s="39" t="s">
        <v>169</v>
      </c>
      <c r="G1" s="39" t="s">
        <v>170</v>
      </c>
      <c r="H1" s="39" t="s">
        <v>171</v>
      </c>
      <c r="I1" s="39" t="s">
        <v>174</v>
      </c>
      <c r="J1" s="42" t="s">
        <v>196</v>
      </c>
      <c r="K1" s="46" t="s">
        <v>255</v>
      </c>
      <c r="L1" s="48" t="s">
        <v>272</v>
      </c>
      <c r="M1" s="52" t="s">
        <v>287</v>
      </c>
      <c r="N1" s="56" t="s">
        <v>301</v>
      </c>
      <c r="O1" s="58" t="s">
        <v>311</v>
      </c>
      <c r="P1" s="61" t="s">
        <v>320</v>
      </c>
      <c r="Q1" s="64" t="s">
        <v>338</v>
      </c>
      <c r="R1" s="39" t="s">
        <v>172</v>
      </c>
      <c r="S1" s="39" t="s">
        <v>42</v>
      </c>
      <c r="T1" s="39" t="s">
        <v>173</v>
      </c>
    </row>
    <row r="2" spans="1:20" x14ac:dyDescent="0.35">
      <c r="A2" s="38" t="s">
        <v>2</v>
      </c>
      <c r="B2" s="2">
        <f ca="1">INDIRECT(B1&amp;"!W2")</f>
        <v>22000</v>
      </c>
      <c r="C2" s="2">
        <f t="shared" ref="C2:I2" ca="1" si="0">INDIRECT(C1&amp;"!W2")</f>
        <v>22000</v>
      </c>
      <c r="D2" s="2">
        <f t="shared" ca="1" si="0"/>
        <v>20000</v>
      </c>
      <c r="E2" s="2">
        <f t="shared" ca="1" si="0"/>
        <v>22535</v>
      </c>
      <c r="F2" s="2">
        <f t="shared" ca="1" si="0"/>
        <v>22000</v>
      </c>
      <c r="G2" s="2">
        <f t="shared" ca="1" si="0"/>
        <v>22000</v>
      </c>
      <c r="H2" s="2">
        <f t="shared" ca="1" si="0"/>
        <v>22000</v>
      </c>
      <c r="I2" s="2">
        <f t="shared" ca="1" si="0"/>
        <v>21000</v>
      </c>
      <c r="J2" s="2">
        <f t="shared" ref="J2:K2" ca="1" si="1">INDIRECT(J1&amp;"!W2")</f>
        <v>22000</v>
      </c>
      <c r="K2" s="2">
        <f t="shared" ca="1" si="1"/>
        <v>22000</v>
      </c>
      <c r="L2" s="2">
        <f t="shared" ref="L2:M2" ca="1" si="2">INDIRECT(L1&amp;"!W2")</f>
        <v>23100</v>
      </c>
      <c r="M2" s="2">
        <f t="shared" ca="1" si="2"/>
        <v>23100</v>
      </c>
      <c r="N2" s="2">
        <f t="shared" ref="N2:O2" ca="1" si="3">INDIRECT(N1&amp;"!W2")</f>
        <v>23100</v>
      </c>
      <c r="O2" s="2">
        <f t="shared" ca="1" si="3"/>
        <v>23100</v>
      </c>
      <c r="P2" s="2">
        <f t="shared" ref="P2:Q2" ca="1" si="4">INDIRECT(P1&amp;"!W2")</f>
        <v>22100</v>
      </c>
      <c r="Q2" s="2">
        <f t="shared" ca="1" si="4"/>
        <v>22500</v>
      </c>
      <c r="R2" s="40">
        <f ca="1">AVERAGE(B2:O2)</f>
        <v>22138.214285714286</v>
      </c>
      <c r="S2" s="19">
        <v>22000</v>
      </c>
      <c r="T2" s="41">
        <f ca="1">S2-R2</f>
        <v>-138.21428571428623</v>
      </c>
    </row>
    <row r="3" spans="1:20" x14ac:dyDescent="0.35">
      <c r="A3" s="38" t="s">
        <v>3</v>
      </c>
      <c r="B3" s="2">
        <f ca="1">INDIRECT(B1&amp;"!W3")</f>
        <v>38587</v>
      </c>
      <c r="C3" s="2">
        <f t="shared" ref="C3:H3" ca="1" si="5">INDIRECT(C1&amp;"!W3")</f>
        <v>42941</v>
      </c>
      <c r="D3" s="2">
        <f t="shared" ca="1" si="5"/>
        <v>51166</v>
      </c>
      <c r="E3" s="2">
        <f t="shared" ca="1" si="5"/>
        <v>51166</v>
      </c>
      <c r="F3" s="2">
        <f t="shared" ca="1" si="5"/>
        <v>51166</v>
      </c>
      <c r="G3" s="2">
        <f t="shared" ca="1" si="5"/>
        <v>51166</v>
      </c>
      <c r="H3" s="2">
        <f t="shared" ca="1" si="5"/>
        <v>54116</v>
      </c>
      <c r="I3" s="2">
        <f t="shared" ref="I3:J3" ca="1" si="6">INDIRECT(I1&amp;"!W3")</f>
        <v>51166</v>
      </c>
      <c r="J3" s="2">
        <f t="shared" ca="1" si="6"/>
        <v>51166</v>
      </c>
      <c r="K3" s="2">
        <f t="shared" ref="K3:L3" ca="1" si="7">INDIRECT(K1&amp;"!W3")</f>
        <v>51166</v>
      </c>
      <c r="L3" s="2">
        <f t="shared" ca="1" si="7"/>
        <v>51166</v>
      </c>
      <c r="M3" s="2">
        <f t="shared" ref="M3:N3" ca="1" si="8">INDIRECT(M1&amp;"!W3")</f>
        <v>51383</v>
      </c>
      <c r="N3" s="2">
        <f t="shared" ca="1" si="8"/>
        <v>55778</v>
      </c>
      <c r="O3" s="2">
        <f t="shared" ref="O3:P3" ca="1" si="9">INDIRECT(O1&amp;"!W3")</f>
        <v>55778</v>
      </c>
      <c r="P3" s="2">
        <f t="shared" ca="1" si="9"/>
        <v>55778</v>
      </c>
      <c r="Q3" s="2">
        <f t="shared" ref="Q3" ca="1" si="10">INDIRECT(Q1&amp;"!W3")</f>
        <v>55778</v>
      </c>
      <c r="R3" s="40">
        <f t="shared" ref="R3:R18" ca="1" si="11">AVERAGE(B3:O3)</f>
        <v>50565.071428571428</v>
      </c>
      <c r="S3" s="19">
        <v>51166</v>
      </c>
      <c r="T3" s="41">
        <f t="shared" ref="T3:T18" ca="1" si="12">S3-R3</f>
        <v>600.92857142857247</v>
      </c>
    </row>
    <row r="4" spans="1:20" x14ac:dyDescent="0.35">
      <c r="A4" s="38" t="s">
        <v>4</v>
      </c>
      <c r="B4" s="2">
        <f ca="1">INDIRECT(B1&amp;"!W4")</f>
        <v>0</v>
      </c>
      <c r="C4" s="2">
        <f t="shared" ref="C4:H4" ca="1" si="13">INDIRECT(C1&amp;"!W4")</f>
        <v>0</v>
      </c>
      <c r="D4" s="2">
        <f t="shared" ca="1" si="13"/>
        <v>0</v>
      </c>
      <c r="E4" s="2">
        <f t="shared" ca="1" si="13"/>
        <v>0</v>
      </c>
      <c r="F4" s="2">
        <f t="shared" ca="1" si="13"/>
        <v>0</v>
      </c>
      <c r="G4" s="2">
        <f t="shared" ca="1" si="13"/>
        <v>0</v>
      </c>
      <c r="H4" s="2">
        <f t="shared" ca="1" si="13"/>
        <v>0</v>
      </c>
      <c r="I4" s="2">
        <f t="shared" ref="I4:J4" ca="1" si="14">INDIRECT(I1&amp;"!W4")</f>
        <v>0</v>
      </c>
      <c r="J4" s="2">
        <f t="shared" ca="1" si="14"/>
        <v>0</v>
      </c>
      <c r="K4" s="2">
        <f t="shared" ref="K4:L4" ca="1" si="15">INDIRECT(K1&amp;"!W4")</f>
        <v>0</v>
      </c>
      <c r="L4" s="2">
        <f t="shared" ca="1" si="15"/>
        <v>0</v>
      </c>
      <c r="M4" s="2">
        <f t="shared" ref="M4:N4" ca="1" si="16">INDIRECT(M1&amp;"!W4")</f>
        <v>0</v>
      </c>
      <c r="N4" s="2">
        <f t="shared" ca="1" si="16"/>
        <v>0</v>
      </c>
      <c r="O4" s="2">
        <f t="shared" ref="O4:P4" ca="1" si="17">INDIRECT(O1&amp;"!W4")</f>
        <v>0</v>
      </c>
      <c r="P4" s="2">
        <f t="shared" ca="1" si="17"/>
        <v>0</v>
      </c>
      <c r="Q4" s="2">
        <f t="shared" ref="Q4" ca="1" si="18">INDIRECT(Q1&amp;"!W4")</f>
        <v>0</v>
      </c>
      <c r="R4" s="40">
        <f t="shared" ca="1" si="11"/>
        <v>0</v>
      </c>
      <c r="S4" s="19">
        <v>2500</v>
      </c>
      <c r="T4" s="41">
        <f t="shared" ca="1" si="12"/>
        <v>2500</v>
      </c>
    </row>
    <row r="5" spans="1:20" x14ac:dyDescent="0.35">
      <c r="A5" s="38" t="s">
        <v>5</v>
      </c>
      <c r="B5" s="2">
        <f ca="1">INDIRECT(B1&amp;"!W5")</f>
        <v>762</v>
      </c>
      <c r="C5" s="2">
        <f t="shared" ref="C5:H5" ca="1" si="19">INDIRECT(C1&amp;"!W5")</f>
        <v>762</v>
      </c>
      <c r="D5" s="2">
        <f t="shared" ca="1" si="19"/>
        <v>762</v>
      </c>
      <c r="E5" s="2">
        <f t="shared" ca="1" si="19"/>
        <v>636</v>
      </c>
      <c r="F5" s="2">
        <f t="shared" ca="1" si="19"/>
        <v>636</v>
      </c>
      <c r="G5" s="2">
        <f t="shared" ca="1" si="19"/>
        <v>636</v>
      </c>
      <c r="H5" s="2">
        <f t="shared" ca="1" si="19"/>
        <v>821</v>
      </c>
      <c r="I5" s="2">
        <f t="shared" ref="I5:J5" ca="1" si="20">INDIRECT(I1&amp;"!W5")</f>
        <v>821</v>
      </c>
      <c r="J5" s="2">
        <f t="shared" ca="1" si="20"/>
        <v>821</v>
      </c>
      <c r="K5" s="2">
        <f t="shared" ref="K5:L5" ca="1" si="21">INDIRECT(K1&amp;"!W5")</f>
        <v>1138</v>
      </c>
      <c r="L5" s="2">
        <f t="shared" ca="1" si="21"/>
        <v>1138</v>
      </c>
      <c r="M5" s="2">
        <f t="shared" ref="M5:N5" ca="1" si="22">INDIRECT(M1&amp;"!W5")</f>
        <v>1138</v>
      </c>
      <c r="N5" s="2">
        <f t="shared" ca="1" si="22"/>
        <v>477</v>
      </c>
      <c r="O5" s="2">
        <f t="shared" ref="O5:P5" ca="1" si="23">INDIRECT(O1&amp;"!W5")</f>
        <v>477</v>
      </c>
      <c r="P5" s="2">
        <f t="shared" ca="1" si="23"/>
        <v>477</v>
      </c>
      <c r="Q5" s="2">
        <f t="shared" ref="Q5" ca="1" si="24">INDIRECT(Q1&amp;"!W5")</f>
        <v>0</v>
      </c>
      <c r="R5" s="40">
        <f t="shared" ca="1" si="11"/>
        <v>787.5</v>
      </c>
      <c r="S5" s="19">
        <v>2000</v>
      </c>
      <c r="T5" s="41">
        <f t="shared" ca="1" si="12"/>
        <v>1212.5</v>
      </c>
    </row>
    <row r="6" spans="1:20" x14ac:dyDescent="0.35">
      <c r="A6" s="38" t="s">
        <v>6</v>
      </c>
      <c r="B6" s="2">
        <f ca="1">INDIRECT(B1&amp;"!W6")</f>
        <v>715</v>
      </c>
      <c r="C6" s="2">
        <f t="shared" ref="C6:H6" ca="1" si="25">INDIRECT(C1&amp;"!W6")</f>
        <v>840</v>
      </c>
      <c r="D6" s="2">
        <f t="shared" ca="1" si="25"/>
        <v>700</v>
      </c>
      <c r="E6" s="2">
        <f t="shared" ca="1" si="25"/>
        <v>700</v>
      </c>
      <c r="F6" s="2">
        <f t="shared" ca="1" si="25"/>
        <v>700</v>
      </c>
      <c r="G6" s="2">
        <f t="shared" ca="1" si="25"/>
        <v>700</v>
      </c>
      <c r="H6" s="2">
        <f t="shared" ca="1" si="25"/>
        <v>700</v>
      </c>
      <c r="I6" s="2">
        <f t="shared" ref="I6:J6" ca="1" si="26">INDIRECT(I1&amp;"!W6")</f>
        <v>455</v>
      </c>
      <c r="J6" s="2">
        <f t="shared" ca="1" si="26"/>
        <v>805</v>
      </c>
      <c r="K6" s="2">
        <f t="shared" ref="K6:L6" ca="1" si="27">INDIRECT(K1&amp;"!W6")</f>
        <v>808</v>
      </c>
      <c r="L6" s="2">
        <f t="shared" ca="1" si="27"/>
        <v>280</v>
      </c>
      <c r="M6" s="2">
        <f t="shared" ref="M6:N6" ca="1" si="28">INDIRECT(M1&amp;"!W6")</f>
        <v>525</v>
      </c>
      <c r="N6" s="2">
        <f t="shared" ca="1" si="28"/>
        <v>840</v>
      </c>
      <c r="O6" s="2">
        <f t="shared" ref="O6:P6" ca="1" si="29">INDIRECT(O1&amp;"!W6")</f>
        <v>490</v>
      </c>
      <c r="P6" s="2">
        <f t="shared" ca="1" si="29"/>
        <v>455</v>
      </c>
      <c r="Q6" s="2">
        <f t="shared" ref="Q6" ca="1" si="30">INDIRECT(Q1&amp;"!W6")</f>
        <v>455</v>
      </c>
      <c r="R6" s="40">
        <f t="shared" ca="1" si="11"/>
        <v>661.28571428571433</v>
      </c>
      <c r="S6" s="19">
        <v>1100</v>
      </c>
      <c r="T6" s="41">
        <f t="shared" ca="1" si="12"/>
        <v>438.71428571428567</v>
      </c>
    </row>
    <row r="7" spans="1:20" x14ac:dyDescent="0.35">
      <c r="A7" s="38" t="s">
        <v>7</v>
      </c>
      <c r="B7" s="2">
        <f ca="1">INDIRECT(B1&amp;"!W7")</f>
        <v>480</v>
      </c>
      <c r="C7" s="2">
        <f t="shared" ref="C7:H7" ca="1" si="31">INDIRECT(C1&amp;"!W7")</f>
        <v>480</v>
      </c>
      <c r="D7" s="2">
        <f t="shared" ca="1" si="31"/>
        <v>430</v>
      </c>
      <c r="E7" s="2">
        <f t="shared" ca="1" si="31"/>
        <v>740</v>
      </c>
      <c r="F7" s="2">
        <f t="shared" ca="1" si="31"/>
        <v>500</v>
      </c>
      <c r="G7" s="2">
        <f t="shared" ca="1" si="31"/>
        <v>650</v>
      </c>
      <c r="H7" s="2">
        <f t="shared" ca="1" si="31"/>
        <v>350</v>
      </c>
      <c r="I7" s="2">
        <f t="shared" ref="I7:J7" ca="1" si="32">INDIRECT(I1&amp;"!W7")</f>
        <v>480</v>
      </c>
      <c r="J7" s="2">
        <f t="shared" ca="1" si="32"/>
        <v>630</v>
      </c>
      <c r="K7" s="2">
        <f t="shared" ref="K7:L7" ca="1" si="33">INDIRECT(K1&amp;"!W7")</f>
        <v>310</v>
      </c>
      <c r="L7" s="2">
        <f t="shared" ca="1" si="33"/>
        <v>700</v>
      </c>
      <c r="M7" s="2">
        <f t="shared" ref="M7:N7" ca="1" si="34">INDIRECT(M1&amp;"!W7")</f>
        <v>550</v>
      </c>
      <c r="N7" s="2">
        <f t="shared" ca="1" si="34"/>
        <v>240</v>
      </c>
      <c r="O7" s="2">
        <f t="shared" ref="O7:P7" ca="1" si="35">INDIRECT(O1&amp;"!W7")</f>
        <v>0</v>
      </c>
      <c r="P7" s="2">
        <f t="shared" ca="1" si="35"/>
        <v>330</v>
      </c>
      <c r="Q7" s="2">
        <f t="shared" ref="Q7" ca="1" si="36">INDIRECT(Q1&amp;"!W7")</f>
        <v>470</v>
      </c>
      <c r="R7" s="40">
        <f t="shared" ca="1" si="11"/>
        <v>467.14285714285717</v>
      </c>
      <c r="S7" s="19">
        <v>1000</v>
      </c>
      <c r="T7" s="41">
        <f t="shared" ca="1" si="12"/>
        <v>532.85714285714289</v>
      </c>
    </row>
    <row r="8" spans="1:20" x14ac:dyDescent="0.35">
      <c r="A8" s="38" t="s">
        <v>8</v>
      </c>
      <c r="B8" s="2">
        <f ca="1">INDIRECT(B1&amp;"!W8")</f>
        <v>482</v>
      </c>
      <c r="C8" s="2">
        <f t="shared" ref="C8:H8" ca="1" si="37">INDIRECT(C1&amp;"!W8")</f>
        <v>916</v>
      </c>
      <c r="D8" s="2">
        <f t="shared" ca="1" si="37"/>
        <v>496</v>
      </c>
      <c r="E8" s="2">
        <f t="shared" ca="1" si="37"/>
        <v>418</v>
      </c>
      <c r="F8" s="2">
        <f t="shared" ca="1" si="37"/>
        <v>259</v>
      </c>
      <c r="G8" s="2">
        <f t="shared" ca="1" si="37"/>
        <v>239</v>
      </c>
      <c r="H8" s="2">
        <f t="shared" ca="1" si="37"/>
        <v>0</v>
      </c>
      <c r="I8" s="2">
        <f t="shared" ref="I8:J8" ca="1" si="38">INDIRECT(I1&amp;"!W8")</f>
        <v>484</v>
      </c>
      <c r="J8" s="2">
        <f t="shared" ca="1" si="38"/>
        <v>484</v>
      </c>
      <c r="K8" s="2">
        <f t="shared" ref="K8:L8" ca="1" si="39">INDIRECT(K1&amp;"!W8")</f>
        <v>484</v>
      </c>
      <c r="L8" s="2">
        <f t="shared" ca="1" si="39"/>
        <v>498</v>
      </c>
      <c r="M8" s="2">
        <f t="shared" ref="M8:N8" ca="1" si="40">INDIRECT(M1&amp;"!W8")</f>
        <v>498</v>
      </c>
      <c r="N8" s="2">
        <f t="shared" ca="1" si="40"/>
        <v>866</v>
      </c>
      <c r="O8" s="2">
        <f t="shared" ref="O8:P8" ca="1" si="41">INDIRECT(O1&amp;"!W8")</f>
        <v>201</v>
      </c>
      <c r="P8" s="2">
        <f t="shared" ca="1" si="41"/>
        <v>1219</v>
      </c>
      <c r="Q8" s="2">
        <f t="shared" ref="Q8" ca="1" si="42">INDIRECT(Q1&amp;"!W8")</f>
        <v>725</v>
      </c>
      <c r="R8" s="40">
        <f t="shared" ca="1" si="11"/>
        <v>451.78571428571428</v>
      </c>
      <c r="S8" s="19">
        <v>500</v>
      </c>
      <c r="T8" s="41">
        <f t="shared" ca="1" si="12"/>
        <v>48.214285714285722</v>
      </c>
    </row>
    <row r="9" spans="1:20" x14ac:dyDescent="0.35">
      <c r="A9" s="38" t="s">
        <v>9</v>
      </c>
      <c r="B9" s="2">
        <f ca="1">INDIRECT(B1&amp;"!W9")</f>
        <v>6570</v>
      </c>
      <c r="C9" s="2">
        <f t="shared" ref="C9:H9" ca="1" si="43">INDIRECT(C1&amp;"!W9")</f>
        <v>6828</v>
      </c>
      <c r="D9" s="2">
        <f t="shared" ca="1" si="43"/>
        <v>3901</v>
      </c>
      <c r="E9" s="2">
        <f t="shared" ca="1" si="43"/>
        <v>6611</v>
      </c>
      <c r="F9" s="2">
        <f t="shared" ca="1" si="43"/>
        <v>8768.48</v>
      </c>
      <c r="G9" s="2">
        <f t="shared" ca="1" si="43"/>
        <v>5477</v>
      </c>
      <c r="H9" s="2">
        <f t="shared" ca="1" si="43"/>
        <v>7382</v>
      </c>
      <c r="I9" s="2">
        <f t="shared" ref="I9:J9" ca="1" si="44">INDIRECT(I1&amp;"!W9")</f>
        <v>4536</v>
      </c>
      <c r="J9" s="2">
        <f t="shared" ca="1" si="44"/>
        <v>12165.4</v>
      </c>
      <c r="K9" s="2">
        <f t="shared" ref="K9:L9" ca="1" si="45">INDIRECT(K1&amp;"!W9")</f>
        <v>3604</v>
      </c>
      <c r="L9" s="2">
        <f t="shared" ca="1" si="45"/>
        <v>10926</v>
      </c>
      <c r="M9" s="2">
        <f t="shared" ref="M9:N9" ca="1" si="46">INDIRECT(M1&amp;"!W9")</f>
        <v>7560</v>
      </c>
      <c r="N9" s="2">
        <f t="shared" ca="1" si="46"/>
        <v>6299</v>
      </c>
      <c r="O9" s="2">
        <f t="shared" ref="O9:P9" ca="1" si="47">INDIRECT(O1&amp;"!W9")</f>
        <v>5179</v>
      </c>
      <c r="P9" s="2">
        <f t="shared" ca="1" si="47"/>
        <v>10075</v>
      </c>
      <c r="Q9" s="2">
        <f t="shared" ref="Q9" ca="1" si="48">INDIRECT(Q1&amp;"!W9")</f>
        <v>5019</v>
      </c>
      <c r="R9" s="40">
        <f t="shared" ca="1" si="11"/>
        <v>6843.3485714285716</v>
      </c>
      <c r="S9" s="19">
        <v>7000</v>
      </c>
      <c r="T9" s="41">
        <f t="shared" ca="1" si="12"/>
        <v>156.65142857142837</v>
      </c>
    </row>
    <row r="10" spans="1:20" x14ac:dyDescent="0.35">
      <c r="A10" s="38" t="s">
        <v>10</v>
      </c>
      <c r="B10" s="2">
        <f ca="1">INDIRECT(B1&amp;"!W10")</f>
        <v>300</v>
      </c>
      <c r="C10" s="2">
        <f t="shared" ref="C10:H10" ca="1" si="49">INDIRECT(C1&amp;"!W10")</f>
        <v>0</v>
      </c>
      <c r="D10" s="2">
        <f t="shared" ca="1" si="49"/>
        <v>500</v>
      </c>
      <c r="E10" s="2">
        <f t="shared" ca="1" si="49"/>
        <v>500</v>
      </c>
      <c r="F10" s="2">
        <f t="shared" ca="1" si="49"/>
        <v>600</v>
      </c>
      <c r="G10" s="2">
        <f t="shared" ca="1" si="49"/>
        <v>400</v>
      </c>
      <c r="H10" s="2">
        <f t="shared" ca="1" si="49"/>
        <v>400</v>
      </c>
      <c r="I10" s="2">
        <f t="shared" ref="I10:J10" ca="1" si="50">INDIRECT(I1&amp;"!W10")</f>
        <v>0</v>
      </c>
      <c r="J10" s="2">
        <f t="shared" ca="1" si="50"/>
        <v>400</v>
      </c>
      <c r="K10" s="2">
        <f t="shared" ref="K10:L10" ca="1" si="51">INDIRECT(K1&amp;"!W10")</f>
        <v>0</v>
      </c>
      <c r="L10" s="2">
        <f t="shared" ca="1" si="51"/>
        <v>800</v>
      </c>
      <c r="M10" s="2">
        <f t="shared" ref="M10:N10" ca="1" si="52">INDIRECT(M1&amp;"!W10")</f>
        <v>0</v>
      </c>
      <c r="N10" s="2">
        <f t="shared" ca="1" si="52"/>
        <v>405</v>
      </c>
      <c r="O10" s="2">
        <f t="shared" ref="O10:P10" ca="1" si="53">INDIRECT(O1&amp;"!W10")</f>
        <v>200</v>
      </c>
      <c r="P10" s="2">
        <f t="shared" ca="1" si="53"/>
        <v>400</v>
      </c>
      <c r="Q10" s="2">
        <f t="shared" ref="Q10" ca="1" si="54">INDIRECT(Q1&amp;"!W10")</f>
        <v>400</v>
      </c>
      <c r="R10" s="40">
        <f t="shared" ca="1" si="11"/>
        <v>321.78571428571428</v>
      </c>
      <c r="S10" s="19">
        <v>500</v>
      </c>
      <c r="T10" s="41">
        <f t="shared" ca="1" si="12"/>
        <v>178.21428571428572</v>
      </c>
    </row>
    <row r="11" spans="1:20" x14ac:dyDescent="0.35">
      <c r="A11" s="38" t="s">
        <v>11</v>
      </c>
      <c r="B11" s="2">
        <f ca="1">INDIRECT(B1&amp;"!W11")</f>
        <v>1300</v>
      </c>
      <c r="C11" s="2">
        <f t="shared" ref="C11:H11" ca="1" si="55">INDIRECT(C1&amp;"!W11")</f>
        <v>0</v>
      </c>
      <c r="D11" s="2">
        <f t="shared" ca="1" si="55"/>
        <v>0</v>
      </c>
      <c r="E11" s="2">
        <f t="shared" ca="1" si="55"/>
        <v>929</v>
      </c>
      <c r="F11" s="2">
        <f t="shared" ca="1" si="55"/>
        <v>0</v>
      </c>
      <c r="G11" s="2">
        <f t="shared" ca="1" si="55"/>
        <v>660</v>
      </c>
      <c r="H11" s="2">
        <f t="shared" ca="1" si="55"/>
        <v>0</v>
      </c>
      <c r="I11" s="2">
        <f t="shared" ref="I11:J11" ca="1" si="56">INDIRECT(I1&amp;"!W11")</f>
        <v>829</v>
      </c>
      <c r="J11" s="2">
        <f t="shared" ca="1" si="56"/>
        <v>0</v>
      </c>
      <c r="K11" s="2">
        <f t="shared" ref="K11:L11" ca="1" si="57">INDIRECT(K1&amp;"!W11")</f>
        <v>0</v>
      </c>
      <c r="L11" s="2">
        <f t="shared" ca="1" si="57"/>
        <v>593</v>
      </c>
      <c r="M11" s="2">
        <f t="shared" ref="M11:N11" ca="1" si="58">INDIRECT(M1&amp;"!W11")</f>
        <v>0</v>
      </c>
      <c r="N11" s="2">
        <f t="shared" ca="1" si="58"/>
        <v>829</v>
      </c>
      <c r="O11" s="2">
        <f t="shared" ref="O11:P11" ca="1" si="59">INDIRECT(O1&amp;"!W11")</f>
        <v>0</v>
      </c>
      <c r="P11" s="2">
        <f t="shared" ca="1" si="59"/>
        <v>0</v>
      </c>
      <c r="Q11" s="2">
        <f t="shared" ref="Q11" ca="1" si="60">INDIRECT(Q1&amp;"!W11")</f>
        <v>0</v>
      </c>
      <c r="R11" s="40">
        <f t="shared" ca="1" si="11"/>
        <v>367.14285714285717</v>
      </c>
      <c r="S11" s="19">
        <v>1200</v>
      </c>
      <c r="T11" s="41">
        <f t="shared" ca="1" si="12"/>
        <v>832.85714285714289</v>
      </c>
    </row>
    <row r="12" spans="1:20" x14ac:dyDescent="0.35">
      <c r="A12" s="38" t="s">
        <v>12</v>
      </c>
      <c r="B12" s="2">
        <f ca="1">INDIRECT(B1&amp;"!W12")</f>
        <v>936</v>
      </c>
      <c r="C12" s="2">
        <f t="shared" ref="C12:H12" ca="1" si="61">INDIRECT(C1&amp;"!W12")</f>
        <v>3189.83</v>
      </c>
      <c r="D12" s="2">
        <f t="shared" ca="1" si="61"/>
        <v>2296</v>
      </c>
      <c r="E12" s="2">
        <f t="shared" ca="1" si="61"/>
        <v>3851</v>
      </c>
      <c r="F12" s="2">
        <f t="shared" ca="1" si="61"/>
        <v>2131.06</v>
      </c>
      <c r="G12" s="2">
        <f t="shared" ca="1" si="61"/>
        <v>3064.2000000000003</v>
      </c>
      <c r="H12" s="2">
        <f t="shared" ca="1" si="61"/>
        <v>2441</v>
      </c>
      <c r="I12" s="2">
        <f t="shared" ref="I12:J12" ca="1" si="62">INDIRECT(I1&amp;"!W12")</f>
        <v>1411</v>
      </c>
      <c r="J12" s="2">
        <f t="shared" ca="1" si="62"/>
        <v>2889</v>
      </c>
      <c r="K12" s="2">
        <f t="shared" ref="K12:L12" ca="1" si="63">INDIRECT(K1&amp;"!W12")</f>
        <v>1841</v>
      </c>
      <c r="L12" s="2">
        <f t="shared" ca="1" si="63"/>
        <v>5181</v>
      </c>
      <c r="M12" s="2">
        <f t="shared" ref="M12:N12" ca="1" si="64">INDIRECT(M1&amp;"!W12")</f>
        <v>3025</v>
      </c>
      <c r="N12" s="2">
        <f t="shared" ca="1" si="64"/>
        <v>3235</v>
      </c>
      <c r="O12" s="2">
        <f t="shared" ref="O12:P12" ca="1" si="65">INDIRECT(O1&amp;"!W12")</f>
        <v>5176</v>
      </c>
      <c r="P12" s="2">
        <f t="shared" ca="1" si="65"/>
        <v>3554</v>
      </c>
      <c r="Q12" s="2">
        <f t="shared" ref="Q12" ca="1" si="66">INDIRECT(Q1&amp;"!W12")</f>
        <v>2381</v>
      </c>
      <c r="R12" s="40">
        <f t="shared" ca="1" si="11"/>
        <v>2904.7921428571426</v>
      </c>
      <c r="S12" s="19">
        <v>2000</v>
      </c>
      <c r="T12" s="41">
        <f t="shared" ca="1" si="12"/>
        <v>-904.79214285714261</v>
      </c>
    </row>
    <row r="13" spans="1:20" x14ac:dyDescent="0.35">
      <c r="A13" s="38" t="s">
        <v>13</v>
      </c>
      <c r="B13" s="2">
        <f ca="1">INDIRECT(B1&amp;"!W13")</f>
        <v>15000</v>
      </c>
      <c r="C13" s="2">
        <f t="shared" ref="C13:H13" ca="1" si="67">INDIRECT(C1&amp;"!W13")</f>
        <v>17500</v>
      </c>
      <c r="D13" s="2">
        <f t="shared" ca="1" si="67"/>
        <v>5000</v>
      </c>
      <c r="E13" s="2">
        <f t="shared" ca="1" si="67"/>
        <v>15000</v>
      </c>
      <c r="F13" s="2">
        <f t="shared" ca="1" si="67"/>
        <v>13000</v>
      </c>
      <c r="G13" s="2">
        <f t="shared" ca="1" si="67"/>
        <v>10000</v>
      </c>
      <c r="H13" s="2">
        <f t="shared" ca="1" si="67"/>
        <v>5000</v>
      </c>
      <c r="I13" s="2">
        <f t="shared" ref="I13:J13" ca="1" si="68">INDIRECT(I1&amp;"!W13")</f>
        <v>20867</v>
      </c>
      <c r="J13" s="2">
        <f t="shared" ca="1" si="68"/>
        <v>5000</v>
      </c>
      <c r="K13" s="2">
        <f t="shared" ref="K13:L13" ca="1" si="69">INDIRECT(K1&amp;"!W13")</f>
        <v>5000</v>
      </c>
      <c r="L13" s="2">
        <f t="shared" ca="1" si="69"/>
        <v>5000</v>
      </c>
      <c r="M13" s="2">
        <f t="shared" ref="M13:N13" ca="1" si="70">INDIRECT(M1&amp;"!W13")</f>
        <v>5100</v>
      </c>
      <c r="N13" s="2">
        <f t="shared" ca="1" si="70"/>
        <v>0</v>
      </c>
      <c r="O13" s="2">
        <f t="shared" ref="O13:P13" ca="1" si="71">INDIRECT(O1&amp;"!W13")</f>
        <v>10000</v>
      </c>
      <c r="P13" s="2">
        <f t="shared" ca="1" si="71"/>
        <v>20000</v>
      </c>
      <c r="Q13" s="2">
        <f t="shared" ref="Q13" ca="1" si="72">INDIRECT(Q1&amp;"!W13")</f>
        <v>20000</v>
      </c>
      <c r="R13" s="40">
        <f t="shared" ca="1" si="11"/>
        <v>9390.5</v>
      </c>
      <c r="S13" s="19">
        <v>5000</v>
      </c>
      <c r="T13" s="41">
        <f t="shared" ca="1" si="12"/>
        <v>-4390.5</v>
      </c>
    </row>
    <row r="14" spans="1:20" x14ac:dyDescent="0.35">
      <c r="A14" s="38" t="s">
        <v>16</v>
      </c>
      <c r="B14" s="2">
        <f ca="1">INDIRECT(B1&amp;"!W14")</f>
        <v>1180</v>
      </c>
      <c r="C14" s="2">
        <f t="shared" ref="C14:H14" ca="1" si="73">INDIRECT(C1&amp;"!W14")</f>
        <v>1180</v>
      </c>
      <c r="D14" s="2">
        <f t="shared" ca="1" si="73"/>
        <v>0</v>
      </c>
      <c r="E14" s="2">
        <f t="shared" ca="1" si="73"/>
        <v>0</v>
      </c>
      <c r="F14" s="2">
        <f t="shared" ca="1" si="73"/>
        <v>0</v>
      </c>
      <c r="G14" s="2">
        <f t="shared" ca="1" si="73"/>
        <v>0</v>
      </c>
      <c r="H14" s="2">
        <f t="shared" ca="1" si="73"/>
        <v>0</v>
      </c>
      <c r="I14" s="2">
        <f t="shared" ref="I14:J14" ca="1" si="74">INDIRECT(I1&amp;"!W14")</f>
        <v>0</v>
      </c>
      <c r="J14" s="2">
        <f t="shared" ca="1" si="74"/>
        <v>1062</v>
      </c>
      <c r="K14" s="2">
        <f t="shared" ref="K14:L14" ca="1" si="75">INDIRECT(K1&amp;"!W14")</f>
        <v>1062</v>
      </c>
      <c r="L14" s="2">
        <f t="shared" ca="1" si="75"/>
        <v>1062</v>
      </c>
      <c r="M14" s="2">
        <f t="shared" ref="M14:N14" ca="1" si="76">INDIRECT(M1&amp;"!W14")</f>
        <v>944</v>
      </c>
      <c r="N14" s="2">
        <f t="shared" ca="1" si="76"/>
        <v>944</v>
      </c>
      <c r="O14" s="2">
        <f t="shared" ref="O14:P14" ca="1" si="77">INDIRECT(O1&amp;"!W14")</f>
        <v>944</v>
      </c>
      <c r="P14" s="2">
        <f t="shared" ca="1" si="77"/>
        <v>944</v>
      </c>
      <c r="Q14" s="2">
        <f t="shared" ref="Q14" ca="1" si="78">INDIRECT(Q1&amp;"!W14")</f>
        <v>944</v>
      </c>
      <c r="R14" s="40">
        <f t="shared" ca="1" si="11"/>
        <v>598.42857142857144</v>
      </c>
      <c r="S14" s="19">
        <v>1500</v>
      </c>
      <c r="T14" s="41">
        <f t="shared" ca="1" si="12"/>
        <v>901.57142857142856</v>
      </c>
    </row>
    <row r="15" spans="1:20" x14ac:dyDescent="0.35">
      <c r="A15" s="38" t="s">
        <v>43</v>
      </c>
      <c r="B15" s="2">
        <f ca="1">INDIRECT(B1&amp;"!W15")</f>
        <v>199</v>
      </c>
      <c r="C15" s="2">
        <f t="shared" ref="C15:H15" ca="1" si="79">INDIRECT(C1&amp;"!W15")</f>
        <v>274</v>
      </c>
      <c r="D15" s="2">
        <f t="shared" ca="1" si="79"/>
        <v>274</v>
      </c>
      <c r="E15" s="2">
        <f t="shared" ca="1" si="79"/>
        <v>274</v>
      </c>
      <c r="F15" s="2">
        <f t="shared" ca="1" si="79"/>
        <v>274</v>
      </c>
      <c r="G15" s="2">
        <f t="shared" ca="1" si="79"/>
        <v>274</v>
      </c>
      <c r="H15" s="2">
        <f t="shared" ca="1" si="79"/>
        <v>274</v>
      </c>
      <c r="I15" s="2">
        <f t="shared" ref="I15:J15" ca="1" si="80">INDIRECT(I1&amp;"!W15")</f>
        <v>199</v>
      </c>
      <c r="J15" s="2">
        <f t="shared" ca="1" si="80"/>
        <v>199</v>
      </c>
      <c r="K15" s="2">
        <f t="shared" ref="K15:L15" ca="1" si="81">INDIRECT(K1&amp;"!W15")</f>
        <v>274</v>
      </c>
      <c r="L15" s="2">
        <f t="shared" ca="1" si="81"/>
        <v>274</v>
      </c>
      <c r="M15" s="2">
        <f t="shared" ref="M15:N15" ca="1" si="82">INDIRECT(M1&amp;"!W15")</f>
        <v>473</v>
      </c>
      <c r="N15" s="2">
        <f t="shared" ca="1" si="82"/>
        <v>274</v>
      </c>
      <c r="O15" s="2">
        <f t="shared" ref="O15:P15" ca="1" si="83">INDIRECT(O1&amp;"!W15")</f>
        <v>772</v>
      </c>
      <c r="P15" s="2">
        <f t="shared" ca="1" si="83"/>
        <v>502</v>
      </c>
      <c r="Q15" s="2">
        <f t="shared" ref="Q15" ca="1" si="84">INDIRECT(Q1&amp;"!W15")</f>
        <v>772</v>
      </c>
      <c r="R15" s="40">
        <f t="shared" ca="1" si="11"/>
        <v>307.71428571428572</v>
      </c>
      <c r="S15" s="19">
        <f>189+200+75</f>
        <v>464</v>
      </c>
      <c r="T15" s="41">
        <f t="shared" ca="1" si="12"/>
        <v>156.28571428571428</v>
      </c>
    </row>
    <row r="16" spans="1:20" x14ac:dyDescent="0.35">
      <c r="A16" s="38" t="s">
        <v>64</v>
      </c>
      <c r="B16" s="2">
        <f ca="1">INDIRECT(B1&amp;"!W16")</f>
        <v>0</v>
      </c>
      <c r="C16" s="2">
        <f t="shared" ref="C16:H16" ca="1" si="85">INDIRECT(C1&amp;"!W16")</f>
        <v>1500</v>
      </c>
      <c r="D16" s="2">
        <f t="shared" ca="1" si="85"/>
        <v>20381</v>
      </c>
      <c r="E16" s="2">
        <f t="shared" ca="1" si="85"/>
        <v>6500</v>
      </c>
      <c r="F16" s="2">
        <f t="shared" ca="1" si="85"/>
        <v>6500</v>
      </c>
      <c r="G16" s="2">
        <f t="shared" ca="1" si="85"/>
        <v>6500</v>
      </c>
      <c r="H16" s="2">
        <f t="shared" ca="1" si="85"/>
        <v>5000</v>
      </c>
      <c r="I16" s="2">
        <f t="shared" ref="I16:J16" ca="1" si="86">INDIRECT(I1&amp;"!W16")</f>
        <v>7500</v>
      </c>
      <c r="J16" s="2">
        <f t="shared" ca="1" si="86"/>
        <v>9500</v>
      </c>
      <c r="K16" s="2">
        <f t="shared" ref="K16:L16" ca="1" si="87">INDIRECT(K1&amp;"!W16")</f>
        <v>4500</v>
      </c>
      <c r="L16" s="2">
        <f t="shared" ca="1" si="87"/>
        <v>6500</v>
      </c>
      <c r="M16" s="2">
        <f t="shared" ref="M16:N16" ca="1" si="88">INDIRECT(M1&amp;"!W16")</f>
        <v>6500</v>
      </c>
      <c r="N16" s="2">
        <f t="shared" ca="1" si="88"/>
        <v>10000</v>
      </c>
      <c r="O16" s="2">
        <f t="shared" ref="O16:P16" ca="1" si="89">INDIRECT(O1&amp;"!W16")</f>
        <v>5000</v>
      </c>
      <c r="P16" s="2">
        <f t="shared" ca="1" si="89"/>
        <v>0</v>
      </c>
      <c r="Q16" s="2">
        <f t="shared" ref="Q16" ca="1" si="90">INDIRECT(Q1&amp;"!W16")</f>
        <v>3960</v>
      </c>
      <c r="R16" s="40">
        <f t="shared" ca="1" si="11"/>
        <v>6848.6428571428569</v>
      </c>
      <c r="S16" s="19">
        <v>6500</v>
      </c>
      <c r="T16" s="41">
        <f t="shared" ca="1" si="12"/>
        <v>-348.64285714285688</v>
      </c>
    </row>
    <row r="17" spans="1:20" x14ac:dyDescent="0.35">
      <c r="A17" s="38" t="s">
        <v>14</v>
      </c>
      <c r="B17" s="2">
        <f ca="1">INDIRECT(B1&amp;"!W17")</f>
        <v>0</v>
      </c>
      <c r="C17" s="2">
        <f t="shared" ref="C17:H17" ca="1" si="91">INDIRECT(C1&amp;"!W17")</f>
        <v>8000</v>
      </c>
      <c r="D17" s="2">
        <f t="shared" ca="1" si="91"/>
        <v>8000</v>
      </c>
      <c r="E17" s="2">
        <f t="shared" ca="1" si="91"/>
        <v>7600</v>
      </c>
      <c r="F17" s="2">
        <f t="shared" ca="1" si="91"/>
        <v>8000</v>
      </c>
      <c r="G17" s="2">
        <f t="shared" ca="1" si="91"/>
        <v>8000</v>
      </c>
      <c r="H17" s="2">
        <f t="shared" ca="1" si="91"/>
        <v>8775</v>
      </c>
      <c r="I17" s="2">
        <f t="shared" ref="I17:J17" ca="1" si="92">INDIRECT(I1&amp;"!W17")</f>
        <v>8000</v>
      </c>
      <c r="J17" s="2">
        <f t="shared" ca="1" si="92"/>
        <v>8348</v>
      </c>
      <c r="K17" s="2">
        <f t="shared" ref="K17:L17" ca="1" si="93">INDIRECT(K1&amp;"!W17")</f>
        <v>8000</v>
      </c>
      <c r="L17" s="2">
        <f t="shared" ca="1" si="93"/>
        <v>8000</v>
      </c>
      <c r="M17" s="2">
        <f t="shared" ref="M17:N17" ca="1" si="94">INDIRECT(M1&amp;"!W17")</f>
        <v>9918</v>
      </c>
      <c r="N17" s="2">
        <f t="shared" ca="1" si="94"/>
        <v>39944</v>
      </c>
      <c r="O17" s="2">
        <f t="shared" ref="O17:P17" ca="1" si="95">INDIRECT(O1&amp;"!W17")</f>
        <v>13845</v>
      </c>
      <c r="P17" s="2">
        <f t="shared" ca="1" si="95"/>
        <v>9776</v>
      </c>
      <c r="Q17" s="2">
        <f t="shared" ref="Q17" ca="1" si="96">INDIRECT(Q1&amp;"!W17")</f>
        <v>5563</v>
      </c>
      <c r="R17" s="40">
        <f t="shared" ca="1" si="11"/>
        <v>10316.428571428571</v>
      </c>
      <c r="S17" s="19">
        <v>8000</v>
      </c>
      <c r="T17" s="41">
        <f t="shared" ca="1" si="12"/>
        <v>-2316.4285714285706</v>
      </c>
    </row>
    <row r="18" spans="1:20" x14ac:dyDescent="0.35">
      <c r="A18" s="38" t="s">
        <v>15</v>
      </c>
      <c r="B18" s="2">
        <f ca="1">INDIRECT(B1&amp;"!W18")</f>
        <v>25733</v>
      </c>
      <c r="C18" s="2">
        <f t="shared" ref="C18:H18" ca="1" si="97">INDIRECT(C1&amp;"!W18")</f>
        <v>21621.25</v>
      </c>
      <c r="D18" s="2">
        <f t="shared" ca="1" si="97"/>
        <v>15941.55</v>
      </c>
      <c r="E18" s="2">
        <f t="shared" ca="1" si="97"/>
        <v>10326</v>
      </c>
      <c r="F18" s="2">
        <f t="shared" ca="1" si="97"/>
        <v>8300</v>
      </c>
      <c r="G18" s="2">
        <f t="shared" ca="1" si="97"/>
        <v>27987.599999999999</v>
      </c>
      <c r="H18" s="2">
        <f t="shared" ca="1" si="97"/>
        <v>26567</v>
      </c>
      <c r="I18" s="2">
        <f t="shared" ref="I18:J18" ca="1" si="98">INDIRECT(I1&amp;"!W18")</f>
        <v>13637</v>
      </c>
      <c r="J18" s="2">
        <f t="shared" ca="1" si="98"/>
        <v>11612</v>
      </c>
      <c r="K18" s="2">
        <f t="shared" ref="K18:L18" ca="1" si="99">INDIRECT(K1&amp;"!W18")</f>
        <v>26418.5</v>
      </c>
      <c r="L18" s="2">
        <f t="shared" ca="1" si="99"/>
        <v>24991</v>
      </c>
      <c r="M18" s="2">
        <f t="shared" ref="M18:N18" ca="1" si="100">INDIRECT(M1&amp;"!W18")</f>
        <v>16048</v>
      </c>
      <c r="N18" s="2">
        <f t="shared" ca="1" si="100"/>
        <v>15073</v>
      </c>
      <c r="O18" s="2">
        <f t="shared" ref="O18:P18" ca="1" si="101">INDIRECT(O1&amp;"!W18")</f>
        <v>21836</v>
      </c>
      <c r="P18" s="2">
        <f t="shared" ca="1" si="101"/>
        <v>9666</v>
      </c>
      <c r="Q18" s="2">
        <f t="shared" ref="Q18" ca="1" si="102">INDIRECT(Q1&amp;"!W18")</f>
        <v>22522</v>
      </c>
      <c r="R18" s="40">
        <f t="shared" ca="1" si="11"/>
        <v>19006.564285714288</v>
      </c>
      <c r="S18" s="19">
        <v>20000</v>
      </c>
      <c r="T18" s="41">
        <f t="shared" ca="1" si="12"/>
        <v>993.43571428571158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0" sqref="I10:I11"/>
    </sheetView>
  </sheetViews>
  <sheetFormatPr defaultRowHeight="14.5" x14ac:dyDescent="0.35"/>
  <cols>
    <col min="2" max="2" width="14" customWidth="1"/>
    <col min="3" max="3" width="17.7265625" customWidth="1"/>
    <col min="4" max="6" width="29.1796875" customWidth="1"/>
    <col min="7" max="7" width="31.54296875" customWidth="1"/>
    <col min="8" max="8" width="30" customWidth="1"/>
    <col min="9" max="9" width="32.7265625" customWidth="1"/>
  </cols>
  <sheetData>
    <row r="1" spans="1:9" x14ac:dyDescent="0.35">
      <c r="A1" s="13" t="s">
        <v>78</v>
      </c>
      <c r="B1" s="13" t="s">
        <v>32</v>
      </c>
      <c r="C1" s="13" t="s">
        <v>46</v>
      </c>
      <c r="D1" s="13" t="s">
        <v>79</v>
      </c>
      <c r="E1" s="13" t="s">
        <v>288</v>
      </c>
      <c r="F1" s="13" t="s">
        <v>162</v>
      </c>
      <c r="G1" s="13" t="s">
        <v>143</v>
      </c>
    </row>
    <row r="2" spans="1:9" x14ac:dyDescent="0.35">
      <c r="A2" s="2">
        <v>1</v>
      </c>
      <c r="B2" s="60">
        <v>45139</v>
      </c>
      <c r="C2" s="3">
        <f>Aug_2023!B38</f>
        <v>155786.89000000001</v>
      </c>
      <c r="D2" s="3">
        <f>Aug_2023!B40</f>
        <v>105744</v>
      </c>
      <c r="E2" s="3">
        <f>Aug_2023!B43</f>
        <v>38657</v>
      </c>
      <c r="F2" s="2">
        <f t="shared" ref="F2:F16" si="0">C2-E2</f>
        <v>117129.89000000001</v>
      </c>
      <c r="G2" s="3">
        <f>C2-D2</f>
        <v>50042.890000000014</v>
      </c>
      <c r="H2" s="70" t="s">
        <v>144</v>
      </c>
      <c r="I2" s="71">
        <f>AVERAGE(D2:D30)</f>
        <v>119303.016875</v>
      </c>
    </row>
    <row r="3" spans="1:9" x14ac:dyDescent="0.35">
      <c r="A3" s="2">
        <v>2</v>
      </c>
      <c r="B3" s="60">
        <v>45170</v>
      </c>
      <c r="C3" s="3">
        <f>Sep_2023!B37</f>
        <v>153762</v>
      </c>
      <c r="D3" s="3">
        <f>Sep_2023!B39</f>
        <v>102532.07999999999</v>
      </c>
      <c r="E3" s="3">
        <f>Sep_2023!B42</f>
        <v>45591.08</v>
      </c>
      <c r="F3" s="2">
        <f t="shared" si="0"/>
        <v>108170.92</v>
      </c>
      <c r="G3" s="3">
        <f t="shared" ref="G3:G10" si="1">C3-D3</f>
        <v>51229.920000000013</v>
      </c>
      <c r="H3" s="70"/>
      <c r="I3" s="71"/>
    </row>
    <row r="4" spans="1:9" x14ac:dyDescent="0.35">
      <c r="A4" s="2">
        <v>3</v>
      </c>
      <c r="B4" s="60">
        <v>45231</v>
      </c>
      <c r="C4" s="3">
        <f>Nov_2023!B37</f>
        <v>153332</v>
      </c>
      <c r="D4" s="3">
        <f>Nov_2023!B39</f>
        <v>124452.55</v>
      </c>
      <c r="E4" s="3">
        <f>Nov_2023!B42</f>
        <v>53681.55</v>
      </c>
      <c r="F4" s="2">
        <f t="shared" si="0"/>
        <v>99650.45</v>
      </c>
      <c r="G4" s="3">
        <f t="shared" si="1"/>
        <v>28879.449999999997</v>
      </c>
    </row>
    <row r="5" spans="1:9" x14ac:dyDescent="0.35">
      <c r="A5" s="2">
        <v>4</v>
      </c>
      <c r="B5" s="60">
        <v>45261</v>
      </c>
      <c r="C5" s="3">
        <f>Dec_2023!B38</f>
        <v>150873</v>
      </c>
      <c r="D5" s="3">
        <f>Dec_2023!B40</f>
        <v>112766</v>
      </c>
      <c r="E5" s="3">
        <f>Dec_2023!B43</f>
        <v>39085</v>
      </c>
      <c r="F5" s="2">
        <f t="shared" si="0"/>
        <v>111788</v>
      </c>
      <c r="G5" s="3">
        <f t="shared" si="1"/>
        <v>38107</v>
      </c>
      <c r="H5" s="72" t="s">
        <v>145</v>
      </c>
      <c r="I5" s="73">
        <f>AVERAGE(G2:G30)</f>
        <v>32824.66375</v>
      </c>
    </row>
    <row r="6" spans="1:9" x14ac:dyDescent="0.35">
      <c r="A6" s="2">
        <v>5</v>
      </c>
      <c r="B6" s="60">
        <v>45292</v>
      </c>
      <c r="C6" s="3">
        <f>Jan_2024!B38</f>
        <v>150873</v>
      </c>
      <c r="D6" s="3">
        <f>Jan_2024!B40</f>
        <v>109834.54000000001</v>
      </c>
      <c r="E6" s="3">
        <f>Jan_2024!B43</f>
        <v>36668.54</v>
      </c>
      <c r="F6" s="2">
        <f t="shared" si="0"/>
        <v>114204.45999999999</v>
      </c>
      <c r="G6" s="3">
        <f t="shared" si="1"/>
        <v>41038.459999999992</v>
      </c>
      <c r="H6" s="72"/>
      <c r="I6" s="73"/>
    </row>
    <row r="7" spans="1:9" x14ac:dyDescent="0.35">
      <c r="A7" s="2">
        <v>6</v>
      </c>
      <c r="B7" s="60">
        <v>45323</v>
      </c>
      <c r="C7" s="3">
        <f>Feb_2024!B36</f>
        <v>159983</v>
      </c>
      <c r="D7" s="3">
        <f>Feb_2024!B38</f>
        <v>127365.20000000001</v>
      </c>
      <c r="E7" s="3">
        <f>Feb_2024!B41</f>
        <v>54587.8</v>
      </c>
      <c r="F7" s="2">
        <f t="shared" si="0"/>
        <v>105395.2</v>
      </c>
      <c r="G7" s="3">
        <f t="shared" si="1"/>
        <v>32617.799999999988</v>
      </c>
    </row>
    <row r="8" spans="1:9" ht="29" x14ac:dyDescent="0.35">
      <c r="A8" s="25">
        <v>7</v>
      </c>
      <c r="B8" s="60">
        <v>45352</v>
      </c>
      <c r="C8" s="3">
        <f>Mar_2024!B38</f>
        <v>144134</v>
      </c>
      <c r="D8" s="3">
        <f>Mar_2024!B40</f>
        <v>119260</v>
      </c>
      <c r="E8" s="3">
        <f>Mar_2024!B43</f>
        <v>52710</v>
      </c>
      <c r="F8" s="2">
        <f t="shared" si="0"/>
        <v>91424</v>
      </c>
      <c r="G8" s="3">
        <f t="shared" si="1"/>
        <v>24874</v>
      </c>
      <c r="H8" s="54" t="s">
        <v>261</v>
      </c>
      <c r="I8" s="53">
        <f>AVERAGE(F2:F17)</f>
        <v>103442.37625</v>
      </c>
    </row>
    <row r="9" spans="1:9" ht="15" customHeight="1" x14ac:dyDescent="0.35">
      <c r="A9" s="25">
        <v>8</v>
      </c>
      <c r="B9" s="60">
        <v>45383</v>
      </c>
      <c r="C9" s="3">
        <f>Apr_2024!B37</f>
        <v>144946</v>
      </c>
      <c r="D9" s="3">
        <f>Apr_2024!B39</f>
        <v>108700</v>
      </c>
      <c r="E9" s="3">
        <f>Apr_2024!B42</f>
        <v>38352</v>
      </c>
      <c r="F9" s="2">
        <f t="shared" si="0"/>
        <v>106594</v>
      </c>
      <c r="G9" s="3">
        <f t="shared" si="1"/>
        <v>36246</v>
      </c>
    </row>
    <row r="10" spans="1:9" ht="15" customHeight="1" x14ac:dyDescent="0.35">
      <c r="A10" s="25">
        <v>9</v>
      </c>
      <c r="B10" s="60">
        <v>45413</v>
      </c>
      <c r="C10" s="3">
        <f>May_2024!B38</f>
        <v>151375</v>
      </c>
      <c r="D10" s="3">
        <f>May_2024!B40</f>
        <v>121432.4</v>
      </c>
      <c r="E10" s="3">
        <f>May_2024!B43</f>
        <v>48915.4</v>
      </c>
      <c r="F10" s="2">
        <f t="shared" si="0"/>
        <v>102459.6</v>
      </c>
      <c r="G10" s="3">
        <f t="shared" si="1"/>
        <v>29942.600000000006</v>
      </c>
      <c r="H10" s="68" t="s">
        <v>289</v>
      </c>
      <c r="I10" s="69">
        <f>AVERAGE(E2:E30)</f>
        <v>48685.304375000007</v>
      </c>
    </row>
    <row r="11" spans="1:9" x14ac:dyDescent="0.35">
      <c r="A11" s="25">
        <v>10</v>
      </c>
      <c r="B11" s="60">
        <v>45444</v>
      </c>
      <c r="C11" s="3">
        <f>June_2024!B37</f>
        <v>150720</v>
      </c>
      <c r="D11" s="3">
        <f>June_2024!B39</f>
        <v>120773.5</v>
      </c>
      <c r="E11" s="3">
        <f>June_2024!B42</f>
        <v>48439.5</v>
      </c>
      <c r="F11" s="2">
        <f t="shared" si="0"/>
        <v>102280.5</v>
      </c>
      <c r="G11" s="3">
        <f t="shared" ref="G11:G17" si="2">C11-D11</f>
        <v>29946.5</v>
      </c>
      <c r="H11" s="68"/>
      <c r="I11" s="69"/>
    </row>
    <row r="12" spans="1:9" x14ac:dyDescent="0.35">
      <c r="A12" s="25">
        <v>11</v>
      </c>
      <c r="B12" s="60">
        <v>45474</v>
      </c>
      <c r="C12" s="3">
        <f>July_2024!B38</f>
        <v>149686</v>
      </c>
      <c r="D12" s="3">
        <f>July_2024!B40</f>
        <v>133738</v>
      </c>
      <c r="E12" s="3">
        <f>July_2024!B43</f>
        <v>60943</v>
      </c>
      <c r="F12" s="2">
        <f t="shared" si="0"/>
        <v>88743</v>
      </c>
      <c r="G12" s="3">
        <f t="shared" si="2"/>
        <v>15948</v>
      </c>
    </row>
    <row r="13" spans="1:9" x14ac:dyDescent="0.35">
      <c r="A13" s="25">
        <v>12</v>
      </c>
      <c r="B13" s="60">
        <v>45505</v>
      </c>
      <c r="C13" s="3">
        <f>Aug_2024!B38</f>
        <v>149507</v>
      </c>
      <c r="D13" s="3">
        <f>Aug_2024!B40</f>
        <v>121662</v>
      </c>
      <c r="E13" s="3">
        <f>Aug_2024!B43</f>
        <v>47179</v>
      </c>
      <c r="F13" s="2">
        <f t="shared" si="0"/>
        <v>102328</v>
      </c>
      <c r="G13" s="3">
        <f t="shared" si="2"/>
        <v>27845</v>
      </c>
    </row>
    <row r="14" spans="1:9" x14ac:dyDescent="0.35">
      <c r="A14" s="25">
        <v>13</v>
      </c>
      <c r="B14" s="60">
        <v>45536</v>
      </c>
      <c r="C14" s="2">
        <f>Sept_2024!B37</f>
        <v>155038</v>
      </c>
      <c r="D14" s="2">
        <f>Sept_2024!B39</f>
        <v>140569</v>
      </c>
      <c r="E14" s="2">
        <f>Sept_2024!B42</f>
        <v>79426</v>
      </c>
      <c r="F14" s="2">
        <f t="shared" si="0"/>
        <v>75612</v>
      </c>
      <c r="G14" s="3">
        <f t="shared" si="2"/>
        <v>14469</v>
      </c>
    </row>
    <row r="15" spans="1:9" x14ac:dyDescent="0.35">
      <c r="A15" s="25">
        <v>14</v>
      </c>
      <c r="B15" s="60">
        <v>45566</v>
      </c>
      <c r="C15" s="2">
        <f>Oct_2024!B38</f>
        <v>154779</v>
      </c>
      <c r="D15" s="2">
        <f>Oct_2024!B40</f>
        <v>131498</v>
      </c>
      <c r="E15" s="2">
        <f>Oct_2024!B43</f>
        <v>54120</v>
      </c>
      <c r="F15" s="2">
        <f t="shared" si="0"/>
        <v>100659</v>
      </c>
      <c r="G15" s="3">
        <f t="shared" si="2"/>
        <v>23281</v>
      </c>
    </row>
    <row r="16" spans="1:9" x14ac:dyDescent="0.35">
      <c r="A16" s="25">
        <v>15</v>
      </c>
      <c r="B16" s="60">
        <v>45597</v>
      </c>
      <c r="C16" s="2">
        <f>Nov_2024!B37</f>
        <v>155038</v>
      </c>
      <c r="D16" s="2">
        <f>Nov_2024!B39</f>
        <v>107877</v>
      </c>
      <c r="E16" s="2">
        <f>Nov_2024!B42</f>
        <v>37398</v>
      </c>
      <c r="F16" s="2">
        <f t="shared" si="0"/>
        <v>117640</v>
      </c>
      <c r="G16" s="3">
        <f t="shared" si="2"/>
        <v>47161</v>
      </c>
    </row>
    <row r="17" spans="1:7" x14ac:dyDescent="0.35">
      <c r="A17" s="25">
        <v>16</v>
      </c>
      <c r="B17" s="60">
        <v>45627</v>
      </c>
      <c r="C17" s="2">
        <f>Dec_2024!B38</f>
        <v>154210</v>
      </c>
      <c r="D17" s="2">
        <f>Dec_2024!B40</f>
        <v>120644</v>
      </c>
      <c r="E17" s="2">
        <f>Dec_2024!B43</f>
        <v>43211</v>
      </c>
      <c r="F17" s="2">
        <f>C17-E17</f>
        <v>110999</v>
      </c>
      <c r="G17" s="3">
        <f t="shared" si="2"/>
        <v>33566</v>
      </c>
    </row>
  </sheetData>
  <mergeCells count="6">
    <mergeCell ref="H10:H11"/>
    <mergeCell ref="I10:I11"/>
    <mergeCell ref="H2:H3"/>
    <mergeCell ref="I2:I3"/>
    <mergeCell ref="H5:H6"/>
    <mergeCell ref="I5:I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J22" sqref="J22"/>
    </sheetView>
  </sheetViews>
  <sheetFormatPr defaultRowHeight="14.5" x14ac:dyDescent="0.35"/>
  <cols>
    <col min="1" max="1" width="28.7265625" customWidth="1"/>
    <col min="2" max="3" width="14" customWidth="1"/>
    <col min="4" max="4" width="25.1796875" customWidth="1"/>
    <col min="5" max="5" width="22.81640625" customWidth="1"/>
    <col min="6" max="6" width="19.81640625" bestFit="1" customWidth="1"/>
  </cols>
  <sheetData>
    <row r="1" spans="1:6" x14ac:dyDescent="0.35">
      <c r="A1" s="13" t="s">
        <v>37</v>
      </c>
      <c r="B1" s="13" t="s">
        <v>38</v>
      </c>
      <c r="C1" s="13" t="s">
        <v>61</v>
      </c>
      <c r="D1" s="13" t="s">
        <v>18</v>
      </c>
      <c r="E1" s="13" t="s">
        <v>56</v>
      </c>
      <c r="F1" s="13" t="s">
        <v>65</v>
      </c>
    </row>
    <row r="2" spans="1:6" x14ac:dyDescent="0.35">
      <c r="A2" s="2" t="s">
        <v>39</v>
      </c>
      <c r="B2" s="2">
        <v>8124.65</v>
      </c>
      <c r="C2" s="2">
        <v>2023</v>
      </c>
      <c r="D2" s="2">
        <f>300000-B2</f>
        <v>291875.34999999998</v>
      </c>
      <c r="E2" s="26">
        <f>D2/300000*100</f>
        <v>97.291783333333328</v>
      </c>
      <c r="F2" s="2">
        <f>(SUM(B2:B50)/100000)*100</f>
        <v>219.14929999999998</v>
      </c>
    </row>
    <row r="3" spans="1:6" x14ac:dyDescent="0.35">
      <c r="A3" s="2" t="s">
        <v>39</v>
      </c>
      <c r="B3" s="2">
        <v>5754.65</v>
      </c>
      <c r="C3" s="2">
        <v>2023</v>
      </c>
      <c r="D3" s="2">
        <f t="shared" ref="D3:D9" si="0">D2-B3</f>
        <v>286120.69999999995</v>
      </c>
      <c r="E3" s="26">
        <f t="shared" ref="E3:E9" si="1">D3/300000*100</f>
        <v>95.373566666666648</v>
      </c>
      <c r="F3" s="2"/>
    </row>
    <row r="4" spans="1:6" x14ac:dyDescent="0.35">
      <c r="A4" s="2" t="s">
        <v>50</v>
      </c>
      <c r="B4" s="2">
        <v>6500</v>
      </c>
      <c r="C4" s="2">
        <v>2023</v>
      </c>
      <c r="D4" s="2">
        <f t="shared" si="0"/>
        <v>279620.69999999995</v>
      </c>
      <c r="E4" s="26">
        <f t="shared" si="1"/>
        <v>93.206899999999976</v>
      </c>
      <c r="F4" s="2"/>
    </row>
    <row r="5" spans="1:6" x14ac:dyDescent="0.35">
      <c r="A5" s="7" t="s">
        <v>60</v>
      </c>
      <c r="B5" s="25">
        <v>6005</v>
      </c>
      <c r="C5" s="2">
        <v>2023</v>
      </c>
      <c r="D5" s="2">
        <f t="shared" si="0"/>
        <v>273615.69999999995</v>
      </c>
      <c r="E5" s="26">
        <f t="shared" si="1"/>
        <v>91.205233333333311</v>
      </c>
      <c r="F5" s="2"/>
    </row>
    <row r="6" spans="1:6" x14ac:dyDescent="0.35">
      <c r="A6" s="7" t="s">
        <v>58</v>
      </c>
      <c r="B6" s="25">
        <v>3211</v>
      </c>
      <c r="C6" s="2">
        <v>2023</v>
      </c>
      <c r="D6" s="2">
        <f t="shared" si="0"/>
        <v>270404.69999999995</v>
      </c>
      <c r="E6" s="26">
        <f t="shared" si="1"/>
        <v>90.134899999999988</v>
      </c>
      <c r="F6" s="2"/>
    </row>
    <row r="7" spans="1:6" x14ac:dyDescent="0.35">
      <c r="A7" s="25" t="s">
        <v>59</v>
      </c>
      <c r="B7" s="25">
        <v>20000</v>
      </c>
      <c r="C7" s="2">
        <v>2023</v>
      </c>
      <c r="D7" s="2">
        <f t="shared" si="0"/>
        <v>250404.69999999995</v>
      </c>
      <c r="E7" s="26">
        <f t="shared" si="1"/>
        <v>83.468233333333316</v>
      </c>
      <c r="F7" s="2"/>
    </row>
    <row r="8" spans="1:6" x14ac:dyDescent="0.35">
      <c r="A8" s="7" t="s">
        <v>55</v>
      </c>
      <c r="B8" s="25">
        <v>6285</v>
      </c>
      <c r="C8" s="2">
        <v>2023</v>
      </c>
      <c r="D8" s="2">
        <f t="shared" si="0"/>
        <v>244119.69999999995</v>
      </c>
      <c r="E8" s="26">
        <f t="shared" si="1"/>
        <v>81.373233333333317</v>
      </c>
      <c r="F8" s="2"/>
    </row>
    <row r="9" spans="1:6" x14ac:dyDescent="0.35">
      <c r="A9" s="25" t="s">
        <v>64</v>
      </c>
      <c r="B9" s="25">
        <v>5000</v>
      </c>
      <c r="C9" s="25">
        <v>2023</v>
      </c>
      <c r="D9" s="2">
        <f t="shared" si="0"/>
        <v>239119.69999999995</v>
      </c>
      <c r="E9" s="26">
        <f t="shared" si="1"/>
        <v>79.70656666666666</v>
      </c>
      <c r="F9" s="2"/>
    </row>
    <row r="10" spans="1:6" x14ac:dyDescent="0.35">
      <c r="A10" s="7" t="s">
        <v>96</v>
      </c>
      <c r="B10" s="25">
        <v>5269</v>
      </c>
      <c r="C10" s="25">
        <v>2023</v>
      </c>
      <c r="D10" s="2">
        <f t="shared" ref="D10:D14" si="2">D9-B10</f>
        <v>233850.69999999995</v>
      </c>
      <c r="E10" s="26">
        <f t="shared" ref="E10:E14" si="3">D10/300000*100</f>
        <v>77.950233333333315</v>
      </c>
      <c r="F10" s="2"/>
    </row>
    <row r="11" spans="1:6" x14ac:dyDescent="0.35">
      <c r="A11" s="7" t="s">
        <v>66</v>
      </c>
      <c r="B11" s="25">
        <f>1100+3300</f>
        <v>4400</v>
      </c>
      <c r="C11" s="25">
        <v>2023</v>
      </c>
      <c r="D11" s="2">
        <f t="shared" si="2"/>
        <v>229450.69999999995</v>
      </c>
      <c r="E11" s="26">
        <f t="shared" si="3"/>
        <v>76.483566666666647</v>
      </c>
      <c r="F11" s="2"/>
    </row>
    <row r="12" spans="1:6" x14ac:dyDescent="0.35">
      <c r="A12" s="25" t="s">
        <v>11</v>
      </c>
      <c r="B12" s="25">
        <v>6300</v>
      </c>
      <c r="C12" s="25">
        <v>2023</v>
      </c>
      <c r="D12" s="2">
        <f t="shared" si="2"/>
        <v>223150.69999999995</v>
      </c>
      <c r="E12" s="26">
        <f t="shared" si="3"/>
        <v>74.383566666666653</v>
      </c>
      <c r="F12" s="2"/>
    </row>
    <row r="13" spans="1:6" x14ac:dyDescent="0.35">
      <c r="A13" s="25" t="s">
        <v>59</v>
      </c>
      <c r="B13" s="25">
        <v>7100</v>
      </c>
      <c r="C13" s="25">
        <v>2023</v>
      </c>
      <c r="D13" s="2">
        <f t="shared" si="2"/>
        <v>216050.69999999995</v>
      </c>
      <c r="E13" s="26">
        <f t="shared" si="3"/>
        <v>72.016899999999978</v>
      </c>
      <c r="F13" s="2"/>
    </row>
    <row r="14" spans="1:6" x14ac:dyDescent="0.35">
      <c r="A14" s="25" t="s">
        <v>70</v>
      </c>
      <c r="B14" s="25">
        <v>4300</v>
      </c>
      <c r="C14" s="25">
        <v>2023</v>
      </c>
      <c r="D14" s="2">
        <f t="shared" si="2"/>
        <v>211750.69999999995</v>
      </c>
      <c r="E14" s="26">
        <f t="shared" si="3"/>
        <v>70.583566666666655</v>
      </c>
      <c r="F14" s="2"/>
    </row>
    <row r="15" spans="1:6" x14ac:dyDescent="0.35">
      <c r="A15" s="25" t="s">
        <v>74</v>
      </c>
      <c r="B15" s="25">
        <v>800</v>
      </c>
      <c r="C15" s="25">
        <v>2023</v>
      </c>
      <c r="D15" s="2">
        <f t="shared" ref="D15:D16" si="4">D14-B15</f>
        <v>210950.69999999995</v>
      </c>
      <c r="E15" s="26">
        <f t="shared" ref="E15:E16" si="5">D15/300000*100</f>
        <v>70.316899999999976</v>
      </c>
      <c r="F15" s="2"/>
    </row>
    <row r="16" spans="1:6" x14ac:dyDescent="0.35">
      <c r="A16" s="25" t="s">
        <v>74</v>
      </c>
      <c r="B16" s="25">
        <v>800</v>
      </c>
      <c r="C16" s="25">
        <v>2023</v>
      </c>
      <c r="D16" s="2">
        <f t="shared" si="4"/>
        <v>210150.69999999995</v>
      </c>
      <c r="E16" s="26">
        <f t="shared" si="5"/>
        <v>70.050233333333324</v>
      </c>
      <c r="F16" s="2"/>
    </row>
    <row r="17" spans="1:6" x14ac:dyDescent="0.35">
      <c r="A17" s="25" t="s">
        <v>77</v>
      </c>
      <c r="B17" s="25">
        <v>20000</v>
      </c>
      <c r="C17" s="25">
        <v>2023</v>
      </c>
      <c r="D17" s="2">
        <f t="shared" ref="D17" si="6">D16-B17</f>
        <v>190150.69999999995</v>
      </c>
      <c r="E17" s="26">
        <f t="shared" ref="E17" si="7">D17/300000*100</f>
        <v>63.383566666666646</v>
      </c>
      <c r="F17" s="2"/>
    </row>
    <row r="18" spans="1:6" x14ac:dyDescent="0.35">
      <c r="A18" s="25" t="s">
        <v>89</v>
      </c>
      <c r="B18" s="2">
        <f>10774+9793</f>
        <v>20567</v>
      </c>
      <c r="C18" s="25">
        <v>2023</v>
      </c>
      <c r="D18" s="2">
        <f t="shared" ref="D18:D19" si="8">D17-B18</f>
        <v>169583.69999999995</v>
      </c>
      <c r="E18" s="26">
        <f t="shared" ref="E18:E19" si="9">D18/300000*100</f>
        <v>56.527899999999988</v>
      </c>
      <c r="F18" s="2"/>
    </row>
    <row r="19" spans="1:6" x14ac:dyDescent="0.35">
      <c r="A19" s="25" t="s">
        <v>92</v>
      </c>
      <c r="B19" s="2">
        <f>3000+400+9290+445+1900</f>
        <v>15035</v>
      </c>
      <c r="C19" s="25">
        <v>2023</v>
      </c>
      <c r="D19" s="2">
        <f t="shared" si="8"/>
        <v>154548.69999999995</v>
      </c>
      <c r="E19" s="26">
        <f t="shared" si="9"/>
        <v>51.516233333333318</v>
      </c>
      <c r="F19" s="2"/>
    </row>
    <row r="20" spans="1:6" x14ac:dyDescent="0.35">
      <c r="A20" s="25" t="s">
        <v>95</v>
      </c>
      <c r="B20" s="25">
        <v>20000</v>
      </c>
      <c r="C20" s="25">
        <v>2023</v>
      </c>
      <c r="D20" s="2">
        <f t="shared" ref="D20" si="10">D19-B20</f>
        <v>134548.69999999995</v>
      </c>
      <c r="E20" s="26">
        <f t="shared" ref="E20" si="11">D20/300000*100</f>
        <v>44.849566666666654</v>
      </c>
      <c r="F20" s="2"/>
    </row>
    <row r="21" spans="1:6" x14ac:dyDescent="0.35">
      <c r="A21" s="7" t="s">
        <v>97</v>
      </c>
      <c r="B21" s="25">
        <v>3238</v>
      </c>
      <c r="C21" s="25">
        <v>2023</v>
      </c>
      <c r="D21" s="2">
        <f t="shared" ref="D21:D22" si="12">D20-B21</f>
        <v>131310.69999999995</v>
      </c>
      <c r="E21" s="26">
        <f t="shared" ref="E21:E22" si="13">D21/300000*100</f>
        <v>43.770233333333323</v>
      </c>
      <c r="F21" s="2"/>
    </row>
    <row r="22" spans="1:6" x14ac:dyDescent="0.35">
      <c r="A22" s="7" t="s">
        <v>96</v>
      </c>
      <c r="B22" s="2">
        <v>1742</v>
      </c>
      <c r="C22" s="25">
        <v>2023</v>
      </c>
      <c r="D22" s="2">
        <f t="shared" si="12"/>
        <v>129568.69999999995</v>
      </c>
      <c r="E22" s="26">
        <f t="shared" si="13"/>
        <v>43.18956666666665</v>
      </c>
      <c r="F22" s="2"/>
    </row>
    <row r="23" spans="1:6" x14ac:dyDescent="0.35">
      <c r="A23" s="7" t="s">
        <v>98</v>
      </c>
      <c r="B23" s="2">
        <f>26000+6500+3000</f>
        <v>35500</v>
      </c>
      <c r="C23" s="25">
        <v>2023</v>
      </c>
      <c r="D23" s="2">
        <f t="shared" ref="D23" si="14">D22-B23</f>
        <v>94068.699999999953</v>
      </c>
      <c r="E23" s="26">
        <f t="shared" ref="E23" si="15">D23/300000*100</f>
        <v>31.356233333333318</v>
      </c>
      <c r="F23" s="2"/>
    </row>
    <row r="24" spans="1:6" x14ac:dyDescent="0.35">
      <c r="A24" s="7" t="s">
        <v>99</v>
      </c>
      <c r="B24" s="2">
        <f>2200+1600+1000+600+1500</f>
        <v>6900</v>
      </c>
      <c r="C24" s="25">
        <v>2023</v>
      </c>
      <c r="D24" s="2">
        <f t="shared" ref="D24" si="16">D23-B24</f>
        <v>87168.699999999953</v>
      </c>
      <c r="E24" s="26">
        <f t="shared" ref="E24" si="17">D24/300000*100</f>
        <v>29.056233333333321</v>
      </c>
      <c r="F24" s="2"/>
    </row>
    <row r="25" spans="1:6" x14ac:dyDescent="0.35">
      <c r="A25" s="7" t="s">
        <v>104</v>
      </c>
      <c r="B25" s="25">
        <v>1393</v>
      </c>
      <c r="C25" s="25">
        <v>2023</v>
      </c>
      <c r="D25" s="2">
        <f t="shared" ref="D25:D26" si="18">D24-B25</f>
        <v>85775.699999999953</v>
      </c>
      <c r="E25" s="26">
        <f t="shared" ref="E25:E26" si="19">D25/300000*100</f>
        <v>28.591899999999988</v>
      </c>
      <c r="F25" s="2"/>
    </row>
    <row r="26" spans="1:6" x14ac:dyDescent="0.35">
      <c r="A26" s="7" t="s">
        <v>110</v>
      </c>
      <c r="B26" s="25">
        <v>1764</v>
      </c>
      <c r="C26" s="25">
        <v>2023</v>
      </c>
      <c r="D26" s="2">
        <f t="shared" si="18"/>
        <v>84011.699999999953</v>
      </c>
      <c r="E26" s="26">
        <f t="shared" si="19"/>
        <v>28.003899999999987</v>
      </c>
      <c r="F26" s="2"/>
    </row>
    <row r="27" spans="1:6" x14ac:dyDescent="0.35">
      <c r="A27" s="29" t="s">
        <v>116</v>
      </c>
      <c r="B27" s="30">
        <v>3161</v>
      </c>
      <c r="C27" s="30">
        <v>2023</v>
      </c>
    </row>
  </sheetData>
  <autoFilter ref="A1:F2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80" zoomScaleNormal="80" workbookViewId="0">
      <selection activeCell="O18" sqref="O18"/>
    </sheetView>
  </sheetViews>
  <sheetFormatPr defaultRowHeight="14.5" x14ac:dyDescent="0.35"/>
  <cols>
    <col min="1" max="1" width="20.1796875" customWidth="1"/>
    <col min="2" max="2" width="17.81640625" customWidth="1"/>
    <col min="3" max="4" width="14.26953125" customWidth="1"/>
    <col min="5" max="5" width="14.1796875" customWidth="1"/>
    <col min="6" max="6" width="12.453125" customWidth="1"/>
    <col min="7" max="13" width="9.81640625" bestFit="1" customWidth="1"/>
    <col min="14" max="14" width="10.81640625" bestFit="1" customWidth="1"/>
    <col min="16" max="16" width="63.453125" customWidth="1"/>
  </cols>
  <sheetData>
    <row r="1" spans="1:16" x14ac:dyDescent="0.35">
      <c r="A1" s="65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35">
      <c r="A2" s="1" t="s">
        <v>1</v>
      </c>
      <c r="B2" s="1" t="s">
        <v>17</v>
      </c>
      <c r="C2" s="5" t="s">
        <v>18</v>
      </c>
      <c r="D2" s="1" t="s">
        <v>36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 t="s">
        <v>27</v>
      </c>
      <c r="N2" s="1" t="s">
        <v>28</v>
      </c>
      <c r="O2" s="6" t="s">
        <v>29</v>
      </c>
      <c r="P2" s="1" t="s">
        <v>35</v>
      </c>
    </row>
    <row r="3" spans="1:16" x14ac:dyDescent="0.35">
      <c r="A3" s="2" t="s">
        <v>2</v>
      </c>
      <c r="B3" s="3">
        <v>30000</v>
      </c>
      <c r="C3" s="3">
        <f t="shared" ref="C3:C17" si="0">B3-SUM(E3:N3)</f>
        <v>5761</v>
      </c>
      <c r="D3" s="3">
        <f>O3/B3*100</f>
        <v>80.796666666666667</v>
      </c>
      <c r="E3" s="2">
        <v>24239</v>
      </c>
      <c r="F3" s="2"/>
      <c r="G3" s="2"/>
      <c r="H3" s="2"/>
      <c r="I3" s="2"/>
      <c r="J3" s="2"/>
      <c r="K3" s="2"/>
      <c r="L3" s="2"/>
      <c r="M3" s="2"/>
      <c r="N3" s="2"/>
      <c r="O3" s="2">
        <f>SUM(E3:N3)</f>
        <v>24239</v>
      </c>
      <c r="P3" s="2"/>
    </row>
    <row r="4" spans="1:16" x14ac:dyDescent="0.35">
      <c r="A4" s="2" t="s">
        <v>3</v>
      </c>
      <c r="B4" s="3">
        <v>30000</v>
      </c>
      <c r="C4" s="3">
        <f t="shared" si="0"/>
        <v>-9683</v>
      </c>
      <c r="D4" s="3">
        <f t="shared" ref="D4:D18" si="1">O4/B4*100</f>
        <v>132.27666666666667</v>
      </c>
      <c r="E4" s="2">
        <v>3417</v>
      </c>
      <c r="F4" s="2">
        <v>36266</v>
      </c>
      <c r="G4" s="2"/>
      <c r="H4" s="2"/>
      <c r="I4" s="2"/>
      <c r="J4" s="2"/>
      <c r="K4" s="2"/>
      <c r="L4" s="2"/>
      <c r="M4" s="2"/>
      <c r="N4" s="2"/>
      <c r="O4" s="2">
        <f t="shared" ref="O4:O17" si="2">SUM(E4:N4)</f>
        <v>39683</v>
      </c>
      <c r="P4" s="2"/>
    </row>
    <row r="5" spans="1:16" x14ac:dyDescent="0.35">
      <c r="A5" s="2" t="s">
        <v>4</v>
      </c>
      <c r="B5" s="3">
        <v>2500</v>
      </c>
      <c r="C5" s="3">
        <f t="shared" si="0"/>
        <v>0</v>
      </c>
      <c r="D5" s="3">
        <f t="shared" si="1"/>
        <v>100</v>
      </c>
      <c r="E5" s="2">
        <v>2500</v>
      </c>
      <c r="F5" s="2"/>
      <c r="G5" s="2"/>
      <c r="H5" s="2"/>
      <c r="I5" s="2"/>
      <c r="J5" s="2"/>
      <c r="K5" s="2"/>
      <c r="L5" s="2"/>
      <c r="M5" s="2"/>
      <c r="N5" s="2"/>
      <c r="O5" s="2">
        <f t="shared" si="2"/>
        <v>2500</v>
      </c>
      <c r="P5" s="2"/>
    </row>
    <row r="6" spans="1:16" x14ac:dyDescent="0.35">
      <c r="A6" s="2" t="s">
        <v>5</v>
      </c>
      <c r="B6" s="3">
        <v>1500</v>
      </c>
      <c r="C6" s="3">
        <f>B6-SUM(E6:N6)</f>
        <v>-1500</v>
      </c>
      <c r="D6" s="3">
        <f t="shared" si="1"/>
        <v>200</v>
      </c>
      <c r="E6" s="2">
        <v>1000</v>
      </c>
      <c r="F6" s="2">
        <v>1000</v>
      </c>
      <c r="G6" s="2">
        <v>1000</v>
      </c>
      <c r="H6" s="2"/>
      <c r="I6" s="2"/>
      <c r="J6" s="2"/>
      <c r="K6" s="2"/>
      <c r="L6" s="2"/>
      <c r="M6" s="2"/>
      <c r="N6" s="2"/>
      <c r="O6" s="2">
        <f t="shared" si="2"/>
        <v>3000</v>
      </c>
      <c r="P6" s="2"/>
    </row>
    <row r="7" spans="1:16" x14ac:dyDescent="0.35">
      <c r="A7" s="2" t="s">
        <v>6</v>
      </c>
      <c r="B7" s="3">
        <v>1000</v>
      </c>
      <c r="C7" s="3">
        <f t="shared" si="0"/>
        <v>-158</v>
      </c>
      <c r="D7" s="3">
        <f t="shared" si="1"/>
        <v>115.8</v>
      </c>
      <c r="E7" s="2">
        <f>65+85+65+65+65+65+65+65+65+130+130+130+65+98</f>
        <v>1158</v>
      </c>
      <c r="F7" s="2"/>
      <c r="G7" s="2"/>
      <c r="H7" s="2"/>
      <c r="I7" s="2"/>
      <c r="J7" s="2"/>
      <c r="K7" s="2"/>
      <c r="L7" s="2"/>
      <c r="M7" s="2"/>
      <c r="N7" s="2"/>
      <c r="O7" s="2">
        <f t="shared" si="2"/>
        <v>1158</v>
      </c>
      <c r="P7" s="2"/>
    </row>
    <row r="8" spans="1:16" x14ac:dyDescent="0.35">
      <c r="A8" s="2" t="s">
        <v>7</v>
      </c>
      <c r="B8" s="3">
        <v>1000</v>
      </c>
      <c r="C8" s="3">
        <f t="shared" si="0"/>
        <v>300</v>
      </c>
      <c r="D8" s="3">
        <f t="shared" si="1"/>
        <v>70</v>
      </c>
      <c r="E8" s="2">
        <f>100+100+100+100+100+100+100</f>
        <v>700</v>
      </c>
      <c r="F8" s="2"/>
      <c r="G8" s="2"/>
      <c r="H8" s="2"/>
      <c r="I8" s="2"/>
      <c r="J8" s="2"/>
      <c r="K8" s="2"/>
      <c r="L8" s="2"/>
      <c r="M8" s="2"/>
      <c r="N8" s="2"/>
      <c r="O8" s="2">
        <f t="shared" si="2"/>
        <v>700</v>
      </c>
      <c r="P8" s="2"/>
    </row>
    <row r="9" spans="1:16" x14ac:dyDescent="0.35">
      <c r="A9" s="2" t="s">
        <v>8</v>
      </c>
      <c r="B9" s="3">
        <v>600</v>
      </c>
      <c r="C9" s="3">
        <f t="shared" si="0"/>
        <v>43</v>
      </c>
      <c r="D9" s="3">
        <f t="shared" si="1"/>
        <v>92.833333333333329</v>
      </c>
      <c r="E9" s="2">
        <v>241</v>
      </c>
      <c r="F9" s="2">
        <v>241</v>
      </c>
      <c r="G9" s="2">
        <v>75</v>
      </c>
      <c r="H9" s="2"/>
      <c r="I9" s="2"/>
      <c r="J9" s="2"/>
      <c r="K9" s="2"/>
      <c r="L9" s="2"/>
      <c r="M9" s="2"/>
      <c r="N9" s="2"/>
      <c r="O9" s="2">
        <f t="shared" si="2"/>
        <v>557</v>
      </c>
      <c r="P9" s="2"/>
    </row>
    <row r="10" spans="1:16" x14ac:dyDescent="0.35">
      <c r="A10" s="2" t="s">
        <v>9</v>
      </c>
      <c r="B10" s="3">
        <v>6000</v>
      </c>
      <c r="C10" s="3">
        <f t="shared" si="0"/>
        <v>-491</v>
      </c>
      <c r="D10" s="3">
        <f t="shared" si="1"/>
        <v>108.18333333333334</v>
      </c>
      <c r="E10" s="2">
        <f>3057+53</f>
        <v>3110</v>
      </c>
      <c r="F10" s="2">
        <f>250+42+91+450+70+22</f>
        <v>925</v>
      </c>
      <c r="G10" s="2">
        <f>315+74+70+105</f>
        <v>564</v>
      </c>
      <c r="H10" s="2">
        <f>107+150</f>
        <v>257</v>
      </c>
      <c r="I10" s="2">
        <f>230+150+70+70+140+30+38+93+293+20</f>
        <v>1134</v>
      </c>
      <c r="J10" s="2">
        <f>136+5+360</f>
        <v>501</v>
      </c>
      <c r="K10" s="2"/>
      <c r="L10" s="2"/>
      <c r="M10" s="2"/>
      <c r="N10" s="2"/>
      <c r="O10" s="2">
        <f t="shared" si="2"/>
        <v>6491</v>
      </c>
      <c r="P10" s="2"/>
    </row>
    <row r="11" spans="1:16" x14ac:dyDescent="0.35">
      <c r="A11" s="2" t="s">
        <v>10</v>
      </c>
      <c r="B11" s="3">
        <v>500</v>
      </c>
      <c r="C11" s="3">
        <f t="shared" si="0"/>
        <v>200</v>
      </c>
      <c r="D11" s="3">
        <f t="shared" si="1"/>
        <v>60</v>
      </c>
      <c r="E11" s="2">
        <v>300</v>
      </c>
      <c r="F11" s="2"/>
      <c r="G11" s="2"/>
      <c r="H11" s="2"/>
      <c r="I11" s="2"/>
      <c r="J11" s="2"/>
      <c r="K11" s="2"/>
      <c r="L11" s="2"/>
      <c r="M11" s="2"/>
      <c r="N11" s="2"/>
      <c r="O11" s="2">
        <f t="shared" si="2"/>
        <v>300</v>
      </c>
      <c r="P11" s="2"/>
    </row>
    <row r="12" spans="1:16" x14ac:dyDescent="0.35">
      <c r="A12" s="2" t="s">
        <v>11</v>
      </c>
      <c r="B12" s="3">
        <v>800</v>
      </c>
      <c r="C12" s="3">
        <f t="shared" si="0"/>
        <v>-72</v>
      </c>
      <c r="D12" s="3">
        <f t="shared" si="1"/>
        <v>109.00000000000001</v>
      </c>
      <c r="E12" s="2">
        <v>872</v>
      </c>
      <c r="F12" s="2"/>
      <c r="G12" s="2"/>
      <c r="H12" s="2"/>
      <c r="I12" s="2"/>
      <c r="J12" s="2"/>
      <c r="K12" s="2"/>
      <c r="L12" s="2"/>
      <c r="M12" s="2"/>
      <c r="N12" s="2"/>
      <c r="O12" s="2">
        <f t="shared" si="2"/>
        <v>872</v>
      </c>
      <c r="P12" s="2"/>
    </row>
    <row r="13" spans="1:16" x14ac:dyDescent="0.35">
      <c r="A13" s="2" t="s">
        <v>12</v>
      </c>
      <c r="B13" s="3">
        <v>2000</v>
      </c>
      <c r="C13" s="3">
        <f t="shared" si="0"/>
        <v>592.25</v>
      </c>
      <c r="D13" s="3">
        <f t="shared" si="1"/>
        <v>70.387500000000003</v>
      </c>
      <c r="E13" s="2">
        <v>180</v>
      </c>
      <c r="F13" s="2">
        <v>329</v>
      </c>
      <c r="G13" s="2">
        <v>285</v>
      </c>
      <c r="H13" s="2">
        <v>137</v>
      </c>
      <c r="I13" s="2">
        <v>295.25</v>
      </c>
      <c r="J13" s="2">
        <v>181.5</v>
      </c>
      <c r="K13" s="2"/>
      <c r="L13" s="2"/>
      <c r="M13" s="2"/>
      <c r="N13" s="2"/>
      <c r="O13" s="2">
        <f t="shared" si="2"/>
        <v>1407.75</v>
      </c>
      <c r="P13" s="2"/>
    </row>
    <row r="14" spans="1:16" x14ac:dyDescent="0.35">
      <c r="A14" s="2" t="s">
        <v>13</v>
      </c>
      <c r="B14" s="3">
        <f>(200000+30000+20000)/11</f>
        <v>22727.272727272728</v>
      </c>
      <c r="C14" s="3">
        <f t="shared" si="0"/>
        <v>7727.2727272727279</v>
      </c>
      <c r="D14" s="3">
        <f t="shared" si="1"/>
        <v>66</v>
      </c>
      <c r="E14" s="2">
        <f>10000+5000</f>
        <v>15000</v>
      </c>
      <c r="F14" s="2"/>
      <c r="G14" s="2"/>
      <c r="H14" s="2"/>
      <c r="I14" s="2"/>
      <c r="J14" s="2"/>
      <c r="K14" s="2"/>
      <c r="L14" s="2"/>
      <c r="M14" s="2"/>
      <c r="N14" s="2"/>
      <c r="O14" s="2">
        <f t="shared" si="2"/>
        <v>15000</v>
      </c>
      <c r="P14" s="2"/>
    </row>
    <row r="15" spans="1:16" x14ac:dyDescent="0.35">
      <c r="A15" s="4" t="s">
        <v>14</v>
      </c>
      <c r="B15" s="3">
        <v>8000</v>
      </c>
      <c r="C15" s="3">
        <f t="shared" si="0"/>
        <v>-490.3700000000008</v>
      </c>
      <c r="D15" s="3">
        <f t="shared" si="1"/>
        <v>106.129625</v>
      </c>
      <c r="E15" s="2">
        <v>8490.3700000000008</v>
      </c>
      <c r="F15" s="2"/>
      <c r="G15" s="2"/>
      <c r="H15" s="2"/>
      <c r="I15" s="2"/>
      <c r="J15" s="2"/>
      <c r="K15" s="2"/>
      <c r="L15" s="2"/>
      <c r="M15" s="2"/>
      <c r="N15" s="2"/>
      <c r="O15" s="2">
        <f t="shared" si="2"/>
        <v>8490.3700000000008</v>
      </c>
      <c r="P15" s="2"/>
    </row>
    <row r="16" spans="1:16" ht="29" x14ac:dyDescent="0.35">
      <c r="A16" s="4" t="s">
        <v>15</v>
      </c>
      <c r="B16" s="3">
        <v>8000</v>
      </c>
      <c r="C16" s="3">
        <f t="shared" si="0"/>
        <v>-5789.8100000000013</v>
      </c>
      <c r="D16" s="3">
        <f t="shared" si="1"/>
        <v>172.372625</v>
      </c>
      <c r="E16" s="2">
        <f>2350+150</f>
        <v>2500</v>
      </c>
      <c r="F16" s="2">
        <v>280</v>
      </c>
      <c r="G16" s="2">
        <f>453.6+65+20+199+1184</f>
        <v>1921.6</v>
      </c>
      <c r="H16" s="2">
        <f>455+29+20+100+1000</f>
        <v>1604</v>
      </c>
      <c r="I16" s="2">
        <f>700+416.18+9+25</f>
        <v>1150.18</v>
      </c>
      <c r="J16" s="2">
        <f>3000+230.03</f>
        <v>3230.03</v>
      </c>
      <c r="K16" s="2">
        <f>500+1000+800+150+654</f>
        <v>3104</v>
      </c>
      <c r="L16" s="2"/>
      <c r="M16" s="2"/>
      <c r="N16" s="2"/>
      <c r="O16" s="2">
        <f t="shared" si="2"/>
        <v>13789.810000000001</v>
      </c>
      <c r="P16" s="15" t="s">
        <v>41</v>
      </c>
    </row>
    <row r="17" spans="1:16" x14ac:dyDescent="0.35">
      <c r="A17" s="2" t="s">
        <v>16</v>
      </c>
      <c r="B17" s="3">
        <v>1500</v>
      </c>
      <c r="C17" s="3">
        <f t="shared" si="0"/>
        <v>203.18000000000006</v>
      </c>
      <c r="D17" s="3">
        <f t="shared" si="1"/>
        <v>86.454666666666654</v>
      </c>
      <c r="E17" s="2">
        <v>1296.82</v>
      </c>
      <c r="F17" s="2"/>
      <c r="G17" s="2"/>
      <c r="H17" s="2"/>
      <c r="I17" s="2"/>
      <c r="J17" s="2"/>
      <c r="K17" s="2"/>
      <c r="L17" s="2"/>
      <c r="M17" s="2"/>
      <c r="N17" s="2"/>
      <c r="O17" s="2">
        <f t="shared" si="2"/>
        <v>1296.82</v>
      </c>
      <c r="P17" s="2"/>
    </row>
    <row r="18" spans="1:16" x14ac:dyDescent="0.35">
      <c r="A18" s="7" t="s">
        <v>29</v>
      </c>
      <c r="B18" s="8">
        <f>SUM(B3:B17)</f>
        <v>116127.27272727274</v>
      </c>
      <c r="C18" s="8">
        <f>SUM(C3:C17)</f>
        <v>-3357.4772727272739</v>
      </c>
      <c r="D18" s="8">
        <f t="shared" si="1"/>
        <v>102.89120479098169</v>
      </c>
      <c r="E18" s="8">
        <f t="shared" ref="E18:N18" si="3">SUM(E3:E17)</f>
        <v>65004.19</v>
      </c>
      <c r="F18" s="8">
        <f t="shared" si="3"/>
        <v>39041</v>
      </c>
      <c r="G18" s="8">
        <f t="shared" si="3"/>
        <v>3845.6</v>
      </c>
      <c r="H18" s="8">
        <f t="shared" si="3"/>
        <v>1998</v>
      </c>
      <c r="I18" s="8">
        <f t="shared" si="3"/>
        <v>2579.4300000000003</v>
      </c>
      <c r="J18" s="8">
        <f t="shared" si="3"/>
        <v>3912.53</v>
      </c>
      <c r="K18" s="8">
        <f t="shared" si="3"/>
        <v>3104</v>
      </c>
      <c r="L18" s="8">
        <f t="shared" si="3"/>
        <v>0</v>
      </c>
      <c r="M18" s="8">
        <f t="shared" si="3"/>
        <v>0</v>
      </c>
      <c r="N18" s="8">
        <f t="shared" si="3"/>
        <v>0</v>
      </c>
      <c r="O18" s="7">
        <f>SUM(O3:O17)</f>
        <v>119484.75</v>
      </c>
      <c r="P18" s="2"/>
    </row>
    <row r="19" spans="1:16" x14ac:dyDescent="0.35">
      <c r="B19" s="9"/>
    </row>
    <row r="20" spans="1:16" x14ac:dyDescent="0.35">
      <c r="A20" s="11" t="s">
        <v>30</v>
      </c>
      <c r="B20" s="10">
        <f>160000+406+50+62+30+55+100+8000+5000+1919.52+240+1184+100+39954+7165+300+100+100+2021.25+100+360+22+630</f>
        <v>227898.77</v>
      </c>
    </row>
    <row r="21" spans="1:16" x14ac:dyDescent="0.35">
      <c r="A21" s="11" t="s">
        <v>31</v>
      </c>
      <c r="B21" s="3">
        <f>B20-B18</f>
        <v>111771.49727272725</v>
      </c>
    </row>
    <row r="22" spans="1:16" x14ac:dyDescent="0.35">
      <c r="A22" s="12" t="s">
        <v>34</v>
      </c>
      <c r="B22" s="14">
        <f>B20-O18</f>
        <v>108414.01999999999</v>
      </c>
    </row>
    <row r="23" spans="1:16" x14ac:dyDescent="0.35">
      <c r="A23" t="s">
        <v>40</v>
      </c>
      <c r="B23">
        <v>8124.65</v>
      </c>
    </row>
    <row r="24" spans="1:16" x14ac:dyDescent="0.35">
      <c r="A24" t="s">
        <v>40</v>
      </c>
      <c r="B24">
        <v>5754.65</v>
      </c>
    </row>
    <row r="25" spans="1:16" x14ac:dyDescent="0.35">
      <c r="A25" s="12" t="s">
        <v>34</v>
      </c>
      <c r="B25" s="14">
        <f>B22-B23-B24</f>
        <v>94534.720000000001</v>
      </c>
    </row>
  </sheetData>
  <mergeCells count="1">
    <mergeCell ref="A1:P1"/>
  </mergeCells>
  <conditionalFormatting sqref="E18:N18 C3:D18">
    <cfRule type="cellIs" dxfId="5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pane xSplit="1" topLeftCell="B1" activePane="topRight" state="frozen"/>
      <selection pane="topRight" activeCell="D27" sqref="D27"/>
    </sheetView>
  </sheetViews>
  <sheetFormatPr defaultRowHeight="14.5" x14ac:dyDescent="0.35"/>
  <cols>
    <col min="1" max="1" width="19.26953125" bestFit="1" customWidth="1"/>
    <col min="2" max="2" width="12.453125" customWidth="1"/>
    <col min="13" max="13" width="12.1796875" bestFit="1" customWidth="1"/>
    <col min="15" max="15" width="15.81640625" bestFit="1" customWidth="1"/>
    <col min="16" max="16" width="19.54296875" bestFit="1" customWidth="1"/>
    <col min="17" max="17" width="25.54296875" bestFit="1" customWidth="1"/>
    <col min="18" max="18" width="17.453125" customWidth="1"/>
  </cols>
  <sheetData>
    <row r="1" spans="1:18" x14ac:dyDescent="0.35">
      <c r="A1" s="24" t="s">
        <v>46</v>
      </c>
      <c r="B1" s="2">
        <f>153089+777.89+960</f>
        <v>154826.89000000001</v>
      </c>
    </row>
    <row r="2" spans="1:18" x14ac:dyDescent="0.35">
      <c r="A2" s="24" t="s">
        <v>17</v>
      </c>
      <c r="B2" s="2">
        <f>SUM(B7:P7)</f>
        <v>109766</v>
      </c>
    </row>
    <row r="3" spans="1:18" x14ac:dyDescent="0.35">
      <c r="A3" s="24" t="s">
        <v>47</v>
      </c>
      <c r="B3" s="2">
        <f>SUM(R10:R39)</f>
        <v>111423.48</v>
      </c>
    </row>
    <row r="4" spans="1:18" x14ac:dyDescent="0.35">
      <c r="A4" s="24" t="s">
        <v>18</v>
      </c>
      <c r="B4" s="2">
        <f>B2-B3</f>
        <v>-1657.4799999999959</v>
      </c>
    </row>
    <row r="5" spans="1:18" x14ac:dyDescent="0.35">
      <c r="A5" s="24" t="s">
        <v>34</v>
      </c>
      <c r="B5" s="2">
        <f>B1-B3</f>
        <v>43403.410000000018</v>
      </c>
    </row>
    <row r="6" spans="1:18" x14ac:dyDescent="0.35">
      <c r="A6" s="18" t="s">
        <v>33</v>
      </c>
      <c r="B6" s="18" t="s">
        <v>2</v>
      </c>
      <c r="C6" s="18" t="s">
        <v>3</v>
      </c>
      <c r="D6" s="18" t="s">
        <v>4</v>
      </c>
      <c r="E6" s="18" t="s">
        <v>5</v>
      </c>
      <c r="F6" s="18" t="s">
        <v>6</v>
      </c>
      <c r="G6" s="18" t="s">
        <v>7</v>
      </c>
      <c r="H6" s="18" t="s">
        <v>8</v>
      </c>
      <c r="I6" s="18" t="s">
        <v>9</v>
      </c>
      <c r="J6" s="18" t="s">
        <v>10</v>
      </c>
      <c r="K6" s="18" t="s">
        <v>11</v>
      </c>
      <c r="L6" s="18" t="s">
        <v>12</v>
      </c>
      <c r="M6" s="18" t="s">
        <v>13</v>
      </c>
      <c r="N6" s="18" t="s">
        <v>16</v>
      </c>
      <c r="O6" s="18" t="s">
        <v>14</v>
      </c>
      <c r="P6" s="18" t="s">
        <v>15</v>
      </c>
      <c r="Q6" s="18" t="s">
        <v>35</v>
      </c>
      <c r="R6" s="18" t="s">
        <v>29</v>
      </c>
    </row>
    <row r="7" spans="1:18" s="20" customFormat="1" x14ac:dyDescent="0.35">
      <c r="A7" s="19" t="s">
        <v>42</v>
      </c>
      <c r="B7" s="19">
        <v>30000</v>
      </c>
      <c r="C7" s="19">
        <v>36266</v>
      </c>
      <c r="D7" s="19">
        <v>2500</v>
      </c>
      <c r="E7" s="19">
        <v>2000</v>
      </c>
      <c r="F7" s="19">
        <v>1100</v>
      </c>
      <c r="G7" s="19">
        <v>1000</v>
      </c>
      <c r="H7" s="19">
        <v>500</v>
      </c>
      <c r="I7" s="19">
        <v>6500</v>
      </c>
      <c r="J7" s="19">
        <v>500</v>
      </c>
      <c r="K7" s="19">
        <v>900</v>
      </c>
      <c r="L7" s="19">
        <v>2000</v>
      </c>
      <c r="M7" s="19">
        <v>5000</v>
      </c>
      <c r="N7" s="19">
        <v>1500</v>
      </c>
      <c r="O7" s="19">
        <v>8000</v>
      </c>
      <c r="P7" s="19">
        <v>12000</v>
      </c>
      <c r="Q7" s="19"/>
      <c r="R7" s="22">
        <f>SUM(B7:P7)</f>
        <v>109766</v>
      </c>
    </row>
    <row r="8" spans="1:18" s="23" customFormat="1" x14ac:dyDescent="0.35">
      <c r="A8" s="19" t="s">
        <v>18</v>
      </c>
      <c r="B8" s="19">
        <f t="shared" ref="B8:P8" si="0">B7-B41</f>
        <v>0</v>
      </c>
      <c r="C8" s="19">
        <f t="shared" si="0"/>
        <v>0</v>
      </c>
      <c r="D8" s="19">
        <f t="shared" si="0"/>
        <v>500</v>
      </c>
      <c r="E8" s="19">
        <f t="shared" si="0"/>
        <v>1200</v>
      </c>
      <c r="F8" s="19">
        <f t="shared" si="0"/>
        <v>385</v>
      </c>
      <c r="G8" s="19">
        <f t="shared" si="0"/>
        <v>570</v>
      </c>
      <c r="H8" s="19">
        <f t="shared" si="0"/>
        <v>18</v>
      </c>
      <c r="I8" s="19">
        <f t="shared" si="0"/>
        <v>-1105.7299999999996</v>
      </c>
      <c r="J8" s="19">
        <f t="shared" si="0"/>
        <v>-200</v>
      </c>
      <c r="K8" s="19">
        <f t="shared" si="0"/>
        <v>161</v>
      </c>
      <c r="L8" s="19">
        <f t="shared" si="0"/>
        <v>73</v>
      </c>
      <c r="M8" s="19">
        <f t="shared" si="0"/>
        <v>0</v>
      </c>
      <c r="N8" s="19">
        <f t="shared" si="0"/>
        <v>-211</v>
      </c>
      <c r="O8" s="19">
        <f t="shared" si="0"/>
        <v>0</v>
      </c>
      <c r="P8" s="19">
        <f t="shared" si="0"/>
        <v>-3137.75</v>
      </c>
      <c r="Q8" s="19"/>
      <c r="R8" s="19">
        <f>SUM(B8:P8)</f>
        <v>-1747.4799999999996</v>
      </c>
    </row>
    <row r="9" spans="1:18" s="23" customFormat="1" x14ac:dyDescent="0.35">
      <c r="A9" s="19" t="s">
        <v>44</v>
      </c>
      <c r="B9" s="19">
        <f>((B7-B8)/B7)*100</f>
        <v>100</v>
      </c>
      <c r="C9" s="19">
        <f t="shared" ref="C9:R9" si="1">((C7-C8)/C7)*100</f>
        <v>100</v>
      </c>
      <c r="D9" s="19">
        <f t="shared" si="1"/>
        <v>80</v>
      </c>
      <c r="E9" s="19">
        <f t="shared" si="1"/>
        <v>40</v>
      </c>
      <c r="F9" s="19">
        <f t="shared" si="1"/>
        <v>65</v>
      </c>
      <c r="G9" s="19">
        <f t="shared" si="1"/>
        <v>43</v>
      </c>
      <c r="H9" s="19">
        <f t="shared" si="1"/>
        <v>96.399999999999991</v>
      </c>
      <c r="I9" s="19">
        <f t="shared" si="1"/>
        <v>117.01123076923076</v>
      </c>
      <c r="J9" s="19">
        <f t="shared" si="1"/>
        <v>140</v>
      </c>
      <c r="K9" s="19">
        <f t="shared" si="1"/>
        <v>82.111111111111114</v>
      </c>
      <c r="L9" s="19">
        <f t="shared" si="1"/>
        <v>96.350000000000009</v>
      </c>
      <c r="M9" s="19">
        <f t="shared" si="1"/>
        <v>100</v>
      </c>
      <c r="N9" s="19">
        <f t="shared" si="1"/>
        <v>114.06666666666668</v>
      </c>
      <c r="O9" s="19">
        <f t="shared" si="1"/>
        <v>100</v>
      </c>
      <c r="P9" s="21">
        <f t="shared" si="1"/>
        <v>126.14791666666667</v>
      </c>
      <c r="Q9" s="19"/>
      <c r="R9" s="21">
        <f t="shared" si="1"/>
        <v>101.59200481023267</v>
      </c>
    </row>
    <row r="10" spans="1:18" x14ac:dyDescent="0.35">
      <c r="A10" s="17">
        <v>45108</v>
      </c>
      <c r="B10" s="2">
        <v>30000</v>
      </c>
      <c r="C10" s="2"/>
      <c r="D10" s="2"/>
      <c r="E10" s="2"/>
      <c r="F10" s="2"/>
      <c r="G10" s="2"/>
      <c r="H10" s="2"/>
      <c r="I10" s="2">
        <f>13+20+240</f>
        <v>273</v>
      </c>
      <c r="J10" s="2">
        <v>300</v>
      </c>
      <c r="K10" s="2"/>
      <c r="L10" s="2"/>
      <c r="M10" s="2"/>
      <c r="N10" s="2"/>
      <c r="O10" s="2"/>
      <c r="P10" s="2">
        <f>137+60</f>
        <v>197</v>
      </c>
      <c r="Q10" s="2" t="s">
        <v>45</v>
      </c>
      <c r="R10" s="2">
        <f>SUM(B10:P10)</f>
        <v>30770</v>
      </c>
    </row>
    <row r="11" spans="1:18" x14ac:dyDescent="0.35">
      <c r="A11" s="17">
        <v>45109</v>
      </c>
      <c r="B11" s="2"/>
      <c r="C11" s="2"/>
      <c r="D11" s="2">
        <v>2000</v>
      </c>
      <c r="E11" s="2"/>
      <c r="F11" s="2">
        <v>65</v>
      </c>
      <c r="G11" s="2">
        <v>100</v>
      </c>
      <c r="H11" s="2"/>
      <c r="I11" s="2">
        <v>849.84</v>
      </c>
      <c r="J11" s="2"/>
      <c r="K11" s="2"/>
      <c r="L11" s="2"/>
      <c r="M11" s="2">
        <v>5000</v>
      </c>
      <c r="N11" s="2"/>
      <c r="O11" s="2"/>
      <c r="P11" s="2">
        <f>12</f>
        <v>12</v>
      </c>
      <c r="Q11" s="2" t="s">
        <v>63</v>
      </c>
      <c r="R11" s="2">
        <f>SUM(B11:P11)</f>
        <v>8026.84</v>
      </c>
    </row>
    <row r="12" spans="1:18" x14ac:dyDescent="0.35">
      <c r="A12" s="17">
        <v>45110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f>96+370+20</f>
        <v>486</v>
      </c>
      <c r="Q12" s="2" t="s">
        <v>48</v>
      </c>
      <c r="R12" s="2">
        <f t="shared" ref="R12:R40" si="2">SUM(B12:P12)</f>
        <v>486</v>
      </c>
    </row>
    <row r="13" spans="1:18" x14ac:dyDescent="0.35">
      <c r="A13" s="17">
        <v>45111</v>
      </c>
      <c r="B13" s="2"/>
      <c r="C13" s="2"/>
      <c r="D13" s="2"/>
      <c r="E13" s="2"/>
      <c r="F13" s="2">
        <v>65</v>
      </c>
      <c r="G13" s="2"/>
      <c r="H13" s="2"/>
      <c r="I13" s="2"/>
      <c r="J13" s="2"/>
      <c r="K13" s="2"/>
      <c r="L13" s="2"/>
      <c r="M13" s="2"/>
      <c r="N13" s="2"/>
      <c r="O13" s="2"/>
      <c r="P13" s="2">
        <v>355</v>
      </c>
      <c r="Q13" s="2" t="s">
        <v>49</v>
      </c>
      <c r="R13" s="2">
        <f t="shared" si="2"/>
        <v>420</v>
      </c>
    </row>
    <row r="14" spans="1:18" x14ac:dyDescent="0.35">
      <c r="A14" s="17">
        <v>45112</v>
      </c>
      <c r="B14" s="2"/>
      <c r="C14" s="2">
        <v>36266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f t="shared" si="2"/>
        <v>36266</v>
      </c>
    </row>
    <row r="15" spans="1:18" x14ac:dyDescent="0.35">
      <c r="A15" s="17">
        <v>45113</v>
      </c>
      <c r="B15" s="2"/>
      <c r="C15" s="2"/>
      <c r="D15" s="2"/>
      <c r="E15" s="2"/>
      <c r="F15" s="2">
        <v>65</v>
      </c>
      <c r="G15" s="2"/>
      <c r="H15" s="2"/>
      <c r="I15" s="2">
        <f>2036.2+20</f>
        <v>2056.1999999999998</v>
      </c>
      <c r="J15" s="2"/>
      <c r="K15" s="2"/>
      <c r="L15" s="2"/>
      <c r="M15" s="2"/>
      <c r="N15" s="2"/>
      <c r="O15" s="2"/>
      <c r="P15" s="2"/>
      <c r="Q15" s="2"/>
      <c r="R15" s="2">
        <f t="shared" si="2"/>
        <v>2121.1999999999998</v>
      </c>
    </row>
    <row r="16" spans="1:18" x14ac:dyDescent="0.35">
      <c r="A16" s="17">
        <v>45114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>
        <v>8000</v>
      </c>
      <c r="P16" s="2">
        <v>280</v>
      </c>
      <c r="Q16" s="2" t="s">
        <v>51</v>
      </c>
      <c r="R16" s="2">
        <f t="shared" si="2"/>
        <v>8280</v>
      </c>
    </row>
    <row r="17" spans="1:18" x14ac:dyDescent="0.35">
      <c r="A17" s="17">
        <v>45115</v>
      </c>
      <c r="B17" s="2"/>
      <c r="C17" s="2"/>
      <c r="D17" s="2"/>
      <c r="E17" s="2"/>
      <c r="F17" s="2">
        <v>65</v>
      </c>
      <c r="G17" s="2">
        <v>100</v>
      </c>
      <c r="H17" s="2">
        <f>241+241</f>
        <v>482</v>
      </c>
      <c r="I17" s="2">
        <f>80+100+265.69+395</f>
        <v>840.69</v>
      </c>
      <c r="J17" s="2"/>
      <c r="K17" s="2"/>
      <c r="L17" s="2">
        <f>50+190</f>
        <v>240</v>
      </c>
      <c r="M17" s="2"/>
      <c r="N17" s="2"/>
      <c r="O17" s="2"/>
      <c r="P17" s="2">
        <f>199+110+550</f>
        <v>859</v>
      </c>
      <c r="Q17" s="2" t="s">
        <v>52</v>
      </c>
      <c r="R17" s="2">
        <f t="shared" si="2"/>
        <v>2586.69</v>
      </c>
    </row>
    <row r="18" spans="1:18" x14ac:dyDescent="0.35">
      <c r="A18" s="17">
        <v>45116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f t="shared" si="2"/>
        <v>0</v>
      </c>
    </row>
    <row r="19" spans="1:18" x14ac:dyDescent="0.35">
      <c r="A19" s="17">
        <v>45117</v>
      </c>
      <c r="B19" s="2"/>
      <c r="C19" s="2"/>
      <c r="D19" s="2"/>
      <c r="E19" s="2"/>
      <c r="F19" s="2">
        <v>65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>
        <f t="shared" si="2"/>
        <v>65</v>
      </c>
    </row>
    <row r="20" spans="1:18" x14ac:dyDescent="0.35">
      <c r="A20" s="17">
        <v>45118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236</v>
      </c>
      <c r="Q20" s="2" t="s">
        <v>53</v>
      </c>
      <c r="R20" s="2">
        <f t="shared" si="2"/>
        <v>236</v>
      </c>
    </row>
    <row r="21" spans="1:18" x14ac:dyDescent="0.35">
      <c r="A21" s="17">
        <v>45119</v>
      </c>
      <c r="B21" s="2"/>
      <c r="C21" s="2"/>
      <c r="D21" s="2"/>
      <c r="E21" s="2"/>
      <c r="F21" s="2"/>
      <c r="G21" s="2"/>
      <c r="H21" s="2"/>
      <c r="I21" s="2">
        <f>426+105+20+400</f>
        <v>951</v>
      </c>
      <c r="J21" s="2"/>
      <c r="K21" s="2"/>
      <c r="L21" s="2"/>
      <c r="M21" s="2"/>
      <c r="N21" s="2"/>
      <c r="O21" s="2"/>
      <c r="P21" s="2"/>
      <c r="Q21" s="2"/>
      <c r="R21" s="2">
        <f t="shared" si="2"/>
        <v>951</v>
      </c>
    </row>
    <row r="22" spans="1:18" x14ac:dyDescent="0.35">
      <c r="A22" s="17">
        <v>45120</v>
      </c>
      <c r="B22" s="2"/>
      <c r="C22" s="2"/>
      <c r="D22" s="2"/>
      <c r="E22" s="2">
        <v>800</v>
      </c>
      <c r="F22" s="2">
        <v>65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f t="shared" si="2"/>
        <v>865</v>
      </c>
    </row>
    <row r="23" spans="1:18" x14ac:dyDescent="0.35">
      <c r="A23" s="17">
        <v>45121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f>150+1990</f>
        <v>2140</v>
      </c>
      <c r="Q23" s="2" t="s">
        <v>54</v>
      </c>
      <c r="R23" s="2">
        <f t="shared" si="2"/>
        <v>2140</v>
      </c>
    </row>
    <row r="24" spans="1:18" x14ac:dyDescent="0.35">
      <c r="A24" s="17">
        <v>45122</v>
      </c>
      <c r="B24" s="2"/>
      <c r="C24" s="2"/>
      <c r="D24" s="2"/>
      <c r="E24" s="2"/>
      <c r="F24" s="2">
        <v>65</v>
      </c>
      <c r="G24" s="2"/>
      <c r="H24" s="2"/>
      <c r="I24" s="2">
        <f>220+170+45+20</f>
        <v>455</v>
      </c>
      <c r="J24" s="2"/>
      <c r="K24" s="2"/>
      <c r="L24" s="2"/>
      <c r="M24" s="2"/>
      <c r="N24" s="2"/>
      <c r="O24" s="2"/>
      <c r="P24" s="2"/>
      <c r="Q24" s="2"/>
      <c r="R24" s="2">
        <f t="shared" si="2"/>
        <v>520</v>
      </c>
    </row>
    <row r="25" spans="1:18" x14ac:dyDescent="0.35">
      <c r="A25" s="17">
        <v>45123</v>
      </c>
      <c r="B25" s="2"/>
      <c r="C25" s="2"/>
      <c r="D25" s="2"/>
      <c r="E25" s="2"/>
      <c r="F25" s="2"/>
      <c r="G25" s="2">
        <v>100</v>
      </c>
      <c r="H25" s="2"/>
      <c r="I25" s="2"/>
      <c r="J25" s="2">
        <v>200</v>
      </c>
      <c r="K25" s="2"/>
      <c r="L25" s="2">
        <f>58+240</f>
        <v>298</v>
      </c>
      <c r="M25" s="2"/>
      <c r="N25" s="2"/>
      <c r="O25" s="2"/>
      <c r="P25" s="2">
        <f>335+150</f>
        <v>485</v>
      </c>
      <c r="Q25" s="2" t="s">
        <v>57</v>
      </c>
      <c r="R25" s="2">
        <f t="shared" si="2"/>
        <v>1083</v>
      </c>
    </row>
    <row r="26" spans="1:18" x14ac:dyDescent="0.35">
      <c r="A26" s="17">
        <v>45124</v>
      </c>
      <c r="B26" s="2"/>
      <c r="C26" s="2"/>
      <c r="D26" s="2"/>
      <c r="E26" s="2"/>
      <c r="F26" s="2">
        <v>65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>
        <f t="shared" si="2"/>
        <v>65</v>
      </c>
    </row>
    <row r="27" spans="1:18" ht="29" x14ac:dyDescent="0.35">
      <c r="A27" s="17">
        <v>45125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>
        <f>70+50</f>
        <v>120</v>
      </c>
      <c r="M27" s="2"/>
      <c r="N27" s="2">
        <v>1296</v>
      </c>
      <c r="O27" s="2"/>
      <c r="P27" s="2">
        <f>1250+6000</f>
        <v>7250</v>
      </c>
      <c r="Q27" s="15" t="s">
        <v>62</v>
      </c>
      <c r="R27" s="2">
        <f t="shared" si="2"/>
        <v>8666</v>
      </c>
    </row>
    <row r="28" spans="1:18" x14ac:dyDescent="0.35">
      <c r="A28" s="17">
        <v>45126</v>
      </c>
      <c r="B28" s="2"/>
      <c r="C28" s="2"/>
      <c r="D28" s="2"/>
      <c r="E28" s="2"/>
      <c r="F28" s="2">
        <v>65</v>
      </c>
      <c r="G28" s="2"/>
      <c r="H28" s="2"/>
      <c r="I28" s="2">
        <v>60</v>
      </c>
      <c r="J28" s="2"/>
      <c r="K28" s="2"/>
      <c r="L28" s="2"/>
      <c r="M28" s="2"/>
      <c r="N28" s="2"/>
      <c r="O28" s="2"/>
      <c r="P28" s="2">
        <f>896.85</f>
        <v>896.85</v>
      </c>
      <c r="Q28" s="2" t="s">
        <v>51</v>
      </c>
      <c r="R28" s="2">
        <f t="shared" si="2"/>
        <v>1021.85</v>
      </c>
    </row>
    <row r="29" spans="1:18" x14ac:dyDescent="0.35">
      <c r="A29" s="17">
        <v>45127</v>
      </c>
      <c r="B29" s="2"/>
      <c r="C29" s="2"/>
      <c r="D29" s="2"/>
      <c r="E29" s="2"/>
      <c r="F29" s="2"/>
      <c r="G29" s="2"/>
      <c r="H29" s="2"/>
      <c r="I29" s="2">
        <f>87+50+130</f>
        <v>267</v>
      </c>
      <c r="J29" s="2"/>
      <c r="K29" s="2"/>
      <c r="L29" s="2"/>
      <c r="M29" s="2"/>
      <c r="N29" s="2"/>
      <c r="O29" s="2"/>
      <c r="P29" s="2">
        <v>137.25</v>
      </c>
      <c r="Q29" s="2" t="s">
        <v>51</v>
      </c>
      <c r="R29" s="2">
        <f t="shared" si="2"/>
        <v>404.25</v>
      </c>
    </row>
    <row r="30" spans="1:18" x14ac:dyDescent="0.35">
      <c r="A30" s="17">
        <v>45128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f t="shared" si="2"/>
        <v>0</v>
      </c>
    </row>
    <row r="31" spans="1:18" x14ac:dyDescent="0.35">
      <c r="A31" s="17">
        <v>45129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f t="shared" si="2"/>
        <v>0</v>
      </c>
    </row>
    <row r="32" spans="1:18" x14ac:dyDescent="0.35">
      <c r="A32" s="17">
        <v>45130</v>
      </c>
      <c r="B32" s="2"/>
      <c r="C32" s="2"/>
      <c r="D32" s="2"/>
      <c r="E32" s="2"/>
      <c r="F32" s="2"/>
      <c r="G32" s="2">
        <v>100</v>
      </c>
      <c r="H32" s="2"/>
      <c r="I32" s="2">
        <f>393+80</f>
        <v>473</v>
      </c>
      <c r="J32" s="2">
        <v>200</v>
      </c>
      <c r="K32" s="2">
        <v>739</v>
      </c>
      <c r="L32" s="2">
        <v>130</v>
      </c>
      <c r="M32" s="2"/>
      <c r="N32" s="2"/>
      <c r="O32" s="2"/>
      <c r="P32" s="2">
        <f>1150+75</f>
        <v>1225</v>
      </c>
      <c r="Q32" s="2" t="s">
        <v>67</v>
      </c>
      <c r="R32" s="2">
        <f t="shared" si="2"/>
        <v>2867</v>
      </c>
    </row>
    <row r="33" spans="1:18" x14ac:dyDescent="0.35">
      <c r="A33" s="17">
        <v>45131</v>
      </c>
      <c r="B33" s="2"/>
      <c r="C33" s="2"/>
      <c r="D33" s="2"/>
      <c r="E33" s="2"/>
      <c r="F33" s="2"/>
      <c r="G33" s="2"/>
      <c r="H33" s="2"/>
      <c r="I33" s="2">
        <f>127+26+56</f>
        <v>209</v>
      </c>
      <c r="J33" s="2"/>
      <c r="K33" s="2"/>
      <c r="L33" s="2"/>
      <c r="M33" s="2"/>
      <c r="N33" s="2"/>
      <c r="O33" s="2"/>
      <c r="P33" s="2"/>
      <c r="Q33" s="2"/>
      <c r="R33" s="2">
        <f t="shared" si="2"/>
        <v>209</v>
      </c>
    </row>
    <row r="34" spans="1:18" x14ac:dyDescent="0.35">
      <c r="A34" s="17">
        <v>45132</v>
      </c>
      <c r="B34" s="2"/>
      <c r="C34" s="2"/>
      <c r="D34" s="2"/>
      <c r="E34" s="2"/>
      <c r="F34" s="2">
        <v>65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f t="shared" si="2"/>
        <v>65</v>
      </c>
    </row>
    <row r="35" spans="1:18" x14ac:dyDescent="0.35">
      <c r="A35" s="17">
        <v>45133</v>
      </c>
      <c r="B35" s="2"/>
      <c r="C35" s="2"/>
      <c r="D35" s="2"/>
      <c r="E35" s="2"/>
      <c r="F35" s="2"/>
      <c r="G35" s="2"/>
      <c r="H35" s="2"/>
      <c r="I35" s="2">
        <f>46+80+430</f>
        <v>556</v>
      </c>
      <c r="J35" s="2"/>
      <c r="K35" s="2"/>
      <c r="L35" s="2"/>
      <c r="M35" s="2"/>
      <c r="N35" s="2"/>
      <c r="O35" s="2"/>
      <c r="P35" s="2">
        <v>578.65</v>
      </c>
      <c r="Q35" s="2" t="s">
        <v>51</v>
      </c>
      <c r="R35" s="2">
        <f t="shared" si="2"/>
        <v>1134.6500000000001</v>
      </c>
    </row>
    <row r="36" spans="1:18" x14ac:dyDescent="0.35">
      <c r="A36" s="17">
        <v>45134</v>
      </c>
      <c r="B36" s="2"/>
      <c r="C36" s="2"/>
      <c r="D36" s="2"/>
      <c r="E36" s="2"/>
      <c r="F36" s="2">
        <v>65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f t="shared" si="2"/>
        <v>65</v>
      </c>
    </row>
    <row r="37" spans="1:18" x14ac:dyDescent="0.35">
      <c r="A37" s="17">
        <v>45135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f t="shared" si="2"/>
        <v>0</v>
      </c>
    </row>
    <row r="38" spans="1:18" x14ac:dyDescent="0.35">
      <c r="A38" s="17">
        <v>45136</v>
      </c>
      <c r="B38" s="2"/>
      <c r="C38" s="2"/>
      <c r="D38" s="2"/>
      <c r="E38" s="2"/>
      <c r="F38" s="2"/>
      <c r="G38" s="2"/>
      <c r="H38" s="2"/>
      <c r="I38" s="2">
        <f>36+464+30</f>
        <v>530</v>
      </c>
      <c r="J38" s="2"/>
      <c r="K38" s="2"/>
      <c r="L38" s="2">
        <f>277+35+130</f>
        <v>442</v>
      </c>
      <c r="M38" s="2"/>
      <c r="N38" s="2">
        <v>415</v>
      </c>
      <c r="O38" s="2"/>
      <c r="P38" s="2"/>
      <c r="Q38" s="2"/>
      <c r="R38" s="2">
        <f t="shared" si="2"/>
        <v>1387</v>
      </c>
    </row>
    <row r="39" spans="1:18" x14ac:dyDescent="0.35">
      <c r="A39" s="17">
        <v>45137</v>
      </c>
      <c r="B39" s="2"/>
      <c r="C39" s="2"/>
      <c r="D39" s="2"/>
      <c r="E39" s="2"/>
      <c r="F39" s="2"/>
      <c r="G39" s="2"/>
      <c r="H39" s="2"/>
      <c r="I39" s="2">
        <f>40+45</f>
        <v>85</v>
      </c>
      <c r="J39" s="2"/>
      <c r="K39" s="2"/>
      <c r="L39" s="2">
        <f>294+343</f>
        <v>637</v>
      </c>
      <c r="M39" s="2"/>
      <c r="N39" s="2"/>
      <c r="O39" s="2"/>
      <c r="P39" s="2"/>
      <c r="Q39" s="2"/>
      <c r="R39" s="2">
        <f t="shared" si="2"/>
        <v>722</v>
      </c>
    </row>
    <row r="40" spans="1:18" x14ac:dyDescent="0.35">
      <c r="A40" s="17">
        <v>45138</v>
      </c>
      <c r="B40" s="2"/>
      <c r="C40" s="2"/>
      <c r="D40" s="2"/>
      <c r="E40" s="2"/>
      <c r="F40" s="2"/>
      <c r="G40" s="2">
        <v>30</v>
      </c>
      <c r="H40" s="2"/>
      <c r="I40" s="2"/>
      <c r="J40" s="2"/>
      <c r="K40" s="2"/>
      <c r="L40" s="2">
        <v>60</v>
      </c>
      <c r="M40" s="2"/>
      <c r="N40" s="2"/>
      <c r="O40" s="2"/>
      <c r="P40" s="2"/>
      <c r="Q40" s="2"/>
      <c r="R40" s="2">
        <f t="shared" si="2"/>
        <v>90</v>
      </c>
    </row>
    <row r="41" spans="1:18" x14ac:dyDescent="0.35">
      <c r="A41" s="16" t="s">
        <v>29</v>
      </c>
      <c r="B41" s="16">
        <f>SUM(B10:B40)</f>
        <v>30000</v>
      </c>
      <c r="C41" s="16">
        <f t="shared" ref="C41:O41" si="3">SUM(C10:C40)</f>
        <v>36266</v>
      </c>
      <c r="D41" s="16">
        <f t="shared" si="3"/>
        <v>2000</v>
      </c>
      <c r="E41" s="16">
        <f t="shared" si="3"/>
        <v>800</v>
      </c>
      <c r="F41" s="16">
        <f t="shared" si="3"/>
        <v>715</v>
      </c>
      <c r="G41" s="16">
        <f t="shared" si="3"/>
        <v>430</v>
      </c>
      <c r="H41" s="16">
        <f t="shared" si="3"/>
        <v>482</v>
      </c>
      <c r="I41" s="16">
        <f t="shared" si="3"/>
        <v>7605.73</v>
      </c>
      <c r="J41" s="16">
        <f t="shared" si="3"/>
        <v>700</v>
      </c>
      <c r="K41" s="16">
        <f t="shared" si="3"/>
        <v>739</v>
      </c>
      <c r="L41" s="16">
        <f t="shared" si="3"/>
        <v>1927</v>
      </c>
      <c r="M41" s="16">
        <f t="shared" si="3"/>
        <v>5000</v>
      </c>
      <c r="N41" s="16">
        <f t="shared" si="3"/>
        <v>1711</v>
      </c>
      <c r="O41" s="16">
        <f t="shared" si="3"/>
        <v>8000</v>
      </c>
      <c r="P41" s="16">
        <f>SUM(P10:P40)</f>
        <v>15137.75</v>
      </c>
      <c r="Q41" s="16"/>
      <c r="R41" s="2"/>
    </row>
  </sheetData>
  <conditionalFormatting sqref="B9:P9">
    <cfRule type="cellIs" dxfId="53" priority="1" operator="greaterThan">
      <formula>99</formula>
    </cfRule>
    <cfRule type="cellIs" dxfId="52" priority="2" operator="between">
      <formula>51</formula>
      <formula>99</formula>
    </cfRule>
    <cfRule type="cellIs" dxfId="51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85" zoomScaleNormal="85" workbookViewId="0">
      <pane ySplit="1" topLeftCell="A2" activePane="bottomLeft" state="frozen"/>
      <selection pane="bottomLeft" activeCell="B43" sqref="B43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23" customWidth="1"/>
    <col min="20" max="20" width="17.453125" customWidth="1"/>
  </cols>
  <sheetData>
    <row r="1" spans="1:20" x14ac:dyDescent="0.35">
      <c r="A1" s="18" t="s">
        <v>33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16</v>
      </c>
      <c r="O1" s="18" t="s">
        <v>43</v>
      </c>
      <c r="P1" s="18" t="s">
        <v>64</v>
      </c>
      <c r="Q1" s="18" t="s">
        <v>14</v>
      </c>
      <c r="R1" s="18" t="s">
        <v>15</v>
      </c>
      <c r="S1" s="18" t="s">
        <v>35</v>
      </c>
      <c r="T1" s="18" t="s">
        <v>29</v>
      </c>
    </row>
    <row r="2" spans="1:20" s="20" customFormat="1" x14ac:dyDescent="0.35">
      <c r="A2" s="19" t="s">
        <v>42</v>
      </c>
      <c r="B2" s="19">
        <v>22000</v>
      </c>
      <c r="C2" s="19">
        <v>50274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131538</v>
      </c>
    </row>
    <row r="3" spans="1:20" s="23" customFormat="1" x14ac:dyDescent="0.35">
      <c r="A3" s="19" t="s">
        <v>18</v>
      </c>
      <c r="B3" s="19">
        <f t="shared" ref="B3:R3" si="0">B2-B36</f>
        <v>0</v>
      </c>
      <c r="C3" s="19">
        <f t="shared" si="0"/>
        <v>-1464</v>
      </c>
      <c r="D3" s="19">
        <f t="shared" si="0"/>
        <v>2500</v>
      </c>
      <c r="E3" s="19">
        <f t="shared" si="0"/>
        <v>2000</v>
      </c>
      <c r="F3" s="19">
        <f t="shared" si="0"/>
        <v>540</v>
      </c>
      <c r="G3" s="19">
        <f t="shared" si="0"/>
        <v>850</v>
      </c>
      <c r="H3" s="19">
        <f t="shared" si="0"/>
        <v>350</v>
      </c>
      <c r="I3" s="19">
        <f t="shared" si="0"/>
        <v>5995</v>
      </c>
      <c r="J3" s="19">
        <f t="shared" si="0"/>
        <v>500</v>
      </c>
      <c r="K3" s="19">
        <f t="shared" si="0"/>
        <v>1200</v>
      </c>
      <c r="L3" s="19">
        <f t="shared" si="0"/>
        <v>1114</v>
      </c>
      <c r="M3" s="19">
        <f t="shared" si="0"/>
        <v>-15867</v>
      </c>
      <c r="N3" s="19">
        <f t="shared" si="0"/>
        <v>1500</v>
      </c>
      <c r="O3" s="19">
        <f t="shared" si="0"/>
        <v>464</v>
      </c>
      <c r="P3" s="19">
        <f t="shared" si="0"/>
        <v>6500</v>
      </c>
      <c r="Q3" s="19">
        <f t="shared" si="0"/>
        <v>0</v>
      </c>
      <c r="R3" s="19">
        <f t="shared" si="0"/>
        <v>15023</v>
      </c>
      <c r="S3" s="19"/>
      <c r="T3" s="19">
        <f>SUM(B3:R3)</f>
        <v>21205</v>
      </c>
    </row>
    <row r="4" spans="1:20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102.91204200978636</v>
      </c>
      <c r="D4" s="19">
        <f t="shared" si="1"/>
        <v>0</v>
      </c>
      <c r="E4" s="19">
        <f t="shared" si="1"/>
        <v>0</v>
      </c>
      <c r="F4" s="19">
        <f t="shared" si="1"/>
        <v>50.909090909090907</v>
      </c>
      <c r="G4" s="19">
        <f t="shared" si="1"/>
        <v>15</v>
      </c>
      <c r="H4" s="19">
        <f t="shared" si="1"/>
        <v>30</v>
      </c>
      <c r="I4" s="19">
        <f t="shared" si="1"/>
        <v>14.357142857142858</v>
      </c>
      <c r="J4" s="19">
        <f t="shared" si="1"/>
        <v>0</v>
      </c>
      <c r="K4" s="19">
        <f t="shared" si="1"/>
        <v>0</v>
      </c>
      <c r="L4" s="19">
        <f t="shared" si="1"/>
        <v>44.3</v>
      </c>
      <c r="M4" s="19">
        <f t="shared" si="1"/>
        <v>417.34</v>
      </c>
      <c r="N4" s="19">
        <f t="shared" si="1"/>
        <v>0</v>
      </c>
      <c r="O4" s="19">
        <f t="shared" si="1"/>
        <v>0</v>
      </c>
      <c r="P4" s="19">
        <f t="shared" si="1"/>
        <v>0</v>
      </c>
      <c r="Q4" s="19">
        <f t="shared" si="1"/>
        <v>100</v>
      </c>
      <c r="R4" s="21">
        <f t="shared" si="1"/>
        <v>24.884999999999998</v>
      </c>
      <c r="S4" s="19"/>
      <c r="T4" s="21">
        <f t="shared" si="1"/>
        <v>83.879183201812396</v>
      </c>
    </row>
    <row r="5" spans="1:20" x14ac:dyDescent="0.35">
      <c r="A5" s="17">
        <v>45200</v>
      </c>
      <c r="B5" s="2">
        <v>22000</v>
      </c>
      <c r="C5" s="2"/>
      <c r="D5" s="2"/>
      <c r="E5" s="2"/>
      <c r="F5" s="2"/>
      <c r="G5" s="2"/>
      <c r="H5" s="2"/>
      <c r="I5" s="2">
        <v>20</v>
      </c>
      <c r="J5" s="2"/>
      <c r="K5" s="2"/>
      <c r="L5" s="2"/>
      <c r="M5" s="2"/>
      <c r="N5" s="2"/>
      <c r="O5" s="2"/>
      <c r="P5" s="2"/>
      <c r="Q5" s="2">
        <v>8000</v>
      </c>
      <c r="R5" s="2">
        <v>1214</v>
      </c>
      <c r="S5" s="2" t="s">
        <v>93</v>
      </c>
      <c r="T5" s="2">
        <f>SUM(B5:R5)</f>
        <v>31234</v>
      </c>
    </row>
    <row r="6" spans="1:20" x14ac:dyDescent="0.35">
      <c r="A6" s="17">
        <v>45201</v>
      </c>
      <c r="B6" s="2"/>
      <c r="C6" s="2"/>
      <c r="D6" s="2"/>
      <c r="E6" s="2"/>
      <c r="F6" s="2"/>
      <c r="G6" s="2"/>
      <c r="H6" s="2"/>
      <c r="I6" s="2">
        <f>50+6</f>
        <v>56</v>
      </c>
      <c r="J6" s="2"/>
      <c r="K6" s="2"/>
      <c r="L6" s="2">
        <v>20</v>
      </c>
      <c r="M6" s="2">
        <v>5000</v>
      </c>
      <c r="N6" s="2"/>
      <c r="O6" s="2"/>
      <c r="P6" s="2"/>
      <c r="Q6" s="2"/>
      <c r="R6" s="2">
        <f>150+754</f>
        <v>904</v>
      </c>
      <c r="S6" s="2" t="s">
        <v>94</v>
      </c>
      <c r="T6" s="2">
        <f>SUM(B6:R6)</f>
        <v>5980</v>
      </c>
    </row>
    <row r="7" spans="1:20" x14ac:dyDescent="0.35">
      <c r="A7" s="17">
        <v>45202</v>
      </c>
      <c r="B7" s="2"/>
      <c r="C7" s="2">
        <v>1464</v>
      </c>
      <c r="D7" s="2"/>
      <c r="E7" s="2"/>
      <c r="F7" s="2">
        <v>560</v>
      </c>
      <c r="G7" s="2">
        <v>50</v>
      </c>
      <c r="H7" s="2"/>
      <c r="I7" s="2">
        <v>10</v>
      </c>
      <c r="J7" s="2"/>
      <c r="K7" s="2"/>
      <c r="L7" s="2"/>
      <c r="M7" s="2"/>
      <c r="N7" s="2"/>
      <c r="O7" s="2"/>
      <c r="P7" s="2"/>
      <c r="Q7" s="2"/>
      <c r="R7" s="2"/>
      <c r="S7" s="2"/>
      <c r="T7" s="2">
        <f t="shared" ref="T7:T34" si="2">SUM(B7:R7)</f>
        <v>2084</v>
      </c>
    </row>
    <row r="8" spans="1:20" x14ac:dyDescent="0.35">
      <c r="A8" s="17">
        <v>45203</v>
      </c>
      <c r="B8" s="2"/>
      <c r="C8" s="2"/>
      <c r="D8" s="2"/>
      <c r="E8" s="2"/>
      <c r="F8" s="2"/>
      <c r="G8" s="2"/>
      <c r="H8" s="2"/>
      <c r="I8" s="2">
        <f>22+150+35</f>
        <v>207</v>
      </c>
      <c r="J8" s="2"/>
      <c r="K8" s="2"/>
      <c r="L8" s="2"/>
      <c r="M8" s="2">
        <v>15867</v>
      </c>
      <c r="N8" s="2"/>
      <c r="O8" s="2"/>
      <c r="P8" s="2"/>
      <c r="Q8" s="2"/>
      <c r="R8" s="2"/>
      <c r="S8" s="2"/>
      <c r="T8" s="2">
        <f t="shared" si="2"/>
        <v>16074</v>
      </c>
    </row>
    <row r="9" spans="1:20" x14ac:dyDescent="0.35">
      <c r="A9" s="17">
        <v>45204</v>
      </c>
      <c r="B9" s="2"/>
      <c r="C9" s="2">
        <v>50274</v>
      </c>
      <c r="D9" s="2"/>
      <c r="E9" s="2"/>
      <c r="F9" s="2"/>
      <c r="G9" s="2">
        <v>50</v>
      </c>
      <c r="H9" s="2">
        <v>150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si="2"/>
        <v>50474</v>
      </c>
    </row>
    <row r="10" spans="1:20" x14ac:dyDescent="0.35">
      <c r="A10" s="17">
        <v>45205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 t="shared" si="2"/>
        <v>0</v>
      </c>
    </row>
    <row r="11" spans="1:20" x14ac:dyDescent="0.35">
      <c r="A11" s="17">
        <v>45206</v>
      </c>
      <c r="B11" s="2"/>
      <c r="C11" s="2"/>
      <c r="D11" s="2"/>
      <c r="E11" s="2"/>
      <c r="F11" s="2"/>
      <c r="G11" s="2">
        <v>50</v>
      </c>
      <c r="H11" s="2"/>
      <c r="I11" s="2">
        <v>20</v>
      </c>
      <c r="J11" s="2"/>
      <c r="K11" s="2"/>
      <c r="L11" s="2">
        <v>300</v>
      </c>
      <c r="M11" s="2"/>
      <c r="N11" s="2"/>
      <c r="O11" s="2"/>
      <c r="P11" s="2"/>
      <c r="Q11" s="2"/>
      <c r="R11" s="2">
        <v>2340</v>
      </c>
      <c r="S11" s="2"/>
      <c r="T11" s="2">
        <f t="shared" si="2"/>
        <v>2710</v>
      </c>
    </row>
    <row r="12" spans="1:20" x14ac:dyDescent="0.35">
      <c r="A12" s="17">
        <v>45207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>
        <v>566</v>
      </c>
      <c r="M12" s="2"/>
      <c r="N12" s="2"/>
      <c r="O12" s="2"/>
      <c r="P12" s="2"/>
      <c r="Q12" s="2"/>
      <c r="R12" s="2">
        <v>519</v>
      </c>
      <c r="S12" s="2" t="s">
        <v>51</v>
      </c>
      <c r="T12" s="2">
        <f t="shared" si="2"/>
        <v>1085</v>
      </c>
    </row>
    <row r="13" spans="1:20" x14ac:dyDescent="0.35">
      <c r="A13" s="17">
        <v>45208</v>
      </c>
      <c r="B13" s="2"/>
      <c r="C13" s="2"/>
      <c r="D13" s="2"/>
      <c r="E13" s="2"/>
      <c r="F13" s="2"/>
      <c r="G13" s="2"/>
      <c r="H13" s="2"/>
      <c r="I13" s="2">
        <f>120+100+10+20+175+80+130</f>
        <v>635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2"/>
        <v>635</v>
      </c>
    </row>
    <row r="14" spans="1:20" x14ac:dyDescent="0.35">
      <c r="A14" s="17">
        <v>45209</v>
      </c>
      <c r="B14" s="2"/>
      <c r="C14" s="2"/>
      <c r="D14" s="2"/>
      <c r="E14" s="2"/>
      <c r="F14" s="2"/>
      <c r="G14" s="2"/>
      <c r="H14" s="2"/>
      <c r="I14">
        <f>15+42</f>
        <v>57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>SUM(B14:R14)</f>
        <v>57</v>
      </c>
    </row>
    <row r="15" spans="1:20" x14ac:dyDescent="0.35">
      <c r="A15" s="17">
        <v>45210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T15" s="2">
        <f t="shared" si="2"/>
        <v>0</v>
      </c>
    </row>
    <row r="16" spans="1:20" x14ac:dyDescent="0.35">
      <c r="A16" s="17">
        <v>45211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>SUM(B16:Q16)</f>
        <v>0</v>
      </c>
    </row>
    <row r="17" spans="1:20" x14ac:dyDescent="0.35">
      <c r="A17" s="17">
        <v>45212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2"/>
        <v>0</v>
      </c>
    </row>
    <row r="18" spans="1:20" x14ac:dyDescent="0.35">
      <c r="A18" s="17">
        <v>45213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2"/>
        <v>0</v>
      </c>
    </row>
    <row r="19" spans="1:20" x14ac:dyDescent="0.35">
      <c r="A19" s="17">
        <v>45214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>
        <f t="shared" si="2"/>
        <v>0</v>
      </c>
    </row>
    <row r="20" spans="1:20" x14ac:dyDescent="0.35">
      <c r="A20" s="17">
        <v>45215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2"/>
        <v>0</v>
      </c>
    </row>
    <row r="21" spans="1:20" x14ac:dyDescent="0.35">
      <c r="A21" s="17">
        <v>45216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f t="shared" si="2"/>
        <v>0</v>
      </c>
    </row>
    <row r="22" spans="1:20" x14ac:dyDescent="0.35">
      <c r="A22" s="17">
        <v>45217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5"/>
      <c r="T22" s="2">
        <f t="shared" si="2"/>
        <v>0</v>
      </c>
    </row>
    <row r="23" spans="1:20" x14ac:dyDescent="0.35">
      <c r="A23" s="17">
        <v>45218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>
        <f t="shared" si="2"/>
        <v>0</v>
      </c>
    </row>
    <row r="24" spans="1:20" x14ac:dyDescent="0.35">
      <c r="A24" s="17">
        <v>45219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>
        <f t="shared" si="2"/>
        <v>0</v>
      </c>
    </row>
    <row r="25" spans="1:20" x14ac:dyDescent="0.35">
      <c r="A25" s="17">
        <v>45220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f t="shared" si="2"/>
        <v>0</v>
      </c>
    </row>
    <row r="26" spans="1:20" x14ac:dyDescent="0.35">
      <c r="A26" s="17">
        <v>45221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 t="shared" si="2"/>
        <v>0</v>
      </c>
    </row>
    <row r="27" spans="1:20" x14ac:dyDescent="0.35">
      <c r="A27" s="17">
        <v>45222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f t="shared" si="2"/>
        <v>0</v>
      </c>
    </row>
    <row r="28" spans="1:20" x14ac:dyDescent="0.35">
      <c r="A28" s="17">
        <v>45223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f t="shared" si="2"/>
        <v>0</v>
      </c>
    </row>
    <row r="29" spans="1:20" x14ac:dyDescent="0.35">
      <c r="A29" s="17">
        <v>45224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 t="shared" si="2"/>
        <v>0</v>
      </c>
    </row>
    <row r="30" spans="1:20" x14ac:dyDescent="0.35">
      <c r="A30" s="17">
        <v>45225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>
        <f t="shared" si="2"/>
        <v>0</v>
      </c>
    </row>
    <row r="31" spans="1:20" x14ac:dyDescent="0.35">
      <c r="A31" s="17">
        <v>45226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f t="shared" si="2"/>
        <v>0</v>
      </c>
    </row>
    <row r="32" spans="1:20" x14ac:dyDescent="0.35">
      <c r="A32" s="17">
        <v>45227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f t="shared" si="2"/>
        <v>0</v>
      </c>
    </row>
    <row r="33" spans="1:20" x14ac:dyDescent="0.35">
      <c r="A33" s="17">
        <v>45228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>
        <f t="shared" si="2"/>
        <v>0</v>
      </c>
    </row>
    <row r="34" spans="1:20" x14ac:dyDescent="0.35">
      <c r="A34" s="17">
        <v>45229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f t="shared" si="2"/>
        <v>0</v>
      </c>
    </row>
    <row r="35" spans="1:20" x14ac:dyDescent="0.35">
      <c r="A35" s="17">
        <v>45230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5">
      <c r="A36" s="16" t="s">
        <v>29</v>
      </c>
      <c r="B36" s="16">
        <f t="shared" ref="B36:P36" si="3">SUM(B5:B34)</f>
        <v>22000</v>
      </c>
      <c r="C36" s="16">
        <f t="shared" si="3"/>
        <v>51738</v>
      </c>
      <c r="D36" s="16">
        <f t="shared" si="3"/>
        <v>0</v>
      </c>
      <c r="E36" s="16">
        <f t="shared" si="3"/>
        <v>0</v>
      </c>
      <c r="F36" s="16">
        <f t="shared" si="3"/>
        <v>560</v>
      </c>
      <c r="G36" s="16">
        <f t="shared" si="3"/>
        <v>150</v>
      </c>
      <c r="H36" s="16">
        <f t="shared" si="3"/>
        <v>150</v>
      </c>
      <c r="I36" s="16">
        <f t="shared" si="3"/>
        <v>1005</v>
      </c>
      <c r="J36" s="16">
        <f t="shared" si="3"/>
        <v>0</v>
      </c>
      <c r="K36" s="16">
        <f t="shared" si="3"/>
        <v>0</v>
      </c>
      <c r="L36" s="16">
        <f t="shared" si="3"/>
        <v>886</v>
      </c>
      <c r="M36" s="16">
        <f t="shared" si="3"/>
        <v>20867</v>
      </c>
      <c r="N36" s="16">
        <f t="shared" si="3"/>
        <v>0</v>
      </c>
      <c r="O36" s="16">
        <f t="shared" si="3"/>
        <v>0</v>
      </c>
      <c r="P36" s="16">
        <f t="shared" si="3"/>
        <v>0</v>
      </c>
      <c r="Q36" s="16">
        <f>SUM(Q5:Q34)</f>
        <v>8000</v>
      </c>
      <c r="R36" s="16">
        <f>SUM(R5:R34)</f>
        <v>4977</v>
      </c>
      <c r="S36" s="16"/>
      <c r="T36" s="2"/>
    </row>
    <row r="38" spans="1:20" x14ac:dyDescent="0.35">
      <c r="A38" s="24" t="s">
        <v>46</v>
      </c>
      <c r="B38" s="2">
        <v>153762</v>
      </c>
    </row>
    <row r="39" spans="1:20" x14ac:dyDescent="0.35">
      <c r="A39" s="24" t="s">
        <v>17</v>
      </c>
      <c r="B39" s="2">
        <f>SUM(B2:R2)-M2</f>
        <v>126538</v>
      </c>
    </row>
    <row r="40" spans="1:20" x14ac:dyDescent="0.35">
      <c r="A40" s="24" t="s">
        <v>47</v>
      </c>
      <c r="B40" s="2">
        <f>SUM(T5:T34)-M36</f>
        <v>89466</v>
      </c>
    </row>
    <row r="41" spans="1:20" x14ac:dyDescent="0.35">
      <c r="A41" s="24" t="s">
        <v>18</v>
      </c>
      <c r="B41" s="2">
        <f>B39-B40</f>
        <v>37072</v>
      </c>
    </row>
    <row r="42" spans="1:20" x14ac:dyDescent="0.35">
      <c r="A42" s="24" t="s">
        <v>34</v>
      </c>
      <c r="B42" s="2">
        <f>B38-SUM(B36:R36)</f>
        <v>43429</v>
      </c>
    </row>
    <row r="43" spans="1:20" x14ac:dyDescent="0.35">
      <c r="A43" s="24" t="s">
        <v>83</v>
      </c>
      <c r="B43" s="2">
        <f>SUM(D36:L36)+SUM(N36:R36)</f>
        <v>15728</v>
      </c>
    </row>
  </sheetData>
  <conditionalFormatting sqref="B4:R4">
    <cfRule type="cellIs" dxfId="50" priority="1" operator="greaterThan">
      <formula>99</formula>
    </cfRule>
    <cfRule type="cellIs" dxfId="49" priority="2" operator="between">
      <formula>51</formula>
      <formula>99</formula>
    </cfRule>
    <cfRule type="cellIs" dxfId="48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4" zoomScale="85" zoomScaleNormal="85" workbookViewId="0">
      <pane xSplit="1" topLeftCell="B1" activePane="topRight" state="frozen"/>
      <selection activeCell="G40" sqref="G40"/>
      <selection pane="topRight" activeCell="B43" sqref="B43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23" customWidth="1"/>
    <col min="20" max="20" width="17.453125" customWidth="1"/>
    <col min="22" max="22" width="25.26953125" customWidth="1"/>
    <col min="23" max="23" width="15" customWidth="1"/>
  </cols>
  <sheetData>
    <row r="1" spans="1:23" x14ac:dyDescent="0.35">
      <c r="A1" s="18" t="s">
        <v>33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16</v>
      </c>
      <c r="O1" s="18" t="s">
        <v>43</v>
      </c>
      <c r="P1" s="18" t="s">
        <v>64</v>
      </c>
      <c r="Q1" s="18" t="s">
        <v>14</v>
      </c>
      <c r="R1" s="18" t="s">
        <v>15</v>
      </c>
      <c r="S1" s="18" t="s">
        <v>35</v>
      </c>
      <c r="T1" s="18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22000</v>
      </c>
      <c r="C2" s="19">
        <v>36266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</f>
        <v>389</v>
      </c>
      <c r="P2" s="19">
        <v>6500</v>
      </c>
      <c r="Q2" s="19">
        <v>8000</v>
      </c>
      <c r="R2" s="19">
        <v>20000</v>
      </c>
      <c r="S2" s="19"/>
      <c r="T2" s="22">
        <f>SUM(B2:R2)</f>
        <v>117455</v>
      </c>
      <c r="V2" s="34" t="s">
        <v>2</v>
      </c>
      <c r="W2" s="35">
        <f>B36</f>
        <v>22000</v>
      </c>
    </row>
    <row r="3" spans="1:23" s="23" customFormat="1" x14ac:dyDescent="0.35">
      <c r="A3" s="19" t="s">
        <v>18</v>
      </c>
      <c r="B3" s="19">
        <f t="shared" ref="B3:R3" si="0">B2-B36</f>
        <v>0</v>
      </c>
      <c r="C3" s="19">
        <f t="shared" si="0"/>
        <v>-2321</v>
      </c>
      <c r="D3" s="19">
        <f t="shared" si="0"/>
        <v>2500</v>
      </c>
      <c r="E3" s="19">
        <f t="shared" si="0"/>
        <v>1238</v>
      </c>
      <c r="F3" s="19">
        <f t="shared" si="0"/>
        <v>385</v>
      </c>
      <c r="G3" s="19">
        <f t="shared" si="0"/>
        <v>520</v>
      </c>
      <c r="H3" s="19">
        <f t="shared" si="0"/>
        <v>18</v>
      </c>
      <c r="I3" s="19">
        <f t="shared" si="0"/>
        <v>430</v>
      </c>
      <c r="J3" s="19">
        <f t="shared" si="0"/>
        <v>200</v>
      </c>
      <c r="K3" s="19">
        <f t="shared" si="0"/>
        <v>-100</v>
      </c>
      <c r="L3" s="19">
        <f t="shared" si="0"/>
        <v>1064</v>
      </c>
      <c r="M3" s="19">
        <f t="shared" si="0"/>
        <v>-10000</v>
      </c>
      <c r="N3" s="19">
        <f t="shared" si="0"/>
        <v>320</v>
      </c>
      <c r="O3" s="19">
        <f t="shared" si="0"/>
        <v>190</v>
      </c>
      <c r="P3" s="19">
        <f t="shared" si="0"/>
        <v>6500</v>
      </c>
      <c r="Q3" s="19">
        <f t="shared" si="0"/>
        <v>8000</v>
      </c>
      <c r="R3" s="19">
        <f t="shared" si="0"/>
        <v>-5733</v>
      </c>
      <c r="S3" s="19"/>
      <c r="T3" s="19">
        <f>SUM(B3:R3)</f>
        <v>3211</v>
      </c>
      <c r="V3" s="34" t="s">
        <v>3</v>
      </c>
      <c r="W3" s="35">
        <f>C36</f>
        <v>38587</v>
      </c>
    </row>
    <row r="4" spans="1:23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106.39993382231292</v>
      </c>
      <c r="D4" s="19">
        <f t="shared" si="1"/>
        <v>0</v>
      </c>
      <c r="E4" s="19">
        <f t="shared" si="1"/>
        <v>38.1</v>
      </c>
      <c r="F4" s="19">
        <f t="shared" si="1"/>
        <v>65</v>
      </c>
      <c r="G4" s="19">
        <f t="shared" si="1"/>
        <v>48</v>
      </c>
      <c r="H4" s="19">
        <f t="shared" si="1"/>
        <v>96.399999999999991</v>
      </c>
      <c r="I4" s="19">
        <f t="shared" si="1"/>
        <v>93.857142857142861</v>
      </c>
      <c r="J4" s="19">
        <f t="shared" si="1"/>
        <v>60</v>
      </c>
      <c r="K4" s="19">
        <f t="shared" si="1"/>
        <v>108.33333333333333</v>
      </c>
      <c r="L4" s="19">
        <f t="shared" si="1"/>
        <v>46.800000000000004</v>
      </c>
      <c r="M4" s="19">
        <f t="shared" si="1"/>
        <v>300</v>
      </c>
      <c r="N4" s="19">
        <f t="shared" si="1"/>
        <v>78.666666666666657</v>
      </c>
      <c r="O4" s="19">
        <f t="shared" si="1"/>
        <v>51.156812339331616</v>
      </c>
      <c r="P4" s="19">
        <f t="shared" si="1"/>
        <v>0</v>
      </c>
      <c r="Q4" s="19">
        <f t="shared" si="1"/>
        <v>0</v>
      </c>
      <c r="R4" s="21">
        <f t="shared" si="1"/>
        <v>128.66500000000002</v>
      </c>
      <c r="S4" s="19"/>
      <c r="T4" s="21">
        <f t="shared" si="1"/>
        <v>97.266187050359704</v>
      </c>
      <c r="V4" s="34" t="s">
        <v>4</v>
      </c>
      <c r="W4" s="35">
        <f>D36</f>
        <v>0</v>
      </c>
    </row>
    <row r="5" spans="1:23" x14ac:dyDescent="0.35">
      <c r="A5" s="17">
        <v>45139</v>
      </c>
      <c r="B5" s="2"/>
      <c r="C5" s="2"/>
      <c r="D5" s="2"/>
      <c r="E5" s="2">
        <v>762</v>
      </c>
      <c r="F5" s="2"/>
      <c r="G5" s="2">
        <v>30</v>
      </c>
      <c r="H5" s="2"/>
      <c r="I5" s="2"/>
      <c r="J5" s="2"/>
      <c r="K5" s="2">
        <v>1300</v>
      </c>
      <c r="L5" s="2"/>
      <c r="M5" s="2"/>
      <c r="N5" s="2"/>
      <c r="O5" s="2"/>
      <c r="P5" s="2">
        <v>6500</v>
      </c>
      <c r="Q5" s="2"/>
      <c r="R5" s="2"/>
      <c r="S5" s="2"/>
      <c r="T5" s="2">
        <f>SUM(B5:R5)</f>
        <v>8592</v>
      </c>
      <c r="V5" s="34" t="s">
        <v>5</v>
      </c>
      <c r="W5" s="36">
        <f>E36</f>
        <v>762</v>
      </c>
    </row>
    <row r="6" spans="1:23" x14ac:dyDescent="0.35">
      <c r="A6" s="17">
        <v>45140</v>
      </c>
      <c r="B6" s="2"/>
      <c r="C6" s="2"/>
      <c r="D6" s="2"/>
      <c r="E6" s="2"/>
      <c r="F6" s="2"/>
      <c r="G6" s="2"/>
      <c r="H6" s="2"/>
      <c r="I6" s="2">
        <f>120+30+15+400+80</f>
        <v>645</v>
      </c>
      <c r="J6" s="2"/>
      <c r="K6" s="2"/>
      <c r="L6" s="2"/>
      <c r="M6" s="2"/>
      <c r="N6" s="2"/>
      <c r="O6" s="2"/>
      <c r="P6" s="2"/>
      <c r="Q6" s="2"/>
      <c r="R6" s="2"/>
      <c r="S6" s="2"/>
      <c r="T6" s="2">
        <f>SUM(B6:R6)</f>
        <v>645</v>
      </c>
      <c r="V6" s="34" t="s">
        <v>6</v>
      </c>
      <c r="W6" s="36">
        <f>F36</f>
        <v>715</v>
      </c>
    </row>
    <row r="7" spans="1:23" x14ac:dyDescent="0.35">
      <c r="A7" s="17">
        <v>45141</v>
      </c>
      <c r="B7" s="2"/>
      <c r="C7" s="2"/>
      <c r="D7" s="2"/>
      <c r="E7" s="2"/>
      <c r="F7" s="2">
        <v>715</v>
      </c>
      <c r="G7" s="2"/>
      <c r="H7" s="2"/>
      <c r="I7" s="2"/>
      <c r="J7" s="2"/>
      <c r="K7" s="2"/>
      <c r="L7" s="2"/>
      <c r="M7" s="2">
        <v>5000</v>
      </c>
      <c r="N7" s="2">
        <v>1180</v>
      </c>
      <c r="O7" s="2"/>
      <c r="P7" s="2"/>
      <c r="Q7" s="2"/>
      <c r="R7" s="2">
        <v>12990</v>
      </c>
      <c r="S7" s="2" t="s">
        <v>68</v>
      </c>
      <c r="T7" s="2">
        <f t="shared" ref="T7:T35" si="2">SUM(B7:R7)</f>
        <v>19885</v>
      </c>
      <c r="V7" s="34" t="s">
        <v>7</v>
      </c>
      <c r="W7" s="36">
        <f>G36</f>
        <v>480</v>
      </c>
    </row>
    <row r="8" spans="1:23" x14ac:dyDescent="0.35">
      <c r="A8" s="17">
        <v>45142</v>
      </c>
      <c r="B8" s="2"/>
      <c r="C8" s="2"/>
      <c r="D8" s="2"/>
      <c r="E8" s="2"/>
      <c r="F8" s="2"/>
      <c r="G8" s="2"/>
      <c r="H8" s="2"/>
      <c r="I8" s="2">
        <f>170+200</f>
        <v>370</v>
      </c>
      <c r="J8" s="2"/>
      <c r="K8" s="2"/>
      <c r="L8" s="2">
        <v>100</v>
      </c>
      <c r="M8" s="2"/>
      <c r="N8" s="2"/>
      <c r="O8" s="2"/>
      <c r="P8" s="2"/>
      <c r="Q8" s="2"/>
      <c r="R8" s="2">
        <f>458</f>
        <v>458</v>
      </c>
      <c r="S8" s="2" t="s">
        <v>69</v>
      </c>
      <c r="T8" s="2">
        <f t="shared" si="2"/>
        <v>928</v>
      </c>
      <c r="V8" s="34" t="s">
        <v>8</v>
      </c>
      <c r="W8" s="36">
        <f>H36</f>
        <v>482</v>
      </c>
    </row>
    <row r="9" spans="1:23" x14ac:dyDescent="0.35">
      <c r="A9" s="17">
        <v>45143</v>
      </c>
      <c r="B9" s="2"/>
      <c r="C9" s="2">
        <v>36266</v>
      </c>
      <c r="D9" s="2"/>
      <c r="E9" s="2"/>
      <c r="F9" s="2"/>
      <c r="G9" s="2">
        <v>50</v>
      </c>
      <c r="H9" s="2"/>
      <c r="I9" s="2"/>
      <c r="J9" s="2"/>
      <c r="K9" s="2"/>
      <c r="L9" s="2"/>
      <c r="M9" s="2"/>
      <c r="N9" s="2"/>
      <c r="O9" s="2"/>
      <c r="P9" s="2"/>
      <c r="Q9" s="2"/>
      <c r="R9" s="2">
        <f>883+884</f>
        <v>1767</v>
      </c>
      <c r="S9" s="2"/>
      <c r="T9" s="2">
        <f t="shared" si="2"/>
        <v>38083</v>
      </c>
      <c r="V9" s="34" t="s">
        <v>9</v>
      </c>
      <c r="W9" s="36">
        <f>I36</f>
        <v>6570</v>
      </c>
    </row>
    <row r="10" spans="1:23" x14ac:dyDescent="0.35">
      <c r="A10" s="17">
        <v>45144</v>
      </c>
      <c r="B10" s="2">
        <v>22000</v>
      </c>
      <c r="C10" s="2"/>
      <c r="D10" s="2"/>
      <c r="E10" s="2"/>
      <c r="F10" s="2"/>
      <c r="G10" s="2"/>
      <c r="H10" s="2">
        <f>241*2</f>
        <v>482</v>
      </c>
      <c r="I10" s="2">
        <v>123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 t="shared" si="2"/>
        <v>22605</v>
      </c>
      <c r="V10" s="34" t="s">
        <v>10</v>
      </c>
      <c r="W10" s="36">
        <f>J36</f>
        <v>300</v>
      </c>
    </row>
    <row r="11" spans="1:23" x14ac:dyDescent="0.35">
      <c r="A11" s="17">
        <v>45145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 t="shared" si="2"/>
        <v>0</v>
      </c>
      <c r="V11" s="34" t="s">
        <v>11</v>
      </c>
      <c r="W11" s="36">
        <f>K36</f>
        <v>1300</v>
      </c>
    </row>
    <row r="12" spans="1:23" x14ac:dyDescent="0.35">
      <c r="A12" s="17">
        <v>45146</v>
      </c>
      <c r="B12" s="2"/>
      <c r="C12" s="2"/>
      <c r="D12" s="2"/>
      <c r="E12" s="2"/>
      <c r="F12" s="2"/>
      <c r="G12" s="2"/>
      <c r="H12" s="2"/>
      <c r="I12" s="2">
        <f>218+98+120</f>
        <v>436</v>
      </c>
      <c r="J12" s="2"/>
      <c r="K12" s="2"/>
      <c r="L12" s="2"/>
      <c r="M12" s="2"/>
      <c r="N12" s="2"/>
      <c r="O12" s="2"/>
      <c r="P12" s="2"/>
      <c r="Q12" s="2"/>
      <c r="R12" s="2">
        <v>649</v>
      </c>
      <c r="S12" s="2" t="s">
        <v>51</v>
      </c>
      <c r="T12" s="2">
        <f t="shared" si="2"/>
        <v>1085</v>
      </c>
      <c r="V12" s="34" t="s">
        <v>12</v>
      </c>
      <c r="W12" s="36">
        <f>L36</f>
        <v>936</v>
      </c>
    </row>
    <row r="13" spans="1:23" x14ac:dyDescent="0.35">
      <c r="A13" s="17">
        <v>45147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2"/>
        <v>0</v>
      </c>
      <c r="V13" s="34" t="s">
        <v>13</v>
      </c>
      <c r="W13" s="36">
        <f>M36</f>
        <v>15000</v>
      </c>
    </row>
    <row r="14" spans="1:23" x14ac:dyDescent="0.35">
      <c r="A14" s="17">
        <v>45148</v>
      </c>
      <c r="B14" s="2"/>
      <c r="C14" s="2"/>
      <c r="D14" s="2"/>
      <c r="E14" s="2"/>
      <c r="F14" s="2"/>
      <c r="G14" s="2">
        <v>100</v>
      </c>
      <c r="H14" s="2"/>
      <c r="I14" s="2"/>
      <c r="J14" s="2"/>
      <c r="K14" s="2"/>
      <c r="L14" s="2"/>
      <c r="M14" s="2"/>
      <c r="N14" s="2"/>
      <c r="O14" s="2">
        <v>199</v>
      </c>
      <c r="P14" s="2"/>
      <c r="Q14" s="2"/>
      <c r="R14" s="2"/>
      <c r="S14" s="2"/>
      <c r="T14" s="2">
        <f t="shared" si="2"/>
        <v>299</v>
      </c>
      <c r="V14" s="34" t="s">
        <v>16</v>
      </c>
      <c r="W14" s="36">
        <f>N36</f>
        <v>1180</v>
      </c>
    </row>
    <row r="15" spans="1:23" x14ac:dyDescent="0.35">
      <c r="A15" s="17">
        <v>45149</v>
      </c>
      <c r="B15" s="2"/>
      <c r="C15" s="2"/>
      <c r="D15" s="2"/>
      <c r="E15" s="2"/>
      <c r="F15" s="2"/>
      <c r="G15" s="2"/>
      <c r="H15" s="2"/>
      <c r="I15" s="2">
        <v>10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2"/>
        <v>10</v>
      </c>
      <c r="V15" s="34" t="s">
        <v>43</v>
      </c>
      <c r="W15" s="36">
        <f>O36</f>
        <v>199</v>
      </c>
    </row>
    <row r="16" spans="1:23" x14ac:dyDescent="0.35">
      <c r="A16" s="17">
        <v>45150</v>
      </c>
      <c r="B16" s="2"/>
      <c r="C16" s="2"/>
      <c r="D16" s="2"/>
      <c r="E16" s="2"/>
      <c r="F16" s="2"/>
      <c r="G16" s="2"/>
      <c r="H16" s="2"/>
      <c r="I16" s="2">
        <v>120</v>
      </c>
      <c r="J16" s="2"/>
      <c r="K16" s="2"/>
      <c r="L16" s="2"/>
      <c r="M16" s="2"/>
      <c r="N16" s="2"/>
      <c r="O16" s="2"/>
      <c r="P16" s="2"/>
      <c r="Q16" s="2"/>
      <c r="R16" s="2">
        <v>240</v>
      </c>
      <c r="S16" s="2" t="s">
        <v>51</v>
      </c>
      <c r="T16" s="2">
        <f t="shared" si="2"/>
        <v>360</v>
      </c>
      <c r="V16" s="34" t="s">
        <v>64</v>
      </c>
      <c r="W16" s="36">
        <f>P36</f>
        <v>0</v>
      </c>
    </row>
    <row r="17" spans="1:23" x14ac:dyDescent="0.35">
      <c r="A17" s="17">
        <v>45151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115</v>
      </c>
      <c r="S17" s="2" t="s">
        <v>51</v>
      </c>
      <c r="T17" s="2">
        <f t="shared" si="2"/>
        <v>115</v>
      </c>
      <c r="V17" s="34" t="s">
        <v>14</v>
      </c>
      <c r="W17" s="36">
        <f>Q36</f>
        <v>0</v>
      </c>
    </row>
    <row r="18" spans="1:23" x14ac:dyDescent="0.35">
      <c r="A18" s="17">
        <v>45152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2"/>
        <v>0</v>
      </c>
      <c r="V18" s="34" t="s">
        <v>15</v>
      </c>
      <c r="W18" s="36">
        <f>R36</f>
        <v>25733</v>
      </c>
    </row>
    <row r="19" spans="1:23" x14ac:dyDescent="0.35">
      <c r="A19" s="17">
        <v>45153</v>
      </c>
      <c r="B19" s="2"/>
      <c r="C19" s="2"/>
      <c r="D19" s="2"/>
      <c r="E19" s="2"/>
      <c r="F19" s="2"/>
      <c r="G19" s="2"/>
      <c r="H19" s="2"/>
      <c r="I19" s="2">
        <v>66</v>
      </c>
      <c r="J19" s="2"/>
      <c r="K19" s="2"/>
      <c r="L19" s="2"/>
      <c r="M19" s="2"/>
      <c r="N19" s="2"/>
      <c r="O19" s="2"/>
      <c r="P19" s="2"/>
      <c r="Q19" s="2"/>
      <c r="R19" s="2">
        <v>72</v>
      </c>
      <c r="S19" s="2" t="s">
        <v>51</v>
      </c>
      <c r="T19" s="2">
        <f t="shared" si="2"/>
        <v>138</v>
      </c>
    </row>
    <row r="20" spans="1:23" x14ac:dyDescent="0.35">
      <c r="A20" s="17">
        <v>45154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f t="shared" si="2"/>
        <v>0</v>
      </c>
    </row>
    <row r="21" spans="1:23" x14ac:dyDescent="0.35">
      <c r="A21" s="17">
        <v>45155</v>
      </c>
      <c r="B21" s="2"/>
      <c r="C21" s="2"/>
      <c r="D21" s="2"/>
      <c r="E21" s="2"/>
      <c r="F21" s="2"/>
      <c r="G21" s="2"/>
      <c r="H21" s="2"/>
      <c r="I21" s="2">
        <v>61</v>
      </c>
      <c r="J21" s="2"/>
      <c r="K21" s="2"/>
      <c r="L21" s="2"/>
      <c r="M21" s="2"/>
      <c r="N21" s="2"/>
      <c r="O21" s="2"/>
      <c r="P21" s="2"/>
      <c r="Q21" s="2"/>
      <c r="R21" s="2">
        <v>1600</v>
      </c>
      <c r="S21" s="2" t="s">
        <v>71</v>
      </c>
      <c r="T21" s="2">
        <f t="shared" si="2"/>
        <v>1661</v>
      </c>
    </row>
    <row r="22" spans="1:23" x14ac:dyDescent="0.35">
      <c r="A22" s="17">
        <v>45156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f>1499+150</f>
        <v>1649</v>
      </c>
      <c r="S22" s="15" t="s">
        <v>72</v>
      </c>
      <c r="T22" s="2">
        <f t="shared" si="2"/>
        <v>1649</v>
      </c>
    </row>
    <row r="23" spans="1:23" x14ac:dyDescent="0.35">
      <c r="A23" s="17">
        <v>45157</v>
      </c>
      <c r="B23" s="2"/>
      <c r="C23" s="2"/>
      <c r="D23" s="2"/>
      <c r="E23" s="2"/>
      <c r="F23" s="2"/>
      <c r="G23" s="2">
        <v>50</v>
      </c>
      <c r="H23" s="2"/>
      <c r="I23" s="2">
        <f>320+105+195+60+350+80+1492+70</f>
        <v>2672</v>
      </c>
      <c r="J23" s="2"/>
      <c r="K23" s="2"/>
      <c r="L23" s="2">
        <f>130+60</f>
        <v>190</v>
      </c>
      <c r="M23" s="2"/>
      <c r="N23" s="2"/>
      <c r="O23" s="2"/>
      <c r="P23" s="2"/>
      <c r="Q23" s="2"/>
      <c r="R23" s="2"/>
      <c r="S23" s="2"/>
      <c r="T23" s="2">
        <f t="shared" si="2"/>
        <v>2912</v>
      </c>
    </row>
    <row r="24" spans="1:23" x14ac:dyDescent="0.35">
      <c r="A24" s="17">
        <v>45158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f>64+60</f>
        <v>124</v>
      </c>
      <c r="M24" s="2"/>
      <c r="N24" s="2"/>
      <c r="O24" s="2"/>
      <c r="P24" s="2"/>
      <c r="Q24" s="2"/>
      <c r="R24" s="2"/>
      <c r="S24" s="2"/>
      <c r="T24" s="2">
        <f t="shared" si="2"/>
        <v>124</v>
      </c>
    </row>
    <row r="25" spans="1:23" x14ac:dyDescent="0.35">
      <c r="A25" s="17">
        <v>45159</v>
      </c>
      <c r="B25" s="2"/>
      <c r="C25" s="2"/>
      <c r="D25" s="2"/>
      <c r="E25" s="2"/>
      <c r="F25" s="2"/>
      <c r="G25" s="2"/>
      <c r="H25" s="2"/>
      <c r="I25" s="2">
        <v>156</v>
      </c>
      <c r="J25" s="2"/>
      <c r="K25" s="2"/>
      <c r="L25" s="2"/>
      <c r="M25" s="2">
        <v>5000</v>
      </c>
      <c r="N25" s="2"/>
      <c r="O25" s="2"/>
      <c r="P25" s="2"/>
      <c r="Q25" s="2"/>
      <c r="R25" s="2">
        <v>839</v>
      </c>
      <c r="S25" s="2" t="s">
        <v>73</v>
      </c>
      <c r="T25" s="2">
        <f t="shared" si="2"/>
        <v>5995</v>
      </c>
    </row>
    <row r="26" spans="1:23" x14ac:dyDescent="0.35">
      <c r="A26" s="17">
        <v>45160</v>
      </c>
      <c r="B26" s="2"/>
      <c r="C26" s="2">
        <v>1731</v>
      </c>
      <c r="D26" s="2"/>
      <c r="E26" s="2"/>
      <c r="F26" s="2"/>
      <c r="G26" s="2">
        <v>50</v>
      </c>
      <c r="H26" s="2"/>
      <c r="I26" s="2">
        <v>975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 t="shared" si="2"/>
        <v>2756</v>
      </c>
    </row>
    <row r="27" spans="1:23" x14ac:dyDescent="0.35">
      <c r="A27" s="17">
        <v>45161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>
        <f t="shared" si="2"/>
        <v>0</v>
      </c>
    </row>
    <row r="28" spans="1:23" x14ac:dyDescent="0.35">
      <c r="A28" s="17">
        <v>45162</v>
      </c>
      <c r="B28" s="2"/>
      <c r="C28" s="2"/>
      <c r="D28" s="2"/>
      <c r="E28" s="2"/>
      <c r="F28" s="2"/>
      <c r="G28" s="2"/>
      <c r="H28" s="2"/>
      <c r="I28" s="2">
        <f>120+33+22</f>
        <v>175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f t="shared" si="2"/>
        <v>175</v>
      </c>
    </row>
    <row r="29" spans="1:23" x14ac:dyDescent="0.35">
      <c r="A29" s="17">
        <v>45163</v>
      </c>
      <c r="B29" s="2"/>
      <c r="C29" s="2"/>
      <c r="D29" s="2"/>
      <c r="E29" s="2"/>
      <c r="F29" s="2"/>
      <c r="G29" s="2">
        <v>50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>
        <f t="shared" si="2"/>
        <v>50</v>
      </c>
    </row>
    <row r="30" spans="1:23" x14ac:dyDescent="0.35">
      <c r="A30" s="17">
        <v>45164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v>272</v>
      </c>
      <c r="M30" s="2"/>
      <c r="N30" s="2"/>
      <c r="O30" s="2"/>
      <c r="P30" s="2"/>
      <c r="Q30" s="2"/>
      <c r="R30" s="2"/>
      <c r="S30" s="2"/>
      <c r="T30" s="2">
        <f t="shared" si="2"/>
        <v>272</v>
      </c>
    </row>
    <row r="31" spans="1:23" x14ac:dyDescent="0.35">
      <c r="A31" s="17">
        <v>45165</v>
      </c>
      <c r="B31" s="2"/>
      <c r="C31" s="2"/>
      <c r="D31" s="2"/>
      <c r="E31" s="2"/>
      <c r="F31" s="2"/>
      <c r="G31" s="2"/>
      <c r="H31" s="2"/>
      <c r="I31" s="2">
        <f>25+90+28+300+62+20+70+30</f>
        <v>625</v>
      </c>
      <c r="J31" s="2"/>
      <c r="K31" s="2"/>
      <c r="L31" s="2">
        <f>230+20</f>
        <v>250</v>
      </c>
      <c r="M31" s="2"/>
      <c r="N31" s="2"/>
      <c r="O31" s="2"/>
      <c r="P31" s="2"/>
      <c r="Q31" s="2"/>
      <c r="R31" s="2"/>
      <c r="S31" s="2"/>
      <c r="T31" s="2">
        <f t="shared" si="2"/>
        <v>875</v>
      </c>
    </row>
    <row r="32" spans="1:23" x14ac:dyDescent="0.35">
      <c r="A32" s="17">
        <v>45166</v>
      </c>
      <c r="B32" s="2"/>
      <c r="C32" s="2"/>
      <c r="D32" s="2"/>
      <c r="E32" s="2"/>
      <c r="F32" s="2"/>
      <c r="G32" s="2">
        <v>50</v>
      </c>
      <c r="H32" s="2"/>
      <c r="I32" s="2">
        <v>80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f t="shared" si="2"/>
        <v>130</v>
      </c>
    </row>
    <row r="33" spans="1:20" x14ac:dyDescent="0.35">
      <c r="A33" s="17">
        <v>45167</v>
      </c>
      <c r="B33" s="2"/>
      <c r="C33" s="2"/>
      <c r="D33" s="2"/>
      <c r="E33" s="2"/>
      <c r="F33" s="2"/>
      <c r="G33" s="2"/>
      <c r="H33" s="2"/>
      <c r="I33" s="2">
        <v>56</v>
      </c>
      <c r="J33" s="2"/>
      <c r="K33" s="2"/>
      <c r="L33" s="2"/>
      <c r="M33" s="2">
        <v>5000</v>
      </c>
      <c r="N33" s="2"/>
      <c r="O33" s="2"/>
      <c r="P33" s="2"/>
      <c r="Q33" s="2"/>
      <c r="R33" s="2">
        <f>3500+150</f>
        <v>3650</v>
      </c>
      <c r="S33" s="2" t="s">
        <v>75</v>
      </c>
      <c r="T33" s="2">
        <f t="shared" si="2"/>
        <v>8706</v>
      </c>
    </row>
    <row r="34" spans="1:20" x14ac:dyDescent="0.35">
      <c r="A34" s="17">
        <v>45168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>
        <f>1600+104</f>
        <v>1704</v>
      </c>
      <c r="S34" s="2" t="s">
        <v>76</v>
      </c>
      <c r="T34" s="2">
        <f t="shared" si="2"/>
        <v>1704</v>
      </c>
    </row>
    <row r="35" spans="1:20" x14ac:dyDescent="0.35">
      <c r="A35" s="17">
        <v>45169</v>
      </c>
      <c r="B35" s="2"/>
      <c r="C35" s="2">
        <v>590</v>
      </c>
      <c r="D35" s="2"/>
      <c r="E35" s="2"/>
      <c r="F35" s="2"/>
      <c r="G35" s="2">
        <v>100</v>
      </c>
      <c r="H35" s="2"/>
      <c r="I35" s="2"/>
      <c r="J35" s="2">
        <v>300</v>
      </c>
      <c r="K35" s="2"/>
      <c r="L35" s="2"/>
      <c r="M35" s="2"/>
      <c r="N35" s="2"/>
      <c r="O35" s="2"/>
      <c r="P35" s="2"/>
      <c r="Q35" s="2"/>
      <c r="R35" s="2"/>
      <c r="S35" s="2"/>
      <c r="T35" s="2">
        <f t="shared" si="2"/>
        <v>990</v>
      </c>
    </row>
    <row r="36" spans="1:20" x14ac:dyDescent="0.35">
      <c r="A36" s="16" t="s">
        <v>29</v>
      </c>
      <c r="B36" s="16">
        <f>SUM(B5:B35)</f>
        <v>22000</v>
      </c>
      <c r="C36" s="16">
        <f t="shared" ref="C36:Q36" si="3">SUM(C5:C35)</f>
        <v>38587</v>
      </c>
      <c r="D36" s="16">
        <f t="shared" si="3"/>
        <v>0</v>
      </c>
      <c r="E36" s="16">
        <f t="shared" si="3"/>
        <v>762</v>
      </c>
      <c r="F36" s="16">
        <f t="shared" si="3"/>
        <v>715</v>
      </c>
      <c r="G36" s="16">
        <f t="shared" si="3"/>
        <v>480</v>
      </c>
      <c r="H36" s="16">
        <f t="shared" si="3"/>
        <v>482</v>
      </c>
      <c r="I36" s="16">
        <f t="shared" si="3"/>
        <v>6570</v>
      </c>
      <c r="J36" s="16">
        <f t="shared" si="3"/>
        <v>300</v>
      </c>
      <c r="K36" s="16">
        <f t="shared" si="3"/>
        <v>1300</v>
      </c>
      <c r="L36" s="16">
        <f t="shared" si="3"/>
        <v>936</v>
      </c>
      <c r="M36" s="16">
        <f t="shared" si="3"/>
        <v>15000</v>
      </c>
      <c r="N36" s="16">
        <f t="shared" si="3"/>
        <v>1180</v>
      </c>
      <c r="O36" s="16">
        <f t="shared" si="3"/>
        <v>199</v>
      </c>
      <c r="P36" s="16">
        <v>0</v>
      </c>
      <c r="Q36" s="16">
        <f t="shared" si="3"/>
        <v>0</v>
      </c>
      <c r="R36" s="16">
        <f>SUM(R5:R35)</f>
        <v>25733</v>
      </c>
      <c r="S36" s="16"/>
      <c r="T36" s="2"/>
    </row>
    <row r="38" spans="1:20" x14ac:dyDescent="0.35">
      <c r="A38" s="24" t="s">
        <v>46</v>
      </c>
      <c r="B38" s="2">
        <v>155786.89000000001</v>
      </c>
    </row>
    <row r="39" spans="1:20" x14ac:dyDescent="0.35">
      <c r="A39" s="24" t="s">
        <v>17</v>
      </c>
      <c r="B39" s="2">
        <f>SUM(B2:R2)-M2</f>
        <v>112455</v>
      </c>
    </row>
    <row r="40" spans="1:20" x14ac:dyDescent="0.35">
      <c r="A40" s="24" t="s">
        <v>47</v>
      </c>
      <c r="B40" s="2">
        <f>SUM(T5:T35)-M36</f>
        <v>105744</v>
      </c>
    </row>
    <row r="41" spans="1:20" x14ac:dyDescent="0.35">
      <c r="A41" s="24" t="s">
        <v>18</v>
      </c>
      <c r="B41" s="2">
        <f>B39-B40</f>
        <v>6711</v>
      </c>
    </row>
    <row r="42" spans="1:20" x14ac:dyDescent="0.35">
      <c r="A42" s="24" t="s">
        <v>34</v>
      </c>
      <c r="B42" s="2">
        <f>B38-SUM(B36:R36)</f>
        <v>41542.890000000014</v>
      </c>
    </row>
    <row r="43" spans="1:20" x14ac:dyDescent="0.35">
      <c r="A43" s="24" t="s">
        <v>83</v>
      </c>
      <c r="B43" s="2">
        <f>SUM(D36:L36)+SUM(N36:R36)</f>
        <v>38657</v>
      </c>
    </row>
    <row r="44" spans="1:20" x14ac:dyDescent="0.35">
      <c r="A44" s="24" t="s">
        <v>162</v>
      </c>
      <c r="B44" s="2">
        <f>B38-B43</f>
        <v>117129.89000000001</v>
      </c>
    </row>
  </sheetData>
  <mergeCells count="1">
    <mergeCell ref="V1:W1"/>
  </mergeCells>
  <conditionalFormatting sqref="B4:R4">
    <cfRule type="cellIs" dxfId="47" priority="1" operator="greaterThan">
      <formula>99</formula>
    </cfRule>
    <cfRule type="cellIs" dxfId="46" priority="2" operator="between">
      <formula>51</formula>
      <formula>99</formula>
    </cfRule>
    <cfRule type="cellIs" dxfId="45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85" zoomScaleNormal="85" workbookViewId="0">
      <pane ySplit="1" topLeftCell="A8" activePane="bottomLeft" state="frozen"/>
      <selection activeCell="G40" sqref="G40"/>
      <selection pane="bottomLeft" activeCell="V1" sqref="V1:W18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23" customWidth="1"/>
    <col min="20" max="20" width="17.453125" customWidth="1"/>
    <col min="22" max="22" width="21.81640625" bestFit="1" customWidth="1"/>
    <col min="23" max="23" width="14" customWidth="1"/>
  </cols>
  <sheetData>
    <row r="1" spans="1:23" x14ac:dyDescent="0.35">
      <c r="A1" s="18" t="s">
        <v>33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16</v>
      </c>
      <c r="O1" s="18" t="s">
        <v>43</v>
      </c>
      <c r="P1" s="18" t="s">
        <v>64</v>
      </c>
      <c r="Q1" s="18" t="s">
        <v>14</v>
      </c>
      <c r="R1" s="18" t="s">
        <v>15</v>
      </c>
      <c r="S1" s="18" t="s">
        <v>35</v>
      </c>
      <c r="T1" s="18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22000</v>
      </c>
      <c r="C2" s="19">
        <v>42941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</f>
        <v>389</v>
      </c>
      <c r="P2" s="19">
        <v>6500</v>
      </c>
      <c r="Q2" s="19">
        <v>8000</v>
      </c>
      <c r="R2" s="19">
        <v>20000</v>
      </c>
      <c r="S2" s="19"/>
      <c r="T2" s="22">
        <f>SUM(B2:R2)</f>
        <v>124130</v>
      </c>
      <c r="V2" s="34" t="s">
        <v>2</v>
      </c>
      <c r="W2" s="35">
        <f>B35</f>
        <v>22000</v>
      </c>
    </row>
    <row r="3" spans="1:23" s="23" customFormat="1" x14ac:dyDescent="0.35">
      <c r="A3" s="19" t="s">
        <v>18</v>
      </c>
      <c r="B3" s="19">
        <f t="shared" ref="B3:R3" si="0">B2-B35</f>
        <v>0</v>
      </c>
      <c r="C3" s="19">
        <f t="shared" si="0"/>
        <v>0</v>
      </c>
      <c r="D3" s="19">
        <f t="shared" si="0"/>
        <v>2500</v>
      </c>
      <c r="E3" s="19">
        <f t="shared" si="0"/>
        <v>1238</v>
      </c>
      <c r="F3" s="19">
        <f t="shared" si="0"/>
        <v>260</v>
      </c>
      <c r="G3" s="19">
        <f t="shared" si="0"/>
        <v>520</v>
      </c>
      <c r="H3" s="19">
        <f t="shared" si="0"/>
        <v>-416</v>
      </c>
      <c r="I3" s="19">
        <f t="shared" si="0"/>
        <v>172</v>
      </c>
      <c r="J3" s="19">
        <f t="shared" si="0"/>
        <v>500</v>
      </c>
      <c r="K3" s="19">
        <f t="shared" si="0"/>
        <v>1200</v>
      </c>
      <c r="L3" s="19">
        <f t="shared" si="0"/>
        <v>-1189.83</v>
      </c>
      <c r="M3" s="19">
        <f t="shared" si="0"/>
        <v>-12500</v>
      </c>
      <c r="N3" s="19">
        <f t="shared" si="0"/>
        <v>320</v>
      </c>
      <c r="O3" s="19">
        <f t="shared" si="0"/>
        <v>115</v>
      </c>
      <c r="P3" s="19">
        <f t="shared" si="0"/>
        <v>5000</v>
      </c>
      <c r="Q3" s="19">
        <f t="shared" si="0"/>
        <v>0</v>
      </c>
      <c r="R3" s="19">
        <f t="shared" si="0"/>
        <v>-1621.25</v>
      </c>
      <c r="S3" s="19"/>
      <c r="T3" s="19">
        <f>SUM(B3:R3)</f>
        <v>-3902.08</v>
      </c>
      <c r="V3" s="34" t="s">
        <v>3</v>
      </c>
      <c r="W3" s="35">
        <f>C35</f>
        <v>42941</v>
      </c>
    </row>
    <row r="4" spans="1:23" s="23" customFormat="1" x14ac:dyDescent="0.35">
      <c r="A4" s="19" t="s">
        <v>44</v>
      </c>
      <c r="B4" s="19">
        <f>((B2-B3)/B2)*100</f>
        <v>100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38.1</v>
      </c>
      <c r="F4" s="19">
        <f t="shared" si="1"/>
        <v>76.363636363636374</v>
      </c>
      <c r="G4" s="19">
        <f t="shared" si="1"/>
        <v>48</v>
      </c>
      <c r="H4" s="19">
        <f t="shared" si="1"/>
        <v>183.20000000000002</v>
      </c>
      <c r="I4" s="19">
        <f t="shared" si="1"/>
        <v>97.542857142857144</v>
      </c>
      <c r="J4" s="19">
        <f t="shared" si="1"/>
        <v>0</v>
      </c>
      <c r="K4" s="19">
        <f t="shared" si="1"/>
        <v>0</v>
      </c>
      <c r="L4" s="19">
        <f t="shared" si="1"/>
        <v>159.49149999999997</v>
      </c>
      <c r="M4" s="19">
        <f t="shared" si="1"/>
        <v>350</v>
      </c>
      <c r="N4" s="19">
        <f t="shared" si="1"/>
        <v>78.666666666666657</v>
      </c>
      <c r="O4" s="19">
        <f t="shared" si="1"/>
        <v>70.437017994858607</v>
      </c>
      <c r="P4" s="19">
        <f t="shared" si="1"/>
        <v>23.076923076923077</v>
      </c>
      <c r="Q4" s="19">
        <f t="shared" si="1"/>
        <v>100</v>
      </c>
      <c r="R4" s="21">
        <f t="shared" si="1"/>
        <v>108.10625</v>
      </c>
      <c r="S4" s="19"/>
      <c r="T4" s="21">
        <f t="shared" si="1"/>
        <v>103.14354305969549</v>
      </c>
      <c r="V4" s="34" t="s">
        <v>4</v>
      </c>
      <c r="W4" s="35">
        <f>D35</f>
        <v>0</v>
      </c>
    </row>
    <row r="5" spans="1:23" x14ac:dyDescent="0.35">
      <c r="A5" s="17">
        <v>45170</v>
      </c>
      <c r="B5" s="2">
        <v>22000</v>
      </c>
      <c r="C5" s="2"/>
      <c r="D5" s="2"/>
      <c r="E5" s="2">
        <v>762</v>
      </c>
      <c r="F5" s="2">
        <v>840</v>
      </c>
      <c r="G5" s="2"/>
      <c r="H5" s="2"/>
      <c r="I5" s="2"/>
      <c r="J5" s="2"/>
      <c r="K5" s="2"/>
      <c r="L5" s="2"/>
      <c r="M5" s="2"/>
      <c r="N5" s="2"/>
      <c r="O5" s="2"/>
      <c r="P5" s="2">
        <v>1500</v>
      </c>
      <c r="Q5" s="2"/>
      <c r="R5" s="2">
        <f>1000+771+3774.3+1898.95</f>
        <v>7444.25</v>
      </c>
      <c r="S5" s="2" t="s">
        <v>80</v>
      </c>
      <c r="T5" s="2">
        <f>SUM(B5:R5)</f>
        <v>32546.25</v>
      </c>
      <c r="V5" s="34" t="s">
        <v>5</v>
      </c>
      <c r="W5" s="36">
        <f>E35</f>
        <v>762</v>
      </c>
    </row>
    <row r="6" spans="1:23" x14ac:dyDescent="0.35">
      <c r="A6" s="17">
        <v>45171</v>
      </c>
      <c r="B6" s="2"/>
      <c r="C6" s="2"/>
      <c r="D6" s="2"/>
      <c r="E6" s="2"/>
      <c r="F6" s="2"/>
      <c r="G6" s="2"/>
      <c r="H6" s="2"/>
      <c r="I6" s="2">
        <f>108+3300</f>
        <v>3408</v>
      </c>
      <c r="J6" s="2"/>
      <c r="K6" s="2"/>
      <c r="L6" s="2">
        <v>292.45</v>
      </c>
      <c r="M6" s="2">
        <v>5000</v>
      </c>
      <c r="N6" s="2"/>
      <c r="O6" s="2"/>
      <c r="P6" s="2"/>
      <c r="Q6" s="2">
        <v>8000</v>
      </c>
      <c r="R6" s="2">
        <v>900</v>
      </c>
      <c r="S6" s="2" t="s">
        <v>81</v>
      </c>
      <c r="T6" s="2">
        <f>SUM(B6:R6)</f>
        <v>17600.45</v>
      </c>
      <c r="V6" s="34" t="s">
        <v>6</v>
      </c>
      <c r="W6" s="36">
        <f>F35</f>
        <v>840</v>
      </c>
    </row>
    <row r="7" spans="1:23" x14ac:dyDescent="0.35">
      <c r="A7" s="17">
        <v>45172</v>
      </c>
      <c r="B7" s="2"/>
      <c r="C7" s="2"/>
      <c r="D7" s="2"/>
      <c r="E7" s="2"/>
      <c r="F7" s="2"/>
      <c r="G7" s="2"/>
      <c r="H7" s="2">
        <f>458*2</f>
        <v>916</v>
      </c>
      <c r="I7" s="2">
        <f>169+130+400</f>
        <v>699</v>
      </c>
      <c r="J7" s="2"/>
      <c r="K7" s="2"/>
      <c r="L7" s="2">
        <v>45</v>
      </c>
      <c r="M7" s="2"/>
      <c r="N7" s="2"/>
      <c r="O7" s="2"/>
      <c r="P7" s="2"/>
      <c r="Q7" s="2"/>
      <c r="R7" s="2">
        <v>100</v>
      </c>
      <c r="S7" s="2" t="s">
        <v>82</v>
      </c>
      <c r="T7" s="2">
        <f t="shared" ref="T7:T34" si="2">SUM(B7:R7)</f>
        <v>1760</v>
      </c>
      <c r="V7" s="34" t="s">
        <v>7</v>
      </c>
      <c r="W7" s="36">
        <f>G35</f>
        <v>480</v>
      </c>
    </row>
    <row r="8" spans="1:23" x14ac:dyDescent="0.35">
      <c r="A8" s="17">
        <v>45173</v>
      </c>
      <c r="B8" s="2"/>
      <c r="C8" s="2"/>
      <c r="D8" s="2"/>
      <c r="E8" s="2"/>
      <c r="F8" s="2"/>
      <c r="G8" s="2">
        <v>50</v>
      </c>
      <c r="H8" s="2"/>
      <c r="I8" s="2">
        <v>207</v>
      </c>
      <c r="J8" s="2"/>
      <c r="K8" s="2"/>
      <c r="L8" s="2"/>
      <c r="M8" s="2">
        <v>5000</v>
      </c>
      <c r="N8" s="2"/>
      <c r="O8" s="2"/>
      <c r="P8" s="2"/>
      <c r="Q8" s="2"/>
      <c r="R8" s="2"/>
      <c r="S8" s="2"/>
      <c r="T8" s="2">
        <f t="shared" si="2"/>
        <v>5257</v>
      </c>
      <c r="V8" s="34" t="s">
        <v>8</v>
      </c>
      <c r="W8" s="36">
        <f>H35</f>
        <v>916</v>
      </c>
    </row>
    <row r="9" spans="1:23" x14ac:dyDescent="0.35">
      <c r="A9" s="17">
        <v>45174</v>
      </c>
      <c r="B9" s="2"/>
      <c r="C9" s="2">
        <v>42941</v>
      </c>
      <c r="D9" s="2"/>
      <c r="E9" s="2"/>
      <c r="F9" s="2"/>
      <c r="G9" s="2">
        <v>50</v>
      </c>
      <c r="H9" s="2"/>
      <c r="I9" s="2">
        <f>64+210+200</f>
        <v>474</v>
      </c>
      <c r="J9" s="2"/>
      <c r="K9" s="2"/>
      <c r="L9" s="2"/>
      <c r="M9" s="2">
        <v>5000</v>
      </c>
      <c r="N9" s="2"/>
      <c r="O9" s="2"/>
      <c r="P9" s="2"/>
      <c r="Q9" s="2"/>
      <c r="R9" s="2"/>
      <c r="S9" s="2"/>
      <c r="T9" s="2">
        <f t="shared" si="2"/>
        <v>48465</v>
      </c>
      <c r="V9" s="34" t="s">
        <v>9</v>
      </c>
      <c r="W9" s="36">
        <f>I35</f>
        <v>6828</v>
      </c>
    </row>
    <row r="10" spans="1:23" x14ac:dyDescent="0.35">
      <c r="A10" s="17">
        <v>45175</v>
      </c>
      <c r="B10" s="2"/>
      <c r="C10" s="2"/>
      <c r="D10" s="2"/>
      <c r="E10" s="2"/>
      <c r="F10" s="2"/>
      <c r="G10" s="2"/>
      <c r="H10" s="2"/>
      <c r="I10" s="2">
        <f>53+20</f>
        <v>73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 t="shared" si="2"/>
        <v>73</v>
      </c>
      <c r="V10" s="34" t="s">
        <v>10</v>
      </c>
      <c r="W10" s="36">
        <f>J35</f>
        <v>0</v>
      </c>
    </row>
    <row r="11" spans="1:23" x14ac:dyDescent="0.35">
      <c r="A11" s="17">
        <v>45176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 t="shared" si="2"/>
        <v>0</v>
      </c>
      <c r="V11" s="34" t="s">
        <v>11</v>
      </c>
      <c r="W11" s="36">
        <f>K35</f>
        <v>0</v>
      </c>
    </row>
    <row r="12" spans="1:23" x14ac:dyDescent="0.35">
      <c r="A12" s="17">
        <v>45177</v>
      </c>
      <c r="B12" s="2"/>
      <c r="C12" s="2"/>
      <c r="D12" s="2"/>
      <c r="E12" s="2"/>
      <c r="F12" s="2"/>
      <c r="G12" s="2">
        <v>50</v>
      </c>
      <c r="H12" s="2"/>
      <c r="I12" s="2"/>
      <c r="J12" s="2"/>
      <c r="K12" s="2"/>
      <c r="L12" s="2"/>
      <c r="M12" s="2"/>
      <c r="N12" s="2">
        <v>1180</v>
      </c>
      <c r="O12" s="2"/>
      <c r="P12" s="2"/>
      <c r="Q12" s="2"/>
      <c r="R12" s="2"/>
      <c r="S12" s="2"/>
      <c r="T12" s="2">
        <f t="shared" si="2"/>
        <v>1230</v>
      </c>
      <c r="V12" s="34" t="s">
        <v>12</v>
      </c>
      <c r="W12" s="36">
        <f>L35</f>
        <v>3189.83</v>
      </c>
    </row>
    <row r="13" spans="1:23" x14ac:dyDescent="0.35">
      <c r="A13" s="17">
        <v>45178</v>
      </c>
      <c r="B13" s="2"/>
      <c r="C13" s="2"/>
      <c r="D13" s="2"/>
      <c r="E13" s="2"/>
      <c r="F13" s="2"/>
      <c r="G13" s="2"/>
      <c r="H13" s="2"/>
      <c r="I13" s="2">
        <f>110+150</f>
        <v>260</v>
      </c>
      <c r="J13" s="2"/>
      <c r="K13" s="2"/>
      <c r="L13" s="2"/>
      <c r="M13" s="2"/>
      <c r="N13" s="2"/>
      <c r="O13" s="2"/>
      <c r="P13" s="2"/>
      <c r="Q13" s="2"/>
      <c r="R13" s="2">
        <f>120+60+210</f>
        <v>390</v>
      </c>
      <c r="S13" s="2" t="s">
        <v>84</v>
      </c>
      <c r="T13" s="2">
        <f t="shared" si="2"/>
        <v>650</v>
      </c>
      <c r="V13" s="34" t="s">
        <v>13</v>
      </c>
      <c r="W13" s="36">
        <f>M35</f>
        <v>17500</v>
      </c>
    </row>
    <row r="14" spans="1:23" x14ac:dyDescent="0.35">
      <c r="A14" s="17">
        <v>45179</v>
      </c>
      <c r="B14" s="2"/>
      <c r="C14" s="2"/>
      <c r="D14" s="2"/>
      <c r="E14" s="2"/>
      <c r="F14" s="2"/>
      <c r="G14" s="2"/>
      <c r="H14" s="2"/>
      <c r="I14">
        <f>90+237+70</f>
        <v>397</v>
      </c>
      <c r="J14" s="2"/>
      <c r="K14" s="2"/>
      <c r="L14" s="2"/>
      <c r="M14" s="2"/>
      <c r="N14" s="2"/>
      <c r="O14" s="2">
        <v>199</v>
      </c>
      <c r="P14" s="2"/>
      <c r="Q14" s="2"/>
      <c r="R14" s="2">
        <v>1567</v>
      </c>
      <c r="S14" s="2"/>
      <c r="T14" s="2">
        <f>SUM(B14:R14)</f>
        <v>2163</v>
      </c>
      <c r="V14" s="34" t="s">
        <v>16</v>
      </c>
      <c r="W14" s="36">
        <f>N35</f>
        <v>1180</v>
      </c>
    </row>
    <row r="15" spans="1:23" x14ac:dyDescent="0.35">
      <c r="A15" s="17">
        <v>45180</v>
      </c>
      <c r="B15" s="2"/>
      <c r="C15" s="2"/>
      <c r="D15" s="2"/>
      <c r="E15" s="2"/>
      <c r="F15" s="2"/>
      <c r="G15" s="2">
        <v>50</v>
      </c>
      <c r="H15" s="2"/>
      <c r="I15" s="2"/>
      <c r="J15" s="2"/>
      <c r="K15" s="2"/>
      <c r="L15" s="2">
        <v>24</v>
      </c>
      <c r="M15" s="2"/>
      <c r="N15" s="2"/>
      <c r="O15" s="2"/>
      <c r="P15" s="2"/>
      <c r="Q15" s="2"/>
      <c r="T15" s="2">
        <f t="shared" si="2"/>
        <v>74</v>
      </c>
      <c r="V15" s="34" t="s">
        <v>43</v>
      </c>
      <c r="W15" s="36">
        <f>O35</f>
        <v>274</v>
      </c>
    </row>
    <row r="16" spans="1:23" x14ac:dyDescent="0.35">
      <c r="A16" s="17">
        <v>45181</v>
      </c>
      <c r="B16" s="2"/>
      <c r="C16" s="2"/>
      <c r="D16" s="2"/>
      <c r="E16" s="2"/>
      <c r="F16" s="2"/>
      <c r="G16" s="2">
        <v>30</v>
      </c>
      <c r="H16" s="2"/>
      <c r="I16" s="2">
        <v>385</v>
      </c>
      <c r="J16" s="2"/>
      <c r="K16" s="2"/>
      <c r="L16" s="2"/>
      <c r="M16" s="2"/>
      <c r="N16" s="2"/>
      <c r="O16" s="2"/>
      <c r="P16" s="2"/>
      <c r="Q16" s="2"/>
      <c r="R16" s="2">
        <v>8000</v>
      </c>
      <c r="S16" s="2" t="s">
        <v>85</v>
      </c>
      <c r="T16" s="2">
        <f>SUM(B16:Q16)</f>
        <v>415</v>
      </c>
      <c r="V16" s="34" t="s">
        <v>64</v>
      </c>
      <c r="W16" s="36">
        <f>P35</f>
        <v>1500</v>
      </c>
    </row>
    <row r="17" spans="1:23" x14ac:dyDescent="0.35">
      <c r="A17" s="17">
        <v>45182</v>
      </c>
      <c r="B17" s="2"/>
      <c r="C17" s="2"/>
      <c r="D17" s="2"/>
      <c r="E17" s="2"/>
      <c r="F17" s="2"/>
      <c r="G17" s="2"/>
      <c r="H17" s="2"/>
      <c r="I17" s="2">
        <v>66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2"/>
        <v>66</v>
      </c>
      <c r="V17" s="34" t="s">
        <v>14</v>
      </c>
      <c r="W17" s="36">
        <f>Q35</f>
        <v>8000</v>
      </c>
    </row>
    <row r="18" spans="1:23" x14ac:dyDescent="0.35">
      <c r="A18" s="17">
        <v>45183</v>
      </c>
      <c r="B18" s="2"/>
      <c r="C18" s="2"/>
      <c r="D18" s="2"/>
      <c r="E18" s="2"/>
      <c r="F18" s="2"/>
      <c r="G18" s="2">
        <v>50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>
        <v>199</v>
      </c>
      <c r="S18" s="2" t="s">
        <v>86</v>
      </c>
      <c r="T18" s="2">
        <f t="shared" si="2"/>
        <v>249</v>
      </c>
      <c r="V18" s="34" t="s">
        <v>15</v>
      </c>
      <c r="W18" s="36">
        <f>R35</f>
        <v>21621.25</v>
      </c>
    </row>
    <row r="19" spans="1:23" x14ac:dyDescent="0.35">
      <c r="A19" s="17">
        <v>45184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>
        <v>231</v>
      </c>
      <c r="M19" s="2"/>
      <c r="N19" s="2"/>
      <c r="O19" s="2"/>
      <c r="P19" s="2"/>
      <c r="Q19" s="2"/>
      <c r="R19" s="2"/>
      <c r="S19" s="2"/>
      <c r="T19" s="2">
        <f t="shared" si="2"/>
        <v>231</v>
      </c>
    </row>
    <row r="20" spans="1:23" x14ac:dyDescent="0.35">
      <c r="A20" s="17">
        <v>45185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>
        <f>450+49+266</f>
        <v>765</v>
      </c>
      <c r="S20" s="2" t="s">
        <v>87</v>
      </c>
      <c r="T20" s="2">
        <f t="shared" si="2"/>
        <v>765</v>
      </c>
    </row>
    <row r="21" spans="1:23" x14ac:dyDescent="0.35">
      <c r="A21" s="17">
        <v>45186</v>
      </c>
      <c r="B21" s="2"/>
      <c r="C21" s="2"/>
      <c r="D21" s="2"/>
      <c r="E21" s="2"/>
      <c r="F21" s="2"/>
      <c r="G21" s="2">
        <v>50</v>
      </c>
      <c r="H21" s="2"/>
      <c r="I21" s="2">
        <f>230+184</f>
        <v>414</v>
      </c>
      <c r="J21" s="2"/>
      <c r="K21" s="2"/>
      <c r="L21" s="2">
        <v>126</v>
      </c>
      <c r="M21" s="2"/>
      <c r="N21" s="2"/>
      <c r="O21" s="2"/>
      <c r="P21" s="2"/>
      <c r="Q21" s="2"/>
      <c r="R21" s="2"/>
      <c r="S21" s="2"/>
      <c r="T21" s="2">
        <f t="shared" si="2"/>
        <v>590</v>
      </c>
    </row>
    <row r="22" spans="1:23" x14ac:dyDescent="0.35">
      <c r="A22" s="17">
        <v>45187</v>
      </c>
      <c r="B22" s="2"/>
      <c r="C22" s="2"/>
      <c r="D22" s="2"/>
      <c r="E22" s="2"/>
      <c r="F22" s="2"/>
      <c r="G22" s="2"/>
      <c r="H22" s="2"/>
      <c r="I22" s="2">
        <v>40</v>
      </c>
      <c r="J22" s="2"/>
      <c r="K22" s="2"/>
      <c r="L22" s="2"/>
      <c r="M22" s="2"/>
      <c r="N22" s="2"/>
      <c r="O22" s="2"/>
      <c r="P22" s="2"/>
      <c r="Q22" s="2"/>
      <c r="R22" s="2"/>
      <c r="S22" s="15"/>
      <c r="T22" s="2">
        <f t="shared" si="2"/>
        <v>40</v>
      </c>
    </row>
    <row r="23" spans="1:23" x14ac:dyDescent="0.35">
      <c r="A23" s="17">
        <v>45188</v>
      </c>
      <c r="B23" s="2"/>
      <c r="C23" s="2"/>
      <c r="D23" s="2"/>
      <c r="E23" s="2"/>
      <c r="F23" s="2"/>
      <c r="G23" s="2">
        <v>50</v>
      </c>
      <c r="H23" s="2"/>
      <c r="I23" s="2">
        <v>100</v>
      </c>
      <c r="J23" s="2"/>
      <c r="K23" s="2"/>
      <c r="L23" s="2"/>
      <c r="M23" s="2"/>
      <c r="N23" s="2"/>
      <c r="O23" s="2"/>
      <c r="P23" s="2"/>
      <c r="Q23" s="2"/>
      <c r="R23" s="2">
        <v>150</v>
      </c>
      <c r="S23" s="2" t="s">
        <v>88</v>
      </c>
      <c r="T23" s="2">
        <f t="shared" si="2"/>
        <v>300</v>
      </c>
    </row>
    <row r="24" spans="1:23" x14ac:dyDescent="0.35">
      <c r="A24" s="17">
        <v>45189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>
        <v>99</v>
      </c>
      <c r="S24" s="2" t="s">
        <v>90</v>
      </c>
      <c r="T24" s="2">
        <f t="shared" si="2"/>
        <v>99</v>
      </c>
    </row>
    <row r="25" spans="1:23" x14ac:dyDescent="0.35">
      <c r="A25" s="17">
        <v>45190</v>
      </c>
      <c r="B25" s="2"/>
      <c r="C25" s="2"/>
      <c r="D25" s="2"/>
      <c r="E25" s="2"/>
      <c r="F25" s="2"/>
      <c r="G25" s="2"/>
      <c r="H25" s="2"/>
      <c r="I25" s="2">
        <v>41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f t="shared" si="2"/>
        <v>41</v>
      </c>
    </row>
    <row r="26" spans="1:23" x14ac:dyDescent="0.35">
      <c r="A26" s="17">
        <v>45191</v>
      </c>
      <c r="B26" s="2"/>
      <c r="C26" s="2"/>
      <c r="D26" s="2"/>
      <c r="E26" s="2"/>
      <c r="F26" s="2"/>
      <c r="G26" s="2">
        <v>50</v>
      </c>
      <c r="H26" s="2"/>
      <c r="I26" s="2"/>
      <c r="J26" s="2"/>
      <c r="K26" s="2"/>
      <c r="L26" s="2"/>
      <c r="M26" s="2">
        <v>2500</v>
      </c>
      <c r="N26" s="2"/>
      <c r="O26" s="2"/>
      <c r="P26" s="2"/>
      <c r="Q26" s="2"/>
      <c r="R26" s="2"/>
      <c r="S26" s="2"/>
      <c r="T26" s="2">
        <f t="shared" si="2"/>
        <v>2550</v>
      </c>
    </row>
    <row r="27" spans="1:23" x14ac:dyDescent="0.35">
      <c r="A27" s="17">
        <v>45192</v>
      </c>
      <c r="B27" s="2"/>
      <c r="C27" s="2"/>
      <c r="D27" s="2"/>
      <c r="E27" s="2"/>
      <c r="F27" s="2"/>
      <c r="G27" s="2"/>
      <c r="H27" s="2"/>
      <c r="I27" s="2">
        <v>40</v>
      </c>
      <c r="J27" s="2"/>
      <c r="K27" s="2"/>
      <c r="L27" s="2">
        <v>243.61</v>
      </c>
      <c r="M27" s="2"/>
      <c r="N27" s="2"/>
      <c r="O27" s="2">
        <v>75</v>
      </c>
      <c r="P27" s="2"/>
      <c r="Q27" s="2"/>
      <c r="R27" s="2">
        <v>60</v>
      </c>
      <c r="S27" s="2" t="s">
        <v>91</v>
      </c>
      <c r="T27" s="2">
        <f t="shared" si="2"/>
        <v>418.61</v>
      </c>
    </row>
    <row r="28" spans="1:23" x14ac:dyDescent="0.35">
      <c r="A28" s="17">
        <v>45193</v>
      </c>
      <c r="B28" s="2"/>
      <c r="C28" s="2"/>
      <c r="D28" s="2"/>
      <c r="E28" s="2"/>
      <c r="F28" s="2"/>
      <c r="G28" s="2"/>
      <c r="H28" s="2"/>
      <c r="I28" s="2">
        <f>22+202</f>
        <v>224</v>
      </c>
      <c r="J28" s="2"/>
      <c r="K28" s="2"/>
      <c r="L28" s="2">
        <f>279.98+220+110</f>
        <v>609.98</v>
      </c>
      <c r="M28" s="2"/>
      <c r="N28" s="2"/>
      <c r="O28" s="2"/>
      <c r="P28" s="2"/>
      <c r="Q28" s="2"/>
      <c r="R28" s="2"/>
      <c r="S28" s="2"/>
      <c r="T28" s="2">
        <f t="shared" si="2"/>
        <v>833.98</v>
      </c>
    </row>
    <row r="29" spans="1:23" x14ac:dyDescent="0.35">
      <c r="A29" s="17">
        <v>45194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f>275+190</f>
        <v>465</v>
      </c>
      <c r="M29" s="2"/>
      <c r="N29" s="2"/>
      <c r="O29" s="2"/>
      <c r="P29" s="2"/>
      <c r="Q29" s="2"/>
      <c r="R29" s="2"/>
      <c r="S29" s="2"/>
      <c r="T29" s="2">
        <f t="shared" si="2"/>
        <v>465</v>
      </c>
    </row>
    <row r="30" spans="1:23" x14ac:dyDescent="0.35">
      <c r="A30" s="17">
        <v>45195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>
        <f>165+399</f>
        <v>564</v>
      </c>
      <c r="M30" s="2"/>
      <c r="N30" s="2"/>
      <c r="O30" s="2"/>
      <c r="P30" s="2"/>
      <c r="Q30" s="2"/>
      <c r="R30" s="2"/>
      <c r="S30" s="2"/>
      <c r="T30" s="2">
        <f t="shared" si="2"/>
        <v>564</v>
      </c>
    </row>
    <row r="31" spans="1:23" x14ac:dyDescent="0.35">
      <c r="A31" s="17">
        <v>45196</v>
      </c>
      <c r="B31" s="2"/>
      <c r="C31" s="2"/>
      <c r="D31" s="2"/>
      <c r="E31" s="2"/>
      <c r="F31" s="2"/>
      <c r="G31" s="2">
        <v>50</v>
      </c>
      <c r="H31" s="2"/>
      <c r="I31" s="2"/>
      <c r="J31" s="2"/>
      <c r="K31" s="2"/>
      <c r="L31" s="2">
        <v>500.79</v>
      </c>
      <c r="M31" s="2"/>
      <c r="N31" s="2"/>
      <c r="O31" s="2"/>
      <c r="P31" s="2"/>
      <c r="Q31" s="2"/>
      <c r="R31" s="2"/>
      <c r="S31" s="2"/>
      <c r="T31" s="2">
        <f t="shared" si="2"/>
        <v>550.79</v>
      </c>
    </row>
    <row r="32" spans="1:23" x14ac:dyDescent="0.35">
      <c r="A32" s="17">
        <v>45197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>
        <v>88</v>
      </c>
      <c r="M32" s="2"/>
      <c r="N32" s="2"/>
      <c r="O32" s="2"/>
      <c r="P32" s="2"/>
      <c r="Q32" s="2"/>
      <c r="R32" s="2"/>
      <c r="S32" s="2"/>
      <c r="T32" s="2">
        <f t="shared" si="2"/>
        <v>88</v>
      </c>
    </row>
    <row r="33" spans="1:20" x14ac:dyDescent="0.35">
      <c r="A33" s="17">
        <v>45198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>
        <f>1749+198</f>
        <v>1947</v>
      </c>
      <c r="S33" s="2"/>
      <c r="T33" s="2">
        <f t="shared" si="2"/>
        <v>1947</v>
      </c>
    </row>
    <row r="34" spans="1:20" x14ac:dyDescent="0.35">
      <c r="A34" s="17">
        <v>45199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f t="shared" si="2"/>
        <v>0</v>
      </c>
    </row>
    <row r="35" spans="1:20" x14ac:dyDescent="0.35">
      <c r="A35" s="16" t="s">
        <v>29</v>
      </c>
      <c r="B35" s="16">
        <f t="shared" ref="B35:P35" si="3">SUM(B5:B34)</f>
        <v>22000</v>
      </c>
      <c r="C35" s="16">
        <f t="shared" si="3"/>
        <v>42941</v>
      </c>
      <c r="D35" s="16">
        <f t="shared" si="3"/>
        <v>0</v>
      </c>
      <c r="E35" s="16">
        <f t="shared" si="3"/>
        <v>762</v>
      </c>
      <c r="F35" s="16">
        <f t="shared" si="3"/>
        <v>840</v>
      </c>
      <c r="G35" s="16">
        <f t="shared" si="3"/>
        <v>480</v>
      </c>
      <c r="H35" s="16">
        <f t="shared" si="3"/>
        <v>916</v>
      </c>
      <c r="I35" s="16">
        <f t="shared" si="3"/>
        <v>6828</v>
      </c>
      <c r="J35" s="16">
        <f t="shared" si="3"/>
        <v>0</v>
      </c>
      <c r="K35" s="16">
        <f t="shared" si="3"/>
        <v>0</v>
      </c>
      <c r="L35" s="16">
        <f t="shared" si="3"/>
        <v>3189.83</v>
      </c>
      <c r="M35" s="16">
        <f t="shared" si="3"/>
        <v>17500</v>
      </c>
      <c r="N35" s="16">
        <f t="shared" si="3"/>
        <v>1180</v>
      </c>
      <c r="O35" s="16">
        <f t="shared" si="3"/>
        <v>274</v>
      </c>
      <c r="P35" s="16">
        <f t="shared" si="3"/>
        <v>1500</v>
      </c>
      <c r="Q35" s="16">
        <f>SUM(Q5:Q34)</f>
        <v>8000</v>
      </c>
      <c r="R35" s="16">
        <f>SUM(R5:R34)</f>
        <v>21621.25</v>
      </c>
      <c r="S35" s="16"/>
      <c r="T35" s="2"/>
    </row>
    <row r="37" spans="1:20" x14ac:dyDescent="0.35">
      <c r="A37" s="24" t="s">
        <v>46</v>
      </c>
      <c r="B37" s="2">
        <v>153762</v>
      </c>
    </row>
    <row r="38" spans="1:20" x14ac:dyDescent="0.35">
      <c r="A38" s="24" t="s">
        <v>17</v>
      </c>
      <c r="B38" s="2">
        <f>SUM(B2:R2)-M2</f>
        <v>119130</v>
      </c>
    </row>
    <row r="39" spans="1:20" x14ac:dyDescent="0.35">
      <c r="A39" s="24" t="s">
        <v>47</v>
      </c>
      <c r="B39" s="2">
        <f>SUM(T5:T34)-M35</f>
        <v>102532.07999999999</v>
      </c>
    </row>
    <row r="40" spans="1:20" x14ac:dyDescent="0.35">
      <c r="A40" s="24" t="s">
        <v>18</v>
      </c>
      <c r="B40" s="2">
        <f>B38-B39</f>
        <v>16597.920000000013</v>
      </c>
    </row>
    <row r="41" spans="1:20" x14ac:dyDescent="0.35">
      <c r="A41" s="24" t="s">
        <v>34</v>
      </c>
      <c r="B41" s="2">
        <f>B37-SUM(B35:R35)</f>
        <v>25729.919999999998</v>
      </c>
    </row>
    <row r="42" spans="1:20" x14ac:dyDescent="0.35">
      <c r="A42" s="24" t="s">
        <v>83</v>
      </c>
      <c r="B42" s="2">
        <f>SUM(D35:L35)+SUM(N35:R35)</f>
        <v>45591.08</v>
      </c>
    </row>
    <row r="43" spans="1:20" x14ac:dyDescent="0.35">
      <c r="A43" s="32" t="s">
        <v>162</v>
      </c>
      <c r="B43">
        <f>B37-B42</f>
        <v>108170.92</v>
      </c>
    </row>
  </sheetData>
  <mergeCells count="1">
    <mergeCell ref="V1:W1"/>
  </mergeCells>
  <conditionalFormatting sqref="B4:R4">
    <cfRule type="cellIs" dxfId="44" priority="1" operator="greaterThan">
      <formula>99</formula>
    </cfRule>
    <cfRule type="cellIs" dxfId="43" priority="2" operator="between">
      <formula>51</formula>
      <formula>99</formula>
    </cfRule>
    <cfRule type="cellIs" dxfId="42" priority="3" operator="lessThan">
      <formula>50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zoomScale="85" zoomScaleNormal="85" workbookViewId="0">
      <pane ySplit="1" topLeftCell="A2" activePane="bottomLeft" state="frozen"/>
      <selection activeCell="G40" sqref="G40"/>
      <selection pane="bottomLeft" activeCell="V1" sqref="V1:W18"/>
    </sheetView>
  </sheetViews>
  <sheetFormatPr defaultRowHeight="14.5" x14ac:dyDescent="0.35"/>
  <cols>
    <col min="1" max="1" width="29.26953125" bestFit="1" customWidth="1"/>
    <col min="2" max="2" width="12.453125" customWidth="1"/>
    <col min="13" max="13" width="12.1796875" bestFit="1" customWidth="1"/>
    <col min="15" max="15" width="16.81640625" bestFit="1" customWidth="1"/>
    <col min="16" max="16" width="16.81640625" customWidth="1"/>
    <col min="17" max="17" width="15.81640625" bestFit="1" customWidth="1"/>
    <col min="18" max="18" width="21.1796875" bestFit="1" customWidth="1"/>
    <col min="19" max="19" width="25.7265625" bestFit="1" customWidth="1"/>
    <col min="20" max="20" width="17.453125" customWidth="1"/>
    <col min="22" max="22" width="23.453125" customWidth="1"/>
    <col min="23" max="23" width="10.1796875" customWidth="1"/>
  </cols>
  <sheetData>
    <row r="1" spans="1:23" x14ac:dyDescent="0.35">
      <c r="A1" s="18" t="s">
        <v>33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6</v>
      </c>
      <c r="G1" s="18" t="s">
        <v>7</v>
      </c>
      <c r="H1" s="18" t="s">
        <v>8</v>
      </c>
      <c r="I1" s="18" t="s">
        <v>9</v>
      </c>
      <c r="J1" s="18" t="s">
        <v>10</v>
      </c>
      <c r="K1" s="18" t="s">
        <v>11</v>
      </c>
      <c r="L1" s="18" t="s">
        <v>12</v>
      </c>
      <c r="M1" s="18" t="s">
        <v>13</v>
      </c>
      <c r="N1" s="18" t="s">
        <v>16</v>
      </c>
      <c r="O1" s="18" t="s">
        <v>43</v>
      </c>
      <c r="P1" s="18" t="s">
        <v>64</v>
      </c>
      <c r="Q1" s="18" t="s">
        <v>14</v>
      </c>
      <c r="R1" s="18" t="s">
        <v>15</v>
      </c>
      <c r="S1" s="18" t="s">
        <v>35</v>
      </c>
      <c r="T1" s="18" t="s">
        <v>29</v>
      </c>
      <c r="V1" s="67" t="s">
        <v>166</v>
      </c>
      <c r="W1" s="67"/>
    </row>
    <row r="2" spans="1:23" s="20" customFormat="1" x14ac:dyDescent="0.35">
      <c r="A2" s="19" t="s">
        <v>42</v>
      </c>
      <c r="B2" s="19">
        <v>22000</v>
      </c>
      <c r="C2" s="19">
        <v>51166</v>
      </c>
      <c r="D2" s="19">
        <v>2500</v>
      </c>
      <c r="E2" s="19">
        <v>2000</v>
      </c>
      <c r="F2" s="19">
        <v>1100</v>
      </c>
      <c r="G2" s="19">
        <v>1000</v>
      </c>
      <c r="H2" s="19">
        <v>500</v>
      </c>
      <c r="I2" s="19">
        <v>7000</v>
      </c>
      <c r="J2" s="19">
        <v>500</v>
      </c>
      <c r="K2" s="19">
        <v>1200</v>
      </c>
      <c r="L2" s="19">
        <v>2000</v>
      </c>
      <c r="M2" s="19">
        <v>5000</v>
      </c>
      <c r="N2" s="19">
        <v>1500</v>
      </c>
      <c r="O2" s="19">
        <f>189+200+75</f>
        <v>464</v>
      </c>
      <c r="P2" s="19">
        <v>6500</v>
      </c>
      <c r="Q2" s="19">
        <v>8000</v>
      </c>
      <c r="R2" s="19">
        <v>20000</v>
      </c>
      <c r="S2" s="19"/>
      <c r="T2" s="22">
        <f>SUM(B2:R2)</f>
        <v>132430</v>
      </c>
      <c r="V2" s="34" t="s">
        <v>2</v>
      </c>
      <c r="W2" s="35">
        <f>B35</f>
        <v>20000</v>
      </c>
    </row>
    <row r="3" spans="1:23" s="23" customFormat="1" x14ac:dyDescent="0.35">
      <c r="A3" s="19" t="s">
        <v>18</v>
      </c>
      <c r="B3" s="19">
        <f t="shared" ref="B3:R3" si="0">B2-B35</f>
        <v>2000</v>
      </c>
      <c r="C3" s="19">
        <f t="shared" si="0"/>
        <v>0</v>
      </c>
      <c r="D3" s="19">
        <f t="shared" si="0"/>
        <v>2500</v>
      </c>
      <c r="E3" s="19">
        <f t="shared" si="0"/>
        <v>1238</v>
      </c>
      <c r="F3" s="19">
        <f t="shared" si="0"/>
        <v>400</v>
      </c>
      <c r="G3" s="19">
        <f t="shared" si="0"/>
        <v>570</v>
      </c>
      <c r="H3" s="19">
        <f t="shared" si="0"/>
        <v>4</v>
      </c>
      <c r="I3" s="19">
        <f t="shared" si="0"/>
        <v>3099</v>
      </c>
      <c r="J3" s="19">
        <f t="shared" si="0"/>
        <v>0</v>
      </c>
      <c r="K3" s="19">
        <f t="shared" si="0"/>
        <v>1200</v>
      </c>
      <c r="L3" s="19">
        <f t="shared" si="0"/>
        <v>-296</v>
      </c>
      <c r="M3" s="19">
        <f t="shared" si="0"/>
        <v>0</v>
      </c>
      <c r="N3" s="19">
        <f t="shared" si="0"/>
        <v>1500</v>
      </c>
      <c r="O3" s="19">
        <f t="shared" si="0"/>
        <v>190</v>
      </c>
      <c r="P3" s="19">
        <f t="shared" si="0"/>
        <v>-13881</v>
      </c>
      <c r="Q3" s="19">
        <f t="shared" si="0"/>
        <v>0</v>
      </c>
      <c r="R3" s="19">
        <f t="shared" si="0"/>
        <v>4058.4500000000007</v>
      </c>
      <c r="S3" s="19"/>
      <c r="T3" s="19">
        <f>SUM(B3:R3)</f>
        <v>2582.4500000000007</v>
      </c>
      <c r="V3" s="34" t="s">
        <v>3</v>
      </c>
      <c r="W3" s="35">
        <f>C35</f>
        <v>51166</v>
      </c>
    </row>
    <row r="4" spans="1:23" s="23" customFormat="1" x14ac:dyDescent="0.35">
      <c r="A4" s="19" t="s">
        <v>44</v>
      </c>
      <c r="B4" s="19">
        <f>((B2-B3)/B2)*100</f>
        <v>90.909090909090907</v>
      </c>
      <c r="C4" s="19">
        <f t="shared" ref="C4:T4" si="1">((C2-C3)/C2)*100</f>
        <v>100</v>
      </c>
      <c r="D4" s="19">
        <f t="shared" si="1"/>
        <v>0</v>
      </c>
      <c r="E4" s="19">
        <f t="shared" si="1"/>
        <v>38.1</v>
      </c>
      <c r="F4" s="19">
        <f t="shared" si="1"/>
        <v>63.636363636363633</v>
      </c>
      <c r="G4" s="19">
        <f t="shared" si="1"/>
        <v>43</v>
      </c>
      <c r="H4" s="19">
        <f t="shared" si="1"/>
        <v>99.2</v>
      </c>
      <c r="I4" s="19">
        <f t="shared" si="1"/>
        <v>55.728571428571428</v>
      </c>
      <c r="J4" s="19">
        <f t="shared" si="1"/>
        <v>100</v>
      </c>
      <c r="K4" s="19">
        <f t="shared" si="1"/>
        <v>0</v>
      </c>
      <c r="L4" s="19">
        <f t="shared" si="1"/>
        <v>114.8</v>
      </c>
      <c r="M4" s="19">
        <f t="shared" si="1"/>
        <v>100</v>
      </c>
      <c r="N4" s="19">
        <f t="shared" si="1"/>
        <v>0</v>
      </c>
      <c r="O4" s="19">
        <f t="shared" si="1"/>
        <v>59.051724137931039</v>
      </c>
      <c r="P4" s="19">
        <f t="shared" si="1"/>
        <v>313.55384615384617</v>
      </c>
      <c r="Q4" s="19">
        <f t="shared" si="1"/>
        <v>100</v>
      </c>
      <c r="R4" s="21">
        <f t="shared" si="1"/>
        <v>79.707750000000004</v>
      </c>
      <c r="S4" s="19"/>
      <c r="T4" s="21">
        <f t="shared" si="1"/>
        <v>98.049950917465836</v>
      </c>
      <c r="V4" s="34" t="s">
        <v>4</v>
      </c>
      <c r="W4" s="35">
        <f>D35</f>
        <v>0</v>
      </c>
    </row>
    <row r="5" spans="1:23" x14ac:dyDescent="0.35">
      <c r="A5" s="17">
        <v>45231</v>
      </c>
      <c r="B5" s="2">
        <v>20000</v>
      </c>
      <c r="C5" s="2"/>
      <c r="D5" s="2"/>
      <c r="E5" s="2"/>
      <c r="F5" s="2">
        <v>700</v>
      </c>
      <c r="G5" s="2"/>
      <c r="H5" s="2"/>
      <c r="I5" s="2">
        <f>165+20</f>
        <v>185</v>
      </c>
      <c r="J5" s="2"/>
      <c r="K5" s="2"/>
      <c r="L5" s="2"/>
      <c r="M5" s="2">
        <v>5000</v>
      </c>
      <c r="N5" s="2"/>
      <c r="O5" s="2"/>
      <c r="P5" s="2"/>
      <c r="Q5" s="2"/>
      <c r="R5" s="2"/>
      <c r="S5" s="2"/>
      <c r="T5" s="2">
        <f>SUM(B5:R5)</f>
        <v>25885</v>
      </c>
      <c r="V5" s="34" t="s">
        <v>5</v>
      </c>
      <c r="W5" s="36">
        <f>E35</f>
        <v>762</v>
      </c>
    </row>
    <row r="6" spans="1:23" x14ac:dyDescent="0.35">
      <c r="A6" s="17">
        <v>45232</v>
      </c>
      <c r="B6" s="2"/>
      <c r="C6" s="2"/>
      <c r="D6" s="2"/>
      <c r="E6" s="2"/>
      <c r="F6" s="2"/>
      <c r="G6" s="2">
        <f>50+50</f>
        <v>100</v>
      </c>
      <c r="H6" s="2"/>
      <c r="I6" s="2">
        <f>65+2000</f>
        <v>2065</v>
      </c>
      <c r="J6" s="2"/>
      <c r="K6" s="2"/>
      <c r="L6" s="2"/>
      <c r="M6" s="2"/>
      <c r="N6" s="2"/>
      <c r="O6" s="2"/>
      <c r="P6" s="2"/>
      <c r="Q6" s="2">
        <v>8000</v>
      </c>
      <c r="R6" s="2">
        <v>210</v>
      </c>
      <c r="S6" s="2"/>
      <c r="T6" s="2">
        <f>SUM(B6:R6)</f>
        <v>10375</v>
      </c>
      <c r="V6" s="34" t="s">
        <v>6</v>
      </c>
      <c r="W6" s="36">
        <f>F35</f>
        <v>700</v>
      </c>
    </row>
    <row r="7" spans="1:23" x14ac:dyDescent="0.35">
      <c r="A7" s="17">
        <v>45233</v>
      </c>
      <c r="B7" s="2"/>
      <c r="C7" s="2"/>
      <c r="D7" s="2"/>
      <c r="E7" s="2"/>
      <c r="F7" s="2"/>
      <c r="G7" s="2"/>
      <c r="H7" s="2"/>
      <c r="I7" s="2">
        <f>70+30</f>
        <v>100</v>
      </c>
      <c r="J7" s="2"/>
      <c r="K7" s="2"/>
      <c r="L7" s="2"/>
      <c r="M7" s="2"/>
      <c r="N7" s="2"/>
      <c r="O7" s="2"/>
      <c r="P7" s="2"/>
      <c r="Q7" s="2"/>
      <c r="R7" s="2"/>
      <c r="S7" s="2"/>
      <c r="T7" s="2">
        <f t="shared" ref="T7:T34" si="2">SUM(B7:R7)</f>
        <v>100</v>
      </c>
      <c r="V7" s="34" t="s">
        <v>7</v>
      </c>
      <c r="W7" s="36">
        <f>G35</f>
        <v>430</v>
      </c>
    </row>
    <row r="8" spans="1:23" x14ac:dyDescent="0.35">
      <c r="A8" s="17">
        <v>45234</v>
      </c>
      <c r="B8" s="2"/>
      <c r="C8" s="2"/>
      <c r="D8" s="2"/>
      <c r="E8" s="2"/>
      <c r="F8" s="2"/>
      <c r="G8" s="2">
        <v>50</v>
      </c>
      <c r="H8" s="2"/>
      <c r="I8" s="2"/>
      <c r="J8" s="2"/>
      <c r="K8" s="2"/>
      <c r="L8" s="2">
        <f>70+125+180</f>
        <v>375</v>
      </c>
      <c r="M8" s="2"/>
      <c r="N8" s="2"/>
      <c r="O8" s="2"/>
      <c r="P8" s="2"/>
      <c r="Q8" s="2"/>
      <c r="R8" s="2">
        <v>99</v>
      </c>
      <c r="S8" s="2" t="s">
        <v>101</v>
      </c>
      <c r="T8" s="2">
        <f t="shared" si="2"/>
        <v>524</v>
      </c>
      <c r="V8" s="34" t="s">
        <v>8</v>
      </c>
      <c r="W8" s="36">
        <f>H35</f>
        <v>496</v>
      </c>
    </row>
    <row r="9" spans="1:23" x14ac:dyDescent="0.35">
      <c r="A9" s="17">
        <v>45235</v>
      </c>
      <c r="B9" s="2"/>
      <c r="C9" s="2">
        <v>51166</v>
      </c>
      <c r="D9" s="2"/>
      <c r="E9" s="2"/>
      <c r="F9" s="2"/>
      <c r="G9" s="2">
        <v>50</v>
      </c>
      <c r="H9" s="2"/>
      <c r="I9" s="2">
        <f>25+70</f>
        <v>95</v>
      </c>
      <c r="J9" s="2"/>
      <c r="K9" s="2"/>
      <c r="L9" s="2">
        <v>320</v>
      </c>
      <c r="M9" s="2"/>
      <c r="N9" s="2"/>
      <c r="O9" s="2"/>
      <c r="P9" s="2"/>
      <c r="Q9" s="2"/>
      <c r="R9" s="2">
        <v>370</v>
      </c>
      <c r="S9" s="2" t="s">
        <v>100</v>
      </c>
      <c r="T9" s="2">
        <f t="shared" si="2"/>
        <v>52001</v>
      </c>
      <c r="V9" s="34" t="s">
        <v>9</v>
      </c>
      <c r="W9" s="36">
        <f>I35</f>
        <v>3901</v>
      </c>
    </row>
    <row r="10" spans="1:23" x14ac:dyDescent="0.35">
      <c r="A10" s="17">
        <v>45236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 t="shared" si="2"/>
        <v>0</v>
      </c>
      <c r="V10" s="34" t="s">
        <v>10</v>
      </c>
      <c r="W10" s="36">
        <f>J35</f>
        <v>500</v>
      </c>
    </row>
    <row r="11" spans="1:23" ht="29" x14ac:dyDescent="0.35">
      <c r="A11" s="17">
        <v>45237</v>
      </c>
      <c r="B11" s="2"/>
      <c r="C11" s="2"/>
      <c r="D11" s="2"/>
      <c r="E11" s="2"/>
      <c r="F11" s="2"/>
      <c r="G11" s="2">
        <v>50</v>
      </c>
      <c r="H11" s="2"/>
      <c r="I11" s="2">
        <v>160</v>
      </c>
      <c r="J11" s="2"/>
      <c r="K11" s="2"/>
      <c r="L11" s="2"/>
      <c r="M11" s="2"/>
      <c r="N11" s="2"/>
      <c r="O11" s="2"/>
      <c r="P11" s="2"/>
      <c r="Q11" s="2"/>
      <c r="R11" s="2">
        <f>1631+161+199</f>
        <v>1991</v>
      </c>
      <c r="S11" s="15" t="s">
        <v>102</v>
      </c>
      <c r="T11" s="2">
        <f t="shared" si="2"/>
        <v>2201</v>
      </c>
      <c r="V11" s="34" t="s">
        <v>11</v>
      </c>
      <c r="W11" s="36">
        <f>K35</f>
        <v>0</v>
      </c>
    </row>
    <row r="12" spans="1:23" x14ac:dyDescent="0.35">
      <c r="A12" s="17">
        <v>45238</v>
      </c>
      <c r="B12" s="2"/>
      <c r="C12" s="2"/>
      <c r="D12" s="2"/>
      <c r="E12" s="2"/>
      <c r="F12" s="2"/>
      <c r="G12" s="2"/>
      <c r="H12" s="2"/>
      <c r="I12" s="2">
        <v>130</v>
      </c>
      <c r="J12" s="2"/>
      <c r="K12" s="2"/>
      <c r="L12" s="2"/>
      <c r="M12" s="2"/>
      <c r="N12" s="2"/>
      <c r="O12" s="2"/>
      <c r="P12" s="2"/>
      <c r="Q12" s="2"/>
      <c r="R12" s="2">
        <v>2500</v>
      </c>
      <c r="S12" s="2" t="s">
        <v>103</v>
      </c>
      <c r="T12" s="2">
        <f t="shared" si="2"/>
        <v>2630</v>
      </c>
      <c r="V12" s="34" t="s">
        <v>12</v>
      </c>
      <c r="W12" s="36">
        <f>L35</f>
        <v>2296</v>
      </c>
    </row>
    <row r="13" spans="1:23" x14ac:dyDescent="0.35">
      <c r="A13" s="17">
        <v>45239</v>
      </c>
      <c r="B13" s="2"/>
      <c r="C13" s="2"/>
      <c r="D13" s="2"/>
      <c r="E13" s="2"/>
      <c r="F13" s="2"/>
      <c r="G13" s="2">
        <v>50</v>
      </c>
      <c r="H13" s="2"/>
      <c r="I13" s="2">
        <f>55+30</f>
        <v>85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2"/>
        <v>135</v>
      </c>
      <c r="V13" s="34" t="s">
        <v>13</v>
      </c>
      <c r="W13" s="36">
        <f>M35</f>
        <v>5000</v>
      </c>
    </row>
    <row r="14" spans="1:23" x14ac:dyDescent="0.35">
      <c r="A14" s="17">
        <v>45240</v>
      </c>
      <c r="B14" s="2"/>
      <c r="C14" s="2"/>
      <c r="D14" s="2"/>
      <c r="E14" s="2"/>
      <c r="F14" s="2"/>
      <c r="G14" s="2"/>
      <c r="H14" s="2"/>
      <c r="I14">
        <v>20</v>
      </c>
      <c r="J14" s="2"/>
      <c r="K14" s="2"/>
      <c r="L14" s="2"/>
      <c r="M14" s="2"/>
      <c r="N14" s="2"/>
      <c r="O14" s="2"/>
      <c r="P14" s="2"/>
      <c r="Q14" s="2"/>
      <c r="R14" s="2">
        <v>414</v>
      </c>
      <c r="S14" s="2" t="s">
        <v>51</v>
      </c>
      <c r="T14" s="2">
        <f>SUM(B14:R14)</f>
        <v>434</v>
      </c>
      <c r="V14" s="34" t="s">
        <v>16</v>
      </c>
      <c r="W14" s="36">
        <f>N35</f>
        <v>0</v>
      </c>
    </row>
    <row r="15" spans="1:23" x14ac:dyDescent="0.35">
      <c r="A15" s="17">
        <v>45241</v>
      </c>
      <c r="B15" s="2"/>
      <c r="C15" s="2"/>
      <c r="D15" s="2"/>
      <c r="E15" s="2"/>
      <c r="F15" s="2"/>
      <c r="G15" s="2"/>
      <c r="H15" s="2"/>
      <c r="I15" s="2">
        <v>30</v>
      </c>
      <c r="J15" s="2"/>
      <c r="K15" s="2"/>
      <c r="L15" s="2">
        <f>200+240</f>
        <v>440</v>
      </c>
      <c r="M15" s="2"/>
      <c r="N15" s="2"/>
      <c r="O15" s="2">
        <v>199</v>
      </c>
      <c r="P15" s="2">
        <v>7500</v>
      </c>
      <c r="Q15" s="2"/>
      <c r="R15">
        <f>215+430</f>
        <v>645</v>
      </c>
      <c r="S15" s="27" t="s">
        <v>105</v>
      </c>
      <c r="T15" s="2">
        <f t="shared" si="2"/>
        <v>8814</v>
      </c>
      <c r="V15" s="34" t="s">
        <v>43</v>
      </c>
      <c r="W15" s="36">
        <f>O35</f>
        <v>274</v>
      </c>
    </row>
    <row r="16" spans="1:23" x14ac:dyDescent="0.35">
      <c r="A16" s="17">
        <v>45242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>
        <f>330+15+50</f>
        <v>395</v>
      </c>
      <c r="S16" s="15" t="s">
        <v>106</v>
      </c>
      <c r="T16" s="2">
        <f>SUM(B16:Q16)</f>
        <v>0</v>
      </c>
      <c r="V16" s="34" t="s">
        <v>64</v>
      </c>
      <c r="W16" s="36">
        <f>P35</f>
        <v>20381</v>
      </c>
    </row>
    <row r="17" spans="1:23" x14ac:dyDescent="0.35">
      <c r="A17" s="17">
        <v>45243</v>
      </c>
      <c r="B17" s="2"/>
      <c r="C17" s="2"/>
      <c r="D17" s="2"/>
      <c r="E17" s="2"/>
      <c r="F17" s="2"/>
      <c r="G17" s="2"/>
      <c r="H17" s="2"/>
      <c r="I17" s="2"/>
      <c r="J17" s="2">
        <v>200</v>
      </c>
      <c r="K17" s="2"/>
      <c r="L17" s="2"/>
      <c r="M17" s="2"/>
      <c r="N17" s="2"/>
      <c r="O17" s="2"/>
      <c r="P17" s="2"/>
      <c r="Q17" s="2"/>
      <c r="R17" s="2">
        <v>1100</v>
      </c>
      <c r="S17" s="2" t="s">
        <v>112</v>
      </c>
      <c r="T17" s="2">
        <f t="shared" si="2"/>
        <v>1300</v>
      </c>
      <c r="V17" s="34" t="s">
        <v>14</v>
      </c>
      <c r="W17" s="36">
        <f>Q35</f>
        <v>8000</v>
      </c>
    </row>
    <row r="18" spans="1:23" x14ac:dyDescent="0.35">
      <c r="A18" s="17">
        <v>45244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>
        <f t="shared" si="2"/>
        <v>0</v>
      </c>
      <c r="V18" s="34" t="s">
        <v>15</v>
      </c>
      <c r="W18" s="36">
        <f>R35</f>
        <v>15941.55</v>
      </c>
    </row>
    <row r="19" spans="1:23" x14ac:dyDescent="0.35">
      <c r="A19" s="17">
        <v>45245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v>10000</v>
      </c>
      <c r="Q19" s="2"/>
      <c r="R19" s="2">
        <f>228+150</f>
        <v>378</v>
      </c>
      <c r="S19" s="15" t="s">
        <v>107</v>
      </c>
      <c r="T19" s="2">
        <f t="shared" si="2"/>
        <v>10378</v>
      </c>
    </row>
    <row r="20" spans="1:23" x14ac:dyDescent="0.35">
      <c r="A20" s="17">
        <v>45246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2881</v>
      </c>
      <c r="Q20" s="2"/>
      <c r="R20" s="2"/>
      <c r="S20" s="2" t="s">
        <v>51</v>
      </c>
      <c r="T20" s="2">
        <f t="shared" si="2"/>
        <v>2881</v>
      </c>
    </row>
    <row r="21" spans="1:23" x14ac:dyDescent="0.35">
      <c r="A21" s="17">
        <v>45247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66</v>
      </c>
      <c r="S21" s="2" t="s">
        <v>8</v>
      </c>
      <c r="T21" s="2">
        <f t="shared" si="2"/>
        <v>66</v>
      </c>
    </row>
    <row r="22" spans="1:23" x14ac:dyDescent="0.35">
      <c r="A22" s="17">
        <v>45248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1560</v>
      </c>
      <c r="S22" s="15" t="s">
        <v>108</v>
      </c>
      <c r="T22" s="2">
        <f t="shared" si="2"/>
        <v>1560</v>
      </c>
    </row>
    <row r="23" spans="1:23" x14ac:dyDescent="0.35">
      <c r="A23" s="17">
        <v>45249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>
        <v>350</v>
      </c>
      <c r="S23" s="2" t="s">
        <v>113</v>
      </c>
      <c r="T23" s="2">
        <f t="shared" si="2"/>
        <v>350</v>
      </c>
    </row>
    <row r="24" spans="1:23" x14ac:dyDescent="0.35">
      <c r="A24" s="17">
        <v>45250</v>
      </c>
      <c r="B24" s="2"/>
      <c r="C24" s="2"/>
      <c r="D24" s="2"/>
      <c r="E24" s="2"/>
      <c r="F24" s="2"/>
      <c r="G24" s="2">
        <v>30</v>
      </c>
      <c r="H24" s="2"/>
      <c r="I24" s="2">
        <f>170+318+83</f>
        <v>571</v>
      </c>
      <c r="J24" s="2"/>
      <c r="K24" s="2"/>
      <c r="L24" s="2">
        <v>230</v>
      </c>
      <c r="M24" s="2"/>
      <c r="N24" s="2"/>
      <c r="O24" s="2"/>
      <c r="P24" s="2"/>
      <c r="Q24" s="2"/>
      <c r="R24" s="2">
        <v>95</v>
      </c>
      <c r="S24" s="2" t="s">
        <v>109</v>
      </c>
      <c r="T24" s="2">
        <f t="shared" si="2"/>
        <v>926</v>
      </c>
    </row>
    <row r="25" spans="1:23" x14ac:dyDescent="0.35">
      <c r="A25" s="17">
        <v>45251</v>
      </c>
      <c r="B25" s="2"/>
      <c r="C25" s="2"/>
      <c r="D25" s="2"/>
      <c r="E25" s="2"/>
      <c r="F25" s="2"/>
      <c r="G25" s="2"/>
      <c r="H25" s="2"/>
      <c r="I25" s="2">
        <v>50</v>
      </c>
      <c r="J25" s="2"/>
      <c r="K25" s="2"/>
      <c r="L25" s="2"/>
      <c r="M25" s="2"/>
      <c r="N25" s="2"/>
      <c r="O25" s="2"/>
      <c r="P25" s="2"/>
      <c r="Q25" s="2"/>
      <c r="R25" s="2">
        <v>508.55</v>
      </c>
      <c r="S25" s="2" t="s">
        <v>51</v>
      </c>
      <c r="T25" s="2">
        <f t="shared" si="2"/>
        <v>558.54999999999995</v>
      </c>
    </row>
    <row r="26" spans="1:23" x14ac:dyDescent="0.35">
      <c r="A26" s="17">
        <v>45252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f t="shared" si="2"/>
        <v>0</v>
      </c>
    </row>
    <row r="27" spans="1:23" x14ac:dyDescent="0.35">
      <c r="A27" s="17">
        <v>45253</v>
      </c>
      <c r="B27" s="2"/>
      <c r="C27" s="2"/>
      <c r="D27" s="2"/>
      <c r="E27" s="2">
        <v>762</v>
      </c>
      <c r="F27" s="2"/>
      <c r="G27" s="2"/>
      <c r="H27" s="2"/>
      <c r="I27" s="2">
        <v>30</v>
      </c>
      <c r="J27" s="2"/>
      <c r="K27" s="2"/>
      <c r="L27" s="2"/>
      <c r="M27" s="2"/>
      <c r="N27" s="2"/>
      <c r="O27" s="2">
        <v>75</v>
      </c>
      <c r="P27" s="2"/>
      <c r="Q27" s="2"/>
      <c r="R27" s="2">
        <v>4000</v>
      </c>
      <c r="S27" s="2" t="s">
        <v>103</v>
      </c>
      <c r="T27" s="2">
        <f t="shared" si="2"/>
        <v>4867</v>
      </c>
    </row>
    <row r="28" spans="1:23" x14ac:dyDescent="0.35">
      <c r="A28" s="17">
        <v>45254</v>
      </c>
      <c r="B28" s="2"/>
      <c r="C28" s="2"/>
      <c r="D28" s="2"/>
      <c r="E28" s="2"/>
      <c r="F28" s="2"/>
      <c r="G28" s="2"/>
      <c r="H28" s="2"/>
      <c r="I28" s="2">
        <v>60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>
        <f t="shared" si="2"/>
        <v>60</v>
      </c>
    </row>
    <row r="29" spans="1:23" x14ac:dyDescent="0.35">
      <c r="A29" s="17">
        <v>45255</v>
      </c>
      <c r="B29" s="2"/>
      <c r="C29" s="2"/>
      <c r="D29" s="2"/>
      <c r="E29" s="2"/>
      <c r="F29" s="2"/>
      <c r="G29" s="2"/>
      <c r="H29" s="2"/>
      <c r="I29" s="2">
        <v>60</v>
      </c>
      <c r="J29" s="2"/>
      <c r="K29" s="2"/>
      <c r="L29" s="2">
        <v>333</v>
      </c>
      <c r="M29" s="2"/>
      <c r="N29" s="2"/>
      <c r="O29" s="2"/>
      <c r="P29" s="2"/>
      <c r="Q29" s="2"/>
      <c r="R29" s="2"/>
      <c r="S29" s="2"/>
      <c r="T29" s="2">
        <f t="shared" si="2"/>
        <v>393</v>
      </c>
    </row>
    <row r="30" spans="1:23" x14ac:dyDescent="0.35">
      <c r="A30" s="17">
        <v>45256</v>
      </c>
      <c r="B30" s="2"/>
      <c r="C30" s="2"/>
      <c r="D30" s="2"/>
      <c r="E30" s="2"/>
      <c r="F30" s="2"/>
      <c r="G30" s="2">
        <v>50</v>
      </c>
      <c r="H30" s="2">
        <v>496</v>
      </c>
      <c r="I30" s="2">
        <f>65+90+35+70</f>
        <v>260</v>
      </c>
      <c r="J30" s="2">
        <v>300</v>
      </c>
      <c r="K30" s="2"/>
      <c r="L30" s="2">
        <f>42+126+120+100+120</f>
        <v>508</v>
      </c>
      <c r="M30" s="2"/>
      <c r="N30" s="2"/>
      <c r="O30" s="2"/>
      <c r="P30" s="2"/>
      <c r="Q30" s="2"/>
      <c r="R30" s="2">
        <f>70+1000+70+90+30</f>
        <v>1260</v>
      </c>
      <c r="S30" s="28" t="s">
        <v>111</v>
      </c>
      <c r="T30" s="2">
        <f t="shared" si="2"/>
        <v>2874</v>
      </c>
    </row>
    <row r="31" spans="1:23" x14ac:dyDescent="0.35">
      <c r="A31" s="17">
        <v>45257</v>
      </c>
      <c r="B31" s="2"/>
      <c r="C31" s="2"/>
      <c r="D31" s="2"/>
      <c r="E31" s="2"/>
      <c r="F31" s="2"/>
      <c r="G31" s="2">
        <v>50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>
        <f t="shared" si="2"/>
        <v>50</v>
      </c>
    </row>
    <row r="32" spans="1:23" x14ac:dyDescent="0.35">
      <c r="A32" s="17">
        <v>45258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f t="shared" si="2"/>
        <v>0</v>
      </c>
    </row>
    <row r="33" spans="1:20" x14ac:dyDescent="0.35">
      <c r="A33" s="17">
        <v>45259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>
        <v>90</v>
      </c>
      <c r="M33" s="2"/>
      <c r="N33" s="2"/>
      <c r="O33" s="2"/>
      <c r="P33" s="2"/>
      <c r="Q33" s="2"/>
      <c r="R33" s="2"/>
      <c r="S33" s="2"/>
      <c r="T33" s="2">
        <f t="shared" si="2"/>
        <v>90</v>
      </c>
    </row>
    <row r="34" spans="1:20" x14ac:dyDescent="0.35">
      <c r="A34" s="17">
        <v>45260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>
        <f t="shared" si="2"/>
        <v>0</v>
      </c>
    </row>
    <row r="35" spans="1:20" x14ac:dyDescent="0.35">
      <c r="A35" s="16" t="s">
        <v>29</v>
      </c>
      <c r="B35" s="16">
        <f t="shared" ref="B35:P35" si="3">SUM(B5:B34)</f>
        <v>20000</v>
      </c>
      <c r="C35" s="16">
        <f t="shared" si="3"/>
        <v>51166</v>
      </c>
      <c r="D35" s="16">
        <f t="shared" si="3"/>
        <v>0</v>
      </c>
      <c r="E35" s="16">
        <f t="shared" si="3"/>
        <v>762</v>
      </c>
      <c r="F35" s="16">
        <f t="shared" si="3"/>
        <v>700</v>
      </c>
      <c r="G35" s="16">
        <f t="shared" si="3"/>
        <v>430</v>
      </c>
      <c r="H35" s="16">
        <f t="shared" si="3"/>
        <v>496</v>
      </c>
      <c r="I35" s="16">
        <f t="shared" si="3"/>
        <v>3901</v>
      </c>
      <c r="J35" s="16">
        <f t="shared" si="3"/>
        <v>500</v>
      </c>
      <c r="K35" s="16">
        <f t="shared" si="3"/>
        <v>0</v>
      </c>
      <c r="L35" s="16">
        <f t="shared" si="3"/>
        <v>2296</v>
      </c>
      <c r="M35" s="16">
        <f t="shared" si="3"/>
        <v>5000</v>
      </c>
      <c r="N35" s="16">
        <f t="shared" si="3"/>
        <v>0</v>
      </c>
      <c r="O35" s="16">
        <f t="shared" si="3"/>
        <v>274</v>
      </c>
      <c r="P35" s="16">
        <f t="shared" si="3"/>
        <v>20381</v>
      </c>
      <c r="Q35" s="16">
        <f>SUM(Q5:Q34)</f>
        <v>8000</v>
      </c>
      <c r="R35" s="16">
        <f>SUM(R5:R34)</f>
        <v>15941.55</v>
      </c>
      <c r="S35" s="16"/>
      <c r="T35" s="2"/>
    </row>
    <row r="37" spans="1:20" x14ac:dyDescent="0.35">
      <c r="A37" s="24" t="s">
        <v>46</v>
      </c>
      <c r="B37" s="2">
        <v>153332</v>
      </c>
    </row>
    <row r="38" spans="1:20" x14ac:dyDescent="0.35">
      <c r="A38" s="24" t="s">
        <v>17</v>
      </c>
      <c r="B38" s="2">
        <f>SUM(B2:R2)-M2</f>
        <v>127430</v>
      </c>
    </row>
    <row r="39" spans="1:20" x14ac:dyDescent="0.35">
      <c r="A39" s="24" t="s">
        <v>47</v>
      </c>
      <c r="B39" s="2">
        <f>SUM(T5:T34)-M35</f>
        <v>124452.55</v>
      </c>
    </row>
    <row r="40" spans="1:20" x14ac:dyDescent="0.35">
      <c r="A40" s="24" t="s">
        <v>18</v>
      </c>
      <c r="B40" s="2">
        <f>B38-B39</f>
        <v>2977.4499999999971</v>
      </c>
    </row>
    <row r="41" spans="1:20" x14ac:dyDescent="0.35">
      <c r="A41" s="24" t="s">
        <v>34</v>
      </c>
      <c r="B41" s="2">
        <f>B37-SUM(B35:R35)</f>
        <v>23484.449999999997</v>
      </c>
    </row>
    <row r="42" spans="1:20" x14ac:dyDescent="0.35">
      <c r="A42" s="24" t="s">
        <v>83</v>
      </c>
      <c r="B42" s="2">
        <f>SUM(D35:L35)+SUM(N35:R35)</f>
        <v>53681.55</v>
      </c>
    </row>
    <row r="43" spans="1:20" x14ac:dyDescent="0.35">
      <c r="A43" s="32" t="s">
        <v>162</v>
      </c>
      <c r="B43">
        <f>B37-B42</f>
        <v>99650.45</v>
      </c>
    </row>
  </sheetData>
  <mergeCells count="1">
    <mergeCell ref="V1:W1"/>
  </mergeCells>
  <conditionalFormatting sqref="B4:R4">
    <cfRule type="cellIs" dxfId="41" priority="1" operator="greaterThan">
      <formula>99</formula>
    </cfRule>
    <cfRule type="cellIs" dxfId="40" priority="2" operator="between">
      <formula>51</formula>
      <formula>99</formula>
    </cfRule>
    <cfRule type="cellIs" dxfId="39" priority="3" operator="lessThan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Mussorie_Trip_2024</vt:lpstr>
      <vt:lpstr>Mandarmani Trip</vt:lpstr>
      <vt:lpstr>Other Expenses</vt:lpstr>
      <vt:lpstr>June_2023</vt:lpstr>
      <vt:lpstr>July_2023</vt:lpstr>
      <vt:lpstr>Oct_2023</vt:lpstr>
      <vt:lpstr>Aug_2023</vt:lpstr>
      <vt:lpstr>Sep_2023</vt:lpstr>
      <vt:lpstr>Nov_2023</vt:lpstr>
      <vt:lpstr>Dec_2023</vt:lpstr>
      <vt:lpstr>Jan_2024</vt:lpstr>
      <vt:lpstr>Feb_2024</vt:lpstr>
      <vt:lpstr>Mar_2024</vt:lpstr>
      <vt:lpstr>Apr_2024</vt:lpstr>
      <vt:lpstr>May_2024</vt:lpstr>
      <vt:lpstr>June_2024</vt:lpstr>
      <vt:lpstr>July_2024</vt:lpstr>
      <vt:lpstr>Aug_2024</vt:lpstr>
      <vt:lpstr>Sept_2024</vt:lpstr>
      <vt:lpstr>Oct_2024</vt:lpstr>
      <vt:lpstr>Nov_2024</vt:lpstr>
      <vt:lpstr>Dec_2024</vt:lpstr>
      <vt:lpstr>Summary</vt:lpstr>
      <vt:lpstr>Month_Wise_Savings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Ghosal</dc:creator>
  <cp:lastModifiedBy>Rakesh Ghosal</cp:lastModifiedBy>
  <dcterms:created xsi:type="dcterms:W3CDTF">2023-05-31T08:02:12Z</dcterms:created>
  <dcterms:modified xsi:type="dcterms:W3CDTF">2025-04-07T13:53:50Z</dcterms:modified>
</cp:coreProperties>
</file>