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GitHub\PhoenixTools\"/>
    </mc:Choice>
  </mc:AlternateContent>
  <xr:revisionPtr revIDLastSave="0" documentId="13_ncr:1_{55954796-6F9C-4C5B-B51B-EF47495A00CA}" xr6:coauthVersionLast="36" xr6:coauthVersionMax="36" xr10:uidLastSave="{00000000-0000-0000-0000-000000000000}"/>
  <bookViews>
    <workbookView xWindow="0" yWindow="0" windowWidth="21600" windowHeight="9525" xr2:uid="{3A4AF54F-C135-40A6-864C-09529CEE8C41}"/>
  </bookViews>
  <sheets>
    <sheet name="Cost To Company" sheetId="1" r:id="rId1"/>
    <sheet name="ITEM LIST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18" i="1" l="1"/>
  <c r="AD17" i="1"/>
  <c r="AD16" i="1"/>
  <c r="AD15" i="1"/>
  <c r="AC14" i="1"/>
  <c r="AD14" i="1" s="1"/>
  <c r="AD13" i="1"/>
  <c r="AB13" i="1"/>
  <c r="AD12" i="1"/>
  <c r="AD11" i="1"/>
  <c r="AD10" i="1"/>
  <c r="AD9" i="1"/>
  <c r="AD8" i="1"/>
  <c r="AD7" i="1"/>
  <c r="AD6" i="1"/>
  <c r="AD5" i="1"/>
  <c r="AD4" i="1"/>
  <c r="Z5" i="1"/>
  <c r="Z6" i="1"/>
  <c r="Z7" i="1"/>
  <c r="Z8" i="1"/>
  <c r="Z9" i="1"/>
  <c r="Z4" i="1"/>
  <c r="M9" i="1" l="1"/>
  <c r="I9" i="1"/>
  <c r="Y10" i="1"/>
  <c r="Y11" i="1"/>
  <c r="Y12" i="1"/>
  <c r="Y13" i="1"/>
  <c r="Y14" i="1"/>
  <c r="Y15" i="1"/>
  <c r="X10" i="1"/>
  <c r="X11" i="1"/>
  <c r="X12" i="1"/>
  <c r="X13" i="1"/>
  <c r="X14" i="1"/>
  <c r="X15" i="1"/>
  <c r="S9" i="1" l="1"/>
  <c r="K9" i="1"/>
  <c r="K8" i="1"/>
  <c r="I8" i="1"/>
  <c r="G9" i="1"/>
  <c r="J9" i="1"/>
  <c r="L9" i="1" s="1"/>
  <c r="F21" i="2"/>
  <c r="F22" i="2"/>
  <c r="F23" i="2"/>
  <c r="F24" i="2"/>
  <c r="F25" i="2"/>
  <c r="F26" i="2"/>
  <c r="F20" i="2"/>
  <c r="F9" i="1"/>
  <c r="R9" i="1" l="1"/>
  <c r="P8" i="1"/>
  <c r="O8" i="1"/>
  <c r="N8" i="1"/>
  <c r="M10" i="1"/>
  <c r="M11" i="1"/>
  <c r="M8" i="1"/>
  <c r="M12" i="1"/>
  <c r="M13" i="1"/>
  <c r="J8" i="1"/>
  <c r="S8" i="1" s="1"/>
  <c r="G6" i="1"/>
  <c r="G7" i="1"/>
  <c r="G8" i="1"/>
  <c r="G10" i="1"/>
  <c r="G11" i="1"/>
  <c r="G12" i="1"/>
  <c r="G13" i="1"/>
  <c r="F8" i="1"/>
  <c r="G4" i="1"/>
  <c r="M5" i="1"/>
  <c r="M6" i="1"/>
  <c r="W14" i="1"/>
  <c r="W15" i="1"/>
  <c r="U7" i="1"/>
  <c r="U8" i="1"/>
  <c r="U9" i="1"/>
  <c r="U10" i="1"/>
  <c r="U11" i="1"/>
  <c r="U12" i="1"/>
  <c r="U13" i="1"/>
  <c r="U14" i="1"/>
  <c r="U15" i="1"/>
  <c r="P7" i="1"/>
  <c r="N7" i="1"/>
  <c r="M7" i="1"/>
  <c r="J7" i="1"/>
  <c r="I7" i="1"/>
  <c r="F7" i="1"/>
  <c r="R6" i="1"/>
  <c r="R5" i="1"/>
  <c r="G5" i="1"/>
  <c r="F6" i="1"/>
  <c r="F5" i="1"/>
  <c r="F4" i="1"/>
  <c r="F14" i="2"/>
  <c r="F15" i="2"/>
  <c r="F16" i="2"/>
  <c r="F17" i="2"/>
  <c r="F18" i="2"/>
  <c r="F19" i="2"/>
  <c r="C4" i="1"/>
  <c r="C5" i="1"/>
  <c r="U5" i="1"/>
  <c r="U6" i="1"/>
  <c r="U4" i="1"/>
  <c r="S6" i="1"/>
  <c r="M4" i="1"/>
  <c r="F3" i="2"/>
  <c r="F4" i="2"/>
  <c r="F5" i="2"/>
  <c r="F6" i="2"/>
  <c r="F7" i="2"/>
  <c r="F8" i="2"/>
  <c r="F9" i="2"/>
  <c r="F10" i="2"/>
  <c r="F11" i="2"/>
  <c r="F12" i="2"/>
  <c r="F13" i="2"/>
  <c r="L8" i="1" l="1"/>
  <c r="R8" i="1"/>
  <c r="R7" i="1"/>
  <c r="K7" i="1"/>
  <c r="L7" i="1"/>
  <c r="J4" i="1"/>
  <c r="V14" i="1" l="1"/>
  <c r="V15" i="1"/>
  <c r="P6" i="1"/>
  <c r="I6" i="1"/>
  <c r="J6" i="1"/>
  <c r="L6" i="1" l="1"/>
  <c r="K6" i="1"/>
  <c r="V11" i="1"/>
  <c r="W11" i="1" s="1"/>
  <c r="V12" i="1"/>
  <c r="W12" i="1" s="1"/>
  <c r="N4" i="1"/>
  <c r="H4" i="1"/>
  <c r="I4" i="1"/>
  <c r="O4" i="1"/>
  <c r="T4" i="1"/>
  <c r="P4" i="1"/>
  <c r="K4" i="1" l="1"/>
  <c r="L4" i="1"/>
  <c r="R4" i="1"/>
  <c r="S4" i="1"/>
  <c r="V13" i="1"/>
  <c r="W13" i="1" s="1"/>
  <c r="V10" i="1" l="1"/>
  <c r="W10" i="1" s="1"/>
  <c r="V9" i="1"/>
  <c r="W9" i="1" s="1"/>
  <c r="X9" i="1" s="1"/>
  <c r="Y9" i="1" s="1"/>
  <c r="V8" i="1"/>
  <c r="W8" i="1" s="1"/>
  <c r="X8" i="1" s="1"/>
  <c r="Y8" i="1" s="1"/>
  <c r="V7" i="1"/>
  <c r="W7" i="1" s="1"/>
  <c r="X7" i="1" s="1"/>
  <c r="Y7" i="1" s="1"/>
  <c r="V6" i="1" l="1"/>
  <c r="V5" i="1"/>
  <c r="V4" i="1"/>
  <c r="W4" i="1" l="1"/>
  <c r="X4" i="1" s="1"/>
  <c r="Y4" i="1" s="1"/>
  <c r="W6" i="1"/>
  <c r="X6" i="1" s="1"/>
  <c r="Y6" i="1" s="1"/>
  <c r="W5" i="1"/>
  <c r="X5" i="1" s="1"/>
  <c r="Y5" i="1" s="1"/>
</calcChain>
</file>

<file path=xl/sharedStrings.xml><?xml version="1.0" encoding="utf-8"?>
<sst xmlns="http://schemas.openxmlformats.org/spreadsheetml/2006/main" count="110" uniqueCount="73">
  <si>
    <t>TC60-112</t>
  </si>
  <si>
    <t>Mesh</t>
  </si>
  <si>
    <t>Fastner</t>
  </si>
  <si>
    <t>Total</t>
  </si>
  <si>
    <t>Cost</t>
  </si>
  <si>
    <t>Frame Cost</t>
  </si>
  <si>
    <t>TC60-5</t>
  </si>
  <si>
    <t>Sash Cost</t>
  </si>
  <si>
    <t>Glass Cost</t>
  </si>
  <si>
    <t xml:space="preserve">Item </t>
  </si>
  <si>
    <t>HANDLELOCK</t>
  </si>
  <si>
    <t>HANDLE</t>
  </si>
  <si>
    <t>SHORT NECK HANDLE</t>
  </si>
  <si>
    <t xml:space="preserve">GASKET </t>
  </si>
  <si>
    <t>WEATHER STRIP</t>
  </si>
  <si>
    <t>UNIT</t>
  </si>
  <si>
    <t>KG</t>
  </si>
  <si>
    <t>SQFT</t>
  </si>
  <si>
    <t>PIECE</t>
  </si>
  <si>
    <t>METER</t>
  </si>
  <si>
    <t>GI</t>
  </si>
  <si>
    <t>CONVERSION RATE</t>
  </si>
  <si>
    <t>PER METER COST</t>
  </si>
  <si>
    <t>TC60-8</t>
  </si>
  <si>
    <t>GLASS-6MM</t>
  </si>
  <si>
    <t>GLASS-8MM</t>
  </si>
  <si>
    <t>FRAME TYPE</t>
  </si>
  <si>
    <t>SASH TYPE</t>
  </si>
  <si>
    <t>4 WHEEL ROLLER</t>
  </si>
  <si>
    <t>2 WHEEL ROLLER</t>
  </si>
  <si>
    <t>4W ROLLER</t>
  </si>
  <si>
    <t>2W ROLLER</t>
  </si>
  <si>
    <t>GASKET</t>
  </si>
  <si>
    <t>GITC60-112</t>
  </si>
  <si>
    <t>GITC60-5</t>
  </si>
  <si>
    <t>GI FRAME COST</t>
  </si>
  <si>
    <t>GI SASH COST</t>
  </si>
  <si>
    <t>MESH</t>
  </si>
  <si>
    <t>FASTNER</t>
  </si>
  <si>
    <t>MISL</t>
  </si>
  <si>
    <t>PSF COST</t>
  </si>
  <si>
    <t>Beading</t>
  </si>
  <si>
    <t>Type</t>
  </si>
  <si>
    <t>3 Track-8mm</t>
  </si>
  <si>
    <t>SINGLE TRACK/FIXED</t>
  </si>
  <si>
    <t>PC60-1</t>
  </si>
  <si>
    <t>GIPC60-1</t>
  </si>
  <si>
    <t>PC60-9(BEADING)</t>
  </si>
  <si>
    <t>CASEMENT-window-IN</t>
  </si>
  <si>
    <t>PC60-7</t>
  </si>
  <si>
    <t>GIPC60-7</t>
  </si>
  <si>
    <t>15%P</t>
  </si>
  <si>
    <t>withGST&amp;Profit</t>
  </si>
  <si>
    <t>2 TRACK</t>
  </si>
  <si>
    <t>WIDTH</t>
  </si>
  <si>
    <t>HEIGHT</t>
  </si>
  <si>
    <t>TC-60-1</t>
  </si>
  <si>
    <t>TC60-8 (BEADING) 3/2TRACK</t>
  </si>
  <si>
    <t>TC60-1</t>
  </si>
  <si>
    <t>GITC60-1</t>
  </si>
  <si>
    <t>SASH HEIGHT</t>
  </si>
  <si>
    <t>SASH WIDTH</t>
  </si>
  <si>
    <t>2.5TRACK</t>
  </si>
  <si>
    <t>TC92-1</t>
  </si>
  <si>
    <t>TC60-4</t>
  </si>
  <si>
    <t>GITC60-4</t>
  </si>
  <si>
    <t>Double Side Villa</t>
  </si>
  <si>
    <t>PC60-22</t>
  </si>
  <si>
    <t>PC60-6</t>
  </si>
  <si>
    <t>GIPC60-22</t>
  </si>
  <si>
    <t>GIPC60-6</t>
  </si>
  <si>
    <t>PC60-9(Villa Beading)</t>
  </si>
  <si>
    <t>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</si>
</sst>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3" borderId="1" xfId="0" applyFont="1" applyFill="1" applyBorder="1"/>
    <xf numFmtId="0" fontId="0" fillId="0" borderId="1" xfId="0" applyFont="1" applyBorder="1"/>
    <xf numFmtId="0" fontId="0" fillId="0" borderId="2" xfId="0" applyFont="1" applyBorder="1"/>
    <xf numFmtId="0" fontId="1" fillId="2" borderId="1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0" fillId="3" borderId="4" xfId="0" applyFont="1" applyFill="1" applyBorder="1"/>
    <xf numFmtId="0" fontId="0" fillId="3" borderId="3" xfId="0" applyFont="1" applyFill="1" applyBorder="1"/>
    <xf numFmtId="0" fontId="0" fillId="0" borderId="4" xfId="0" applyFont="1" applyBorder="1"/>
    <xf numFmtId="0" fontId="1" fillId="2" borderId="2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0" fillId="3" borderId="5" xfId="0" applyFont="1" applyFill="1" applyBorder="1"/>
    <xf numFmtId="0" fontId="0" fillId="3" borderId="2" xfId="0" applyFont="1" applyFill="1" applyBorder="1"/>
    <xf numFmtId="0" fontId="0" fillId="3" borderId="6" xfId="0" applyFont="1" applyFill="1" applyBorder="1"/>
    <xf numFmtId="0" fontId="0" fillId="0" borderId="5" xfId="0" applyFont="1" applyBorder="1"/>
    <xf numFmtId="0" fontId="0" fillId="0" borderId="6" xfId="0" applyFont="1" applyBorder="1"/>
    <xf numFmtId="0" fontId="0" fillId="3" borderId="7" xfId="0" applyFont="1" applyFill="1" applyBorder="1"/>
    <xf numFmtId="0" fontId="0" fillId="3" borderId="0" xfId="0" applyFont="1" applyFill="1" applyBorder="1"/>
    <xf numFmtId="0" fontId="0" fillId="4" borderId="0" xfId="0" applyFill="1"/>
    <xf numFmtId="0" fontId="1" fillId="2" borderId="0" xfId="0" applyFont="1" applyFill="1" applyBorder="1"/>
    <xf numFmtId="0" fontId="0" fillId="0" borderId="7" xfId="0" applyFont="1" applyFill="1" applyBorder="1"/>
    <xf numFmtId="0" fontId="0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25413-3D1C-4364-BF5B-5EDF09FB8F88}">
  <dimension ref="B3:AD18"/>
  <sheetViews>
    <sheetView tabSelected="1" workbookViewId="0">
      <pane xSplit="5" topLeftCell="U1" activePane="topRight" state="frozen"/>
      <selection pane="topRight" activeCell="L4" sqref="L4"/>
    </sheetView>
  </sheetViews>
  <sheetFormatPr defaultRowHeight="15" x14ac:dyDescent="0.25"/>
  <cols>
    <col min="2" max="2" width="21.5703125" bestFit="1" customWidth="1"/>
    <col min="3" max="3" width="14.28515625" bestFit="1" customWidth="1"/>
    <col min="4" max="5" width="11" customWidth="1"/>
    <col min="6" max="6" width="13.140625" bestFit="1" customWidth="1"/>
    <col min="7" max="7" width="17.140625" bestFit="1" customWidth="1"/>
    <col min="8" max="8" width="11" customWidth="1"/>
    <col min="9" max="9" width="16.5703125" bestFit="1" customWidth="1"/>
    <col min="10" max="10" width="15.42578125" bestFit="1" customWidth="1"/>
    <col min="11" max="11" width="11" customWidth="1"/>
    <col min="12" max="12" width="15.42578125" bestFit="1" customWidth="1"/>
    <col min="13" max="13" width="11" customWidth="1"/>
    <col min="14" max="16" width="12.85546875" bestFit="1" customWidth="1"/>
    <col min="17" max="23" width="11" customWidth="1"/>
    <col min="25" max="25" width="15.140625" bestFit="1" customWidth="1"/>
    <col min="30" max="30" width="11.140625" bestFit="1" customWidth="1"/>
  </cols>
  <sheetData>
    <row r="3" spans="2:30" x14ac:dyDescent="0.25">
      <c r="B3" s="6" t="s">
        <v>42</v>
      </c>
      <c r="C3" s="4" t="s">
        <v>26</v>
      </c>
      <c r="D3" s="4" t="s">
        <v>54</v>
      </c>
      <c r="E3" s="4" t="s">
        <v>55</v>
      </c>
      <c r="F3" s="4" t="s">
        <v>5</v>
      </c>
      <c r="G3" s="4" t="s">
        <v>35</v>
      </c>
      <c r="H3" s="4" t="s">
        <v>27</v>
      </c>
      <c r="I3" s="4" t="s">
        <v>61</v>
      </c>
      <c r="J3" s="4" t="s">
        <v>60</v>
      </c>
      <c r="K3" s="4" t="s">
        <v>7</v>
      </c>
      <c r="L3" s="4" t="s">
        <v>36</v>
      </c>
      <c r="M3" s="4" t="s">
        <v>8</v>
      </c>
      <c r="N3" s="4" t="s">
        <v>30</v>
      </c>
      <c r="O3" s="4" t="s">
        <v>31</v>
      </c>
      <c r="P3" s="4" t="s">
        <v>12</v>
      </c>
      <c r="Q3" s="4" t="s">
        <v>32</v>
      </c>
      <c r="R3" s="4" t="s">
        <v>41</v>
      </c>
      <c r="S3" s="4" t="s">
        <v>1</v>
      </c>
      <c r="T3" s="4" t="s">
        <v>2</v>
      </c>
      <c r="U3" s="4" t="s">
        <v>39</v>
      </c>
      <c r="V3" s="4" t="s">
        <v>3</v>
      </c>
      <c r="W3" s="5" t="s">
        <v>40</v>
      </c>
      <c r="X3" s="21" t="s">
        <v>51</v>
      </c>
      <c r="Y3" s="21" t="s">
        <v>52</v>
      </c>
      <c r="Z3" s="21" t="s">
        <v>72</v>
      </c>
    </row>
    <row r="4" spans="2:30" x14ac:dyDescent="0.25">
      <c r="B4" t="s">
        <v>43</v>
      </c>
      <c r="C4" t="str">
        <f>'ITEM LIST'!B3</f>
        <v>TC60-112</v>
      </c>
      <c r="D4" s="20">
        <v>875</v>
      </c>
      <c r="E4" s="20">
        <v>895</v>
      </c>
      <c r="F4">
        <f>(((D4+E4)*2/1000)*'ITEM LIST'!F3)*110%</f>
        <v>1047.52494</v>
      </c>
      <c r="G4">
        <f>(((D4+E4)*2/1000)*'ITEM LIST'!F6)*2*110%</f>
        <v>322.79702400000002</v>
      </c>
      <c r="H4" t="str">
        <f>'ITEM LIST'!B4</f>
        <v>TC60-5</v>
      </c>
      <c r="I4">
        <f>D4/2</f>
        <v>437.5</v>
      </c>
      <c r="J4">
        <f>E4</f>
        <v>895</v>
      </c>
      <c r="K4">
        <f>(((J4+I4)*2/1000)*'ITEM LIST'!F4*3)*110%</f>
        <v>1608.232626</v>
      </c>
      <c r="L4">
        <f>((((J4+I4)*2/1000)*'ITEM LIST'!F7)*3)*110%</f>
        <v>503.67860400000001</v>
      </c>
      <c r="M4">
        <f>(E4*D4)/92903.04*'ITEM LIST'!J4</f>
        <v>674.35898760686416</v>
      </c>
      <c r="N4">
        <f>'ITEM LIST'!J11</f>
        <v>255</v>
      </c>
      <c r="O4">
        <f>'ITEM LIST'!J12*2</f>
        <v>170</v>
      </c>
      <c r="P4">
        <f>'ITEM LIST'!$J7*3</f>
        <v>240</v>
      </c>
      <c r="Q4">
        <v>100</v>
      </c>
      <c r="R4">
        <f>((J4+I4))*2/1000*'ITEM LIST'!F10*3*110%</f>
        <v>293.46367050000003</v>
      </c>
      <c r="S4">
        <f>(J4*I4)/92903.04*'ITEM LIST'!J13</f>
        <v>84.29487345085802</v>
      </c>
      <c r="T4">
        <f>'ITEM LIST'!J14</f>
        <v>100</v>
      </c>
      <c r="U4">
        <f>MIN(E4*D4/92903.04*50,2000)</f>
        <v>421.47436725429009</v>
      </c>
      <c r="V4">
        <f t="shared" ref="V4:V15" si="0">SUM(K4:U4)+F4+G4</f>
        <v>5820.8250928120133</v>
      </c>
      <c r="W4">
        <f>V4/(E4*D4)*92903.04</f>
        <v>690.53132824327929</v>
      </c>
      <c r="X4">
        <f>W4*115%</f>
        <v>794.11102747977111</v>
      </c>
      <c r="Y4">
        <f>X4*118%</f>
        <v>937.05101242612989</v>
      </c>
      <c r="Z4">
        <f>(D4*E4)/92903</f>
        <v>8.4294909744572291</v>
      </c>
      <c r="AB4">
        <v>16.399999999999999</v>
      </c>
      <c r="AC4">
        <v>376</v>
      </c>
      <c r="AD4">
        <f>AB4*AC4</f>
        <v>6166.4</v>
      </c>
    </row>
    <row r="5" spans="2:30" x14ac:dyDescent="0.25">
      <c r="B5" t="s">
        <v>44</v>
      </c>
      <c r="C5" t="str">
        <f>'ITEM LIST'!B8</f>
        <v>PC60-1</v>
      </c>
      <c r="D5" s="20">
        <v>2415</v>
      </c>
      <c r="E5" s="20">
        <v>600</v>
      </c>
      <c r="F5">
        <f>(((D5+E5)*2/1000)*'ITEM LIST'!F8)*110%</f>
        <v>280.81468800000005</v>
      </c>
      <c r="G5">
        <f>(((D5+E5)*2/1000)*'ITEM LIST'!F9)*110%</f>
        <v>379.88517600000006</v>
      </c>
      <c r="M5">
        <f>(E5*D5)/92903.04*'ITEM LIST'!J4</f>
        <v>1247.7524955049912</v>
      </c>
      <c r="Q5">
        <v>100</v>
      </c>
      <c r="R5">
        <f>((E5+D5))*2/1000*'ITEM LIST'!F11*110%</f>
        <v>280.81468800000005</v>
      </c>
      <c r="T5">
        <v>100</v>
      </c>
      <c r="U5">
        <f>MIN(E5*D5/92903.04*50,2000)</f>
        <v>779.8453096906195</v>
      </c>
      <c r="V5">
        <f t="shared" si="0"/>
        <v>3169.1123571956109</v>
      </c>
      <c r="W5">
        <f>V5/(E5*D5)*92903.04</f>
        <v>203.18852455834238</v>
      </c>
      <c r="X5">
        <f>W5*115%</f>
        <v>233.66680324209372</v>
      </c>
      <c r="Y5">
        <f>X5*118%</f>
        <v>275.72682782567057</v>
      </c>
      <c r="Z5">
        <f t="shared" ref="Z5:Z9" si="1">(D5*E5)/92903</f>
        <v>15.59691290916332</v>
      </c>
      <c r="AB5">
        <v>14.89</v>
      </c>
      <c r="AC5">
        <v>389</v>
      </c>
      <c r="AD5">
        <f t="shared" ref="AD5:AD15" si="2">AB5*AC5</f>
        <v>5792.21</v>
      </c>
    </row>
    <row r="6" spans="2:30" x14ac:dyDescent="0.25">
      <c r="B6" t="s">
        <v>48</v>
      </c>
      <c r="C6" t="s">
        <v>45</v>
      </c>
      <c r="D6" s="20">
        <v>875</v>
      </c>
      <c r="E6" s="20">
        <v>895</v>
      </c>
      <c r="F6">
        <f>(((D6+E6)*2/1000)*'ITEM LIST'!F8)*110%</f>
        <v>164.85638400000002</v>
      </c>
      <c r="G6">
        <f>(((D6+E6)*2/1000)*'ITEM LIST'!F9)*110%</f>
        <v>223.017168</v>
      </c>
      <c r="H6" t="s">
        <v>49</v>
      </c>
      <c r="I6">
        <f>D6</f>
        <v>875</v>
      </c>
      <c r="J6">
        <f>E6</f>
        <v>895</v>
      </c>
      <c r="K6">
        <f>(((J6+I6)*2/1000)*'ITEM LIST'!F12)*110%</f>
        <v>704.64655800000014</v>
      </c>
      <c r="L6">
        <f>((((J6+I6)*2/1000)*'ITEM LIST'!F13))*110%</f>
        <v>211.272864</v>
      </c>
      <c r="M6">
        <f>(E6*D6)/92903.04*'ITEM LIST'!J4</f>
        <v>674.35898760686416</v>
      </c>
      <c r="P6">
        <f>'ITEM LIST'!J7</f>
        <v>80</v>
      </c>
      <c r="Q6">
        <v>100</v>
      </c>
      <c r="R6">
        <f>((E6+D6))*2/1000*'ITEM LIST'!F11*110%</f>
        <v>164.85638400000002</v>
      </c>
      <c r="S6">
        <f>(E6*D6)/92903.04*'ITEM LIST'!J13</f>
        <v>168.58974690171604</v>
      </c>
      <c r="T6">
        <v>100</v>
      </c>
      <c r="U6">
        <f>MIN(E6*D6/92903.04*50,2000)</f>
        <v>421.47436725429009</v>
      </c>
      <c r="V6">
        <f t="shared" si="0"/>
        <v>3013.0724597628705</v>
      </c>
      <c r="W6">
        <f>V6/(E6*D6)*92903.04</f>
        <v>357.44433040989412</v>
      </c>
      <c r="X6">
        <f>W6*115%</f>
        <v>411.06097997137823</v>
      </c>
      <c r="Y6">
        <f>X6*118%</f>
        <v>485.05195636622631</v>
      </c>
      <c r="Z6">
        <f t="shared" si="1"/>
        <v>8.4294909744572291</v>
      </c>
      <c r="AB6">
        <v>34.130000000000003</v>
      </c>
      <c r="AC6">
        <v>300</v>
      </c>
      <c r="AD6">
        <f t="shared" si="2"/>
        <v>10239</v>
      </c>
    </row>
    <row r="7" spans="2:30" x14ac:dyDescent="0.25">
      <c r="B7" t="s">
        <v>53</v>
      </c>
      <c r="C7" t="s">
        <v>58</v>
      </c>
      <c r="D7" s="20">
        <v>1960</v>
      </c>
      <c r="E7" s="20">
        <v>1210</v>
      </c>
      <c r="F7">
        <f>(((D7+E7)*2/1000)*'ITEM LIST'!F14)*110%</f>
        <v>1235.3394900000003</v>
      </c>
      <c r="G7">
        <f>(((D7+E7)*2/1000)*'ITEM LIST'!F15)*110%</f>
        <v>362.64800000000002</v>
      </c>
      <c r="H7" t="s">
        <v>6</v>
      </c>
      <c r="I7">
        <f>D7/2</f>
        <v>980</v>
      </c>
      <c r="J7">
        <f>E7</f>
        <v>1210</v>
      </c>
      <c r="K7">
        <f>(((J7+I7)*2/1000)*'ITEM LIST'!F4*2)*110%</f>
        <v>1762.1160480000001</v>
      </c>
      <c r="L7">
        <f>((((J7+I7)*2/1000)*'ITEM LIST'!F7)*2)*110%</f>
        <v>551.87299200000007</v>
      </c>
      <c r="M7">
        <f>(E7*D7)/92903.04*'ITEM LIST'!J4</f>
        <v>2042.2151955415025</v>
      </c>
      <c r="N7">
        <f>'ITEM LIST'!J11</f>
        <v>255</v>
      </c>
      <c r="P7">
        <f>'ITEM LIST'!J7*2</f>
        <v>160</v>
      </c>
      <c r="Q7">
        <v>100</v>
      </c>
      <c r="R7">
        <f>((J7+I7))*2/1000*'ITEM LIST'!F10*2*110%</f>
        <v>321.54368399999998</v>
      </c>
      <c r="S7">
        <v>0</v>
      </c>
      <c r="T7">
        <v>100</v>
      </c>
      <c r="U7">
        <f t="shared" ref="U7:U15" si="3">MIN(E7*D7/92903.04*50,2000)</f>
        <v>1276.3844972134389</v>
      </c>
      <c r="V7">
        <f t="shared" si="0"/>
        <v>8167.1199067549433</v>
      </c>
      <c r="W7">
        <f t="shared" ref="W7:W15" si="4">V7/(E7*D7)*92903.04</f>
        <v>319.93180442825548</v>
      </c>
      <c r="X7">
        <f>W7*115%</f>
        <v>367.92157509249375</v>
      </c>
      <c r="Y7">
        <f>X7*118%</f>
        <v>434.14745860914263</v>
      </c>
      <c r="Z7">
        <f t="shared" si="1"/>
        <v>25.527700935384217</v>
      </c>
      <c r="AB7">
        <v>41.06</v>
      </c>
      <c r="AC7">
        <v>291</v>
      </c>
      <c r="AD7">
        <f t="shared" si="2"/>
        <v>11948.460000000001</v>
      </c>
    </row>
    <row r="8" spans="2:30" x14ac:dyDescent="0.25">
      <c r="B8" t="s">
        <v>62</v>
      </c>
      <c r="C8" t="s">
        <v>63</v>
      </c>
      <c r="D8" s="20">
        <v>875</v>
      </c>
      <c r="E8" s="20">
        <v>895</v>
      </c>
      <c r="F8">
        <f>(((D8+E8)*2/1000)*'ITEM LIST'!F16)*110%</f>
        <v>769.90221000000008</v>
      </c>
      <c r="G8">
        <f>(((D8+E8)*2/1000)*'ITEM LIST'!F15)*110%</f>
        <v>202.48800000000003</v>
      </c>
      <c r="H8" t="s">
        <v>64</v>
      </c>
      <c r="I8">
        <f>D8/2</f>
        <v>437.5</v>
      </c>
      <c r="J8">
        <f>E8</f>
        <v>895</v>
      </c>
      <c r="K8">
        <f>(((J8+I8)*2/1000)*'ITEM LIST'!F17*3)*110%</f>
        <v>1269.5212529999999</v>
      </c>
      <c r="L8">
        <f>((((J8+I8)*2/1000)*'ITEM LIST'!F18)*3)*110%</f>
        <v>404.26557600000001</v>
      </c>
      <c r="M8">
        <f>(E8*D8)/92903.04*'ITEM LIST'!J4</f>
        <v>674.35898760686416</v>
      </c>
      <c r="N8">
        <f>'ITEM LIST'!J11</f>
        <v>255</v>
      </c>
      <c r="O8">
        <f>'ITEM LIST'!J12*2</f>
        <v>170</v>
      </c>
      <c r="P8">
        <f>'ITEM LIST'!$J7*3</f>
        <v>240</v>
      </c>
      <c r="Q8">
        <v>100</v>
      </c>
      <c r="R8">
        <f>((J8+I8))*2/1000*'ITEM LIST'!F10*3*110%</f>
        <v>293.46367050000003</v>
      </c>
      <c r="S8">
        <f>(J8*I8)/92903.04*'ITEM LIST'!J13</f>
        <v>84.29487345085802</v>
      </c>
      <c r="T8">
        <v>100</v>
      </c>
      <c r="U8">
        <f t="shared" si="3"/>
        <v>421.47436725429009</v>
      </c>
      <c r="V8">
        <f t="shared" si="0"/>
        <v>4984.7689378120131</v>
      </c>
      <c r="W8">
        <f t="shared" si="4"/>
        <v>591.3490030586521</v>
      </c>
      <c r="X8">
        <f>W8*115%</f>
        <v>680.05135351744991</v>
      </c>
      <c r="Y8">
        <f>X8*118%</f>
        <v>802.46059715059084</v>
      </c>
      <c r="Z8">
        <f t="shared" si="1"/>
        <v>8.4294909744572291</v>
      </c>
      <c r="AB8">
        <v>60</v>
      </c>
      <c r="AC8">
        <v>269.2</v>
      </c>
      <c r="AD8">
        <f t="shared" si="2"/>
        <v>16152</v>
      </c>
    </row>
    <row r="9" spans="2:30" x14ac:dyDescent="0.25">
      <c r="B9" t="s">
        <v>66</v>
      </c>
      <c r="C9" t="s">
        <v>67</v>
      </c>
      <c r="D9" s="20">
        <v>488</v>
      </c>
      <c r="E9" s="20">
        <v>1428</v>
      </c>
      <c r="F9">
        <f>(((D9+E9)*2/1000)*'ITEM LIST'!F19)*110%</f>
        <v>935.64794400000005</v>
      </c>
      <c r="G9">
        <f>(((D9+E9)*2/1000)*'ITEM LIST'!F21)*110%</f>
        <v>279.55206399999997</v>
      </c>
      <c r="H9" t="s">
        <v>68</v>
      </c>
      <c r="I9">
        <f>D9</f>
        <v>488</v>
      </c>
      <c r="J9">
        <f>E9</f>
        <v>1428</v>
      </c>
      <c r="K9">
        <f>(((J9+I9)*2/1000)*'ITEM LIST'!F20*2)*110%</f>
        <v>1511.9079360000001</v>
      </c>
      <c r="L9">
        <f>((((J9+I9)*2/1000)*'ITEM LIST'!F22)*2)*110%</f>
        <v>489.16552960000001</v>
      </c>
      <c r="M9">
        <f>(E9*D9)/92903.04*'ITEM LIST'!J4</f>
        <v>600.07853349040033</v>
      </c>
      <c r="Q9">
        <v>100</v>
      </c>
      <c r="R9">
        <f>((J9+I9))*2/1000*'ITEM LIST'!F23*2*110%</f>
        <v>350.71307039999999</v>
      </c>
      <c r="S9">
        <f>(J9*I9)/92903.04*'ITEM LIST'!J13</f>
        <v>150.01963337260008</v>
      </c>
      <c r="T9">
        <v>100</v>
      </c>
      <c r="U9">
        <f t="shared" si="3"/>
        <v>375.04908343150021</v>
      </c>
      <c r="V9">
        <f t="shared" si="0"/>
        <v>4892.1337942945011</v>
      </c>
      <c r="W9">
        <f t="shared" si="4"/>
        <v>652.19914011441801</v>
      </c>
      <c r="X9">
        <f t="shared" ref="X9:X15" si="5">W9*115%</f>
        <v>750.02901113158066</v>
      </c>
      <c r="Y9">
        <f t="shared" ref="Y9:Y15" si="6">X9*118%</f>
        <v>885.03423313526514</v>
      </c>
      <c r="Z9">
        <f t="shared" si="1"/>
        <v>7.5009848982271832</v>
      </c>
      <c r="AB9">
        <v>16</v>
      </c>
      <c r="AC9">
        <v>203</v>
      </c>
      <c r="AD9">
        <f t="shared" si="2"/>
        <v>3248</v>
      </c>
    </row>
    <row r="10" spans="2:30" x14ac:dyDescent="0.25">
      <c r="G10">
        <f>(((D10+E10)*2/1000)*'ITEM LIST'!F12)*110%</f>
        <v>0</v>
      </c>
      <c r="M10">
        <f>(E10*D10)/92903.04*'ITEM LIST'!J7</f>
        <v>0</v>
      </c>
      <c r="U10">
        <f t="shared" si="3"/>
        <v>0</v>
      </c>
      <c r="V10">
        <f t="shared" si="0"/>
        <v>0</v>
      </c>
      <c r="W10" t="e">
        <f t="shared" si="4"/>
        <v>#DIV/0!</v>
      </c>
      <c r="X10" t="e">
        <f t="shared" si="5"/>
        <v>#DIV/0!</v>
      </c>
      <c r="Y10" t="e">
        <f t="shared" si="6"/>
        <v>#DIV/0!</v>
      </c>
      <c r="AB10">
        <v>39.17</v>
      </c>
      <c r="AC10">
        <v>284</v>
      </c>
      <c r="AD10">
        <f t="shared" si="2"/>
        <v>11124.28</v>
      </c>
    </row>
    <row r="11" spans="2:30" x14ac:dyDescent="0.25">
      <c r="G11">
        <f>(((D11+E11)*2/1000)*'ITEM LIST'!F13)*110%</f>
        <v>0</v>
      </c>
      <c r="M11">
        <f>(E11*D11)/92903.04*'ITEM LIST'!J8</f>
        <v>0</v>
      </c>
      <c r="U11">
        <f t="shared" si="3"/>
        <v>0</v>
      </c>
      <c r="V11">
        <f t="shared" si="0"/>
        <v>0</v>
      </c>
      <c r="W11" t="e">
        <f t="shared" si="4"/>
        <v>#DIV/0!</v>
      </c>
      <c r="X11" t="e">
        <f t="shared" si="5"/>
        <v>#DIV/0!</v>
      </c>
      <c r="Y11" t="e">
        <f t="shared" si="6"/>
        <v>#DIV/0!</v>
      </c>
      <c r="AB11">
        <v>39</v>
      </c>
      <c r="AC11">
        <v>284</v>
      </c>
      <c r="AD11">
        <f t="shared" si="2"/>
        <v>11076</v>
      </c>
    </row>
    <row r="12" spans="2:30" x14ac:dyDescent="0.25">
      <c r="G12">
        <f>(((D12+E12)*2/1000)*'ITEM LIST'!F14)*110%</f>
        <v>0</v>
      </c>
      <c r="M12">
        <f>(E12*D12)/92903.04*'ITEM LIST'!J9</f>
        <v>0</v>
      </c>
      <c r="U12">
        <f t="shared" si="3"/>
        <v>0</v>
      </c>
      <c r="V12">
        <f t="shared" si="0"/>
        <v>0</v>
      </c>
      <c r="W12" t="e">
        <f t="shared" si="4"/>
        <v>#DIV/0!</v>
      </c>
      <c r="X12" t="e">
        <f t="shared" si="5"/>
        <v>#DIV/0!</v>
      </c>
      <c r="Y12" t="e">
        <f t="shared" si="6"/>
        <v>#DIV/0!</v>
      </c>
      <c r="AB12">
        <v>25.52</v>
      </c>
      <c r="AC12">
        <v>320</v>
      </c>
      <c r="AD12">
        <f t="shared" si="2"/>
        <v>8166.4</v>
      </c>
    </row>
    <row r="13" spans="2:30" x14ac:dyDescent="0.25">
      <c r="G13">
        <f>(((D13+E13)*2/1000)*'ITEM LIST'!F15)*110%</f>
        <v>0</v>
      </c>
      <c r="M13">
        <f>(E13*D13)/92903.04*'ITEM LIST'!J10</f>
        <v>0</v>
      </c>
      <c r="U13">
        <f t="shared" si="3"/>
        <v>0</v>
      </c>
      <c r="V13">
        <f t="shared" si="0"/>
        <v>0</v>
      </c>
      <c r="W13" t="e">
        <f t="shared" si="4"/>
        <v>#DIV/0!</v>
      </c>
      <c r="X13" t="e">
        <f t="shared" si="5"/>
        <v>#DIV/0!</v>
      </c>
      <c r="Y13" t="e">
        <f t="shared" si="6"/>
        <v>#DIV/0!</v>
      </c>
      <c r="AB13">
        <f>SUM(AB4:AB12)</f>
        <v>286.17</v>
      </c>
      <c r="AD13">
        <f>SUM(AD4:AD12)</f>
        <v>83912.75</v>
      </c>
    </row>
    <row r="14" spans="2:30" x14ac:dyDescent="0.25">
      <c r="U14">
        <f t="shared" si="3"/>
        <v>0</v>
      </c>
      <c r="V14">
        <f t="shared" si="0"/>
        <v>0</v>
      </c>
      <c r="W14" t="e">
        <f t="shared" si="4"/>
        <v>#DIV/0!</v>
      </c>
      <c r="X14" t="e">
        <f t="shared" si="5"/>
        <v>#DIV/0!</v>
      </c>
      <c r="Y14" t="e">
        <f t="shared" si="6"/>
        <v>#DIV/0!</v>
      </c>
      <c r="AC14">
        <f>AD13/AB13</f>
        <v>293.2269280497606</v>
      </c>
      <c r="AD14">
        <f t="shared" si="2"/>
        <v>0</v>
      </c>
    </row>
    <row r="15" spans="2:30" x14ac:dyDescent="0.25">
      <c r="U15">
        <f t="shared" si="3"/>
        <v>0</v>
      </c>
      <c r="V15">
        <f t="shared" si="0"/>
        <v>0</v>
      </c>
      <c r="W15" t="e">
        <f t="shared" si="4"/>
        <v>#DIV/0!</v>
      </c>
      <c r="X15" t="e">
        <f t="shared" si="5"/>
        <v>#DIV/0!</v>
      </c>
      <c r="Y15" t="e">
        <f t="shared" si="6"/>
        <v>#DIV/0!</v>
      </c>
      <c r="AD15">
        <f>AD13*0.15</f>
        <v>12586.9125</v>
      </c>
    </row>
    <row r="16" spans="2:30" x14ac:dyDescent="0.25">
      <c r="AD16">
        <f>AD15+AD13</f>
        <v>96499.662500000006</v>
      </c>
    </row>
    <row r="17" spans="30:30" x14ac:dyDescent="0.25">
      <c r="AD17">
        <f>AD16/AB13</f>
        <v>337.21096725722475</v>
      </c>
    </row>
    <row r="18" spans="30:30" x14ac:dyDescent="0.25">
      <c r="AD18">
        <f>AB13*500</f>
        <v>143085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2BE3A-7959-4013-A80E-EF53A006B061}">
  <dimension ref="B2:K26"/>
  <sheetViews>
    <sheetView workbookViewId="0">
      <selection activeCell="B14" sqref="B14"/>
    </sheetView>
  </sheetViews>
  <sheetFormatPr defaultRowHeight="15" x14ac:dyDescent="0.25"/>
  <cols>
    <col min="2" max="2" width="26.28515625" bestFit="1" customWidth="1"/>
    <col min="5" max="5" width="20.28515625" bestFit="1" customWidth="1"/>
    <col min="6" max="6" width="18.140625" bestFit="1" customWidth="1"/>
    <col min="9" max="9" width="19.85546875" bestFit="1" customWidth="1"/>
  </cols>
  <sheetData>
    <row r="2" spans="2:11" x14ac:dyDescent="0.25">
      <c r="B2" s="11" t="s">
        <v>9</v>
      </c>
      <c r="C2" s="10" t="s">
        <v>4</v>
      </c>
      <c r="D2" s="10" t="s">
        <v>15</v>
      </c>
      <c r="E2" s="10" t="s">
        <v>21</v>
      </c>
      <c r="F2" s="12" t="s">
        <v>22</v>
      </c>
      <c r="I2" s="11" t="s">
        <v>9</v>
      </c>
      <c r="J2" s="10" t="s">
        <v>4</v>
      </c>
      <c r="K2" s="12" t="s">
        <v>15</v>
      </c>
    </row>
    <row r="3" spans="2:11" x14ac:dyDescent="0.25">
      <c r="B3" s="13" t="s">
        <v>0</v>
      </c>
      <c r="C3" s="14">
        <v>147</v>
      </c>
      <c r="D3" s="14" t="s">
        <v>16</v>
      </c>
      <c r="E3" s="14">
        <v>1.83</v>
      </c>
      <c r="F3" s="15">
        <f>'ITEM LIST'!$E3*'ITEM LIST'!$C3</f>
        <v>269.01</v>
      </c>
      <c r="I3" s="13" t="s">
        <v>24</v>
      </c>
      <c r="J3" s="14">
        <v>78</v>
      </c>
      <c r="K3" s="15" t="s">
        <v>17</v>
      </c>
    </row>
    <row r="4" spans="2:11" x14ac:dyDescent="0.25">
      <c r="B4" s="16" t="s">
        <v>6</v>
      </c>
      <c r="C4" s="3">
        <v>147</v>
      </c>
      <c r="D4" s="3" t="s">
        <v>16</v>
      </c>
      <c r="E4" s="3">
        <v>1.244</v>
      </c>
      <c r="F4" s="17">
        <f>'ITEM LIST'!$E4*'ITEM LIST'!$C4</f>
        <v>182.86799999999999</v>
      </c>
      <c r="I4" s="16" t="s">
        <v>25</v>
      </c>
      <c r="J4" s="3">
        <v>80</v>
      </c>
      <c r="K4" s="17" t="s">
        <v>17</v>
      </c>
    </row>
    <row r="5" spans="2:11" x14ac:dyDescent="0.25">
      <c r="B5" s="13" t="s">
        <v>23</v>
      </c>
      <c r="C5" s="14">
        <v>147</v>
      </c>
      <c r="D5" s="14" t="s">
        <v>16</v>
      </c>
      <c r="E5" s="14">
        <v>0.22700000000000001</v>
      </c>
      <c r="F5" s="15">
        <f>'ITEM LIST'!$E5*'ITEM LIST'!$C5</f>
        <v>33.369</v>
      </c>
      <c r="I5" s="13" t="s">
        <v>10</v>
      </c>
      <c r="J5" s="14">
        <v>500</v>
      </c>
      <c r="K5" s="15" t="s">
        <v>18</v>
      </c>
    </row>
    <row r="6" spans="2:11" x14ac:dyDescent="0.25">
      <c r="B6" s="16" t="s">
        <v>33</v>
      </c>
      <c r="C6" s="3">
        <v>80</v>
      </c>
      <c r="D6" s="3" t="s">
        <v>16</v>
      </c>
      <c r="E6" s="3">
        <v>0.5181</v>
      </c>
      <c r="F6" s="17">
        <f>'ITEM LIST'!$E6*'ITEM LIST'!$C6</f>
        <v>41.448</v>
      </c>
      <c r="I6" s="16" t="s">
        <v>11</v>
      </c>
      <c r="J6" s="3">
        <v>200</v>
      </c>
      <c r="K6" s="17" t="s">
        <v>18</v>
      </c>
    </row>
    <row r="7" spans="2:11" x14ac:dyDescent="0.25">
      <c r="B7" s="13" t="s">
        <v>34</v>
      </c>
      <c r="C7" s="14">
        <v>80</v>
      </c>
      <c r="D7" s="14" t="s">
        <v>16</v>
      </c>
      <c r="E7" s="14">
        <v>0.71589999999999998</v>
      </c>
      <c r="F7" s="15">
        <f>'ITEM LIST'!$E7*'ITEM LIST'!$C7</f>
        <v>57.271999999999998</v>
      </c>
      <c r="I7" s="13" t="s">
        <v>12</v>
      </c>
      <c r="J7" s="14">
        <v>80</v>
      </c>
      <c r="K7" s="15" t="s">
        <v>18</v>
      </c>
    </row>
    <row r="8" spans="2:11" x14ac:dyDescent="0.25">
      <c r="B8" s="16" t="s">
        <v>45</v>
      </c>
      <c r="C8" s="3">
        <v>147</v>
      </c>
      <c r="D8" s="3" t="s">
        <v>16</v>
      </c>
      <c r="E8" s="3">
        <v>0.28799999999999998</v>
      </c>
      <c r="F8" s="17">
        <f>'ITEM LIST'!$E8*'ITEM LIST'!$C8</f>
        <v>42.335999999999999</v>
      </c>
      <c r="I8" s="16" t="s">
        <v>13</v>
      </c>
      <c r="J8" s="3">
        <v>50</v>
      </c>
      <c r="K8" s="17" t="s">
        <v>16</v>
      </c>
    </row>
    <row r="9" spans="2:11" x14ac:dyDescent="0.25">
      <c r="B9" s="13" t="s">
        <v>46</v>
      </c>
      <c r="C9" s="14">
        <v>80</v>
      </c>
      <c r="D9" s="14" t="s">
        <v>16</v>
      </c>
      <c r="E9" s="14">
        <v>0.71589999999999998</v>
      </c>
      <c r="F9" s="15">
        <f>'ITEM LIST'!$E9*'ITEM LIST'!$C9</f>
        <v>57.271999999999998</v>
      </c>
      <c r="I9" s="13" t="s">
        <v>14</v>
      </c>
      <c r="J9" s="14">
        <v>100</v>
      </c>
      <c r="K9" s="15" t="s">
        <v>19</v>
      </c>
    </row>
    <row r="10" spans="2:11" x14ac:dyDescent="0.25">
      <c r="B10" s="16" t="s">
        <v>57</v>
      </c>
      <c r="C10" s="3">
        <v>147</v>
      </c>
      <c r="D10" s="3" t="s">
        <v>16</v>
      </c>
      <c r="E10" s="3">
        <v>0.22700000000000001</v>
      </c>
      <c r="F10" s="17">
        <f>'ITEM LIST'!$E10*'ITEM LIST'!$C10</f>
        <v>33.369</v>
      </c>
      <c r="I10" s="16" t="s">
        <v>20</v>
      </c>
      <c r="J10" s="3">
        <v>80</v>
      </c>
      <c r="K10" s="17" t="s">
        <v>16</v>
      </c>
    </row>
    <row r="11" spans="2:11" x14ac:dyDescent="0.25">
      <c r="B11" s="13" t="s">
        <v>47</v>
      </c>
      <c r="C11" s="14">
        <v>147</v>
      </c>
      <c r="D11" s="14" t="s">
        <v>16</v>
      </c>
      <c r="E11" s="14">
        <v>0.28799999999999998</v>
      </c>
      <c r="F11" s="15">
        <f>'ITEM LIST'!$E11*'ITEM LIST'!$C11</f>
        <v>42.335999999999999</v>
      </c>
      <c r="I11" s="13" t="s">
        <v>28</v>
      </c>
      <c r="J11" s="14">
        <v>255</v>
      </c>
      <c r="K11" s="15"/>
    </row>
    <row r="12" spans="2:11" x14ac:dyDescent="0.25">
      <c r="B12" s="9" t="s">
        <v>49</v>
      </c>
      <c r="C12" s="2">
        <v>147</v>
      </c>
      <c r="D12" s="2" t="s">
        <v>16</v>
      </c>
      <c r="E12" s="2">
        <v>1.2310000000000001</v>
      </c>
      <c r="F12" s="17">
        <f>'ITEM LIST'!$E12*'ITEM LIST'!$C12</f>
        <v>180.95700000000002</v>
      </c>
      <c r="I12" s="16" t="s">
        <v>29</v>
      </c>
      <c r="J12" s="3">
        <v>85</v>
      </c>
      <c r="K12" s="17"/>
    </row>
    <row r="13" spans="2:11" x14ac:dyDescent="0.25">
      <c r="B13" s="18" t="s">
        <v>50</v>
      </c>
      <c r="C13" s="19">
        <v>80</v>
      </c>
      <c r="D13" s="19" t="s">
        <v>16</v>
      </c>
      <c r="E13" s="19">
        <v>0.67820000000000003</v>
      </c>
      <c r="F13" s="15">
        <f>'ITEM LIST'!$E13*'ITEM LIST'!$C13</f>
        <v>54.256</v>
      </c>
      <c r="I13" s="13" t="s">
        <v>37</v>
      </c>
      <c r="J13" s="14">
        <v>20</v>
      </c>
      <c r="K13" s="15" t="s">
        <v>17</v>
      </c>
    </row>
    <row r="14" spans="2:11" x14ac:dyDescent="0.25">
      <c r="B14" s="22" t="s">
        <v>56</v>
      </c>
      <c r="C14" s="23">
        <v>147</v>
      </c>
      <c r="D14" s="23" t="s">
        <v>16</v>
      </c>
      <c r="E14" s="23">
        <v>1.2050000000000001</v>
      </c>
      <c r="F14" s="17">
        <f>'ITEM LIST'!$E14*'ITEM LIST'!$C14</f>
        <v>177.13500000000002</v>
      </c>
      <c r="I14" s="16" t="s">
        <v>38</v>
      </c>
      <c r="J14" s="3">
        <v>100</v>
      </c>
      <c r="K14" s="17"/>
    </row>
    <row r="15" spans="2:11" x14ac:dyDescent="0.25">
      <c r="B15" s="18" t="s">
        <v>59</v>
      </c>
      <c r="C15" s="19">
        <v>80</v>
      </c>
      <c r="D15" s="19" t="s">
        <v>16</v>
      </c>
      <c r="E15" s="19">
        <v>0.65</v>
      </c>
      <c r="F15" s="15">
        <f>'ITEM LIST'!$E15*'ITEM LIST'!$C15</f>
        <v>52</v>
      </c>
      <c r="I15" s="7"/>
      <c r="J15" s="1"/>
      <c r="K15" s="8"/>
    </row>
    <row r="16" spans="2:11" x14ac:dyDescent="0.25">
      <c r="B16" s="22" t="s">
        <v>63</v>
      </c>
      <c r="C16" s="23">
        <v>147</v>
      </c>
      <c r="D16" s="23" t="s">
        <v>16</v>
      </c>
      <c r="E16" s="23">
        <v>1.345</v>
      </c>
      <c r="F16" s="17">
        <f>'ITEM LIST'!$E16*'ITEM LIST'!$C16</f>
        <v>197.715</v>
      </c>
    </row>
    <row r="17" spans="2:6" x14ac:dyDescent="0.25">
      <c r="B17" s="18" t="s">
        <v>64</v>
      </c>
      <c r="C17" s="19">
        <v>147</v>
      </c>
      <c r="D17" s="19" t="s">
        <v>16</v>
      </c>
      <c r="E17" s="19">
        <v>0.98199999999999998</v>
      </c>
      <c r="F17" s="15">
        <f>'ITEM LIST'!$E17*'ITEM LIST'!$C17</f>
        <v>144.35399999999998</v>
      </c>
    </row>
    <row r="18" spans="2:6" x14ac:dyDescent="0.25">
      <c r="B18" s="22" t="s">
        <v>65</v>
      </c>
      <c r="C18" s="23">
        <v>80</v>
      </c>
      <c r="D18" s="23" t="s">
        <v>16</v>
      </c>
      <c r="E18" s="23">
        <v>0.5746</v>
      </c>
      <c r="F18" s="17">
        <f>'ITEM LIST'!$E18*'ITEM LIST'!$C18</f>
        <v>45.968000000000004</v>
      </c>
    </row>
    <row r="19" spans="2:6" x14ac:dyDescent="0.25">
      <c r="B19" s="18" t="s">
        <v>67</v>
      </c>
      <c r="C19" s="19">
        <v>147</v>
      </c>
      <c r="D19" s="19" t="s">
        <v>16</v>
      </c>
      <c r="E19" s="19">
        <v>1.51</v>
      </c>
      <c r="F19" s="15">
        <f>'ITEM LIST'!$E19*'ITEM LIST'!$C19</f>
        <v>221.97</v>
      </c>
    </row>
    <row r="20" spans="2:6" x14ac:dyDescent="0.25">
      <c r="B20" s="22" t="s">
        <v>68</v>
      </c>
      <c r="C20" s="23">
        <v>147</v>
      </c>
      <c r="D20" s="23" t="s">
        <v>16</v>
      </c>
      <c r="E20" s="23">
        <v>1.22</v>
      </c>
      <c r="F20" s="17">
        <f>'ITEM LIST'!$E20*'ITEM LIST'!$C20</f>
        <v>179.34</v>
      </c>
    </row>
    <row r="21" spans="2:6" x14ac:dyDescent="0.25">
      <c r="B21" s="18" t="s">
        <v>69</v>
      </c>
      <c r="C21" s="19">
        <v>80</v>
      </c>
      <c r="D21" s="19" t="s">
        <v>16</v>
      </c>
      <c r="E21" s="19">
        <v>0.82899999999999996</v>
      </c>
      <c r="F21" s="17">
        <f>'ITEM LIST'!$E21*'ITEM LIST'!$C21</f>
        <v>66.319999999999993</v>
      </c>
    </row>
    <row r="22" spans="2:6" x14ac:dyDescent="0.25">
      <c r="B22" s="22" t="s">
        <v>70</v>
      </c>
      <c r="C22" s="23">
        <v>80</v>
      </c>
      <c r="D22" s="23" t="s">
        <v>16</v>
      </c>
      <c r="E22" s="23">
        <v>0.72529999999999994</v>
      </c>
      <c r="F22" s="17">
        <f>'ITEM LIST'!$E22*'ITEM LIST'!$C22</f>
        <v>58.023999999999994</v>
      </c>
    </row>
    <row r="23" spans="2:6" x14ac:dyDescent="0.25">
      <c r="B23" s="18" t="s">
        <v>71</v>
      </c>
      <c r="C23" s="19">
        <v>147</v>
      </c>
      <c r="D23" s="19" t="s">
        <v>16</v>
      </c>
      <c r="E23" s="19">
        <v>0.28299999999999997</v>
      </c>
      <c r="F23" s="17">
        <f>'ITEM LIST'!$E23*'ITEM LIST'!$C23</f>
        <v>41.600999999999999</v>
      </c>
    </row>
    <row r="24" spans="2:6" x14ac:dyDescent="0.25">
      <c r="F24" s="17">
        <f>'ITEM LIST'!$E24*'ITEM LIST'!$C24</f>
        <v>0</v>
      </c>
    </row>
    <row r="25" spans="2:6" x14ac:dyDescent="0.25">
      <c r="F25" s="17">
        <f>'ITEM LIST'!$E25*'ITEM LIST'!$C25</f>
        <v>0</v>
      </c>
    </row>
    <row r="26" spans="2:6" x14ac:dyDescent="0.25">
      <c r="F26" s="17">
        <f>'ITEM LIST'!$E26*'ITEM LIST'!$C26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Cost To Company</vt:lpstr>
      <vt:lpstr>ITEM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2023-04-08T06:09:29Z</dcterms:created>
  <dcterms:modified xsi:type="dcterms:W3CDTF">2023-06-28T10:08:55Z</dcterms:modified>
</cp:coreProperties>
</file>