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120" yWindow="140" windowWidth="15140" windowHeight="7360" firstSheet="3" activeTab="4"/>
  </bookViews>
  <sheets>
    <sheet name="Neraca 2016" sheetId="4" r:id="rId1"/>
    <sheet name="Pendapatan" sheetId="2" r:id="rId2"/>
    <sheet name="Saldo Anggota" sheetId="3" r:id="rId3"/>
    <sheet name="Posisi Keuangan" sheetId="5" r:id="rId4"/>
    <sheet name="Hitung SHU" sheetId="6" r:id="rId5"/>
    <sheet name="Sheet1" sheetId="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Print_Area" localSheetId="0">'Neraca 2016'!$A$6:$E$708</definedName>
    <definedName name="_xlnm.Print_Area" localSheetId="1">Pendapatan!$A$1:$F$239</definedName>
    <definedName name="_xlnm.Print_Area" localSheetId="2">'Saldo Anggota'!$A$1:$AP$129</definedName>
    <definedName name="_xlnm.Print_Titles" localSheetId="1">Pendapatan!$3:$3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D6" i="2"/>
  <c r="D9" i="2"/>
  <c r="D8" i="2"/>
  <c r="D12" i="2"/>
  <c r="D11" i="2"/>
  <c r="H6" i="2"/>
  <c r="C7" i="5"/>
  <c r="C5" i="5"/>
  <c r="A5" i="2"/>
  <c r="A6" i="2"/>
  <c r="A7" i="2"/>
  <c r="A8" i="2"/>
  <c r="A9" i="2"/>
  <c r="A10" i="2"/>
  <c r="A11" i="2"/>
  <c r="A12" i="2"/>
  <c r="A13" i="2"/>
  <c r="A14" i="2"/>
  <c r="A15" i="2"/>
  <c r="A16" i="2"/>
  <c r="E485" i="4"/>
  <c r="E385" i="4"/>
  <c r="E284" i="4"/>
  <c r="G11" i="4"/>
  <c r="G108" i="4"/>
  <c r="G198" i="4"/>
  <c r="E961" i="4"/>
  <c r="G961" i="4"/>
  <c r="E889" i="4"/>
  <c r="G889" i="4"/>
  <c r="E799" i="4"/>
  <c r="G799" i="4"/>
  <c r="E716" i="4"/>
  <c r="G716" i="4"/>
  <c r="E628" i="4"/>
  <c r="G628" i="4"/>
  <c r="E566" i="4"/>
  <c r="G566" i="4"/>
  <c r="E484" i="4"/>
  <c r="G484" i="4"/>
  <c r="E384" i="4"/>
  <c r="G384" i="4"/>
  <c r="E283" i="4"/>
  <c r="G283" i="4"/>
  <c r="B9" i="9"/>
  <c r="C4" i="5"/>
  <c r="D17" i="2"/>
  <c r="D25" i="2"/>
  <c r="D31" i="2"/>
  <c r="D38" i="2"/>
  <c r="D44" i="2"/>
  <c r="D21" i="2"/>
  <c r="D28" i="2"/>
  <c r="D34" i="2"/>
  <c r="D41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63" i="3"/>
  <c r="BQ64" i="3"/>
  <c r="BQ65" i="3"/>
  <c r="BQ66" i="3"/>
  <c r="BQ67" i="3"/>
  <c r="BQ68" i="3"/>
  <c r="BQ69" i="3"/>
  <c r="BQ70" i="3"/>
  <c r="BQ71" i="3"/>
  <c r="BQ72" i="3"/>
  <c r="BQ73" i="3"/>
  <c r="BQ74" i="3"/>
  <c r="BQ75" i="3"/>
  <c r="BQ76" i="3"/>
  <c r="BQ77" i="3"/>
  <c r="BQ78" i="3"/>
  <c r="BQ79" i="3"/>
  <c r="BQ80" i="3"/>
  <c r="BQ81" i="3"/>
  <c r="BQ82" i="3"/>
  <c r="BQ83" i="3"/>
  <c r="BQ84" i="3"/>
  <c r="BQ85" i="3"/>
  <c r="BQ86" i="3"/>
  <c r="BQ87" i="3"/>
  <c r="BQ88" i="3"/>
  <c r="BQ89" i="3"/>
  <c r="BQ90" i="3"/>
  <c r="BQ91" i="3"/>
  <c r="BQ92" i="3"/>
  <c r="BQ93" i="3"/>
  <c r="BQ94" i="3"/>
  <c r="BQ95" i="3"/>
  <c r="BQ96" i="3"/>
  <c r="BQ97" i="3"/>
  <c r="BQ98" i="3"/>
  <c r="BQ99" i="3"/>
  <c r="BQ100" i="3"/>
  <c r="BQ101" i="3"/>
  <c r="BQ102" i="3"/>
  <c r="BQ103" i="3"/>
  <c r="BQ104" i="3"/>
  <c r="BQ105" i="3"/>
  <c r="BQ106" i="3"/>
  <c r="BQ107" i="3"/>
  <c r="BQ108" i="3"/>
  <c r="BQ109" i="3"/>
  <c r="BQ110" i="3"/>
  <c r="BQ111" i="3"/>
  <c r="BQ112" i="3"/>
  <c r="BQ113" i="3"/>
  <c r="BQ114" i="3"/>
  <c r="BQ115" i="3"/>
  <c r="BQ116" i="3"/>
  <c r="BQ117" i="3"/>
  <c r="BQ118" i="3"/>
  <c r="BQ119" i="3"/>
  <c r="BQ120" i="3"/>
  <c r="BQ121" i="3"/>
  <c r="BQ122" i="3"/>
  <c r="BQ123" i="3"/>
  <c r="BQ124" i="3"/>
  <c r="BQ125" i="3"/>
  <c r="BQ126" i="3"/>
  <c r="BQ127" i="3"/>
  <c r="BQ128" i="3"/>
  <c r="BQ129" i="3"/>
  <c r="BQ130" i="3"/>
  <c r="BQ131" i="3"/>
  <c r="BQ132" i="3"/>
  <c r="BQ133" i="3"/>
  <c r="BQ134" i="3"/>
  <c r="BQ135" i="3"/>
  <c r="BQ136" i="3"/>
  <c r="BQ137" i="3"/>
  <c r="BQ138" i="3"/>
  <c r="BQ139" i="3"/>
  <c r="BQ140" i="3"/>
  <c r="BQ141" i="3"/>
  <c r="BQ142" i="3"/>
  <c r="BQ143" i="3"/>
  <c r="BQ144" i="3"/>
  <c r="BQ145" i="3"/>
  <c r="BQ146" i="3"/>
  <c r="BQ147" i="3"/>
  <c r="BQ148" i="3"/>
  <c r="BQ149" i="3"/>
  <c r="BQ150" i="3"/>
  <c r="BQ151" i="3"/>
  <c r="BQ152" i="3"/>
  <c r="BQ153" i="3"/>
  <c r="BQ154" i="3"/>
  <c r="BQ155" i="3"/>
  <c r="BQ156" i="3"/>
  <c r="BQ157" i="3"/>
  <c r="BQ158" i="3"/>
  <c r="BQ159" i="3"/>
  <c r="BQ160" i="3"/>
  <c r="BQ161" i="3"/>
  <c r="BQ162" i="3"/>
  <c r="BQ163" i="3"/>
  <c r="BQ164" i="3"/>
  <c r="BQ165" i="3"/>
  <c r="BQ166" i="3"/>
  <c r="BQ167" i="3"/>
  <c r="BQ168" i="3"/>
  <c r="BQ169" i="3"/>
  <c r="BQ170" i="3"/>
  <c r="BQ171" i="3"/>
  <c r="BQ172" i="3"/>
  <c r="BQ173" i="3"/>
  <c r="BQ174" i="3"/>
  <c r="BQ175" i="3"/>
  <c r="BQ176" i="3"/>
  <c r="BQ177" i="3"/>
  <c r="BQ178" i="3"/>
  <c r="BQ179" i="3"/>
  <c r="BQ180" i="3"/>
  <c r="BQ181" i="3"/>
  <c r="BQ182" i="3"/>
  <c r="BQ183" i="3"/>
  <c r="BQ184" i="3"/>
  <c r="BQ185" i="3"/>
  <c r="BQ186" i="3"/>
  <c r="BQ187" i="3"/>
  <c r="BQ188" i="3"/>
  <c r="BQ189" i="3"/>
  <c r="BQ190" i="3"/>
  <c r="BQ191" i="3"/>
  <c r="BQ192" i="3"/>
  <c r="BQ193" i="3"/>
  <c r="BQ194" i="3"/>
  <c r="BQ195" i="3"/>
  <c r="D1" i="5"/>
  <c r="E957" i="4"/>
  <c r="E956" i="4"/>
  <c r="E885" i="4"/>
  <c r="E884" i="4"/>
  <c r="E795" i="4"/>
  <c r="E794" i="4"/>
  <c r="E712" i="4"/>
  <c r="E711" i="4"/>
  <c r="E624" i="4"/>
  <c r="E623" i="4"/>
  <c r="E562" i="4"/>
  <c r="E561" i="4"/>
  <c r="E480" i="4"/>
  <c r="E479" i="4"/>
  <c r="E380" i="4"/>
  <c r="E379" i="4"/>
  <c r="E279" i="4"/>
  <c r="E278" i="4"/>
  <c r="E196" i="4"/>
  <c r="E195" i="4"/>
  <c r="E107" i="4"/>
  <c r="E106" i="4"/>
  <c r="E9" i="4"/>
  <c r="E8" i="4"/>
  <c r="D1011" i="4"/>
  <c r="B167" i="4"/>
  <c r="B159" i="4"/>
  <c r="B152" i="4"/>
  <c r="B146" i="4"/>
  <c r="B68" i="4"/>
  <c r="E384" i="2"/>
  <c r="D42" i="2"/>
  <c r="D39" i="2"/>
  <c r="D36" i="2"/>
  <c r="D32" i="2"/>
  <c r="D29" i="2"/>
  <c r="D26" i="2"/>
  <c r="D22" i="2"/>
  <c r="D19" i="2"/>
  <c r="D15" i="2"/>
  <c r="D10" i="2"/>
  <c r="D7" i="2"/>
  <c r="D4" i="2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BK195" i="3"/>
  <c r="BE195" i="3"/>
  <c r="AY195" i="3"/>
  <c r="AS195" i="3"/>
  <c r="AL195" i="3"/>
  <c r="AH195" i="3"/>
  <c r="AE195" i="3"/>
  <c r="AA195" i="3"/>
  <c r="X195" i="3"/>
  <c r="R195" i="3"/>
  <c r="O195" i="3"/>
  <c r="L195" i="3"/>
  <c r="I195" i="3"/>
  <c r="F195" i="3"/>
  <c r="E195" i="3"/>
  <c r="BM194" i="3"/>
  <c r="BO194" i="3"/>
  <c r="BP194" i="3"/>
  <c r="BG194" i="3"/>
  <c r="BI194" i="3"/>
  <c r="BJ194" i="3"/>
  <c r="AZ194" i="3"/>
  <c r="BC194" i="3"/>
  <c r="BD194" i="3"/>
  <c r="AU194" i="3"/>
  <c r="AW194" i="3"/>
  <c r="AX194" i="3"/>
  <c r="AQ194" i="3"/>
  <c r="AR194" i="3"/>
  <c r="AG194" i="3"/>
  <c r="AJ194" i="3"/>
  <c r="AK194" i="3"/>
  <c r="Z194" i="3"/>
  <c r="AC194" i="3"/>
  <c r="AD194" i="3"/>
  <c r="V194" i="3"/>
  <c r="T194" i="3"/>
  <c r="S194" i="3"/>
  <c r="P194" i="3"/>
  <c r="Q194" i="3"/>
  <c r="N194" i="3"/>
  <c r="K194" i="3"/>
  <c r="H194" i="3"/>
  <c r="BO193" i="3"/>
  <c r="BP193" i="3"/>
  <c r="BI193" i="3"/>
  <c r="BJ193" i="3"/>
  <c r="BC193" i="3"/>
  <c r="BD193" i="3"/>
  <c r="AW193" i="3"/>
  <c r="AX193" i="3"/>
  <c r="AQ193" i="3"/>
  <c r="AR193" i="3"/>
  <c r="AJ193" i="3"/>
  <c r="AK193" i="3"/>
  <c r="AC193" i="3"/>
  <c r="AD193" i="3"/>
  <c r="T193" i="3"/>
  <c r="S193" i="3"/>
  <c r="W193" i="3"/>
  <c r="Q193" i="3"/>
  <c r="N193" i="3"/>
  <c r="J193" i="3"/>
  <c r="K193" i="3"/>
  <c r="G193" i="3"/>
  <c r="H193" i="3"/>
  <c r="BM192" i="3"/>
  <c r="BO192" i="3"/>
  <c r="BP192" i="3"/>
  <c r="BG192" i="3"/>
  <c r="BI192" i="3"/>
  <c r="BJ192" i="3"/>
  <c r="AZ192" i="3"/>
  <c r="BC192" i="3"/>
  <c r="BD192" i="3"/>
  <c r="AU192" i="3"/>
  <c r="AW192" i="3"/>
  <c r="AX192" i="3"/>
  <c r="AN192" i="3"/>
  <c r="AQ192" i="3"/>
  <c r="AR192" i="3"/>
  <c r="AG192" i="3"/>
  <c r="AJ192" i="3"/>
  <c r="AK192" i="3"/>
  <c r="AB192" i="3"/>
  <c r="Z192" i="3"/>
  <c r="W192" i="3"/>
  <c r="BM191" i="3"/>
  <c r="BO191" i="3"/>
  <c r="BP191" i="3"/>
  <c r="BG191" i="3"/>
  <c r="BI191" i="3"/>
  <c r="BJ191" i="3"/>
  <c r="AZ191" i="3"/>
  <c r="BC191" i="3"/>
  <c r="BD191" i="3"/>
  <c r="AU191" i="3"/>
  <c r="AW191" i="3"/>
  <c r="AX191" i="3"/>
  <c r="AN191" i="3"/>
  <c r="AQ191" i="3"/>
  <c r="AR191" i="3"/>
  <c r="AJ191" i="3"/>
  <c r="AK191" i="3"/>
  <c r="Z191" i="3"/>
  <c r="AC191" i="3"/>
  <c r="AD191" i="3"/>
  <c r="T191" i="3"/>
  <c r="S191" i="3"/>
  <c r="P191" i="3"/>
  <c r="Q191" i="3"/>
  <c r="N191" i="3"/>
  <c r="J191" i="3"/>
  <c r="K191" i="3"/>
  <c r="G191" i="3"/>
  <c r="H191" i="3"/>
  <c r="BO190" i="3"/>
  <c r="BP190" i="3"/>
  <c r="BG190" i="3"/>
  <c r="BI190" i="3"/>
  <c r="BJ190" i="3"/>
  <c r="BC190" i="3"/>
  <c r="BD190" i="3"/>
  <c r="AW190" i="3"/>
  <c r="AX190" i="3"/>
  <c r="AQ190" i="3"/>
  <c r="AR190" i="3"/>
  <c r="AJ190" i="3"/>
  <c r="AK190" i="3"/>
  <c r="AC190" i="3"/>
  <c r="AD190" i="3"/>
  <c r="V190" i="3"/>
  <c r="S190" i="3"/>
  <c r="P190" i="3"/>
  <c r="Q190" i="3"/>
  <c r="N190" i="3"/>
  <c r="K190" i="3"/>
  <c r="H190" i="3"/>
  <c r="BO189" i="3"/>
  <c r="BP189" i="3"/>
  <c r="BI189" i="3"/>
  <c r="BJ189" i="3"/>
  <c r="BC189" i="3"/>
  <c r="BD189" i="3"/>
  <c r="AW189" i="3"/>
  <c r="AX189" i="3"/>
  <c r="AQ189" i="3"/>
  <c r="AR189" i="3"/>
  <c r="AJ189" i="3"/>
  <c r="AK189" i="3"/>
  <c r="AB189" i="3"/>
  <c r="AC189" i="3"/>
  <c r="AD189" i="3"/>
  <c r="V189" i="3"/>
  <c r="W189" i="3"/>
  <c r="P189" i="3"/>
  <c r="Q189" i="3"/>
  <c r="N189" i="3"/>
  <c r="J189" i="3"/>
  <c r="K189" i="3"/>
  <c r="G189" i="3"/>
  <c r="H189" i="3"/>
  <c r="BM188" i="3"/>
  <c r="BO188" i="3"/>
  <c r="BP188" i="3"/>
  <c r="BG188" i="3"/>
  <c r="BI188" i="3"/>
  <c r="BJ188" i="3"/>
  <c r="AZ188" i="3"/>
  <c r="BC188" i="3"/>
  <c r="BD188" i="3"/>
  <c r="AU188" i="3"/>
  <c r="AW188" i="3"/>
  <c r="AX188" i="3"/>
  <c r="AN188" i="3"/>
  <c r="AQ188" i="3"/>
  <c r="AR188" i="3"/>
  <c r="AG188" i="3"/>
  <c r="AJ188" i="3"/>
  <c r="AK188" i="3"/>
  <c r="AB188" i="3"/>
  <c r="Z188" i="3"/>
  <c r="V188" i="3"/>
  <c r="T188" i="3"/>
  <c r="P188" i="3"/>
  <c r="Q188" i="3"/>
  <c r="N188" i="3"/>
  <c r="J188" i="3"/>
  <c r="K188" i="3"/>
  <c r="G188" i="3"/>
  <c r="H188" i="3"/>
  <c r="BM187" i="3"/>
  <c r="BO187" i="3"/>
  <c r="BP187" i="3"/>
  <c r="BG187" i="3"/>
  <c r="BI187" i="3"/>
  <c r="BJ187" i="3"/>
  <c r="AZ187" i="3"/>
  <c r="BC187" i="3"/>
  <c r="BD187" i="3"/>
  <c r="AW187" i="3"/>
  <c r="AX187" i="3"/>
  <c r="AN187" i="3"/>
  <c r="AQ187" i="3"/>
  <c r="AR187" i="3"/>
  <c r="AG187" i="3"/>
  <c r="AJ187" i="3"/>
  <c r="AK187" i="3"/>
  <c r="Z187" i="3"/>
  <c r="AC187" i="3"/>
  <c r="AD187" i="3"/>
  <c r="T187" i="3"/>
  <c r="S187" i="3"/>
  <c r="P187" i="3"/>
  <c r="Q187" i="3"/>
  <c r="M187" i="3"/>
  <c r="N187" i="3"/>
  <c r="J187" i="3"/>
  <c r="K187" i="3"/>
  <c r="G187" i="3"/>
  <c r="H187" i="3"/>
  <c r="BM186" i="3"/>
  <c r="BO186" i="3"/>
  <c r="BP186" i="3"/>
  <c r="BG186" i="3"/>
  <c r="BI186" i="3"/>
  <c r="BJ186" i="3"/>
  <c r="AZ186" i="3"/>
  <c r="BC186" i="3"/>
  <c r="BD186" i="3"/>
  <c r="AU186" i="3"/>
  <c r="AT186" i="3"/>
  <c r="AW186" i="3"/>
  <c r="AX186" i="3"/>
  <c r="AN186" i="3"/>
  <c r="AQ186" i="3"/>
  <c r="AR186" i="3"/>
  <c r="AG186" i="3"/>
  <c r="AF186" i="3"/>
  <c r="Z186" i="3"/>
  <c r="Y186" i="3"/>
  <c r="V186" i="3"/>
  <c r="T186" i="3"/>
  <c r="S186" i="3"/>
  <c r="W186" i="3"/>
  <c r="P186" i="3"/>
  <c r="Q186" i="3"/>
  <c r="M186" i="3"/>
  <c r="N186" i="3"/>
  <c r="J186" i="3"/>
  <c r="K186" i="3"/>
  <c r="G186" i="3"/>
  <c r="H186" i="3"/>
  <c r="BM185" i="3"/>
  <c r="BO185" i="3"/>
  <c r="BP185" i="3"/>
  <c r="BG185" i="3"/>
  <c r="BI185" i="3"/>
  <c r="BJ185" i="3"/>
  <c r="BC185" i="3"/>
  <c r="BD185" i="3"/>
  <c r="AU185" i="3"/>
  <c r="AW185" i="3"/>
  <c r="AX185" i="3"/>
  <c r="AN185" i="3"/>
  <c r="AQ185" i="3"/>
  <c r="AR185" i="3"/>
  <c r="AJ185" i="3"/>
  <c r="AK185" i="3"/>
  <c r="Z185" i="3"/>
  <c r="AC185" i="3"/>
  <c r="AD185" i="3"/>
  <c r="T185" i="3"/>
  <c r="W185" i="3"/>
  <c r="Q185" i="3"/>
  <c r="N185" i="3"/>
  <c r="K185" i="3"/>
  <c r="H185" i="3"/>
  <c r="BM184" i="3"/>
  <c r="BO184" i="3"/>
  <c r="BP184" i="3"/>
  <c r="BG184" i="3"/>
  <c r="BI184" i="3"/>
  <c r="BJ184" i="3"/>
  <c r="AZ184" i="3"/>
  <c r="BC184" i="3"/>
  <c r="BD184" i="3"/>
  <c r="AU184" i="3"/>
  <c r="AW184" i="3"/>
  <c r="AX184" i="3"/>
  <c r="AQ184" i="3"/>
  <c r="AR184" i="3"/>
  <c r="AJ184" i="3"/>
  <c r="AK184" i="3"/>
  <c r="AB184" i="3"/>
  <c r="Z184" i="3"/>
  <c r="V184" i="3"/>
  <c r="S184" i="3"/>
  <c r="W184" i="3"/>
  <c r="P184" i="3"/>
  <c r="Q184" i="3"/>
  <c r="N184" i="3"/>
  <c r="J184" i="3"/>
  <c r="K184" i="3"/>
  <c r="G184" i="3"/>
  <c r="H184" i="3"/>
  <c r="BM182" i="3"/>
  <c r="BO182" i="3"/>
  <c r="BP182" i="3"/>
  <c r="BG182" i="3"/>
  <c r="BI182" i="3"/>
  <c r="BJ182" i="3"/>
  <c r="AZ182" i="3"/>
  <c r="BC182" i="3"/>
  <c r="BD182" i="3"/>
  <c r="AU182" i="3"/>
  <c r="AW182" i="3"/>
  <c r="AX182" i="3"/>
  <c r="AN182" i="3"/>
  <c r="AQ182" i="3"/>
  <c r="AR182" i="3"/>
  <c r="AG182" i="3"/>
  <c r="AJ182" i="3"/>
  <c r="AK182" i="3"/>
  <c r="Z182" i="3"/>
  <c r="AC182" i="3"/>
  <c r="AD182" i="3"/>
  <c r="T182" i="3"/>
  <c r="W182" i="3"/>
  <c r="P182" i="3"/>
  <c r="Q182" i="3"/>
  <c r="M182" i="3"/>
  <c r="N182" i="3"/>
  <c r="J182" i="3"/>
  <c r="K182" i="3"/>
  <c r="G182" i="3"/>
  <c r="H182" i="3"/>
  <c r="BM181" i="3"/>
  <c r="BO181" i="3"/>
  <c r="BP181" i="3"/>
  <c r="BG181" i="3"/>
  <c r="BI181" i="3"/>
  <c r="BJ181" i="3"/>
  <c r="AZ181" i="3"/>
  <c r="BC181" i="3"/>
  <c r="BD181" i="3"/>
  <c r="AU181" i="3"/>
  <c r="AW181" i="3"/>
  <c r="AX181" i="3"/>
  <c r="AQ181" i="3"/>
  <c r="AR181" i="3"/>
  <c r="BO180" i="3"/>
  <c r="BP180" i="3"/>
  <c r="BI180" i="3"/>
  <c r="BJ180" i="3"/>
  <c r="BC180" i="3"/>
  <c r="BD180" i="3"/>
  <c r="AW180" i="3"/>
  <c r="AX180" i="3"/>
  <c r="AQ180" i="3"/>
  <c r="AR180" i="3"/>
  <c r="AJ180" i="3"/>
  <c r="AK180" i="3"/>
  <c r="AC180" i="3"/>
  <c r="AD180" i="3"/>
  <c r="S180" i="3"/>
  <c r="W180" i="3"/>
  <c r="P180" i="3"/>
  <c r="Q180" i="3"/>
  <c r="N180" i="3"/>
  <c r="J180" i="3"/>
  <c r="K180" i="3"/>
  <c r="G180" i="3"/>
  <c r="H180" i="3"/>
  <c r="BM179" i="3"/>
  <c r="BO179" i="3"/>
  <c r="BP179" i="3"/>
  <c r="BG179" i="3"/>
  <c r="BI179" i="3"/>
  <c r="BJ179" i="3"/>
  <c r="AZ179" i="3"/>
  <c r="BC179" i="3"/>
  <c r="BD179" i="3"/>
  <c r="AT179" i="3"/>
  <c r="AW179" i="3"/>
  <c r="AX179" i="3"/>
  <c r="AN179" i="3"/>
  <c r="AQ179" i="3"/>
  <c r="AR179" i="3"/>
  <c r="AG179" i="3"/>
  <c r="AJ179" i="3"/>
  <c r="AK179" i="3"/>
  <c r="Z179" i="3"/>
  <c r="AC179" i="3"/>
  <c r="AD179" i="3"/>
  <c r="V179" i="3"/>
  <c r="T179" i="3"/>
  <c r="S179" i="3"/>
  <c r="P179" i="3"/>
  <c r="Q179" i="3"/>
  <c r="M179" i="3"/>
  <c r="N179" i="3"/>
  <c r="J179" i="3"/>
  <c r="K179" i="3"/>
  <c r="G179" i="3"/>
  <c r="H179" i="3"/>
  <c r="BO178" i="3"/>
  <c r="BP178" i="3"/>
  <c r="BF178" i="3"/>
  <c r="BI178" i="3"/>
  <c r="BJ178" i="3"/>
  <c r="BC178" i="3"/>
  <c r="BD178" i="3"/>
  <c r="AW178" i="3"/>
  <c r="AX178" i="3"/>
  <c r="AQ178" i="3"/>
  <c r="AR178" i="3"/>
  <c r="AJ178" i="3"/>
  <c r="AK178" i="3"/>
  <c r="AB178" i="3"/>
  <c r="AC178" i="3"/>
  <c r="AD178" i="3"/>
  <c r="W178" i="3"/>
  <c r="Q178" i="3"/>
  <c r="N178" i="3"/>
  <c r="J178" i="3"/>
  <c r="K178" i="3"/>
  <c r="G178" i="3"/>
  <c r="H178" i="3"/>
  <c r="BO177" i="3"/>
  <c r="BP177" i="3"/>
  <c r="BG177" i="3"/>
  <c r="BI177" i="3"/>
  <c r="BJ177" i="3"/>
  <c r="BC177" i="3"/>
  <c r="BD177" i="3"/>
  <c r="AW177" i="3"/>
  <c r="AX177" i="3"/>
  <c r="AN177" i="3"/>
  <c r="AQ177" i="3"/>
  <c r="AR177" i="3"/>
  <c r="AJ177" i="3"/>
  <c r="AK177" i="3"/>
  <c r="AC177" i="3"/>
  <c r="AD177" i="3"/>
  <c r="W177" i="3"/>
  <c r="Q177" i="3"/>
  <c r="N177" i="3"/>
  <c r="K177" i="3"/>
  <c r="H177" i="3"/>
  <c r="BO176" i="3"/>
  <c r="BP176" i="3"/>
  <c r="BI176" i="3"/>
  <c r="BJ176" i="3"/>
  <c r="BC176" i="3"/>
  <c r="BD176" i="3"/>
  <c r="AW176" i="3"/>
  <c r="AX176" i="3"/>
  <c r="AQ176" i="3"/>
  <c r="AR176" i="3"/>
  <c r="AJ176" i="3"/>
  <c r="AK176" i="3"/>
  <c r="AC176" i="3"/>
  <c r="AD176" i="3"/>
  <c r="W176" i="3"/>
  <c r="Q176" i="3"/>
  <c r="N176" i="3"/>
  <c r="J176" i="3"/>
  <c r="K176" i="3"/>
  <c r="G176" i="3"/>
  <c r="H176" i="3"/>
  <c r="BO173" i="3"/>
  <c r="BP173" i="3"/>
  <c r="BI173" i="3"/>
  <c r="BJ173" i="3"/>
  <c r="BC173" i="3"/>
  <c r="BD173" i="3"/>
  <c r="AW173" i="3"/>
  <c r="AX173" i="3"/>
  <c r="AQ173" i="3"/>
  <c r="AR173" i="3"/>
  <c r="BO175" i="3"/>
  <c r="BP175" i="3"/>
  <c r="BI175" i="3"/>
  <c r="BJ175" i="3"/>
  <c r="BC175" i="3"/>
  <c r="BD175" i="3"/>
  <c r="AW175" i="3"/>
  <c r="AX175" i="3"/>
  <c r="AQ175" i="3"/>
  <c r="AR175" i="3"/>
  <c r="AJ175" i="3"/>
  <c r="AK175" i="3"/>
  <c r="AC175" i="3"/>
  <c r="AD175" i="3"/>
  <c r="T175" i="3"/>
  <c r="W175" i="3"/>
  <c r="Q175" i="3"/>
  <c r="N175" i="3"/>
  <c r="K175" i="3"/>
  <c r="G175" i="3"/>
  <c r="H175" i="3"/>
  <c r="BM172" i="3"/>
  <c r="BO172" i="3"/>
  <c r="BP172" i="3"/>
  <c r="BG172" i="3"/>
  <c r="BI172" i="3"/>
  <c r="BJ172" i="3"/>
  <c r="AZ172" i="3"/>
  <c r="BC172" i="3"/>
  <c r="BD172" i="3"/>
  <c r="AU172" i="3"/>
  <c r="AW172" i="3"/>
  <c r="AX172" i="3"/>
  <c r="AN172" i="3"/>
  <c r="AM172" i="3"/>
  <c r="AG172" i="3"/>
  <c r="AJ172" i="3"/>
  <c r="AK172" i="3"/>
  <c r="Z172" i="3"/>
  <c r="AC172" i="3"/>
  <c r="AD172" i="3"/>
  <c r="T172" i="3"/>
  <c r="S172" i="3"/>
  <c r="P172" i="3"/>
  <c r="Q172" i="3"/>
  <c r="M172" i="3"/>
  <c r="N172" i="3"/>
  <c r="K172" i="3"/>
  <c r="G172" i="3"/>
  <c r="H172" i="3"/>
  <c r="BO171" i="3"/>
  <c r="BP171" i="3"/>
  <c r="BI171" i="3"/>
  <c r="BJ171" i="3"/>
  <c r="BC171" i="3"/>
  <c r="BD171" i="3"/>
  <c r="AW171" i="3"/>
  <c r="AX171" i="3"/>
  <c r="AQ171" i="3"/>
  <c r="AR171" i="3"/>
  <c r="AJ171" i="3"/>
  <c r="AK171" i="3"/>
  <c r="AB171" i="3"/>
  <c r="AC171" i="3"/>
  <c r="AD171" i="3"/>
  <c r="S171" i="3"/>
  <c r="W171" i="3"/>
  <c r="P171" i="3"/>
  <c r="Q171" i="3"/>
  <c r="N171" i="3"/>
  <c r="J171" i="3"/>
  <c r="K171" i="3"/>
  <c r="G171" i="3"/>
  <c r="H171" i="3"/>
  <c r="BM170" i="3"/>
  <c r="BO170" i="3"/>
  <c r="BP170" i="3"/>
  <c r="BG170" i="3"/>
  <c r="BI170" i="3"/>
  <c r="BJ170" i="3"/>
  <c r="BA170" i="3"/>
  <c r="AZ170" i="3"/>
  <c r="BC170" i="3"/>
  <c r="BD170" i="3"/>
  <c r="AT170" i="3"/>
  <c r="AN170" i="3"/>
  <c r="AQ170" i="3"/>
  <c r="AR170" i="3"/>
  <c r="AG170" i="3"/>
  <c r="AJ170" i="3"/>
  <c r="AK170" i="3"/>
  <c r="Z170" i="3"/>
  <c r="AC170" i="3"/>
  <c r="AD170" i="3"/>
  <c r="T170" i="3"/>
  <c r="S170" i="3"/>
  <c r="P170" i="3"/>
  <c r="Q170" i="3"/>
  <c r="M170" i="3"/>
  <c r="N170" i="3"/>
  <c r="J170" i="3"/>
  <c r="K170" i="3"/>
  <c r="G170" i="3"/>
  <c r="H170" i="3"/>
  <c r="BM169" i="3"/>
  <c r="BO169" i="3"/>
  <c r="BP169" i="3"/>
  <c r="BI169" i="3"/>
  <c r="BJ169" i="3"/>
  <c r="BC169" i="3"/>
  <c r="BD169" i="3"/>
  <c r="AW169" i="3"/>
  <c r="AX169" i="3"/>
  <c r="AN169" i="3"/>
  <c r="AQ169" i="3"/>
  <c r="AR169" i="3"/>
  <c r="AJ169" i="3"/>
  <c r="AK169" i="3"/>
  <c r="AC169" i="3"/>
  <c r="AD169" i="3"/>
  <c r="T169" i="3"/>
  <c r="S169" i="3"/>
  <c r="P169" i="3"/>
  <c r="Q169" i="3"/>
  <c r="N169" i="3"/>
  <c r="J169" i="3"/>
  <c r="K169" i="3"/>
  <c r="G169" i="3"/>
  <c r="H169" i="3"/>
  <c r="BO168" i="3"/>
  <c r="BP168" i="3"/>
  <c r="BI168" i="3"/>
  <c r="BJ168" i="3"/>
  <c r="BC168" i="3"/>
  <c r="BD168" i="3"/>
  <c r="AW168" i="3"/>
  <c r="AX168" i="3"/>
  <c r="AQ168" i="3"/>
  <c r="AR168" i="3"/>
  <c r="AJ168" i="3"/>
  <c r="AK168" i="3"/>
  <c r="AB168" i="3"/>
  <c r="Z168" i="3"/>
  <c r="AC168" i="3"/>
  <c r="AD168" i="3"/>
  <c r="V168" i="3"/>
  <c r="T168" i="3"/>
  <c r="S168" i="3"/>
  <c r="P168" i="3"/>
  <c r="Q168" i="3"/>
  <c r="N168" i="3"/>
  <c r="J168" i="3"/>
  <c r="K168" i="3"/>
  <c r="G168" i="3"/>
  <c r="H168" i="3"/>
  <c r="BM167" i="3"/>
  <c r="BO167" i="3"/>
  <c r="BP167" i="3"/>
  <c r="BI167" i="3"/>
  <c r="BJ167" i="3"/>
  <c r="AZ167" i="3"/>
  <c r="BC167" i="3"/>
  <c r="BD167" i="3"/>
  <c r="AU167" i="3"/>
  <c r="AW167" i="3"/>
  <c r="AX167" i="3"/>
  <c r="AN167" i="3"/>
  <c r="AQ167" i="3"/>
  <c r="AR167" i="3"/>
  <c r="AJ167" i="3"/>
  <c r="AK167" i="3"/>
  <c r="AB167" i="3"/>
  <c r="Z167" i="3"/>
  <c r="AC167" i="3"/>
  <c r="AD167" i="3"/>
  <c r="V167" i="3"/>
  <c r="T167" i="3"/>
  <c r="S167" i="3"/>
  <c r="W167" i="3"/>
  <c r="P167" i="3"/>
  <c r="Q167" i="3"/>
  <c r="M167" i="3"/>
  <c r="N167" i="3"/>
  <c r="J167" i="3"/>
  <c r="K167" i="3"/>
  <c r="G167" i="3"/>
  <c r="H167" i="3"/>
  <c r="BM166" i="3"/>
  <c r="BO166" i="3"/>
  <c r="BP166" i="3"/>
  <c r="BG166" i="3"/>
  <c r="BI166" i="3"/>
  <c r="BJ166" i="3"/>
  <c r="AZ166" i="3"/>
  <c r="BC166" i="3"/>
  <c r="BD166" i="3"/>
  <c r="AU166" i="3"/>
  <c r="AW166" i="3"/>
  <c r="AX166" i="3"/>
  <c r="AN166" i="3"/>
  <c r="AQ166" i="3"/>
  <c r="AR166" i="3"/>
  <c r="AG166" i="3"/>
  <c r="AJ166" i="3"/>
  <c r="AK166" i="3"/>
  <c r="Z166" i="3"/>
  <c r="AC166" i="3"/>
  <c r="AD166" i="3"/>
  <c r="T166" i="3"/>
  <c r="W166" i="3"/>
  <c r="Q166" i="3"/>
  <c r="BM165" i="3"/>
  <c r="BO165" i="3"/>
  <c r="BP165" i="3"/>
  <c r="BG165" i="3"/>
  <c r="BI165" i="3"/>
  <c r="BJ165" i="3"/>
  <c r="AZ165" i="3"/>
  <c r="BC165" i="3"/>
  <c r="BD165" i="3"/>
  <c r="AU165" i="3"/>
  <c r="AW165" i="3"/>
  <c r="AX165" i="3"/>
  <c r="AN165" i="3"/>
  <c r="AQ165" i="3"/>
  <c r="AR165" i="3"/>
  <c r="AJ165" i="3"/>
  <c r="AK165" i="3"/>
  <c r="Z165" i="3"/>
  <c r="AC165" i="3"/>
  <c r="AD165" i="3"/>
  <c r="T165" i="3"/>
  <c r="S165" i="3"/>
  <c r="P165" i="3"/>
  <c r="Q165" i="3"/>
  <c r="M165" i="3"/>
  <c r="N165" i="3"/>
  <c r="J165" i="3"/>
  <c r="K165" i="3"/>
  <c r="G165" i="3"/>
  <c r="H165" i="3"/>
  <c r="BO164" i="3"/>
  <c r="BP164" i="3"/>
  <c r="BI164" i="3"/>
  <c r="BJ164" i="3"/>
  <c r="BC164" i="3"/>
  <c r="BD164" i="3"/>
  <c r="AW164" i="3"/>
  <c r="AX164" i="3"/>
  <c r="AQ164" i="3"/>
  <c r="AR164" i="3"/>
  <c r="AJ164" i="3"/>
  <c r="AK164" i="3"/>
  <c r="AC164" i="3"/>
  <c r="AD164" i="3"/>
  <c r="S164" i="3"/>
  <c r="W164" i="3"/>
  <c r="Q164" i="3"/>
  <c r="N164" i="3"/>
  <c r="J164" i="3"/>
  <c r="K164" i="3"/>
  <c r="G164" i="3"/>
  <c r="H164" i="3"/>
  <c r="BM163" i="3"/>
  <c r="BO163" i="3"/>
  <c r="BP163" i="3"/>
  <c r="BG163" i="3"/>
  <c r="BI163" i="3"/>
  <c r="BJ163" i="3"/>
  <c r="AZ163" i="3"/>
  <c r="BC163" i="3"/>
  <c r="BD163" i="3"/>
  <c r="AU163" i="3"/>
  <c r="AW163" i="3"/>
  <c r="AX163" i="3"/>
  <c r="AN163" i="3"/>
  <c r="AQ163" i="3"/>
  <c r="AR163" i="3"/>
  <c r="AG163" i="3"/>
  <c r="AJ163" i="3"/>
  <c r="AK163" i="3"/>
  <c r="Z163" i="3"/>
  <c r="AC163" i="3"/>
  <c r="AD163" i="3"/>
  <c r="V163" i="3"/>
  <c r="T163" i="3"/>
  <c r="S163" i="3"/>
  <c r="P163" i="3"/>
  <c r="Q163" i="3"/>
  <c r="M163" i="3"/>
  <c r="N163" i="3"/>
  <c r="J163" i="3"/>
  <c r="K163" i="3"/>
  <c r="G163" i="3"/>
  <c r="H163" i="3"/>
  <c r="BM162" i="3"/>
  <c r="BO162" i="3"/>
  <c r="BP162" i="3"/>
  <c r="BG162" i="3"/>
  <c r="BI162" i="3"/>
  <c r="BJ162" i="3"/>
  <c r="AZ162" i="3"/>
  <c r="BC162" i="3"/>
  <c r="BD162" i="3"/>
  <c r="AU162" i="3"/>
  <c r="AW162" i="3"/>
  <c r="AX162" i="3"/>
  <c r="AN162" i="3"/>
  <c r="AQ162" i="3"/>
  <c r="AR162" i="3"/>
  <c r="AG162" i="3"/>
  <c r="AJ162" i="3"/>
  <c r="AK162" i="3"/>
  <c r="Z162" i="3"/>
  <c r="AC162" i="3"/>
  <c r="AD162" i="3"/>
  <c r="T162" i="3"/>
  <c r="S162" i="3"/>
  <c r="P162" i="3"/>
  <c r="Q162" i="3"/>
  <c r="M162" i="3"/>
  <c r="N162" i="3"/>
  <c r="J162" i="3"/>
  <c r="K162" i="3"/>
  <c r="G162" i="3"/>
  <c r="H162" i="3"/>
  <c r="BO161" i="3"/>
  <c r="BP161" i="3"/>
  <c r="BI161" i="3"/>
  <c r="BJ161" i="3"/>
  <c r="BC161" i="3"/>
  <c r="BD161" i="3"/>
  <c r="AW161" i="3"/>
  <c r="AX161" i="3"/>
  <c r="AQ161" i="3"/>
  <c r="AR161" i="3"/>
  <c r="AJ161" i="3"/>
  <c r="AK161" i="3"/>
  <c r="AC161" i="3"/>
  <c r="AD161" i="3"/>
  <c r="S161" i="3"/>
  <c r="W161" i="3"/>
  <c r="P161" i="3"/>
  <c r="Q161" i="3"/>
  <c r="N161" i="3"/>
  <c r="K161" i="3"/>
  <c r="H161" i="3"/>
  <c r="BO160" i="3"/>
  <c r="BP160" i="3"/>
  <c r="BI160" i="3"/>
  <c r="BJ160" i="3"/>
  <c r="BC160" i="3"/>
  <c r="BD160" i="3"/>
  <c r="AW160" i="3"/>
  <c r="AX160" i="3"/>
  <c r="AQ160" i="3"/>
  <c r="AR160" i="3"/>
  <c r="AJ160" i="3"/>
  <c r="AK160" i="3"/>
  <c r="AC160" i="3"/>
  <c r="AD160" i="3"/>
  <c r="S160" i="3"/>
  <c r="W160" i="3"/>
  <c r="Q160" i="3"/>
  <c r="N160" i="3"/>
  <c r="J160" i="3"/>
  <c r="K160" i="3"/>
  <c r="G160" i="3"/>
  <c r="H160" i="3"/>
  <c r="BM159" i="3"/>
  <c r="BO159" i="3"/>
  <c r="BP159" i="3"/>
  <c r="BG159" i="3"/>
  <c r="BF159" i="3"/>
  <c r="AZ159" i="3"/>
  <c r="BC159" i="3"/>
  <c r="BD159" i="3"/>
  <c r="AU159" i="3"/>
  <c r="AW159" i="3"/>
  <c r="AX159" i="3"/>
  <c r="AN159" i="3"/>
  <c r="AQ159" i="3"/>
  <c r="AR159" i="3"/>
  <c r="AG159" i="3"/>
  <c r="AJ159" i="3"/>
  <c r="AK159" i="3"/>
  <c r="Z159" i="3"/>
  <c r="AC159" i="3"/>
  <c r="AD159" i="3"/>
  <c r="T159" i="3"/>
  <c r="S159" i="3"/>
  <c r="P159" i="3"/>
  <c r="Q159" i="3"/>
  <c r="M159" i="3"/>
  <c r="N159" i="3"/>
  <c r="J159" i="3"/>
  <c r="K159" i="3"/>
  <c r="G159" i="3"/>
  <c r="H159" i="3"/>
  <c r="BM157" i="3"/>
  <c r="BO157" i="3"/>
  <c r="BP157" i="3"/>
  <c r="BG157" i="3"/>
  <c r="BI157" i="3"/>
  <c r="BJ157" i="3"/>
  <c r="AZ157" i="3"/>
  <c r="BC157" i="3"/>
  <c r="BD157" i="3"/>
  <c r="AU157" i="3"/>
  <c r="AW157" i="3"/>
  <c r="AX157" i="3"/>
  <c r="AN157" i="3"/>
  <c r="AQ157" i="3"/>
  <c r="AR157" i="3"/>
  <c r="AG157" i="3"/>
  <c r="AJ157" i="3"/>
  <c r="AK157" i="3"/>
  <c r="Z157" i="3"/>
  <c r="AC157" i="3"/>
  <c r="AD157" i="3"/>
  <c r="T157" i="3"/>
  <c r="S157" i="3"/>
  <c r="P157" i="3"/>
  <c r="Q157" i="3"/>
  <c r="M157" i="3"/>
  <c r="N157" i="3"/>
  <c r="J157" i="3"/>
  <c r="K157" i="3"/>
  <c r="G157" i="3"/>
  <c r="H157" i="3"/>
  <c r="BM155" i="3"/>
  <c r="BO155" i="3"/>
  <c r="BP155" i="3"/>
  <c r="BG155" i="3"/>
  <c r="BI155" i="3"/>
  <c r="BJ155" i="3"/>
  <c r="AZ155" i="3"/>
  <c r="BC155" i="3"/>
  <c r="BD155" i="3"/>
  <c r="AN155" i="3"/>
  <c r="AQ155" i="3"/>
  <c r="AR155" i="3"/>
  <c r="AG155" i="3"/>
  <c r="AJ155" i="3"/>
  <c r="AK155" i="3"/>
  <c r="Z155" i="3"/>
  <c r="AC155" i="3"/>
  <c r="AD155" i="3"/>
  <c r="V155" i="3"/>
  <c r="T155" i="3"/>
  <c r="S155" i="3"/>
  <c r="W155" i="3"/>
  <c r="P155" i="3"/>
  <c r="Q155" i="3"/>
  <c r="N155" i="3"/>
  <c r="J155" i="3"/>
  <c r="K155" i="3"/>
  <c r="G155" i="3"/>
  <c r="H155" i="3"/>
  <c r="BO154" i="3"/>
  <c r="BP154" i="3"/>
  <c r="BI154" i="3"/>
  <c r="BJ154" i="3"/>
  <c r="BC154" i="3"/>
  <c r="BD154" i="3"/>
  <c r="AW154" i="3"/>
  <c r="AX154" i="3"/>
  <c r="AQ154" i="3"/>
  <c r="AR154" i="3"/>
  <c r="AJ154" i="3"/>
  <c r="AK154" i="3"/>
  <c r="AC154" i="3"/>
  <c r="AD154" i="3"/>
  <c r="V154" i="3"/>
  <c r="W154" i="3"/>
  <c r="Q154" i="3"/>
  <c r="N154" i="3"/>
  <c r="J154" i="3"/>
  <c r="K154" i="3"/>
  <c r="G154" i="3"/>
  <c r="H154" i="3"/>
  <c r="BO153" i="3"/>
  <c r="BP153" i="3"/>
  <c r="BI153" i="3"/>
  <c r="BJ153" i="3"/>
  <c r="BC153" i="3"/>
  <c r="BD153" i="3"/>
  <c r="AW153" i="3"/>
  <c r="AX153" i="3"/>
  <c r="AQ153" i="3"/>
  <c r="AR153" i="3"/>
  <c r="AJ153" i="3"/>
  <c r="AK153" i="3"/>
  <c r="AC153" i="3"/>
  <c r="AD153" i="3"/>
  <c r="S153" i="3"/>
  <c r="W153" i="3"/>
  <c r="Q153" i="3"/>
  <c r="N153" i="3"/>
  <c r="K153" i="3"/>
  <c r="G153" i="3"/>
  <c r="H153" i="3"/>
  <c r="BM152" i="3"/>
  <c r="BO152" i="3"/>
  <c r="BP152" i="3"/>
  <c r="BG152" i="3"/>
  <c r="BI152" i="3"/>
  <c r="BJ152" i="3"/>
  <c r="AZ152" i="3"/>
  <c r="BC152" i="3"/>
  <c r="BD152" i="3"/>
  <c r="AU152" i="3"/>
  <c r="AW152" i="3"/>
  <c r="AX152" i="3"/>
  <c r="AN152" i="3"/>
  <c r="AQ152" i="3"/>
  <c r="AR152" i="3"/>
  <c r="AG152" i="3"/>
  <c r="AJ152" i="3"/>
  <c r="AK152" i="3"/>
  <c r="Z152" i="3"/>
  <c r="AC152" i="3"/>
  <c r="AD152" i="3"/>
  <c r="V152" i="3"/>
  <c r="T152" i="3"/>
  <c r="S152" i="3"/>
  <c r="W152" i="3"/>
  <c r="P152" i="3"/>
  <c r="Q152" i="3"/>
  <c r="M152" i="3"/>
  <c r="N152" i="3"/>
  <c r="J152" i="3"/>
  <c r="K152" i="3"/>
  <c r="G152" i="3"/>
  <c r="H152" i="3"/>
  <c r="BM151" i="3"/>
  <c r="BO151" i="3"/>
  <c r="BP151" i="3"/>
  <c r="BG151" i="3"/>
  <c r="BI151" i="3"/>
  <c r="BJ151" i="3"/>
  <c r="AZ151" i="3"/>
  <c r="BC151" i="3"/>
  <c r="BD151" i="3"/>
  <c r="AU151" i="3"/>
  <c r="AW151" i="3"/>
  <c r="AX151" i="3"/>
  <c r="AN151" i="3"/>
  <c r="AQ151" i="3"/>
  <c r="AR151" i="3"/>
  <c r="AG151" i="3"/>
  <c r="AJ151" i="3"/>
  <c r="AK151" i="3"/>
  <c r="Z151" i="3"/>
  <c r="AC151" i="3"/>
  <c r="AD151" i="3"/>
  <c r="T151" i="3"/>
  <c r="S151" i="3"/>
  <c r="Q151" i="3"/>
  <c r="M151" i="3"/>
  <c r="N151" i="3"/>
  <c r="J151" i="3"/>
  <c r="K151" i="3"/>
  <c r="G151" i="3"/>
  <c r="H151" i="3"/>
  <c r="BO156" i="3"/>
  <c r="BP156" i="3"/>
  <c r="BI156" i="3"/>
  <c r="BJ156" i="3"/>
  <c r="BA156" i="3"/>
  <c r="BC156" i="3"/>
  <c r="BD156" i="3"/>
  <c r="AW156" i="3"/>
  <c r="AX156" i="3"/>
  <c r="AQ156" i="3"/>
  <c r="AR156" i="3"/>
  <c r="AJ156" i="3"/>
  <c r="AK156" i="3"/>
  <c r="Y156" i="3"/>
  <c r="AC156" i="3"/>
  <c r="AD156" i="3"/>
  <c r="V156" i="3"/>
  <c r="S156" i="3"/>
  <c r="P156" i="3"/>
  <c r="Q156" i="3"/>
  <c r="N156" i="3"/>
  <c r="J156" i="3"/>
  <c r="K156" i="3"/>
  <c r="G156" i="3"/>
  <c r="H156" i="3"/>
  <c r="BM150" i="3"/>
  <c r="BO150" i="3"/>
  <c r="BP150" i="3"/>
  <c r="BF150" i="3"/>
  <c r="BI150" i="3"/>
  <c r="BJ150" i="3"/>
  <c r="AZ150" i="3"/>
  <c r="BC150" i="3"/>
  <c r="BD150" i="3"/>
  <c r="AU150" i="3"/>
  <c r="AW150" i="3"/>
  <c r="AX150" i="3"/>
  <c r="AN150" i="3"/>
  <c r="AQ150" i="3"/>
  <c r="AR150" i="3"/>
  <c r="AG150" i="3"/>
  <c r="AJ150" i="3"/>
  <c r="AK150" i="3"/>
  <c r="Z150" i="3"/>
  <c r="AC150" i="3"/>
  <c r="AD150" i="3"/>
  <c r="S150" i="3"/>
  <c r="W150" i="3"/>
  <c r="P150" i="3"/>
  <c r="Q150" i="3"/>
  <c r="N150" i="3"/>
  <c r="J150" i="3"/>
  <c r="K150" i="3"/>
  <c r="G150" i="3"/>
  <c r="H150" i="3"/>
  <c r="BO149" i="3"/>
  <c r="BP149" i="3"/>
  <c r="BF149" i="3"/>
  <c r="BI149" i="3"/>
  <c r="BJ149" i="3"/>
  <c r="BC149" i="3"/>
  <c r="BD149" i="3"/>
  <c r="AW149" i="3"/>
  <c r="AX149" i="3"/>
  <c r="AQ149" i="3"/>
  <c r="AR149" i="3"/>
  <c r="AJ149" i="3"/>
  <c r="AK149" i="3"/>
  <c r="AC149" i="3"/>
  <c r="AD149" i="3"/>
  <c r="S149" i="3"/>
  <c r="W149" i="3"/>
  <c r="P149" i="3"/>
  <c r="Q149" i="3"/>
  <c r="N149" i="3"/>
  <c r="J149" i="3"/>
  <c r="K149" i="3"/>
  <c r="G149" i="3"/>
  <c r="H149" i="3"/>
  <c r="BM148" i="3"/>
  <c r="BO148" i="3"/>
  <c r="BP148" i="3"/>
  <c r="BG148" i="3"/>
  <c r="BI148" i="3"/>
  <c r="BJ148" i="3"/>
  <c r="AZ148" i="3"/>
  <c r="BC148" i="3"/>
  <c r="BD148" i="3"/>
  <c r="AU148" i="3"/>
  <c r="AW148" i="3"/>
  <c r="AX148" i="3"/>
  <c r="AN148" i="3"/>
  <c r="AQ148" i="3"/>
  <c r="AR148" i="3"/>
  <c r="AJ148" i="3"/>
  <c r="AK148" i="3"/>
  <c r="AC148" i="3"/>
  <c r="AD148" i="3"/>
  <c r="W148" i="3"/>
  <c r="BM147" i="3"/>
  <c r="BO147" i="3"/>
  <c r="BP147" i="3"/>
  <c r="BI147" i="3"/>
  <c r="BJ147" i="3"/>
  <c r="AZ147" i="3"/>
  <c r="BC147" i="3"/>
  <c r="BD147" i="3"/>
  <c r="AU147" i="3"/>
  <c r="AT147" i="3"/>
  <c r="AN147" i="3"/>
  <c r="AQ147" i="3"/>
  <c r="AR147" i="3"/>
  <c r="AG147" i="3"/>
  <c r="AJ147" i="3"/>
  <c r="AK147" i="3"/>
  <c r="Z147" i="3"/>
  <c r="AC147" i="3"/>
  <c r="AD147" i="3"/>
  <c r="T147" i="3"/>
  <c r="S147" i="3"/>
  <c r="P147" i="3"/>
  <c r="Q147" i="3"/>
  <c r="N147" i="3"/>
  <c r="J147" i="3"/>
  <c r="K147" i="3"/>
  <c r="G147" i="3"/>
  <c r="H147" i="3"/>
  <c r="BM146" i="3"/>
  <c r="BO146" i="3"/>
  <c r="BP146" i="3"/>
  <c r="BG146" i="3"/>
  <c r="BI146" i="3"/>
  <c r="BJ146" i="3"/>
  <c r="AZ146" i="3"/>
  <c r="BC146" i="3"/>
  <c r="BD146" i="3"/>
  <c r="AU146" i="3"/>
  <c r="AW146" i="3"/>
  <c r="AX146" i="3"/>
  <c r="AN146" i="3"/>
  <c r="AQ146" i="3"/>
  <c r="AR146" i="3"/>
  <c r="AG146" i="3"/>
  <c r="AJ146" i="3"/>
  <c r="AK146" i="3"/>
  <c r="Z146" i="3"/>
  <c r="AC146" i="3"/>
  <c r="AD146" i="3"/>
  <c r="T146" i="3"/>
  <c r="W146" i="3"/>
  <c r="P146" i="3"/>
  <c r="Q146" i="3"/>
  <c r="N146" i="3"/>
  <c r="J146" i="3"/>
  <c r="K146" i="3"/>
  <c r="G146" i="3"/>
  <c r="H146" i="3"/>
  <c r="BM145" i="3"/>
  <c r="BO145" i="3"/>
  <c r="BP145" i="3"/>
  <c r="BI145" i="3"/>
  <c r="BJ145" i="3"/>
  <c r="AZ145" i="3"/>
  <c r="BC145" i="3"/>
  <c r="BD145" i="3"/>
  <c r="AU145" i="3"/>
  <c r="AW145" i="3"/>
  <c r="AX145" i="3"/>
  <c r="AQ145" i="3"/>
  <c r="AR145" i="3"/>
  <c r="AG145" i="3"/>
  <c r="AJ145" i="3"/>
  <c r="AK145" i="3"/>
  <c r="AB145" i="3"/>
  <c r="Z145" i="3"/>
  <c r="S145" i="3"/>
  <c r="W145" i="3"/>
  <c r="P145" i="3"/>
  <c r="Q145" i="3"/>
  <c r="N145" i="3"/>
  <c r="J145" i="3"/>
  <c r="K145" i="3"/>
  <c r="G145" i="3"/>
  <c r="H145" i="3"/>
  <c r="BM144" i="3"/>
  <c r="BO144" i="3"/>
  <c r="BP144" i="3"/>
  <c r="BG144" i="3"/>
  <c r="BI144" i="3"/>
  <c r="BJ144" i="3"/>
  <c r="AZ144" i="3"/>
  <c r="BC144" i="3"/>
  <c r="BD144" i="3"/>
  <c r="AU144" i="3"/>
  <c r="AW144" i="3"/>
  <c r="AX144" i="3"/>
  <c r="AN144" i="3"/>
  <c r="AQ144" i="3"/>
  <c r="AR144" i="3"/>
  <c r="AG144" i="3"/>
  <c r="AJ144" i="3"/>
  <c r="AK144" i="3"/>
  <c r="Z144" i="3"/>
  <c r="AC144" i="3"/>
  <c r="AD144" i="3"/>
  <c r="T144" i="3"/>
  <c r="S144" i="3"/>
  <c r="P144" i="3"/>
  <c r="Q144" i="3"/>
  <c r="M144" i="3"/>
  <c r="N144" i="3"/>
  <c r="J144" i="3"/>
  <c r="K144" i="3"/>
  <c r="G144" i="3"/>
  <c r="H144" i="3"/>
  <c r="BO143" i="3"/>
  <c r="BP143" i="3"/>
  <c r="BG143" i="3"/>
  <c r="BI143" i="3"/>
  <c r="BJ143" i="3"/>
  <c r="BA143" i="3"/>
  <c r="AZ143" i="3"/>
  <c r="AT143" i="3"/>
  <c r="AW143" i="3"/>
  <c r="AX143" i="3"/>
  <c r="AN143" i="3"/>
  <c r="AQ143" i="3"/>
  <c r="AR143" i="3"/>
  <c r="AG143" i="3"/>
  <c r="AJ143" i="3"/>
  <c r="AK143" i="3"/>
  <c r="AB143" i="3"/>
  <c r="Z143" i="3"/>
  <c r="AC143" i="3"/>
  <c r="AD143" i="3"/>
  <c r="V143" i="3"/>
  <c r="T143" i="3"/>
  <c r="S143" i="3"/>
  <c r="W143" i="3"/>
  <c r="P143" i="3"/>
  <c r="Q143" i="3"/>
  <c r="M143" i="3"/>
  <c r="N143" i="3"/>
  <c r="J143" i="3"/>
  <c r="K143" i="3"/>
  <c r="G143" i="3"/>
  <c r="H143" i="3"/>
  <c r="BM142" i="3"/>
  <c r="BO142" i="3"/>
  <c r="BP142" i="3"/>
  <c r="BG142" i="3"/>
  <c r="BI142" i="3"/>
  <c r="BJ142" i="3"/>
  <c r="AZ142" i="3"/>
  <c r="BC142" i="3"/>
  <c r="BD142" i="3"/>
  <c r="AU142" i="3"/>
  <c r="AW142" i="3"/>
  <c r="AX142" i="3"/>
  <c r="AN142" i="3"/>
  <c r="AQ142" i="3"/>
  <c r="AR142" i="3"/>
  <c r="AG142" i="3"/>
  <c r="AJ142" i="3"/>
  <c r="AK142" i="3"/>
  <c r="Z142" i="3"/>
  <c r="AC142" i="3"/>
  <c r="AD142" i="3"/>
  <c r="V142" i="3"/>
  <c r="T142" i="3"/>
  <c r="S142" i="3"/>
  <c r="P142" i="3"/>
  <c r="Q142" i="3"/>
  <c r="M142" i="3"/>
  <c r="N142" i="3"/>
  <c r="J142" i="3"/>
  <c r="K142" i="3"/>
  <c r="H142" i="3"/>
  <c r="BM141" i="3"/>
  <c r="BO141" i="3"/>
  <c r="BP141" i="3"/>
  <c r="BG141" i="3"/>
  <c r="BI141" i="3"/>
  <c r="BJ141" i="3"/>
  <c r="AZ141" i="3"/>
  <c r="BC141" i="3"/>
  <c r="BD141" i="3"/>
  <c r="AU141" i="3"/>
  <c r="AW141" i="3"/>
  <c r="AX141" i="3"/>
  <c r="AN141" i="3"/>
  <c r="AQ141" i="3"/>
  <c r="AR141" i="3"/>
  <c r="AG141" i="3"/>
  <c r="AJ141" i="3"/>
  <c r="AK141" i="3"/>
  <c r="Z141" i="3"/>
  <c r="AC141" i="3"/>
  <c r="AD141" i="3"/>
  <c r="T141" i="3"/>
  <c r="W141" i="3"/>
  <c r="Q141" i="3"/>
  <c r="BN140" i="3"/>
  <c r="BN195" i="3"/>
  <c r="BM140" i="3"/>
  <c r="BH140" i="3"/>
  <c r="BG140" i="3"/>
  <c r="BF140" i="3"/>
  <c r="BB140" i="3"/>
  <c r="AZ140" i="3"/>
  <c r="BC140" i="3"/>
  <c r="BD140" i="3"/>
  <c r="AV140" i="3"/>
  <c r="AN140" i="3"/>
  <c r="AQ140" i="3"/>
  <c r="AR140" i="3"/>
  <c r="AG140" i="3"/>
  <c r="AJ140" i="3"/>
  <c r="AK140" i="3"/>
  <c r="AB140" i="3"/>
  <c r="AC140" i="3"/>
  <c r="AD140" i="3"/>
  <c r="V140" i="3"/>
  <c r="T140" i="3"/>
  <c r="Q140" i="3"/>
  <c r="N140" i="3"/>
  <c r="K140" i="3"/>
  <c r="G140" i="3"/>
  <c r="H140" i="3"/>
  <c r="BM139" i="3"/>
  <c r="BO139" i="3"/>
  <c r="BP139" i="3"/>
  <c r="BG139" i="3"/>
  <c r="BI139" i="3"/>
  <c r="BJ139" i="3"/>
  <c r="AZ139" i="3"/>
  <c r="BC139" i="3"/>
  <c r="BD139" i="3"/>
  <c r="AU139" i="3"/>
  <c r="AW139" i="3"/>
  <c r="AX139" i="3"/>
  <c r="AN139" i="3"/>
  <c r="AQ139" i="3"/>
  <c r="AR139" i="3"/>
  <c r="AG139" i="3"/>
  <c r="AJ139" i="3"/>
  <c r="AK139" i="3"/>
  <c r="Z139" i="3"/>
  <c r="AC139" i="3"/>
  <c r="AD139" i="3"/>
  <c r="T139" i="3"/>
  <c r="W139" i="3"/>
  <c r="P139" i="3"/>
  <c r="Q139" i="3"/>
  <c r="N139" i="3"/>
  <c r="J139" i="3"/>
  <c r="K139" i="3"/>
  <c r="H139" i="3"/>
  <c r="BO138" i="3"/>
  <c r="BP138" i="3"/>
  <c r="BI138" i="3"/>
  <c r="BJ138" i="3"/>
  <c r="BC138" i="3"/>
  <c r="BD138" i="3"/>
  <c r="AW138" i="3"/>
  <c r="AX138" i="3"/>
  <c r="AQ138" i="3"/>
  <c r="AR138" i="3"/>
  <c r="AJ138" i="3"/>
  <c r="AK138" i="3"/>
  <c r="AC138" i="3"/>
  <c r="AD138" i="3"/>
  <c r="V138" i="3"/>
  <c r="W138" i="3"/>
  <c r="Q138" i="3"/>
  <c r="N138" i="3"/>
  <c r="K138" i="3"/>
  <c r="H138" i="3"/>
  <c r="BM137" i="3"/>
  <c r="BO137" i="3"/>
  <c r="BP137" i="3"/>
  <c r="BG137" i="3"/>
  <c r="BI137" i="3"/>
  <c r="BJ137" i="3"/>
  <c r="AZ137" i="3"/>
  <c r="BC137" i="3"/>
  <c r="BD137" i="3"/>
  <c r="AU137" i="3"/>
  <c r="AW137" i="3"/>
  <c r="AX137" i="3"/>
  <c r="AN137" i="3"/>
  <c r="AQ137" i="3"/>
  <c r="AR137" i="3"/>
  <c r="AG137" i="3"/>
  <c r="AJ137" i="3"/>
  <c r="AK137" i="3"/>
  <c r="Z137" i="3"/>
  <c r="AC137" i="3"/>
  <c r="AD137" i="3"/>
  <c r="V137" i="3"/>
  <c r="T137" i="3"/>
  <c r="P137" i="3"/>
  <c r="Q137" i="3"/>
  <c r="N137" i="3"/>
  <c r="BO136" i="3"/>
  <c r="BP136" i="3"/>
  <c r="BI136" i="3"/>
  <c r="BJ136" i="3"/>
  <c r="BC136" i="3"/>
  <c r="BD136" i="3"/>
  <c r="AW136" i="3"/>
  <c r="AX136" i="3"/>
  <c r="AQ136" i="3"/>
  <c r="AR136" i="3"/>
  <c r="AJ136" i="3"/>
  <c r="AK136" i="3"/>
  <c r="AC136" i="3"/>
  <c r="AD136" i="3"/>
  <c r="V136" i="3"/>
  <c r="T136" i="3"/>
  <c r="S136" i="3"/>
  <c r="P136" i="3"/>
  <c r="Q136" i="3"/>
  <c r="N136" i="3"/>
  <c r="J136" i="3"/>
  <c r="K136" i="3"/>
  <c r="G136" i="3"/>
  <c r="H136" i="3"/>
  <c r="BO135" i="3"/>
  <c r="BP135" i="3"/>
  <c r="BF135" i="3"/>
  <c r="BI135" i="3"/>
  <c r="BJ135" i="3"/>
  <c r="BC135" i="3"/>
  <c r="BD135" i="3"/>
  <c r="AW135" i="3"/>
  <c r="AX135" i="3"/>
  <c r="AQ135" i="3"/>
  <c r="AR135" i="3"/>
  <c r="AJ135" i="3"/>
  <c r="AK135" i="3"/>
  <c r="AC135" i="3"/>
  <c r="AD135" i="3"/>
  <c r="W135" i="3"/>
  <c r="Q135" i="3"/>
  <c r="N135" i="3"/>
  <c r="K135" i="3"/>
  <c r="H135" i="3"/>
  <c r="BO134" i="3"/>
  <c r="BP134" i="3"/>
  <c r="BI134" i="3"/>
  <c r="BJ134" i="3"/>
  <c r="BC134" i="3"/>
  <c r="BD134" i="3"/>
  <c r="AW134" i="3"/>
  <c r="AX134" i="3"/>
  <c r="AQ134" i="3"/>
  <c r="AR134" i="3"/>
  <c r="AJ134" i="3"/>
  <c r="AK134" i="3"/>
  <c r="AC134" i="3"/>
  <c r="AD134" i="3"/>
  <c r="S134" i="3"/>
  <c r="W134" i="3"/>
  <c r="P134" i="3"/>
  <c r="Q134" i="3"/>
  <c r="N134" i="3"/>
  <c r="J134" i="3"/>
  <c r="K134" i="3"/>
  <c r="H134" i="3"/>
  <c r="BM133" i="3"/>
  <c r="BO133" i="3"/>
  <c r="BP133" i="3"/>
  <c r="BG133" i="3"/>
  <c r="BF133" i="3"/>
  <c r="AZ133" i="3"/>
  <c r="BC133" i="3"/>
  <c r="BD133" i="3"/>
  <c r="AU133" i="3"/>
  <c r="AW133" i="3"/>
  <c r="AX133" i="3"/>
  <c r="AN133" i="3"/>
  <c r="AQ133" i="3"/>
  <c r="AR133" i="3"/>
  <c r="AG133" i="3"/>
  <c r="AJ133" i="3"/>
  <c r="AK133" i="3"/>
  <c r="AB133" i="3"/>
  <c r="Z133" i="3"/>
  <c r="V133" i="3"/>
  <c r="T133" i="3"/>
  <c r="P133" i="3"/>
  <c r="Q133" i="3"/>
  <c r="N133" i="3"/>
  <c r="J133" i="3"/>
  <c r="K133" i="3"/>
  <c r="G133" i="3"/>
  <c r="H133" i="3"/>
  <c r="BO132" i="3"/>
  <c r="BP132" i="3"/>
  <c r="BI132" i="3"/>
  <c r="BJ132" i="3"/>
  <c r="BC132" i="3"/>
  <c r="BD132" i="3"/>
  <c r="AW132" i="3"/>
  <c r="AX132" i="3"/>
  <c r="AQ132" i="3"/>
  <c r="AR132" i="3"/>
  <c r="AJ132" i="3"/>
  <c r="AK132" i="3"/>
  <c r="AC132" i="3"/>
  <c r="AD132" i="3"/>
  <c r="V132" i="3"/>
  <c r="S132" i="3"/>
  <c r="P132" i="3"/>
  <c r="Q132" i="3"/>
  <c r="N132" i="3"/>
  <c r="J132" i="3"/>
  <c r="K132" i="3"/>
  <c r="H132" i="3"/>
  <c r="BM131" i="3"/>
  <c r="BO131" i="3"/>
  <c r="BP131" i="3"/>
  <c r="BG131" i="3"/>
  <c r="BI131" i="3"/>
  <c r="BJ131" i="3"/>
  <c r="AZ131" i="3"/>
  <c r="BC131" i="3"/>
  <c r="BD131" i="3"/>
  <c r="AU131" i="3"/>
  <c r="AW131" i="3"/>
  <c r="AX131" i="3"/>
  <c r="AN131" i="3"/>
  <c r="AQ131" i="3"/>
  <c r="AR131" i="3"/>
  <c r="AG131" i="3"/>
  <c r="AJ131" i="3"/>
  <c r="AK131" i="3"/>
  <c r="Z131" i="3"/>
  <c r="AC131" i="3"/>
  <c r="AD131" i="3"/>
  <c r="V131" i="3"/>
  <c r="T131" i="3"/>
  <c r="S131" i="3"/>
  <c r="P131" i="3"/>
  <c r="Q131" i="3"/>
  <c r="M131" i="3"/>
  <c r="N131" i="3"/>
  <c r="J131" i="3"/>
  <c r="K131" i="3"/>
  <c r="G131" i="3"/>
  <c r="H131" i="3"/>
  <c r="BO130" i="3"/>
  <c r="BP130" i="3"/>
  <c r="BG130" i="3"/>
  <c r="BI130" i="3"/>
  <c r="BJ130" i="3"/>
  <c r="BC130" i="3"/>
  <c r="BD130" i="3"/>
  <c r="AW130" i="3"/>
  <c r="AX130" i="3"/>
  <c r="AQ130" i="3"/>
  <c r="AR130" i="3"/>
  <c r="AJ130" i="3"/>
  <c r="AK130" i="3"/>
  <c r="AC130" i="3"/>
  <c r="AD130" i="3"/>
  <c r="S130" i="3"/>
  <c r="W130" i="3"/>
  <c r="Q130" i="3"/>
  <c r="N130" i="3"/>
  <c r="K130" i="3"/>
  <c r="H130" i="3"/>
  <c r="BM129" i="3"/>
  <c r="BO129" i="3"/>
  <c r="BP129" i="3"/>
  <c r="BG129" i="3"/>
  <c r="BI129" i="3"/>
  <c r="BJ129" i="3"/>
  <c r="BC129" i="3"/>
  <c r="BD129" i="3"/>
  <c r="AW129" i="3"/>
  <c r="AX129" i="3"/>
  <c r="AN129" i="3"/>
  <c r="AQ129" i="3"/>
  <c r="AR129" i="3"/>
  <c r="AJ129" i="3"/>
  <c r="AK129" i="3"/>
  <c r="Z129" i="3"/>
  <c r="AC129" i="3"/>
  <c r="AD129" i="3"/>
  <c r="T129" i="3"/>
  <c r="W129" i="3"/>
  <c r="P129" i="3"/>
  <c r="Q129" i="3"/>
  <c r="N129" i="3"/>
  <c r="K129" i="3"/>
  <c r="H129" i="3"/>
  <c r="BO128" i="3"/>
  <c r="BP128" i="3"/>
  <c r="BI128" i="3"/>
  <c r="BJ128" i="3"/>
  <c r="BC128" i="3"/>
  <c r="BD128" i="3"/>
  <c r="AW128" i="3"/>
  <c r="AX128" i="3"/>
  <c r="AQ128" i="3"/>
  <c r="AR128" i="3"/>
  <c r="AJ128" i="3"/>
  <c r="AK128" i="3"/>
  <c r="AC128" i="3"/>
  <c r="AD128" i="3"/>
  <c r="S128" i="3"/>
  <c r="W128" i="3"/>
  <c r="P128" i="3"/>
  <c r="Q128" i="3"/>
  <c r="N128" i="3"/>
  <c r="J128" i="3"/>
  <c r="K128" i="3"/>
  <c r="G128" i="3"/>
  <c r="H128" i="3"/>
  <c r="BM127" i="3"/>
  <c r="BO127" i="3"/>
  <c r="BP127" i="3"/>
  <c r="BG127" i="3"/>
  <c r="BI127" i="3"/>
  <c r="BJ127" i="3"/>
  <c r="AZ127" i="3"/>
  <c r="BC127" i="3"/>
  <c r="BD127" i="3"/>
  <c r="AU127" i="3"/>
  <c r="AW127" i="3"/>
  <c r="AX127" i="3"/>
  <c r="AN127" i="3"/>
  <c r="AQ127" i="3"/>
  <c r="AR127" i="3"/>
  <c r="AG127" i="3"/>
  <c r="AJ127" i="3"/>
  <c r="AK127" i="3"/>
  <c r="Z127" i="3"/>
  <c r="AC127" i="3"/>
  <c r="AD127" i="3"/>
  <c r="V127" i="3"/>
  <c r="T127" i="3"/>
  <c r="S127" i="3"/>
  <c r="P127" i="3"/>
  <c r="Q127" i="3"/>
  <c r="M127" i="3"/>
  <c r="N127" i="3"/>
  <c r="J127" i="3"/>
  <c r="K127" i="3"/>
  <c r="G127" i="3"/>
  <c r="H127" i="3"/>
  <c r="BM126" i="3"/>
  <c r="BO126" i="3"/>
  <c r="BP126" i="3"/>
  <c r="BG126" i="3"/>
  <c r="BI126" i="3"/>
  <c r="BJ126" i="3"/>
  <c r="AZ126" i="3"/>
  <c r="BC126" i="3"/>
  <c r="BD126" i="3"/>
  <c r="AU126" i="3"/>
  <c r="AW126" i="3"/>
  <c r="AX126" i="3"/>
  <c r="AN126" i="3"/>
  <c r="AQ126" i="3"/>
  <c r="AR126" i="3"/>
  <c r="AG126" i="3"/>
  <c r="AJ126" i="3"/>
  <c r="AK126" i="3"/>
  <c r="AB126" i="3"/>
  <c r="Z126" i="3"/>
  <c r="V126" i="3"/>
  <c r="T126" i="3"/>
  <c r="S126" i="3"/>
  <c r="P126" i="3"/>
  <c r="Q126" i="3"/>
  <c r="N126" i="3"/>
  <c r="J126" i="3"/>
  <c r="K126" i="3"/>
  <c r="G126" i="3"/>
  <c r="H126" i="3"/>
  <c r="BM125" i="3"/>
  <c r="BO125" i="3"/>
  <c r="BP125" i="3"/>
  <c r="BG125" i="3"/>
  <c r="BI125" i="3"/>
  <c r="BJ125" i="3"/>
  <c r="AZ125" i="3"/>
  <c r="BC125" i="3"/>
  <c r="BD125" i="3"/>
  <c r="AU125" i="3"/>
  <c r="AW125" i="3"/>
  <c r="AX125" i="3"/>
  <c r="AN125" i="3"/>
  <c r="AQ125" i="3"/>
  <c r="AR125" i="3"/>
  <c r="AG125" i="3"/>
  <c r="AJ125" i="3"/>
  <c r="AK125" i="3"/>
  <c r="Z125" i="3"/>
  <c r="AC125" i="3"/>
  <c r="AD125" i="3"/>
  <c r="V125" i="3"/>
  <c r="T125" i="3"/>
  <c r="S125" i="3"/>
  <c r="P125" i="3"/>
  <c r="Q125" i="3"/>
  <c r="N125" i="3"/>
  <c r="J125" i="3"/>
  <c r="K125" i="3"/>
  <c r="G125" i="3"/>
  <c r="H125" i="3"/>
  <c r="BM124" i="3"/>
  <c r="BO124" i="3"/>
  <c r="BP124" i="3"/>
  <c r="BG124" i="3"/>
  <c r="BF124" i="3"/>
  <c r="BA124" i="3"/>
  <c r="AZ124" i="3"/>
  <c r="AU124" i="3"/>
  <c r="AW124" i="3"/>
  <c r="AX124" i="3"/>
  <c r="AN124" i="3"/>
  <c r="AQ124" i="3"/>
  <c r="AR124" i="3"/>
  <c r="AG124" i="3"/>
  <c r="AJ124" i="3"/>
  <c r="AK124" i="3"/>
  <c r="Z124" i="3"/>
  <c r="AC124" i="3"/>
  <c r="AD124" i="3"/>
  <c r="V124" i="3"/>
  <c r="T124" i="3"/>
  <c r="S124" i="3"/>
  <c r="P124" i="3"/>
  <c r="Q124" i="3"/>
  <c r="M124" i="3"/>
  <c r="N124" i="3"/>
  <c r="J124" i="3"/>
  <c r="K124" i="3"/>
  <c r="G124" i="3"/>
  <c r="H124" i="3"/>
  <c r="BM123" i="3"/>
  <c r="BO123" i="3"/>
  <c r="BP123" i="3"/>
  <c r="BG123" i="3"/>
  <c r="BI123" i="3"/>
  <c r="BJ123" i="3"/>
  <c r="AZ123" i="3"/>
  <c r="BC123" i="3"/>
  <c r="BD123" i="3"/>
  <c r="AU123" i="3"/>
  <c r="AW123" i="3"/>
  <c r="AX123" i="3"/>
  <c r="AN123" i="3"/>
  <c r="AQ123" i="3"/>
  <c r="AR123" i="3"/>
  <c r="AG123" i="3"/>
  <c r="AJ123" i="3"/>
  <c r="AK123" i="3"/>
  <c r="AB123" i="3"/>
  <c r="Z123" i="3"/>
  <c r="AC123" i="3"/>
  <c r="AD123" i="3"/>
  <c r="V123" i="3"/>
  <c r="T123" i="3"/>
  <c r="S123" i="3"/>
  <c r="P123" i="3"/>
  <c r="Q123" i="3"/>
  <c r="M123" i="3"/>
  <c r="N123" i="3"/>
  <c r="J123" i="3"/>
  <c r="K123" i="3"/>
  <c r="G123" i="3"/>
  <c r="H123" i="3"/>
  <c r="BM122" i="3"/>
  <c r="BO122" i="3"/>
  <c r="BP122" i="3"/>
  <c r="BI122" i="3"/>
  <c r="BJ122" i="3"/>
  <c r="BC122" i="3"/>
  <c r="BD122" i="3"/>
  <c r="AW122" i="3"/>
  <c r="AX122" i="3"/>
  <c r="AN122" i="3"/>
  <c r="AQ122" i="3"/>
  <c r="AR122" i="3"/>
  <c r="AJ122" i="3"/>
  <c r="AK122" i="3"/>
  <c r="AC122" i="3"/>
  <c r="AD122" i="3"/>
  <c r="V122" i="3"/>
  <c r="W122" i="3"/>
  <c r="Q122" i="3"/>
  <c r="N122" i="3"/>
  <c r="K122" i="3"/>
  <c r="G122" i="3"/>
  <c r="H122" i="3"/>
  <c r="BM121" i="3"/>
  <c r="BO121" i="3"/>
  <c r="BP121" i="3"/>
  <c r="BG121" i="3"/>
  <c r="BI121" i="3"/>
  <c r="BJ121" i="3"/>
  <c r="AZ121" i="3"/>
  <c r="BC121" i="3"/>
  <c r="BD121" i="3"/>
  <c r="AU121" i="3"/>
  <c r="AW121" i="3"/>
  <c r="AX121" i="3"/>
  <c r="AP121" i="3"/>
  <c r="AN121" i="3"/>
  <c r="AG121" i="3"/>
  <c r="AJ121" i="3"/>
  <c r="AK121" i="3"/>
  <c r="Z121" i="3"/>
  <c r="AC121" i="3"/>
  <c r="AD121" i="3"/>
  <c r="V121" i="3"/>
  <c r="T121" i="3"/>
  <c r="S121" i="3"/>
  <c r="P121" i="3"/>
  <c r="Q121" i="3"/>
  <c r="N121" i="3"/>
  <c r="J121" i="3"/>
  <c r="K121" i="3"/>
  <c r="G121" i="3"/>
  <c r="H121" i="3"/>
  <c r="BM120" i="3"/>
  <c r="BO120" i="3"/>
  <c r="BP120" i="3"/>
  <c r="BH120" i="3"/>
  <c r="BG120" i="3"/>
  <c r="BF120" i="3"/>
  <c r="AZ120" i="3"/>
  <c r="BC120" i="3"/>
  <c r="BD120" i="3"/>
  <c r="AU120" i="3"/>
  <c r="AW120" i="3"/>
  <c r="AX120" i="3"/>
  <c r="AN120" i="3"/>
  <c r="AQ120" i="3"/>
  <c r="AR120" i="3"/>
  <c r="AG120" i="3"/>
  <c r="AJ120" i="3"/>
  <c r="AK120" i="3"/>
  <c r="Z120" i="3"/>
  <c r="AC120" i="3"/>
  <c r="AD120" i="3"/>
  <c r="V120" i="3"/>
  <c r="T120" i="3"/>
  <c r="P120" i="3"/>
  <c r="Q120" i="3"/>
  <c r="M120" i="3"/>
  <c r="N120" i="3"/>
  <c r="J120" i="3"/>
  <c r="K120" i="3"/>
  <c r="G120" i="3"/>
  <c r="H120" i="3"/>
  <c r="BM119" i="3"/>
  <c r="BO119" i="3"/>
  <c r="BP119" i="3"/>
  <c r="BG119" i="3"/>
  <c r="BI119" i="3"/>
  <c r="BJ119" i="3"/>
  <c r="AZ119" i="3"/>
  <c r="BC119" i="3"/>
  <c r="BD119" i="3"/>
  <c r="AW119" i="3"/>
  <c r="AX119" i="3"/>
  <c r="AQ119" i="3"/>
  <c r="AR119" i="3"/>
  <c r="AJ119" i="3"/>
  <c r="AK119" i="3"/>
  <c r="AC119" i="3"/>
  <c r="AD119" i="3"/>
  <c r="S119" i="3"/>
  <c r="W119" i="3"/>
  <c r="Q119" i="3"/>
  <c r="N119" i="3"/>
  <c r="K119" i="3"/>
  <c r="H119" i="3"/>
  <c r="BO118" i="3"/>
  <c r="BP118" i="3"/>
  <c r="BI118" i="3"/>
  <c r="BJ118" i="3"/>
  <c r="BC118" i="3"/>
  <c r="BD118" i="3"/>
  <c r="AW118" i="3"/>
  <c r="AX118" i="3"/>
  <c r="AQ118" i="3"/>
  <c r="AR118" i="3"/>
  <c r="AJ118" i="3"/>
  <c r="AK118" i="3"/>
  <c r="AC118" i="3"/>
  <c r="AD118" i="3"/>
  <c r="W118" i="3"/>
  <c r="Q118" i="3"/>
  <c r="N118" i="3"/>
  <c r="K118" i="3"/>
  <c r="H118" i="3"/>
  <c r="BM117" i="3"/>
  <c r="BO117" i="3"/>
  <c r="BP117" i="3"/>
  <c r="BG117" i="3"/>
  <c r="BI117" i="3"/>
  <c r="BJ117" i="3"/>
  <c r="AZ117" i="3"/>
  <c r="BC117" i="3"/>
  <c r="BD117" i="3"/>
  <c r="AU117" i="3"/>
  <c r="AW117" i="3"/>
  <c r="AX117" i="3"/>
  <c r="AN117" i="3"/>
  <c r="AQ117" i="3"/>
  <c r="AR117" i="3"/>
  <c r="AJ117" i="3"/>
  <c r="AK117" i="3"/>
  <c r="Z117" i="3"/>
  <c r="AC117" i="3"/>
  <c r="AD117" i="3"/>
  <c r="V117" i="3"/>
  <c r="T117" i="3"/>
  <c r="S117" i="3"/>
  <c r="P117" i="3"/>
  <c r="Q117" i="3"/>
  <c r="N117" i="3"/>
  <c r="K117" i="3"/>
  <c r="G117" i="3"/>
  <c r="H117" i="3"/>
  <c r="AO195" i="3"/>
  <c r="BM115" i="3"/>
  <c r="BO115" i="3"/>
  <c r="BP115" i="3"/>
  <c r="BG115" i="3"/>
  <c r="BI115" i="3"/>
  <c r="BJ115" i="3"/>
  <c r="AZ115" i="3"/>
  <c r="BC115" i="3"/>
  <c r="BD115" i="3"/>
  <c r="AW115" i="3"/>
  <c r="AX115" i="3"/>
  <c r="AN115" i="3"/>
  <c r="AQ115" i="3"/>
  <c r="AR115" i="3"/>
  <c r="AJ115" i="3"/>
  <c r="AK115" i="3"/>
  <c r="Z115" i="3"/>
  <c r="AC115" i="3"/>
  <c r="AD115" i="3"/>
  <c r="V115" i="3"/>
  <c r="S115" i="3"/>
  <c r="P115" i="3"/>
  <c r="Q115" i="3"/>
  <c r="M115" i="3"/>
  <c r="N115" i="3"/>
  <c r="J115" i="3"/>
  <c r="K115" i="3"/>
  <c r="G115" i="3"/>
  <c r="H115" i="3"/>
  <c r="BM114" i="3"/>
  <c r="BO114" i="3"/>
  <c r="BP114" i="3"/>
  <c r="BG114" i="3"/>
  <c r="BI114" i="3"/>
  <c r="BJ114" i="3"/>
  <c r="BC114" i="3"/>
  <c r="BD114" i="3"/>
  <c r="AU114" i="3"/>
  <c r="AW114" i="3"/>
  <c r="AX114" i="3"/>
  <c r="AN114" i="3"/>
  <c r="AQ114" i="3"/>
  <c r="AR114" i="3"/>
  <c r="AG114" i="3"/>
  <c r="AJ114" i="3"/>
  <c r="AK114" i="3"/>
  <c r="Z114" i="3"/>
  <c r="AC114" i="3"/>
  <c r="AD114" i="3"/>
  <c r="V114" i="3"/>
  <c r="T114" i="3"/>
  <c r="S114" i="3"/>
  <c r="P114" i="3"/>
  <c r="Q114" i="3"/>
  <c r="N114" i="3"/>
  <c r="K114" i="3"/>
  <c r="H114" i="3"/>
  <c r="BM113" i="3"/>
  <c r="BO113" i="3"/>
  <c r="BP113" i="3"/>
  <c r="BG113" i="3"/>
  <c r="BI113" i="3"/>
  <c r="BJ113" i="3"/>
  <c r="AZ113" i="3"/>
  <c r="BC113" i="3"/>
  <c r="BD113" i="3"/>
  <c r="AU113" i="3"/>
  <c r="AW113" i="3"/>
  <c r="AX113" i="3"/>
  <c r="AN113" i="3"/>
  <c r="AQ113" i="3"/>
  <c r="AR113" i="3"/>
  <c r="AG113" i="3"/>
  <c r="AJ113" i="3"/>
  <c r="AK113" i="3"/>
  <c r="Z113" i="3"/>
  <c r="AC113" i="3"/>
  <c r="AD113" i="3"/>
  <c r="V113" i="3"/>
  <c r="T113" i="3"/>
  <c r="P113" i="3"/>
  <c r="Q113" i="3"/>
  <c r="N113" i="3"/>
  <c r="K113" i="3"/>
  <c r="H113" i="3"/>
  <c r="BM112" i="3"/>
  <c r="BO112" i="3"/>
  <c r="BP112" i="3"/>
  <c r="BG112" i="3"/>
  <c r="BI112" i="3"/>
  <c r="BJ112" i="3"/>
  <c r="AZ112" i="3"/>
  <c r="BC112" i="3"/>
  <c r="BD112" i="3"/>
  <c r="AU112" i="3"/>
  <c r="AW112" i="3"/>
  <c r="AX112" i="3"/>
  <c r="AN112" i="3"/>
  <c r="AQ112" i="3"/>
  <c r="AR112" i="3"/>
  <c r="AG112" i="3"/>
  <c r="AJ112" i="3"/>
  <c r="AK112" i="3"/>
  <c r="AB112" i="3"/>
  <c r="Z112" i="3"/>
  <c r="V112" i="3"/>
  <c r="T112" i="3"/>
  <c r="S112" i="3"/>
  <c r="P112" i="3"/>
  <c r="Q112" i="3"/>
  <c r="M112" i="3"/>
  <c r="N112" i="3"/>
  <c r="J112" i="3"/>
  <c r="K112" i="3"/>
  <c r="G112" i="3"/>
  <c r="H112" i="3"/>
  <c r="BM111" i="3"/>
  <c r="BO111" i="3"/>
  <c r="BP111" i="3"/>
  <c r="BG111" i="3"/>
  <c r="BF111" i="3"/>
  <c r="AZ111" i="3"/>
  <c r="BC111" i="3"/>
  <c r="BD111" i="3"/>
  <c r="AU111" i="3"/>
  <c r="AW111" i="3"/>
  <c r="AX111" i="3"/>
  <c r="AN111" i="3"/>
  <c r="AQ111" i="3"/>
  <c r="AR111" i="3"/>
  <c r="AG111" i="3"/>
  <c r="AJ111" i="3"/>
  <c r="AK111" i="3"/>
  <c r="Z111" i="3"/>
  <c r="AC111" i="3"/>
  <c r="AD111" i="3"/>
  <c r="T111" i="3"/>
  <c r="S111" i="3"/>
  <c r="P111" i="3"/>
  <c r="Q111" i="3"/>
  <c r="M111" i="3"/>
  <c r="N111" i="3"/>
  <c r="J111" i="3"/>
  <c r="K111" i="3"/>
  <c r="G111" i="3"/>
  <c r="H111" i="3"/>
  <c r="BO110" i="3"/>
  <c r="BP110" i="3"/>
  <c r="BI110" i="3"/>
  <c r="BJ110" i="3"/>
  <c r="BC110" i="3"/>
  <c r="BD110" i="3"/>
  <c r="AU110" i="3"/>
  <c r="AW110" i="3"/>
  <c r="AX110" i="3"/>
  <c r="AQ110" i="3"/>
  <c r="AR110" i="3"/>
  <c r="AJ110" i="3"/>
  <c r="AK110" i="3"/>
  <c r="Z110" i="3"/>
  <c r="AC110" i="3"/>
  <c r="AD110" i="3"/>
  <c r="T110" i="3"/>
  <c r="W110" i="3"/>
  <c r="Q110" i="3"/>
  <c r="N110" i="3"/>
  <c r="J110" i="3"/>
  <c r="K110" i="3"/>
  <c r="G110" i="3"/>
  <c r="H110" i="3"/>
  <c r="BM109" i="3"/>
  <c r="BO109" i="3"/>
  <c r="BP109" i="3"/>
  <c r="BG109" i="3"/>
  <c r="BI109" i="3"/>
  <c r="BJ109" i="3"/>
  <c r="AZ109" i="3"/>
  <c r="BC109" i="3"/>
  <c r="BD109" i="3"/>
  <c r="AU109" i="3"/>
  <c r="AW109" i="3"/>
  <c r="AX109" i="3"/>
  <c r="AN109" i="3"/>
  <c r="AQ109" i="3"/>
  <c r="AR109" i="3"/>
  <c r="AG109" i="3"/>
  <c r="AJ109" i="3"/>
  <c r="AK109" i="3"/>
  <c r="Z109" i="3"/>
  <c r="AC109" i="3"/>
  <c r="AD109" i="3"/>
  <c r="T109" i="3"/>
  <c r="S109" i="3"/>
  <c r="P109" i="3"/>
  <c r="Q109" i="3"/>
  <c r="M109" i="3"/>
  <c r="N109" i="3"/>
  <c r="J109" i="3"/>
  <c r="K109" i="3"/>
  <c r="G109" i="3"/>
  <c r="H109" i="3"/>
  <c r="BO108" i="3"/>
  <c r="BP108" i="3"/>
  <c r="BG108" i="3"/>
  <c r="BI108" i="3"/>
  <c r="BJ108" i="3"/>
  <c r="AZ108" i="3"/>
  <c r="BC108" i="3"/>
  <c r="BD108" i="3"/>
  <c r="AU108" i="3"/>
  <c r="AW108" i="3"/>
  <c r="AX108" i="3"/>
  <c r="AQ108" i="3"/>
  <c r="AR108" i="3"/>
  <c r="AJ108" i="3"/>
  <c r="AK108" i="3"/>
  <c r="AC108" i="3"/>
  <c r="AD108" i="3"/>
  <c r="S108" i="3"/>
  <c r="W108" i="3"/>
  <c r="Q108" i="3"/>
  <c r="N108" i="3"/>
  <c r="K108" i="3"/>
  <c r="G108" i="3"/>
  <c r="H108" i="3"/>
  <c r="BM107" i="3"/>
  <c r="BO107" i="3"/>
  <c r="BP107" i="3"/>
  <c r="BG107" i="3"/>
  <c r="BI107" i="3"/>
  <c r="BJ107" i="3"/>
  <c r="AZ107" i="3"/>
  <c r="BC107" i="3"/>
  <c r="BD107" i="3"/>
  <c r="AU107" i="3"/>
  <c r="AW107" i="3"/>
  <c r="AX107" i="3"/>
  <c r="AN107" i="3"/>
  <c r="AQ107" i="3"/>
  <c r="AR107" i="3"/>
  <c r="AJ107" i="3"/>
  <c r="AK107" i="3"/>
  <c r="AB107" i="3"/>
  <c r="Z107" i="3"/>
  <c r="V107" i="3"/>
  <c r="T107" i="3"/>
  <c r="P107" i="3"/>
  <c r="Q107" i="3"/>
  <c r="N107" i="3"/>
  <c r="K107" i="3"/>
  <c r="H107" i="3"/>
  <c r="BO106" i="3"/>
  <c r="BP106" i="3"/>
  <c r="BI106" i="3"/>
  <c r="BJ106" i="3"/>
  <c r="BC106" i="3"/>
  <c r="BD106" i="3"/>
  <c r="AW106" i="3"/>
  <c r="AX106" i="3"/>
  <c r="AN106" i="3"/>
  <c r="AQ106" i="3"/>
  <c r="AR106" i="3"/>
  <c r="AJ106" i="3"/>
  <c r="AK106" i="3"/>
  <c r="AC106" i="3"/>
  <c r="AD106" i="3"/>
  <c r="W106" i="3"/>
  <c r="P106" i="3"/>
  <c r="Q106" i="3"/>
  <c r="N106" i="3"/>
  <c r="J106" i="3"/>
  <c r="K106" i="3"/>
  <c r="G106" i="3"/>
  <c r="H106" i="3"/>
  <c r="BO105" i="3"/>
  <c r="BP105" i="3"/>
  <c r="BG105" i="3"/>
  <c r="BF105" i="3"/>
  <c r="BC105" i="3"/>
  <c r="BD105" i="3"/>
  <c r="AU105" i="3"/>
  <c r="AW105" i="3"/>
  <c r="AX105" i="3"/>
  <c r="AQ105" i="3"/>
  <c r="AR105" i="3"/>
  <c r="AJ105" i="3"/>
  <c r="AK105" i="3"/>
  <c r="AC105" i="3"/>
  <c r="AD105" i="3"/>
  <c r="V105" i="3"/>
  <c r="W105" i="3"/>
  <c r="P105" i="3"/>
  <c r="Q105" i="3"/>
  <c r="M105" i="3"/>
  <c r="N105" i="3"/>
  <c r="J105" i="3"/>
  <c r="K105" i="3"/>
  <c r="G105" i="3"/>
  <c r="H105" i="3"/>
  <c r="BM104" i="3"/>
  <c r="BO104" i="3"/>
  <c r="BP104" i="3"/>
  <c r="BG104" i="3"/>
  <c r="BI104" i="3"/>
  <c r="BJ104" i="3"/>
  <c r="BC104" i="3"/>
  <c r="BD104" i="3"/>
  <c r="AW104" i="3"/>
  <c r="AX104" i="3"/>
  <c r="AN104" i="3"/>
  <c r="AQ104" i="3"/>
  <c r="AR104" i="3"/>
  <c r="AG104" i="3"/>
  <c r="AJ104" i="3"/>
  <c r="AK104" i="3"/>
  <c r="AB104" i="3"/>
  <c r="Z104" i="3"/>
  <c r="V104" i="3"/>
  <c r="T104" i="3"/>
  <c r="P104" i="3"/>
  <c r="Q104" i="3"/>
  <c r="N104" i="3"/>
  <c r="K104" i="3"/>
  <c r="H104" i="3"/>
  <c r="BM103" i="3"/>
  <c r="BO103" i="3"/>
  <c r="BP103" i="3"/>
  <c r="BG103" i="3"/>
  <c r="BI103" i="3"/>
  <c r="BJ103" i="3"/>
  <c r="AZ103" i="3"/>
  <c r="BC103" i="3"/>
  <c r="BD103" i="3"/>
  <c r="AU103" i="3"/>
  <c r="AW103" i="3"/>
  <c r="AX103" i="3"/>
  <c r="AN103" i="3"/>
  <c r="AQ103" i="3"/>
  <c r="AR103" i="3"/>
  <c r="AG103" i="3"/>
  <c r="AJ103" i="3"/>
  <c r="AK103" i="3"/>
  <c r="Z103" i="3"/>
  <c r="AC103" i="3"/>
  <c r="AD103" i="3"/>
  <c r="V103" i="3"/>
  <c r="T103" i="3"/>
  <c r="P103" i="3"/>
  <c r="Q103" i="3"/>
  <c r="M103" i="3"/>
  <c r="N103" i="3"/>
  <c r="J103" i="3"/>
  <c r="K103" i="3"/>
  <c r="H103" i="3"/>
  <c r="BM102" i="3"/>
  <c r="BO102" i="3"/>
  <c r="BP102" i="3"/>
  <c r="BG102" i="3"/>
  <c r="BI102" i="3"/>
  <c r="BJ102" i="3"/>
  <c r="AZ102" i="3"/>
  <c r="BC102" i="3"/>
  <c r="BD102" i="3"/>
  <c r="AU102" i="3"/>
  <c r="AW102" i="3"/>
  <c r="AX102" i="3"/>
  <c r="AN102" i="3"/>
  <c r="AQ102" i="3"/>
  <c r="AR102" i="3"/>
  <c r="AG102" i="3"/>
  <c r="AJ102" i="3"/>
  <c r="AK102" i="3"/>
  <c r="AB102" i="3"/>
  <c r="Z102" i="3"/>
  <c r="V102" i="3"/>
  <c r="T102" i="3"/>
  <c r="P102" i="3"/>
  <c r="Q102" i="3"/>
  <c r="N102" i="3"/>
  <c r="K102" i="3"/>
  <c r="H102" i="3"/>
  <c r="BO13" i="3"/>
  <c r="BP13" i="3"/>
  <c r="BG13" i="3"/>
  <c r="BI13" i="3"/>
  <c r="BJ13" i="3"/>
  <c r="AZ13" i="3"/>
  <c r="BC13" i="3"/>
  <c r="BD13" i="3"/>
  <c r="AT13" i="3"/>
  <c r="AW13" i="3"/>
  <c r="AX13" i="3"/>
  <c r="AM13" i="3"/>
  <c r="AQ13" i="3"/>
  <c r="AR13" i="3"/>
  <c r="AJ13" i="3"/>
  <c r="AK13" i="3"/>
  <c r="AC13" i="3"/>
  <c r="AD13" i="3"/>
  <c r="S13" i="3"/>
  <c r="W13" i="3"/>
  <c r="P13" i="3"/>
  <c r="Q13" i="3"/>
  <c r="M13" i="3"/>
  <c r="N13" i="3"/>
  <c r="J13" i="3"/>
  <c r="K13" i="3"/>
  <c r="G13" i="3"/>
  <c r="H13" i="3"/>
  <c r="BO101" i="3"/>
  <c r="BP101" i="3"/>
  <c r="BI101" i="3"/>
  <c r="BJ101" i="3"/>
  <c r="BC101" i="3"/>
  <c r="BD101" i="3"/>
  <c r="AW101" i="3"/>
  <c r="AX101" i="3"/>
  <c r="AQ101" i="3"/>
  <c r="AR101" i="3"/>
  <c r="AJ101" i="3"/>
  <c r="AK101" i="3"/>
  <c r="AC101" i="3"/>
  <c r="AD101" i="3"/>
  <c r="V101" i="3"/>
  <c r="S101" i="3"/>
  <c r="P101" i="3"/>
  <c r="Q101" i="3"/>
  <c r="N101" i="3"/>
  <c r="J101" i="3"/>
  <c r="K101" i="3"/>
  <c r="G101" i="3"/>
  <c r="H101" i="3"/>
  <c r="BO100" i="3"/>
  <c r="BP100" i="3"/>
  <c r="BI100" i="3"/>
  <c r="BJ100" i="3"/>
  <c r="AZ100" i="3"/>
  <c r="BC100" i="3"/>
  <c r="BD100" i="3"/>
  <c r="AW100" i="3"/>
  <c r="AX100" i="3"/>
  <c r="AQ100" i="3"/>
  <c r="AR100" i="3"/>
  <c r="AG100" i="3"/>
  <c r="AJ100" i="3"/>
  <c r="AK100" i="3"/>
  <c r="AC100" i="3"/>
  <c r="AD100" i="3"/>
  <c r="V100" i="3"/>
  <c r="W100" i="3"/>
  <c r="P100" i="3"/>
  <c r="Q100" i="3"/>
  <c r="M100" i="3"/>
  <c r="N100" i="3"/>
  <c r="J100" i="3"/>
  <c r="K100" i="3"/>
  <c r="G100" i="3"/>
  <c r="H100" i="3"/>
  <c r="BM99" i="3"/>
  <c r="BO99" i="3"/>
  <c r="BP99" i="3"/>
  <c r="BG99" i="3"/>
  <c r="BI99" i="3"/>
  <c r="BJ99" i="3"/>
  <c r="AZ99" i="3"/>
  <c r="BC99" i="3"/>
  <c r="BD99" i="3"/>
  <c r="AU99" i="3"/>
  <c r="AW99" i="3"/>
  <c r="AX99" i="3"/>
  <c r="AN99" i="3"/>
  <c r="AQ99" i="3"/>
  <c r="AR99" i="3"/>
  <c r="AG99" i="3"/>
  <c r="AJ99" i="3"/>
  <c r="AK99" i="3"/>
  <c r="Z99" i="3"/>
  <c r="AC99" i="3"/>
  <c r="AD99" i="3"/>
  <c r="V99" i="3"/>
  <c r="T99" i="3"/>
  <c r="S99" i="3"/>
  <c r="P99" i="3"/>
  <c r="Q99" i="3"/>
  <c r="N99" i="3"/>
  <c r="J99" i="3"/>
  <c r="K99" i="3"/>
  <c r="G99" i="3"/>
  <c r="H99" i="3"/>
  <c r="BO62" i="3"/>
  <c r="BP62" i="3"/>
  <c r="BI62" i="3"/>
  <c r="BJ62" i="3"/>
  <c r="BC62" i="3"/>
  <c r="BD62" i="3"/>
  <c r="AW62" i="3"/>
  <c r="AX62" i="3"/>
  <c r="AQ62" i="3"/>
  <c r="AR62" i="3"/>
  <c r="AJ62" i="3"/>
  <c r="AK62" i="3"/>
  <c r="AC62" i="3"/>
  <c r="AD62" i="3"/>
  <c r="S62" i="3"/>
  <c r="W62" i="3"/>
  <c r="Q62" i="3"/>
  <c r="N62" i="3"/>
  <c r="K62" i="3"/>
  <c r="H62" i="3"/>
  <c r="BM98" i="3"/>
  <c r="BO98" i="3"/>
  <c r="BP98" i="3"/>
  <c r="BG98" i="3"/>
  <c r="BI98" i="3"/>
  <c r="BJ98" i="3"/>
  <c r="AZ98" i="3"/>
  <c r="BC98" i="3"/>
  <c r="BD98" i="3"/>
  <c r="AU98" i="3"/>
  <c r="AW98" i="3"/>
  <c r="AX98" i="3"/>
  <c r="AN98" i="3"/>
  <c r="AQ98" i="3"/>
  <c r="AR98" i="3"/>
  <c r="AJ98" i="3"/>
  <c r="AK98" i="3"/>
  <c r="Z98" i="3"/>
  <c r="AC98" i="3"/>
  <c r="AD98" i="3"/>
  <c r="V98" i="3"/>
  <c r="T98" i="3"/>
  <c r="S98" i="3"/>
  <c r="P98" i="3"/>
  <c r="Q98" i="3"/>
  <c r="M98" i="3"/>
  <c r="N98" i="3"/>
  <c r="J98" i="3"/>
  <c r="K98" i="3"/>
  <c r="G98" i="3"/>
  <c r="H98" i="3"/>
  <c r="BM97" i="3"/>
  <c r="BO97" i="3"/>
  <c r="BP97" i="3"/>
  <c r="BG97" i="3"/>
  <c r="BI97" i="3"/>
  <c r="BJ97" i="3"/>
  <c r="AZ97" i="3"/>
  <c r="BC97" i="3"/>
  <c r="BD97" i="3"/>
  <c r="AU97" i="3"/>
  <c r="AW97" i="3"/>
  <c r="AX97" i="3"/>
  <c r="AN97" i="3"/>
  <c r="AQ97" i="3"/>
  <c r="AR97" i="3"/>
  <c r="AG97" i="3"/>
  <c r="AJ97" i="3"/>
  <c r="AK97" i="3"/>
  <c r="Z97" i="3"/>
  <c r="AC97" i="3"/>
  <c r="AD97" i="3"/>
  <c r="T97" i="3"/>
  <c r="W97" i="3"/>
  <c r="P97" i="3"/>
  <c r="Q97" i="3"/>
  <c r="N97" i="3"/>
  <c r="K97" i="3"/>
  <c r="G97" i="3"/>
  <c r="H97" i="3"/>
  <c r="BM96" i="3"/>
  <c r="BO96" i="3"/>
  <c r="BP96" i="3"/>
  <c r="BG96" i="3"/>
  <c r="BI96" i="3"/>
  <c r="BJ96" i="3"/>
  <c r="AZ96" i="3"/>
  <c r="BC96" i="3"/>
  <c r="BD96" i="3"/>
  <c r="AU96" i="3"/>
  <c r="AW96" i="3"/>
  <c r="AX96" i="3"/>
  <c r="AN96" i="3"/>
  <c r="AQ96" i="3"/>
  <c r="AR96" i="3"/>
  <c r="AG96" i="3"/>
  <c r="AJ96" i="3"/>
  <c r="AK96" i="3"/>
  <c r="AB96" i="3"/>
  <c r="Z96" i="3"/>
  <c r="T96" i="3"/>
  <c r="W96" i="3"/>
  <c r="P96" i="3"/>
  <c r="Q96" i="3"/>
  <c r="N96" i="3"/>
  <c r="K96" i="3"/>
  <c r="G96" i="3"/>
  <c r="H96" i="3"/>
  <c r="BO95" i="3"/>
  <c r="BP95" i="3"/>
  <c r="BI95" i="3"/>
  <c r="BJ95" i="3"/>
  <c r="AZ95" i="3"/>
  <c r="BC95" i="3"/>
  <c r="BD95" i="3"/>
  <c r="AU95" i="3"/>
  <c r="AW95" i="3"/>
  <c r="AX95" i="3"/>
  <c r="AQ95" i="3"/>
  <c r="AR95" i="3"/>
  <c r="AJ95" i="3"/>
  <c r="AK95" i="3"/>
  <c r="Z95" i="3"/>
  <c r="AC95" i="3"/>
  <c r="AD95" i="3"/>
  <c r="V95" i="3"/>
  <c r="T95" i="3"/>
  <c r="Q95" i="3"/>
  <c r="N95" i="3"/>
  <c r="K95" i="3"/>
  <c r="H95" i="3"/>
  <c r="BM94" i="3"/>
  <c r="BO94" i="3"/>
  <c r="BP94" i="3"/>
  <c r="BG94" i="3"/>
  <c r="BF94" i="3"/>
  <c r="AZ94" i="3"/>
  <c r="BC94" i="3"/>
  <c r="BD94" i="3"/>
  <c r="AU94" i="3"/>
  <c r="AW94" i="3"/>
  <c r="AX94" i="3"/>
  <c r="AN94" i="3"/>
  <c r="AQ94" i="3"/>
  <c r="AR94" i="3"/>
  <c r="AJ94" i="3"/>
  <c r="AK94" i="3"/>
  <c r="Z94" i="3"/>
  <c r="AC94" i="3"/>
  <c r="AD94" i="3"/>
  <c r="V94" i="3"/>
  <c r="S94" i="3"/>
  <c r="P94" i="3"/>
  <c r="Q94" i="3"/>
  <c r="N94" i="3"/>
  <c r="J94" i="3"/>
  <c r="K94" i="3"/>
  <c r="G94" i="3"/>
  <c r="H94" i="3"/>
  <c r="BM92" i="3"/>
  <c r="BO92" i="3"/>
  <c r="BP92" i="3"/>
  <c r="BG92" i="3"/>
  <c r="BI92" i="3"/>
  <c r="BJ92" i="3"/>
  <c r="AZ92" i="3"/>
  <c r="BC92" i="3"/>
  <c r="BD92" i="3"/>
  <c r="AU92" i="3"/>
  <c r="AW92" i="3"/>
  <c r="AX92" i="3"/>
  <c r="AN92" i="3"/>
  <c r="AQ92" i="3"/>
  <c r="AR92" i="3"/>
  <c r="AG92" i="3"/>
  <c r="AJ92" i="3"/>
  <c r="AK92" i="3"/>
  <c r="Z92" i="3"/>
  <c r="AC92" i="3"/>
  <c r="AD92" i="3"/>
  <c r="V92" i="3"/>
  <c r="T92" i="3"/>
  <c r="S92" i="3"/>
  <c r="P92" i="3"/>
  <c r="Q92" i="3"/>
  <c r="M92" i="3"/>
  <c r="N92" i="3"/>
  <c r="J92" i="3"/>
  <c r="K92" i="3"/>
  <c r="G92" i="3"/>
  <c r="H92" i="3"/>
  <c r="BM93" i="3"/>
  <c r="BO93" i="3"/>
  <c r="BP93" i="3"/>
  <c r="BG93" i="3"/>
  <c r="BI93" i="3"/>
  <c r="BJ93" i="3"/>
  <c r="AZ93" i="3"/>
  <c r="BC93" i="3"/>
  <c r="BD93" i="3"/>
  <c r="AU93" i="3"/>
  <c r="AW93" i="3"/>
  <c r="AX93" i="3"/>
  <c r="AN93" i="3"/>
  <c r="AQ93" i="3"/>
  <c r="AR93" i="3"/>
  <c r="AG93" i="3"/>
  <c r="AJ93" i="3"/>
  <c r="AK93" i="3"/>
  <c r="Z93" i="3"/>
  <c r="AC93" i="3"/>
  <c r="AD93" i="3"/>
  <c r="V93" i="3"/>
  <c r="T93" i="3"/>
  <c r="S93" i="3"/>
  <c r="P93" i="3"/>
  <c r="Q93" i="3"/>
  <c r="N93" i="3"/>
  <c r="K93" i="3"/>
  <c r="H93" i="3"/>
  <c r="BM91" i="3"/>
  <c r="BO91" i="3"/>
  <c r="BP91" i="3"/>
  <c r="BG91" i="3"/>
  <c r="BI91" i="3"/>
  <c r="BJ91" i="3"/>
  <c r="AZ91" i="3"/>
  <c r="BC91" i="3"/>
  <c r="BD91" i="3"/>
  <c r="AU91" i="3"/>
  <c r="AW91" i="3"/>
  <c r="AX91" i="3"/>
  <c r="AN91" i="3"/>
  <c r="AQ91" i="3"/>
  <c r="AR91" i="3"/>
  <c r="AG91" i="3"/>
  <c r="AJ91" i="3"/>
  <c r="AK91" i="3"/>
  <c r="AB91" i="3"/>
  <c r="Z91" i="3"/>
  <c r="V91" i="3"/>
  <c r="T91" i="3"/>
  <c r="S91" i="3"/>
  <c r="P91" i="3"/>
  <c r="Q91" i="3"/>
  <c r="M91" i="3"/>
  <c r="N91" i="3"/>
  <c r="J91" i="3"/>
  <c r="K91" i="3"/>
  <c r="G91" i="3"/>
  <c r="H91" i="3"/>
  <c r="BM90" i="3"/>
  <c r="BO90" i="3"/>
  <c r="BP90" i="3"/>
  <c r="BG90" i="3"/>
  <c r="BI90" i="3"/>
  <c r="BJ90" i="3"/>
  <c r="AZ90" i="3"/>
  <c r="BC90" i="3"/>
  <c r="BD90" i="3"/>
  <c r="AU90" i="3"/>
  <c r="AW90" i="3"/>
  <c r="AX90" i="3"/>
  <c r="AP90" i="3"/>
  <c r="AN90" i="3"/>
  <c r="AG90" i="3"/>
  <c r="AJ90" i="3"/>
  <c r="AK90" i="3"/>
  <c r="Z90" i="3"/>
  <c r="AC90" i="3"/>
  <c r="AD90" i="3"/>
  <c r="T90" i="3"/>
  <c r="S90" i="3"/>
  <c r="P90" i="3"/>
  <c r="Q90" i="3"/>
  <c r="M90" i="3"/>
  <c r="N90" i="3"/>
  <c r="J90" i="3"/>
  <c r="K90" i="3"/>
  <c r="G90" i="3"/>
  <c r="H90" i="3"/>
  <c r="BO89" i="3"/>
  <c r="BP89" i="3"/>
  <c r="BI89" i="3"/>
  <c r="BJ89" i="3"/>
  <c r="BC89" i="3"/>
  <c r="BD89" i="3"/>
  <c r="AW89" i="3"/>
  <c r="AX89" i="3"/>
  <c r="AQ89" i="3"/>
  <c r="AR89" i="3"/>
  <c r="AJ89" i="3"/>
  <c r="AK89" i="3"/>
  <c r="AC89" i="3"/>
  <c r="AD89" i="3"/>
  <c r="V89" i="3"/>
  <c r="S89" i="3"/>
  <c r="P89" i="3"/>
  <c r="Q89" i="3"/>
  <c r="N89" i="3"/>
  <c r="J89" i="3"/>
  <c r="K89" i="3"/>
  <c r="G89" i="3"/>
  <c r="H89" i="3"/>
  <c r="BM88" i="3"/>
  <c r="BO88" i="3"/>
  <c r="BP88" i="3"/>
  <c r="BG88" i="3"/>
  <c r="BI88" i="3"/>
  <c r="BJ88" i="3"/>
  <c r="AZ88" i="3"/>
  <c r="BC88" i="3"/>
  <c r="BD88" i="3"/>
  <c r="AU88" i="3"/>
  <c r="AW88" i="3"/>
  <c r="AX88" i="3"/>
  <c r="AN88" i="3"/>
  <c r="AQ88" i="3"/>
  <c r="AR88" i="3"/>
  <c r="AG88" i="3"/>
  <c r="AJ88" i="3"/>
  <c r="AK88" i="3"/>
  <c r="AB88" i="3"/>
  <c r="Z88" i="3"/>
  <c r="AC88" i="3"/>
  <c r="AD88" i="3"/>
  <c r="V88" i="3"/>
  <c r="T88" i="3"/>
  <c r="W88" i="3"/>
  <c r="Q88" i="3"/>
  <c r="N88" i="3"/>
  <c r="K88" i="3"/>
  <c r="H88" i="3"/>
  <c r="BM87" i="3"/>
  <c r="BO87" i="3"/>
  <c r="BP87" i="3"/>
  <c r="BG87" i="3"/>
  <c r="BI87" i="3"/>
  <c r="BJ87" i="3"/>
  <c r="AZ87" i="3"/>
  <c r="BC87" i="3"/>
  <c r="BD87" i="3"/>
  <c r="AW87" i="3"/>
  <c r="AX87" i="3"/>
  <c r="AQ87" i="3"/>
  <c r="AR87" i="3"/>
  <c r="AJ87" i="3"/>
  <c r="AK87" i="3"/>
  <c r="AC87" i="3"/>
  <c r="AD87" i="3"/>
  <c r="T87" i="3"/>
  <c r="W87" i="3"/>
  <c r="P87" i="3"/>
  <c r="Q87" i="3"/>
  <c r="N87" i="3"/>
  <c r="K87" i="3"/>
  <c r="H87" i="3"/>
  <c r="BM86" i="3"/>
  <c r="BO86" i="3"/>
  <c r="BP86" i="3"/>
  <c r="BG86" i="3"/>
  <c r="BI86" i="3"/>
  <c r="BJ86" i="3"/>
  <c r="BA86" i="3"/>
  <c r="AZ86" i="3"/>
  <c r="BC86" i="3"/>
  <c r="BD86" i="3"/>
  <c r="AU86" i="3"/>
  <c r="AW86" i="3"/>
  <c r="AX86" i="3"/>
  <c r="AN86" i="3"/>
  <c r="AQ86" i="3"/>
  <c r="AR86" i="3"/>
  <c r="AG86" i="3"/>
  <c r="AJ86" i="3"/>
  <c r="AK86" i="3"/>
  <c r="AB86" i="3"/>
  <c r="Z86" i="3"/>
  <c r="AC86" i="3"/>
  <c r="AD86" i="3"/>
  <c r="T86" i="3"/>
  <c r="W86" i="3"/>
  <c r="Q86" i="3"/>
  <c r="BM85" i="3"/>
  <c r="BO85" i="3"/>
  <c r="BP85" i="3"/>
  <c r="BG85" i="3"/>
  <c r="BI85" i="3"/>
  <c r="BJ85" i="3"/>
  <c r="AZ85" i="3"/>
  <c r="BC85" i="3"/>
  <c r="BD85" i="3"/>
  <c r="AW85" i="3"/>
  <c r="AX85" i="3"/>
  <c r="AQ85" i="3"/>
  <c r="AR85" i="3"/>
  <c r="AG85" i="3"/>
  <c r="AJ85" i="3"/>
  <c r="AK85" i="3"/>
  <c r="AB85" i="3"/>
  <c r="Z85" i="3"/>
  <c r="V85" i="3"/>
  <c r="T85" i="3"/>
  <c r="S85" i="3"/>
  <c r="Q85" i="3"/>
  <c r="M85" i="3"/>
  <c r="N85" i="3"/>
  <c r="K85" i="3"/>
  <c r="G85" i="3"/>
  <c r="H85" i="3"/>
  <c r="BM84" i="3"/>
  <c r="BO84" i="3"/>
  <c r="BP84" i="3"/>
  <c r="BG84" i="3"/>
  <c r="BI84" i="3"/>
  <c r="BJ84" i="3"/>
  <c r="AZ84" i="3"/>
  <c r="BC84" i="3"/>
  <c r="BD84" i="3"/>
  <c r="AU84" i="3"/>
  <c r="AW84" i="3"/>
  <c r="AX84" i="3"/>
  <c r="AN84" i="3"/>
  <c r="AQ84" i="3"/>
  <c r="AR84" i="3"/>
  <c r="AG84" i="3"/>
  <c r="AJ84" i="3"/>
  <c r="AK84" i="3"/>
  <c r="AB84" i="3"/>
  <c r="Z84" i="3"/>
  <c r="T84" i="3"/>
  <c r="W84" i="3"/>
  <c r="Q84" i="3"/>
  <c r="N84" i="3"/>
  <c r="K84" i="3"/>
  <c r="G84" i="3"/>
  <c r="H84" i="3"/>
  <c r="BM83" i="3"/>
  <c r="BO83" i="3"/>
  <c r="BP83" i="3"/>
  <c r="BG83" i="3"/>
  <c r="BI83" i="3"/>
  <c r="BJ83" i="3"/>
  <c r="AZ83" i="3"/>
  <c r="BC83" i="3"/>
  <c r="BD83" i="3"/>
  <c r="AU83" i="3"/>
  <c r="AW83" i="3"/>
  <c r="AX83" i="3"/>
  <c r="AN83" i="3"/>
  <c r="AQ83" i="3"/>
  <c r="AR83" i="3"/>
  <c r="AG83" i="3"/>
  <c r="AJ83" i="3"/>
  <c r="AK83" i="3"/>
  <c r="Z83" i="3"/>
  <c r="AC83" i="3"/>
  <c r="AD83" i="3"/>
  <c r="T83" i="3"/>
  <c r="W83" i="3"/>
  <c r="Q83" i="3"/>
  <c r="N83" i="3"/>
  <c r="K83" i="3"/>
  <c r="H83" i="3"/>
  <c r="BM82" i="3"/>
  <c r="BO82" i="3"/>
  <c r="BP82" i="3"/>
  <c r="BG82" i="3"/>
  <c r="BI82" i="3"/>
  <c r="BJ82" i="3"/>
  <c r="BC82" i="3"/>
  <c r="BD82" i="3"/>
  <c r="BM81" i="3"/>
  <c r="BO81" i="3"/>
  <c r="BP81" i="3"/>
  <c r="BG81" i="3"/>
  <c r="BI81" i="3"/>
  <c r="BJ81" i="3"/>
  <c r="AZ81" i="3"/>
  <c r="BC81" i="3"/>
  <c r="BD81" i="3"/>
  <c r="AU81" i="3"/>
  <c r="AW81" i="3"/>
  <c r="AX81" i="3"/>
  <c r="AN81" i="3"/>
  <c r="AQ81" i="3"/>
  <c r="AR81" i="3"/>
  <c r="AG81" i="3"/>
  <c r="AJ81" i="3"/>
  <c r="AK81" i="3"/>
  <c r="Z81" i="3"/>
  <c r="AC81" i="3"/>
  <c r="AD81" i="3"/>
  <c r="V81" i="3"/>
  <c r="T81" i="3"/>
  <c r="P81" i="3"/>
  <c r="Q81" i="3"/>
  <c r="M81" i="3"/>
  <c r="N81" i="3"/>
  <c r="J81" i="3"/>
  <c r="K81" i="3"/>
  <c r="G81" i="3"/>
  <c r="H81" i="3"/>
  <c r="BM80" i="3"/>
  <c r="BO80" i="3"/>
  <c r="BP80" i="3"/>
  <c r="BG80" i="3"/>
  <c r="BI80" i="3"/>
  <c r="BJ80" i="3"/>
  <c r="AZ80" i="3"/>
  <c r="BC80" i="3"/>
  <c r="BD80" i="3"/>
  <c r="AU80" i="3"/>
  <c r="AW80" i="3"/>
  <c r="AX80" i="3"/>
  <c r="AN80" i="3"/>
  <c r="AQ80" i="3"/>
  <c r="AR80" i="3"/>
  <c r="AG80" i="3"/>
  <c r="AJ80" i="3"/>
  <c r="AK80" i="3"/>
  <c r="AB80" i="3"/>
  <c r="AC80" i="3"/>
  <c r="AD80" i="3"/>
  <c r="T80" i="3"/>
  <c r="W80" i="3"/>
  <c r="P80" i="3"/>
  <c r="Q80" i="3"/>
  <c r="N80" i="3"/>
  <c r="J80" i="3"/>
  <c r="K80" i="3"/>
  <c r="H80" i="3"/>
  <c r="BO79" i="3"/>
  <c r="BP79" i="3"/>
  <c r="BI79" i="3"/>
  <c r="BJ79" i="3"/>
  <c r="BC79" i="3"/>
  <c r="BD79" i="3"/>
  <c r="AW79" i="3"/>
  <c r="AX79" i="3"/>
  <c r="AQ79" i="3"/>
  <c r="AR79" i="3"/>
  <c r="AJ79" i="3"/>
  <c r="AK79" i="3"/>
  <c r="AC79" i="3"/>
  <c r="AD79" i="3"/>
  <c r="V79" i="3"/>
  <c r="W79" i="3"/>
  <c r="Q79" i="3"/>
  <c r="N79" i="3"/>
  <c r="K79" i="3"/>
  <c r="H79" i="3"/>
  <c r="BM78" i="3"/>
  <c r="BO78" i="3"/>
  <c r="BP78" i="3"/>
  <c r="BG78" i="3"/>
  <c r="BI78" i="3"/>
  <c r="BJ78" i="3"/>
  <c r="AZ78" i="3"/>
  <c r="BC78" i="3"/>
  <c r="BD78" i="3"/>
  <c r="AU78" i="3"/>
  <c r="AW78" i="3"/>
  <c r="AX78" i="3"/>
  <c r="AN78" i="3"/>
  <c r="AQ78" i="3"/>
  <c r="AR78" i="3"/>
  <c r="AG78" i="3"/>
  <c r="AJ78" i="3"/>
  <c r="AK78" i="3"/>
  <c r="Z78" i="3"/>
  <c r="AC78" i="3"/>
  <c r="AD78" i="3"/>
  <c r="V78" i="3"/>
  <c r="T78" i="3"/>
  <c r="S78" i="3"/>
  <c r="P78" i="3"/>
  <c r="Q78" i="3"/>
  <c r="M78" i="3"/>
  <c r="N78" i="3"/>
  <c r="J78" i="3"/>
  <c r="K78" i="3"/>
  <c r="G78" i="3"/>
  <c r="H78" i="3"/>
  <c r="BM77" i="3"/>
  <c r="BO77" i="3"/>
  <c r="BP77" i="3"/>
  <c r="BG77" i="3"/>
  <c r="BI77" i="3"/>
  <c r="BJ77" i="3"/>
  <c r="AZ77" i="3"/>
  <c r="BC77" i="3"/>
  <c r="BD77" i="3"/>
  <c r="AU77" i="3"/>
  <c r="AW77" i="3"/>
  <c r="AX77" i="3"/>
  <c r="AN77" i="3"/>
  <c r="AQ77" i="3"/>
  <c r="AR77" i="3"/>
  <c r="AG77" i="3"/>
  <c r="AJ77" i="3"/>
  <c r="AK77" i="3"/>
  <c r="Z77" i="3"/>
  <c r="AC77" i="3"/>
  <c r="AD77" i="3"/>
  <c r="V77" i="3"/>
  <c r="T77" i="3"/>
  <c r="P77" i="3"/>
  <c r="Q77" i="3"/>
  <c r="N77" i="3"/>
  <c r="J77" i="3"/>
  <c r="K77" i="3"/>
  <c r="G77" i="3"/>
  <c r="H77" i="3"/>
  <c r="BO75" i="3"/>
  <c r="BP75" i="3"/>
  <c r="BI75" i="3"/>
  <c r="BJ75" i="3"/>
  <c r="AZ75" i="3"/>
  <c r="BC75" i="3"/>
  <c r="BD75" i="3"/>
  <c r="AW75" i="3"/>
  <c r="AX75" i="3"/>
  <c r="AN75" i="3"/>
  <c r="AQ75" i="3"/>
  <c r="AR75" i="3"/>
  <c r="AJ75" i="3"/>
  <c r="AK75" i="3"/>
  <c r="AC75" i="3"/>
  <c r="AD75" i="3"/>
  <c r="T75" i="3"/>
  <c r="W75" i="3"/>
  <c r="Q75" i="3"/>
  <c r="N75" i="3"/>
  <c r="K75" i="3"/>
  <c r="H75" i="3"/>
  <c r="BM74" i="3"/>
  <c r="BO74" i="3"/>
  <c r="BP74" i="3"/>
  <c r="BG74" i="3"/>
  <c r="BI74" i="3"/>
  <c r="BJ74" i="3"/>
  <c r="AZ74" i="3"/>
  <c r="BC74" i="3"/>
  <c r="BD74" i="3"/>
  <c r="AU74" i="3"/>
  <c r="AW74" i="3"/>
  <c r="AX74" i="3"/>
  <c r="AN74" i="3"/>
  <c r="AQ74" i="3"/>
  <c r="AR74" i="3"/>
  <c r="AJ74" i="3"/>
  <c r="AK74" i="3"/>
  <c r="Z74" i="3"/>
  <c r="AC74" i="3"/>
  <c r="AD74" i="3"/>
  <c r="V74" i="3"/>
  <c r="T74" i="3"/>
  <c r="S74" i="3"/>
  <c r="P74" i="3"/>
  <c r="Q74" i="3"/>
  <c r="N74" i="3"/>
  <c r="J74" i="3"/>
  <c r="K74" i="3"/>
  <c r="G74" i="3"/>
  <c r="H74" i="3"/>
  <c r="BM73" i="3"/>
  <c r="BL73" i="3"/>
  <c r="BG73" i="3"/>
  <c r="BI73" i="3"/>
  <c r="BJ73" i="3"/>
  <c r="AZ73" i="3"/>
  <c r="BC73" i="3"/>
  <c r="BD73" i="3"/>
  <c r="AU73" i="3"/>
  <c r="AW73" i="3"/>
  <c r="AX73" i="3"/>
  <c r="AN73" i="3"/>
  <c r="AQ73" i="3"/>
  <c r="AR73" i="3"/>
  <c r="AG73" i="3"/>
  <c r="AJ73" i="3"/>
  <c r="AK73" i="3"/>
  <c r="Z73" i="3"/>
  <c r="AC73" i="3"/>
  <c r="AD73" i="3"/>
  <c r="V73" i="3"/>
  <c r="T73" i="3"/>
  <c r="S73" i="3"/>
  <c r="W73" i="3"/>
  <c r="P73" i="3"/>
  <c r="Q73" i="3"/>
  <c r="M73" i="3"/>
  <c r="N73" i="3"/>
  <c r="J73" i="3"/>
  <c r="K73" i="3"/>
  <c r="G73" i="3"/>
  <c r="H73" i="3"/>
  <c r="BO72" i="3"/>
  <c r="BP72" i="3"/>
  <c r="BI72" i="3"/>
  <c r="BJ72" i="3"/>
  <c r="BC72" i="3"/>
  <c r="BD72" i="3"/>
  <c r="AW72" i="3"/>
  <c r="AX72" i="3"/>
  <c r="AQ72" i="3"/>
  <c r="AR72" i="3"/>
  <c r="AJ72" i="3"/>
  <c r="AK72" i="3"/>
  <c r="AC72" i="3"/>
  <c r="AD72" i="3"/>
  <c r="V72" i="3"/>
  <c r="S72" i="3"/>
  <c r="P72" i="3"/>
  <c r="Q72" i="3"/>
  <c r="N72" i="3"/>
  <c r="K72" i="3"/>
  <c r="H72" i="3"/>
  <c r="BB195" i="3"/>
  <c r="AV195" i="3"/>
  <c r="BO71" i="3"/>
  <c r="BP71" i="3"/>
  <c r="BG71" i="3"/>
  <c r="BI71" i="3"/>
  <c r="BJ71" i="3"/>
  <c r="AZ71" i="3"/>
  <c r="BC71" i="3"/>
  <c r="BD71" i="3"/>
  <c r="AW71" i="3"/>
  <c r="AX71" i="3"/>
  <c r="AN71" i="3"/>
  <c r="AQ71" i="3"/>
  <c r="AR71" i="3"/>
  <c r="AG71" i="3"/>
  <c r="AJ71" i="3"/>
  <c r="AK71" i="3"/>
  <c r="AC71" i="3"/>
  <c r="AD71" i="3"/>
  <c r="W71" i="3"/>
  <c r="BM70" i="3"/>
  <c r="BO70" i="3"/>
  <c r="BP70" i="3"/>
  <c r="BG70" i="3"/>
  <c r="BI70" i="3"/>
  <c r="BJ70" i="3"/>
  <c r="AZ70" i="3"/>
  <c r="BC70" i="3"/>
  <c r="BD70" i="3"/>
  <c r="AU70" i="3"/>
  <c r="AW70" i="3"/>
  <c r="AX70" i="3"/>
  <c r="AN70" i="3"/>
  <c r="AQ70" i="3"/>
  <c r="AR70" i="3"/>
  <c r="AG70" i="3"/>
  <c r="AJ70" i="3"/>
  <c r="AK70" i="3"/>
  <c r="Z70" i="3"/>
  <c r="AC70" i="3"/>
  <c r="AD70" i="3"/>
  <c r="T70" i="3"/>
  <c r="S70" i="3"/>
  <c r="P70" i="3"/>
  <c r="Q70" i="3"/>
  <c r="M70" i="3"/>
  <c r="N70" i="3"/>
  <c r="J70" i="3"/>
  <c r="K70" i="3"/>
  <c r="G70" i="3"/>
  <c r="H70" i="3"/>
  <c r="BO69" i="3"/>
  <c r="BP69" i="3"/>
  <c r="BI69" i="3"/>
  <c r="BJ69" i="3"/>
  <c r="BC69" i="3"/>
  <c r="BD69" i="3"/>
  <c r="AW69" i="3"/>
  <c r="AX69" i="3"/>
  <c r="AQ69" i="3"/>
  <c r="AR69" i="3"/>
  <c r="AJ69" i="3"/>
  <c r="AK69" i="3"/>
  <c r="AC69" i="3"/>
  <c r="AD69" i="3"/>
  <c r="S69" i="3"/>
  <c r="W69" i="3"/>
  <c r="P69" i="3"/>
  <c r="Q69" i="3"/>
  <c r="N69" i="3"/>
  <c r="J69" i="3"/>
  <c r="K69" i="3"/>
  <c r="G69" i="3"/>
  <c r="H69" i="3"/>
  <c r="BO68" i="3"/>
  <c r="BP68" i="3"/>
  <c r="BG68" i="3"/>
  <c r="BI68" i="3"/>
  <c r="BJ68" i="3"/>
  <c r="AZ68" i="3"/>
  <c r="BC68" i="3"/>
  <c r="BD68" i="3"/>
  <c r="AW68" i="3"/>
  <c r="AX68" i="3"/>
  <c r="AQ68" i="3"/>
  <c r="AR68" i="3"/>
  <c r="AJ68" i="3"/>
  <c r="AK68" i="3"/>
  <c r="AC68" i="3"/>
  <c r="AD68" i="3"/>
  <c r="V68" i="3"/>
  <c r="S68" i="3"/>
  <c r="Q68" i="3"/>
  <c r="N68" i="3"/>
  <c r="K68" i="3"/>
  <c r="H68" i="3"/>
  <c r="BO67" i="3"/>
  <c r="BP67" i="3"/>
  <c r="BI67" i="3"/>
  <c r="BJ67" i="3"/>
  <c r="BC67" i="3"/>
  <c r="BD67" i="3"/>
  <c r="AW67" i="3"/>
  <c r="AX67" i="3"/>
  <c r="AN67" i="3"/>
  <c r="AQ67" i="3"/>
  <c r="AR67" i="3"/>
  <c r="AJ67" i="3"/>
  <c r="AK67" i="3"/>
  <c r="Z67" i="3"/>
  <c r="AC67" i="3"/>
  <c r="AD67" i="3"/>
  <c r="S67" i="3"/>
  <c r="W67" i="3"/>
  <c r="P67" i="3"/>
  <c r="Q67" i="3"/>
  <c r="N67" i="3"/>
  <c r="J67" i="3"/>
  <c r="K67" i="3"/>
  <c r="G67" i="3"/>
  <c r="H67" i="3"/>
  <c r="BM66" i="3"/>
  <c r="BO66" i="3"/>
  <c r="BP66" i="3"/>
  <c r="BG66" i="3"/>
  <c r="BI66" i="3"/>
  <c r="BJ66" i="3"/>
  <c r="AZ66" i="3"/>
  <c r="BC66" i="3"/>
  <c r="BD66" i="3"/>
  <c r="AU66" i="3"/>
  <c r="AW66" i="3"/>
  <c r="AX66" i="3"/>
  <c r="AN66" i="3"/>
  <c r="AQ66" i="3"/>
  <c r="AR66" i="3"/>
  <c r="AG66" i="3"/>
  <c r="AJ66" i="3"/>
  <c r="AK66" i="3"/>
  <c r="Z66" i="3"/>
  <c r="AC66" i="3"/>
  <c r="AD66" i="3"/>
  <c r="T66" i="3"/>
  <c r="S66" i="3"/>
  <c r="P66" i="3"/>
  <c r="Q66" i="3"/>
  <c r="N66" i="3"/>
  <c r="J66" i="3"/>
  <c r="K66" i="3"/>
  <c r="G66" i="3"/>
  <c r="H66" i="3"/>
  <c r="BM65" i="3"/>
  <c r="BO65" i="3"/>
  <c r="BP65" i="3"/>
  <c r="BG65" i="3"/>
  <c r="BF65" i="3"/>
  <c r="AZ65" i="3"/>
  <c r="BC65" i="3"/>
  <c r="BD65" i="3"/>
  <c r="AW65" i="3"/>
  <c r="AX65" i="3"/>
  <c r="AQ65" i="3"/>
  <c r="AR65" i="3"/>
  <c r="AJ65" i="3"/>
  <c r="AK65" i="3"/>
  <c r="Z65" i="3"/>
  <c r="AC65" i="3"/>
  <c r="AD65" i="3"/>
  <c r="T65" i="3"/>
  <c r="S65" i="3"/>
  <c r="P65" i="3"/>
  <c r="Q65" i="3"/>
  <c r="N65" i="3"/>
  <c r="J65" i="3"/>
  <c r="K65" i="3"/>
  <c r="G65" i="3"/>
  <c r="H65" i="3"/>
  <c r="BO63" i="3"/>
  <c r="BP63" i="3"/>
  <c r="BF63" i="3"/>
  <c r="BI63" i="3"/>
  <c r="BJ63" i="3"/>
  <c r="BC63" i="3"/>
  <c r="BD63" i="3"/>
  <c r="AW63" i="3"/>
  <c r="AX63" i="3"/>
  <c r="AN63" i="3"/>
  <c r="AQ63" i="3"/>
  <c r="AR63" i="3"/>
  <c r="AG63" i="3"/>
  <c r="AJ63" i="3"/>
  <c r="AK63" i="3"/>
  <c r="AB63" i="3"/>
  <c r="Z63" i="3"/>
  <c r="V63" i="3"/>
  <c r="S63" i="3"/>
  <c r="P63" i="3"/>
  <c r="Q63" i="3"/>
  <c r="N63" i="3"/>
  <c r="J63" i="3"/>
  <c r="K63" i="3"/>
  <c r="G63" i="3"/>
  <c r="H63" i="3"/>
  <c r="BO76" i="3"/>
  <c r="BP76" i="3"/>
  <c r="BI76" i="3"/>
  <c r="BJ76" i="3"/>
  <c r="BC76" i="3"/>
  <c r="BD76" i="3"/>
  <c r="AW76" i="3"/>
  <c r="AX76" i="3"/>
  <c r="AQ76" i="3"/>
  <c r="AR76" i="3"/>
  <c r="AJ76" i="3"/>
  <c r="AK76" i="3"/>
  <c r="AC76" i="3"/>
  <c r="AD76" i="3"/>
  <c r="S76" i="3"/>
  <c r="W76" i="3"/>
  <c r="P76" i="3"/>
  <c r="Q76" i="3"/>
  <c r="N76" i="3"/>
  <c r="J76" i="3"/>
  <c r="K76" i="3"/>
  <c r="H76" i="3"/>
  <c r="BO61" i="3"/>
  <c r="BP61" i="3"/>
  <c r="BI61" i="3"/>
  <c r="BJ61" i="3"/>
  <c r="BC61" i="3"/>
  <c r="BD61" i="3"/>
  <c r="AW61" i="3"/>
  <c r="AX61" i="3"/>
  <c r="AQ61" i="3"/>
  <c r="AR61" i="3"/>
  <c r="AJ61" i="3"/>
  <c r="AK61" i="3"/>
  <c r="AC61" i="3"/>
  <c r="AD61" i="3"/>
  <c r="V61" i="3"/>
  <c r="W61" i="3"/>
  <c r="Q61" i="3"/>
  <c r="N61" i="3"/>
  <c r="K61" i="3"/>
  <c r="H61" i="3"/>
  <c r="BM8" i="3"/>
  <c r="BO8" i="3"/>
  <c r="BP8" i="3"/>
  <c r="BG8" i="3"/>
  <c r="BI8" i="3"/>
  <c r="BJ8" i="3"/>
  <c r="AZ8" i="3"/>
  <c r="BC8" i="3"/>
  <c r="BD8" i="3"/>
  <c r="AW8" i="3"/>
  <c r="AX8" i="3"/>
  <c r="AN8" i="3"/>
  <c r="AQ8" i="3"/>
  <c r="AR8" i="3"/>
  <c r="AJ8" i="3"/>
  <c r="AK8" i="3"/>
  <c r="Z8" i="3"/>
  <c r="AC8" i="3"/>
  <c r="AD8" i="3"/>
  <c r="V8" i="3"/>
  <c r="T8" i="3"/>
  <c r="P8" i="3"/>
  <c r="Q8" i="3"/>
  <c r="N8" i="3"/>
  <c r="J8" i="3"/>
  <c r="K8" i="3"/>
  <c r="G8" i="3"/>
  <c r="H8" i="3"/>
  <c r="BO7" i="3"/>
  <c r="BP7" i="3"/>
  <c r="BI7" i="3"/>
  <c r="BJ7" i="3"/>
  <c r="BC7" i="3"/>
  <c r="BD7" i="3"/>
  <c r="AW7" i="3"/>
  <c r="AX7" i="3"/>
  <c r="AQ7" i="3"/>
  <c r="AR7" i="3"/>
  <c r="AJ7" i="3"/>
  <c r="AK7" i="3"/>
  <c r="AC7" i="3"/>
  <c r="AD7" i="3"/>
  <c r="V7" i="3"/>
  <c r="W7" i="3"/>
  <c r="Q7" i="3"/>
  <c r="N7" i="3"/>
  <c r="K7" i="3"/>
  <c r="H7" i="3"/>
  <c r="BM174" i="3"/>
  <c r="BO174" i="3"/>
  <c r="BP174" i="3"/>
  <c r="BG174" i="3"/>
  <c r="BI174" i="3"/>
  <c r="BJ174" i="3"/>
  <c r="BA174" i="3"/>
  <c r="AZ174" i="3"/>
  <c r="AU174" i="3"/>
  <c r="AW174" i="3"/>
  <c r="AX174" i="3"/>
  <c r="AN174" i="3"/>
  <c r="AQ174" i="3"/>
  <c r="AR174" i="3"/>
  <c r="AG174" i="3"/>
  <c r="AJ174" i="3"/>
  <c r="AK174" i="3"/>
  <c r="Z174" i="3"/>
  <c r="AC174" i="3"/>
  <c r="AD174" i="3"/>
  <c r="V174" i="3"/>
  <c r="T174" i="3"/>
  <c r="P174" i="3"/>
  <c r="Q174" i="3"/>
  <c r="M174" i="3"/>
  <c r="N174" i="3"/>
  <c r="J174" i="3"/>
  <c r="K174" i="3"/>
  <c r="G174" i="3"/>
  <c r="H174" i="3"/>
  <c r="BM60" i="3"/>
  <c r="BO60" i="3"/>
  <c r="BP60" i="3"/>
  <c r="BG60" i="3"/>
  <c r="BI60" i="3"/>
  <c r="BJ60" i="3"/>
  <c r="BC60" i="3"/>
  <c r="BD60" i="3"/>
  <c r="AW60" i="3"/>
  <c r="AX60" i="3"/>
  <c r="AN60" i="3"/>
  <c r="AQ60" i="3"/>
  <c r="AR60" i="3"/>
  <c r="AJ60" i="3"/>
  <c r="AK60" i="3"/>
  <c r="AC60" i="3"/>
  <c r="AD60" i="3"/>
  <c r="T60" i="3"/>
  <c r="W60" i="3"/>
  <c r="Q60" i="3"/>
  <c r="N60" i="3"/>
  <c r="K60" i="3"/>
  <c r="H60" i="3"/>
  <c r="BO59" i="3"/>
  <c r="BP59" i="3"/>
  <c r="BI59" i="3"/>
  <c r="BJ59" i="3"/>
  <c r="BM58" i="3"/>
  <c r="BO58" i="3"/>
  <c r="BP58" i="3"/>
  <c r="BG58" i="3"/>
  <c r="BI58" i="3"/>
  <c r="BJ58" i="3"/>
  <c r="AZ58" i="3"/>
  <c r="BC58" i="3"/>
  <c r="BD58" i="3"/>
  <c r="AW58" i="3"/>
  <c r="AX58" i="3"/>
  <c r="AN58" i="3"/>
  <c r="AQ58" i="3"/>
  <c r="AR58" i="3"/>
  <c r="AG58" i="3"/>
  <c r="AJ58" i="3"/>
  <c r="AK58" i="3"/>
  <c r="Z58" i="3"/>
  <c r="AC58" i="3"/>
  <c r="AD58" i="3"/>
  <c r="T58" i="3"/>
  <c r="S58" i="3"/>
  <c r="P58" i="3"/>
  <c r="Q58" i="3"/>
  <c r="N58" i="3"/>
  <c r="K58" i="3"/>
  <c r="H58" i="3"/>
  <c r="BO57" i="3"/>
  <c r="BP57" i="3"/>
  <c r="BF57" i="3"/>
  <c r="BI57" i="3"/>
  <c r="BJ57" i="3"/>
  <c r="BC57" i="3"/>
  <c r="BD57" i="3"/>
  <c r="AW57" i="3"/>
  <c r="AX57" i="3"/>
  <c r="AQ57" i="3"/>
  <c r="AR57" i="3"/>
  <c r="AG57" i="3"/>
  <c r="AJ57" i="3"/>
  <c r="AK57" i="3"/>
  <c r="AB57" i="3"/>
  <c r="Z57" i="3"/>
  <c r="AC57" i="3"/>
  <c r="AD57" i="3"/>
  <c r="W57" i="3"/>
  <c r="Q57" i="3"/>
  <c r="N57" i="3"/>
  <c r="K57" i="3"/>
  <c r="H57" i="3"/>
  <c r="BM56" i="3"/>
  <c r="BO56" i="3"/>
  <c r="BP56" i="3"/>
  <c r="BG56" i="3"/>
  <c r="BI56" i="3"/>
  <c r="BJ56" i="3"/>
  <c r="AZ56" i="3"/>
  <c r="BC56" i="3"/>
  <c r="BD56" i="3"/>
  <c r="AU56" i="3"/>
  <c r="AW56" i="3"/>
  <c r="AX56" i="3"/>
  <c r="AN56" i="3"/>
  <c r="AQ56" i="3"/>
  <c r="AR56" i="3"/>
  <c r="AG56" i="3"/>
  <c r="AJ56" i="3"/>
  <c r="AK56" i="3"/>
  <c r="AC56" i="3"/>
  <c r="AD56" i="3"/>
  <c r="S56" i="3"/>
  <c r="W56" i="3"/>
  <c r="Q56" i="3"/>
  <c r="BM55" i="3"/>
  <c r="BO55" i="3"/>
  <c r="BP55" i="3"/>
  <c r="BI55" i="3"/>
  <c r="BJ55" i="3"/>
  <c r="AZ55" i="3"/>
  <c r="BC55" i="3"/>
  <c r="BD55" i="3"/>
  <c r="AU55" i="3"/>
  <c r="AW55" i="3"/>
  <c r="AX55" i="3"/>
  <c r="AN55" i="3"/>
  <c r="AQ55" i="3"/>
  <c r="AR55" i="3"/>
  <c r="AG55" i="3"/>
  <c r="AJ55" i="3"/>
  <c r="AK55" i="3"/>
  <c r="Z55" i="3"/>
  <c r="AC55" i="3"/>
  <c r="AD55" i="3"/>
  <c r="T55" i="3"/>
  <c r="S55" i="3"/>
  <c r="P55" i="3"/>
  <c r="Q55" i="3"/>
  <c r="M55" i="3"/>
  <c r="N55" i="3"/>
  <c r="J55" i="3"/>
  <c r="K55" i="3"/>
  <c r="G55" i="3"/>
  <c r="H55" i="3"/>
  <c r="BM54" i="3"/>
  <c r="BL54" i="3"/>
  <c r="BG54" i="3"/>
  <c r="BI54" i="3"/>
  <c r="BJ54" i="3"/>
  <c r="AZ54" i="3"/>
  <c r="BC54" i="3"/>
  <c r="BD54" i="3"/>
  <c r="AU54" i="3"/>
  <c r="AW54" i="3"/>
  <c r="AX54" i="3"/>
  <c r="AN54" i="3"/>
  <c r="AQ54" i="3"/>
  <c r="AR54" i="3"/>
  <c r="AI54" i="3"/>
  <c r="AI195" i="3"/>
  <c r="AG54" i="3"/>
  <c r="AJ54" i="3"/>
  <c r="AK54" i="3"/>
  <c r="Z54" i="3"/>
  <c r="AC54" i="3"/>
  <c r="AD54" i="3"/>
  <c r="T54" i="3"/>
  <c r="S54" i="3"/>
  <c r="P54" i="3"/>
  <c r="Q54" i="3"/>
  <c r="M54" i="3"/>
  <c r="N54" i="3"/>
  <c r="J54" i="3"/>
  <c r="K54" i="3"/>
  <c r="G54" i="3"/>
  <c r="H54" i="3"/>
  <c r="BM53" i="3"/>
  <c r="BO53" i="3"/>
  <c r="BP53" i="3"/>
  <c r="BG53" i="3"/>
  <c r="BI53" i="3"/>
  <c r="BJ53" i="3"/>
  <c r="AZ53" i="3"/>
  <c r="BC53" i="3"/>
  <c r="BD53" i="3"/>
  <c r="AU53" i="3"/>
  <c r="AW53" i="3"/>
  <c r="AX53" i="3"/>
  <c r="AN53" i="3"/>
  <c r="AQ53" i="3"/>
  <c r="AR53" i="3"/>
  <c r="AG53" i="3"/>
  <c r="AJ53" i="3"/>
  <c r="AK53" i="3"/>
  <c r="Z53" i="3"/>
  <c r="AC53" i="3"/>
  <c r="AD53" i="3"/>
  <c r="W53" i="3"/>
  <c r="Q53" i="3"/>
  <c r="N53" i="3"/>
  <c r="BO52" i="3"/>
  <c r="BP52" i="3"/>
  <c r="BI52" i="3"/>
  <c r="BJ52" i="3"/>
  <c r="BC52" i="3"/>
  <c r="BD52" i="3"/>
  <c r="AW52" i="3"/>
  <c r="AX52" i="3"/>
  <c r="AQ52" i="3"/>
  <c r="AR52" i="3"/>
  <c r="AJ52" i="3"/>
  <c r="AK52" i="3"/>
  <c r="AC52" i="3"/>
  <c r="AD52" i="3"/>
  <c r="S52" i="3"/>
  <c r="W52" i="3"/>
  <c r="Q52" i="3"/>
  <c r="N52" i="3"/>
  <c r="J52" i="3"/>
  <c r="K52" i="3"/>
  <c r="G52" i="3"/>
  <c r="H52" i="3"/>
  <c r="BM51" i="3"/>
  <c r="BO51" i="3"/>
  <c r="BP51" i="3"/>
  <c r="BG51" i="3"/>
  <c r="BI51" i="3"/>
  <c r="BJ51" i="3"/>
  <c r="AZ51" i="3"/>
  <c r="BC51" i="3"/>
  <c r="BD51" i="3"/>
  <c r="AU51" i="3"/>
  <c r="AW51" i="3"/>
  <c r="AX51" i="3"/>
  <c r="AN51" i="3"/>
  <c r="AQ51" i="3"/>
  <c r="AR51" i="3"/>
  <c r="AG51" i="3"/>
  <c r="AJ51" i="3"/>
  <c r="AK51" i="3"/>
  <c r="Z51" i="3"/>
  <c r="AC51" i="3"/>
  <c r="AD51" i="3"/>
  <c r="T51" i="3"/>
  <c r="S51" i="3"/>
  <c r="P51" i="3"/>
  <c r="Q51" i="3"/>
  <c r="M51" i="3"/>
  <c r="N51" i="3"/>
  <c r="J51" i="3"/>
  <c r="K51" i="3"/>
  <c r="G51" i="3"/>
  <c r="H51" i="3"/>
  <c r="BM50" i="3"/>
  <c r="BO50" i="3"/>
  <c r="BP50" i="3"/>
  <c r="BG50" i="3"/>
  <c r="BI50" i="3"/>
  <c r="BJ50" i="3"/>
  <c r="AZ50" i="3"/>
  <c r="BC50" i="3"/>
  <c r="BD50" i="3"/>
  <c r="AU50" i="3"/>
  <c r="AW50" i="3"/>
  <c r="AX50" i="3"/>
  <c r="AN50" i="3"/>
  <c r="AQ50" i="3"/>
  <c r="AR50" i="3"/>
  <c r="AG50" i="3"/>
  <c r="AJ50" i="3"/>
  <c r="AK50" i="3"/>
  <c r="Z50" i="3"/>
  <c r="AC50" i="3"/>
  <c r="AD50" i="3"/>
  <c r="T50" i="3"/>
  <c r="S50" i="3"/>
  <c r="P50" i="3"/>
  <c r="Q50" i="3"/>
  <c r="M50" i="3"/>
  <c r="N50" i="3"/>
  <c r="J50" i="3"/>
  <c r="K50" i="3"/>
  <c r="G50" i="3"/>
  <c r="H50" i="3"/>
  <c r="BO49" i="3"/>
  <c r="BP49" i="3"/>
  <c r="BI49" i="3"/>
  <c r="BJ49" i="3"/>
  <c r="BC49" i="3"/>
  <c r="BD49" i="3"/>
  <c r="AU49" i="3"/>
  <c r="AW49" i="3"/>
  <c r="AX49" i="3"/>
  <c r="AN49" i="3"/>
  <c r="AQ49" i="3"/>
  <c r="AR49" i="3"/>
  <c r="AJ49" i="3"/>
  <c r="AK49" i="3"/>
  <c r="Z49" i="3"/>
  <c r="AC49" i="3"/>
  <c r="AD49" i="3"/>
  <c r="T49" i="3"/>
  <c r="W49" i="3"/>
  <c r="Q49" i="3"/>
  <c r="N49" i="3"/>
  <c r="K49" i="3"/>
  <c r="H49" i="3"/>
  <c r="BM48" i="3"/>
  <c r="BO48" i="3"/>
  <c r="BP48" i="3"/>
  <c r="BI48" i="3"/>
  <c r="BJ48" i="3"/>
  <c r="BC48" i="3"/>
  <c r="BD48" i="3"/>
  <c r="AW48" i="3"/>
  <c r="AX48" i="3"/>
  <c r="AQ48" i="3"/>
  <c r="AR48" i="3"/>
  <c r="AJ48" i="3"/>
  <c r="AK48" i="3"/>
  <c r="AC48" i="3"/>
  <c r="AD48" i="3"/>
  <c r="T48" i="3"/>
  <c r="S48" i="3"/>
  <c r="Q48" i="3"/>
  <c r="N48" i="3"/>
  <c r="J48" i="3"/>
  <c r="K48" i="3"/>
  <c r="H48" i="3"/>
  <c r="BO47" i="3"/>
  <c r="BP47" i="3"/>
  <c r="BI47" i="3"/>
  <c r="BJ47" i="3"/>
  <c r="BC47" i="3"/>
  <c r="BD47" i="3"/>
  <c r="AW47" i="3"/>
  <c r="AX47" i="3"/>
  <c r="AQ47" i="3"/>
  <c r="AR47" i="3"/>
  <c r="AJ47" i="3"/>
  <c r="AK47" i="3"/>
  <c r="AC47" i="3"/>
  <c r="AD47" i="3"/>
  <c r="T47" i="3"/>
  <c r="W47" i="3"/>
  <c r="Q47" i="3"/>
  <c r="N47" i="3"/>
  <c r="K47" i="3"/>
  <c r="H47" i="3"/>
  <c r="AF195" i="3"/>
  <c r="BO46" i="3"/>
  <c r="BP46" i="3"/>
  <c r="BI46" i="3"/>
  <c r="BJ46" i="3"/>
  <c r="BC46" i="3"/>
  <c r="BD46" i="3"/>
  <c r="AW46" i="3"/>
  <c r="AX46" i="3"/>
  <c r="AQ46" i="3"/>
  <c r="AR46" i="3"/>
  <c r="AJ46" i="3"/>
  <c r="AK46" i="3"/>
  <c r="AC46" i="3"/>
  <c r="AD46" i="3"/>
  <c r="S46" i="3"/>
  <c r="W46" i="3"/>
  <c r="P46" i="3"/>
  <c r="Q46" i="3"/>
  <c r="N46" i="3"/>
  <c r="J46" i="3"/>
  <c r="K46" i="3"/>
  <c r="G46" i="3"/>
  <c r="H46" i="3"/>
  <c r="BO45" i="3"/>
  <c r="BP45" i="3"/>
  <c r="BG45" i="3"/>
  <c r="BI45" i="3"/>
  <c r="BJ45" i="3"/>
  <c r="BA45" i="3"/>
  <c r="BA195" i="3"/>
  <c r="AZ45" i="3"/>
  <c r="AU45" i="3"/>
  <c r="AT45" i="3"/>
  <c r="AN45" i="3"/>
  <c r="AQ45" i="3"/>
  <c r="AR45" i="3"/>
  <c r="AG45" i="3"/>
  <c r="AJ45" i="3"/>
  <c r="AK45" i="3"/>
  <c r="Z45" i="3"/>
  <c r="AC45" i="3"/>
  <c r="AD45" i="3"/>
  <c r="T45" i="3"/>
  <c r="S45" i="3"/>
  <c r="P45" i="3"/>
  <c r="Q45" i="3"/>
  <c r="N45" i="3"/>
  <c r="J45" i="3"/>
  <c r="K45" i="3"/>
  <c r="H45" i="3"/>
  <c r="BO44" i="3"/>
  <c r="BP44" i="3"/>
  <c r="BI44" i="3"/>
  <c r="BJ44" i="3"/>
  <c r="BC44" i="3"/>
  <c r="BD44" i="3"/>
  <c r="AW44" i="3"/>
  <c r="AX44" i="3"/>
  <c r="AQ44" i="3"/>
  <c r="AR44" i="3"/>
  <c r="AJ44" i="3"/>
  <c r="AK44" i="3"/>
  <c r="AC44" i="3"/>
  <c r="AD44" i="3"/>
  <c r="T44" i="3"/>
  <c r="W44" i="3"/>
  <c r="Q44" i="3"/>
  <c r="N44" i="3"/>
  <c r="K44" i="3"/>
  <c r="H44" i="3"/>
  <c r="BM43" i="3"/>
  <c r="BO43" i="3"/>
  <c r="BP43" i="3"/>
  <c r="BG43" i="3"/>
  <c r="BI43" i="3"/>
  <c r="BJ43" i="3"/>
  <c r="AZ43" i="3"/>
  <c r="BC43" i="3"/>
  <c r="BD43" i="3"/>
  <c r="AU43" i="3"/>
  <c r="AW43" i="3"/>
  <c r="AX43" i="3"/>
  <c r="AN43" i="3"/>
  <c r="AQ43" i="3"/>
  <c r="AR43" i="3"/>
  <c r="AG43" i="3"/>
  <c r="AJ43" i="3"/>
  <c r="AK43" i="3"/>
  <c r="Z43" i="3"/>
  <c r="AC43" i="3"/>
  <c r="AD43" i="3"/>
  <c r="T43" i="3"/>
  <c r="W43" i="3"/>
  <c r="Q43" i="3"/>
  <c r="N43" i="3"/>
  <c r="K43" i="3"/>
  <c r="H43" i="3"/>
  <c r="BM42" i="3"/>
  <c r="BO42" i="3"/>
  <c r="BP42" i="3"/>
  <c r="BG42" i="3"/>
  <c r="BI42" i="3"/>
  <c r="BJ42" i="3"/>
  <c r="AZ42" i="3"/>
  <c r="BC42" i="3"/>
  <c r="BD42" i="3"/>
  <c r="AU42" i="3"/>
  <c r="AW42" i="3"/>
  <c r="AX42" i="3"/>
  <c r="AN42" i="3"/>
  <c r="AM42" i="3"/>
  <c r="AG42" i="3"/>
  <c r="AJ42" i="3"/>
  <c r="AK42" i="3"/>
  <c r="Z42" i="3"/>
  <c r="AC42" i="3"/>
  <c r="AD42" i="3"/>
  <c r="T42" i="3"/>
  <c r="S42" i="3"/>
  <c r="P42" i="3"/>
  <c r="Q42" i="3"/>
  <c r="N42" i="3"/>
  <c r="J42" i="3"/>
  <c r="K42" i="3"/>
  <c r="H42" i="3"/>
  <c r="BM41" i="3"/>
  <c r="BO41" i="3"/>
  <c r="BP41" i="3"/>
  <c r="BG41" i="3"/>
  <c r="BI41" i="3"/>
  <c r="BJ41" i="3"/>
  <c r="AZ41" i="3"/>
  <c r="BC41" i="3"/>
  <c r="BD41" i="3"/>
  <c r="AU41" i="3"/>
  <c r="AW41" i="3"/>
  <c r="AX41" i="3"/>
  <c r="AN41" i="3"/>
  <c r="AQ41" i="3"/>
  <c r="AR41" i="3"/>
  <c r="AJ41" i="3"/>
  <c r="AK41" i="3"/>
  <c r="AC41" i="3"/>
  <c r="AD41" i="3"/>
  <c r="T41" i="3"/>
  <c r="S41" i="3"/>
  <c r="P41" i="3"/>
  <c r="Q41" i="3"/>
  <c r="N41" i="3"/>
  <c r="J41" i="3"/>
  <c r="K41" i="3"/>
  <c r="G41" i="3"/>
  <c r="H41" i="3"/>
  <c r="BO40" i="3"/>
  <c r="BP40" i="3"/>
  <c r="BI40" i="3"/>
  <c r="BJ40" i="3"/>
  <c r="BC40" i="3"/>
  <c r="BD40" i="3"/>
  <c r="AW40" i="3"/>
  <c r="AX40" i="3"/>
  <c r="AQ40" i="3"/>
  <c r="AR40" i="3"/>
  <c r="AJ40" i="3"/>
  <c r="AK40" i="3"/>
  <c r="AC40" i="3"/>
  <c r="AD40" i="3"/>
  <c r="W40" i="3"/>
  <c r="Q40" i="3"/>
  <c r="N40" i="3"/>
  <c r="K40" i="3"/>
  <c r="H40" i="3"/>
  <c r="BO39" i="3"/>
  <c r="BP39" i="3"/>
  <c r="BG39" i="3"/>
  <c r="BI39" i="3"/>
  <c r="BJ39" i="3"/>
  <c r="BC39" i="3"/>
  <c r="BD39" i="3"/>
  <c r="AU39" i="3"/>
  <c r="AW39" i="3"/>
  <c r="AX39" i="3"/>
  <c r="AN39" i="3"/>
  <c r="AQ39" i="3"/>
  <c r="AR39" i="3"/>
  <c r="AG39" i="3"/>
  <c r="AJ39" i="3"/>
  <c r="AK39" i="3"/>
  <c r="Z39" i="3"/>
  <c r="AC39" i="3"/>
  <c r="AD39" i="3"/>
  <c r="T39" i="3"/>
  <c r="S39" i="3"/>
  <c r="P39" i="3"/>
  <c r="Q39" i="3"/>
  <c r="M39" i="3"/>
  <c r="N39" i="3"/>
  <c r="J39" i="3"/>
  <c r="K39" i="3"/>
  <c r="H39" i="3"/>
  <c r="BM158" i="3"/>
  <c r="BO158" i="3"/>
  <c r="BP158" i="3"/>
  <c r="BG158" i="3"/>
  <c r="BI158" i="3"/>
  <c r="BJ158" i="3"/>
  <c r="AZ158" i="3"/>
  <c r="BC158" i="3"/>
  <c r="BD158" i="3"/>
  <c r="AU158" i="3"/>
  <c r="AW158" i="3"/>
  <c r="AX158" i="3"/>
  <c r="AN158" i="3"/>
  <c r="AM158" i="3"/>
  <c r="AM195" i="3"/>
  <c r="AG158" i="3"/>
  <c r="AJ158" i="3"/>
  <c r="AK158" i="3"/>
  <c r="AB158" i="3"/>
  <c r="Z158" i="3"/>
  <c r="V158" i="3"/>
  <c r="T158" i="3"/>
  <c r="S158" i="3"/>
  <c r="P158" i="3"/>
  <c r="Q158" i="3"/>
  <c r="M158" i="3"/>
  <c r="N158" i="3"/>
  <c r="J158" i="3"/>
  <c r="K158" i="3"/>
  <c r="G158" i="3"/>
  <c r="H158" i="3"/>
  <c r="BM116" i="3"/>
  <c r="BO116" i="3"/>
  <c r="BP116" i="3"/>
  <c r="BG116" i="3"/>
  <c r="BI116" i="3"/>
  <c r="BJ116" i="3"/>
  <c r="AZ116" i="3"/>
  <c r="BC116" i="3"/>
  <c r="BD116" i="3"/>
  <c r="AU116" i="3"/>
  <c r="AW116" i="3"/>
  <c r="AX116" i="3"/>
  <c r="AP116" i="3"/>
  <c r="AP195" i="3"/>
  <c r="AN116" i="3"/>
  <c r="AG116" i="3"/>
  <c r="AJ116" i="3"/>
  <c r="AK116" i="3"/>
  <c r="Z116" i="3"/>
  <c r="AC116" i="3"/>
  <c r="AD116" i="3"/>
  <c r="V116" i="3"/>
  <c r="T116" i="3"/>
  <c r="S116" i="3"/>
  <c r="P116" i="3"/>
  <c r="Q116" i="3"/>
  <c r="M116" i="3"/>
  <c r="N116" i="3"/>
  <c r="J116" i="3"/>
  <c r="K116" i="3"/>
  <c r="G116" i="3"/>
  <c r="H116" i="3"/>
  <c r="BM38" i="3"/>
  <c r="BO38" i="3"/>
  <c r="BP38" i="3"/>
  <c r="BG38" i="3"/>
  <c r="BI38" i="3"/>
  <c r="BJ38" i="3"/>
  <c r="AZ38" i="3"/>
  <c r="BC38" i="3"/>
  <c r="BD38" i="3"/>
  <c r="AU38" i="3"/>
  <c r="AW38" i="3"/>
  <c r="AX38" i="3"/>
  <c r="AN38" i="3"/>
  <c r="AQ38" i="3"/>
  <c r="AR38" i="3"/>
  <c r="AJ38" i="3"/>
  <c r="AK38" i="3"/>
  <c r="Z38" i="3"/>
  <c r="AC38" i="3"/>
  <c r="AD38" i="3"/>
  <c r="T38" i="3"/>
  <c r="S38" i="3"/>
  <c r="P38" i="3"/>
  <c r="Q38" i="3"/>
  <c r="M38" i="3"/>
  <c r="N38" i="3"/>
  <c r="J38" i="3"/>
  <c r="K38" i="3"/>
  <c r="G38" i="3"/>
  <c r="H38" i="3"/>
  <c r="BO37" i="3"/>
  <c r="BP37" i="3"/>
  <c r="BI37" i="3"/>
  <c r="BJ37" i="3"/>
  <c r="BC37" i="3"/>
  <c r="BD37" i="3"/>
  <c r="AW37" i="3"/>
  <c r="AX37" i="3"/>
  <c r="AQ37" i="3"/>
  <c r="AR37" i="3"/>
  <c r="AJ37" i="3"/>
  <c r="AK37" i="3"/>
  <c r="AC37" i="3"/>
  <c r="AD37" i="3"/>
  <c r="W37" i="3"/>
  <c r="Q37" i="3"/>
  <c r="N37" i="3"/>
  <c r="K37" i="3"/>
  <c r="H37" i="3"/>
  <c r="BM36" i="3"/>
  <c r="BO36" i="3"/>
  <c r="BP36" i="3"/>
  <c r="BG36" i="3"/>
  <c r="BI36" i="3"/>
  <c r="BJ36" i="3"/>
  <c r="AZ36" i="3"/>
  <c r="BC36" i="3"/>
  <c r="BD36" i="3"/>
  <c r="AU36" i="3"/>
  <c r="AW36" i="3"/>
  <c r="AX36" i="3"/>
  <c r="AQ36" i="3"/>
  <c r="AR36" i="3"/>
  <c r="AJ36" i="3"/>
  <c r="AK36" i="3"/>
  <c r="AB36" i="3"/>
  <c r="Z36" i="3"/>
  <c r="S36" i="3"/>
  <c r="W36" i="3"/>
  <c r="Q36" i="3"/>
  <c r="M36" i="3"/>
  <c r="N36" i="3"/>
  <c r="J36" i="3"/>
  <c r="K36" i="3"/>
  <c r="G36" i="3"/>
  <c r="H36" i="3"/>
  <c r="BM35" i="3"/>
  <c r="BO35" i="3"/>
  <c r="BP35" i="3"/>
  <c r="BG35" i="3"/>
  <c r="BI35" i="3"/>
  <c r="BJ35" i="3"/>
  <c r="AZ35" i="3"/>
  <c r="BC35" i="3"/>
  <c r="BD35" i="3"/>
  <c r="AU35" i="3"/>
  <c r="AW35" i="3"/>
  <c r="AX35" i="3"/>
  <c r="AN35" i="3"/>
  <c r="AQ35" i="3"/>
  <c r="AR35" i="3"/>
  <c r="AG35" i="3"/>
  <c r="AJ35" i="3"/>
  <c r="AK35" i="3"/>
  <c r="Z35" i="3"/>
  <c r="AC35" i="3"/>
  <c r="AD35" i="3"/>
  <c r="V35" i="3"/>
  <c r="T35" i="3"/>
  <c r="P35" i="3"/>
  <c r="Q35" i="3"/>
  <c r="N35" i="3"/>
  <c r="K35" i="3"/>
  <c r="G35" i="3"/>
  <c r="H35" i="3"/>
  <c r="BM183" i="3"/>
  <c r="BO183" i="3"/>
  <c r="BP183" i="3"/>
  <c r="BG183" i="3"/>
  <c r="BI183" i="3"/>
  <c r="BJ183" i="3"/>
  <c r="AZ183" i="3"/>
  <c r="BC183" i="3"/>
  <c r="BD183" i="3"/>
  <c r="AU183" i="3"/>
  <c r="AW183" i="3"/>
  <c r="AX183" i="3"/>
  <c r="AN183" i="3"/>
  <c r="AQ183" i="3"/>
  <c r="AR183" i="3"/>
  <c r="AG183" i="3"/>
  <c r="AJ183" i="3"/>
  <c r="AK183" i="3"/>
  <c r="Z183" i="3"/>
  <c r="AC183" i="3"/>
  <c r="AD183" i="3"/>
  <c r="T183" i="3"/>
  <c r="S183" i="3"/>
  <c r="P183" i="3"/>
  <c r="Q183" i="3"/>
  <c r="M183" i="3"/>
  <c r="N183" i="3"/>
  <c r="J183" i="3"/>
  <c r="K183" i="3"/>
  <c r="G183" i="3"/>
  <c r="H183" i="3"/>
  <c r="BM34" i="3"/>
  <c r="BO34" i="3"/>
  <c r="BP34" i="3"/>
  <c r="BG34" i="3"/>
  <c r="BI34" i="3"/>
  <c r="BJ34" i="3"/>
  <c r="AZ34" i="3"/>
  <c r="BC34" i="3"/>
  <c r="BD34" i="3"/>
  <c r="AU34" i="3"/>
  <c r="AW34" i="3"/>
  <c r="AX34" i="3"/>
  <c r="AN34" i="3"/>
  <c r="AQ34" i="3"/>
  <c r="AR34" i="3"/>
  <c r="AG34" i="3"/>
  <c r="AJ34" i="3"/>
  <c r="AK34" i="3"/>
  <c r="Z34" i="3"/>
  <c r="AC34" i="3"/>
  <c r="AD34" i="3"/>
  <c r="T34" i="3"/>
  <c r="W34" i="3"/>
  <c r="P34" i="3"/>
  <c r="Q34" i="3"/>
  <c r="N34" i="3"/>
  <c r="J34" i="3"/>
  <c r="K34" i="3"/>
  <c r="H34" i="3"/>
  <c r="BM33" i="3"/>
  <c r="BO33" i="3"/>
  <c r="BP33" i="3"/>
  <c r="BG33" i="3"/>
  <c r="BI33" i="3"/>
  <c r="BJ33" i="3"/>
  <c r="AZ33" i="3"/>
  <c r="BC33" i="3"/>
  <c r="BD33" i="3"/>
  <c r="AU33" i="3"/>
  <c r="AW33" i="3"/>
  <c r="AX33" i="3"/>
  <c r="AQ33" i="3"/>
  <c r="AR33" i="3"/>
  <c r="AJ33" i="3"/>
  <c r="AK33" i="3"/>
  <c r="Z33" i="3"/>
  <c r="AC33" i="3"/>
  <c r="AD33" i="3"/>
  <c r="W33" i="3"/>
  <c r="BO32" i="3"/>
  <c r="BP32" i="3"/>
  <c r="BM31" i="3"/>
  <c r="BO31" i="3"/>
  <c r="BP31" i="3"/>
  <c r="BH31" i="3"/>
  <c r="BH195" i="3"/>
  <c r="BN196" i="3"/>
  <c r="BG31" i="3"/>
  <c r="AZ31" i="3"/>
  <c r="BC31" i="3"/>
  <c r="BD31" i="3"/>
  <c r="AU31" i="3"/>
  <c r="AW31" i="3"/>
  <c r="AX31" i="3"/>
  <c r="AN31" i="3"/>
  <c r="AQ31" i="3"/>
  <c r="AR31" i="3"/>
  <c r="AG31" i="3"/>
  <c r="AJ31" i="3"/>
  <c r="AK31" i="3"/>
  <c r="Z31" i="3"/>
  <c r="AC31" i="3"/>
  <c r="AD31" i="3"/>
  <c r="V31" i="3"/>
  <c r="T31" i="3"/>
  <c r="S31" i="3"/>
  <c r="P31" i="3"/>
  <c r="Q31" i="3"/>
  <c r="M31" i="3"/>
  <c r="N31" i="3"/>
  <c r="J31" i="3"/>
  <c r="K31" i="3"/>
  <c r="G31" i="3"/>
  <c r="H31" i="3"/>
  <c r="BM30" i="3"/>
  <c r="BO30" i="3"/>
  <c r="BP30" i="3"/>
  <c r="BG30" i="3"/>
  <c r="BI30" i="3"/>
  <c r="BJ30" i="3"/>
  <c r="AZ30" i="3"/>
  <c r="BC30" i="3"/>
  <c r="BD30" i="3"/>
  <c r="AU30" i="3"/>
  <c r="AW30" i="3"/>
  <c r="AX30" i="3"/>
  <c r="AN30" i="3"/>
  <c r="AQ30" i="3"/>
  <c r="AR30" i="3"/>
  <c r="AG30" i="3"/>
  <c r="AJ30" i="3"/>
  <c r="AK30" i="3"/>
  <c r="Z30" i="3"/>
  <c r="AC30" i="3"/>
  <c r="AD30" i="3"/>
  <c r="T30" i="3"/>
  <c r="W30" i="3"/>
  <c r="P30" i="3"/>
  <c r="Q30" i="3"/>
  <c r="N30" i="3"/>
  <c r="K30" i="3"/>
  <c r="H30" i="3"/>
  <c r="BM29" i="3"/>
  <c r="BO29" i="3"/>
  <c r="BP29" i="3"/>
  <c r="BG29" i="3"/>
  <c r="BI29" i="3"/>
  <c r="BJ29" i="3"/>
  <c r="AZ29" i="3"/>
  <c r="BC29" i="3"/>
  <c r="BD29" i="3"/>
  <c r="AU29" i="3"/>
  <c r="AW29" i="3"/>
  <c r="AX29" i="3"/>
  <c r="AN29" i="3"/>
  <c r="AQ29" i="3"/>
  <c r="AR29" i="3"/>
  <c r="AG29" i="3"/>
  <c r="AJ29" i="3"/>
  <c r="AK29" i="3"/>
  <c r="Z29" i="3"/>
  <c r="AC29" i="3"/>
  <c r="AD29" i="3"/>
  <c r="W29" i="3"/>
  <c r="P29" i="3"/>
  <c r="Q29" i="3"/>
  <c r="M29" i="3"/>
  <c r="N29" i="3"/>
  <c r="J29" i="3"/>
  <c r="K29" i="3"/>
  <c r="G29" i="3"/>
  <c r="H29" i="3"/>
  <c r="BM28" i="3"/>
  <c r="BO28" i="3"/>
  <c r="BP28" i="3"/>
  <c r="BG28" i="3"/>
  <c r="BI28" i="3"/>
  <c r="BJ28" i="3"/>
  <c r="AZ28" i="3"/>
  <c r="BC28" i="3"/>
  <c r="BD28" i="3"/>
  <c r="AU28" i="3"/>
  <c r="AW28" i="3"/>
  <c r="AX28" i="3"/>
  <c r="AN28" i="3"/>
  <c r="AQ28" i="3"/>
  <c r="AR28" i="3"/>
  <c r="AG28" i="3"/>
  <c r="AJ28" i="3"/>
  <c r="AK28" i="3"/>
  <c r="Z28" i="3"/>
  <c r="AC28" i="3"/>
  <c r="AD28" i="3"/>
  <c r="V28" i="3"/>
  <c r="T28" i="3"/>
  <c r="S28" i="3"/>
  <c r="P28" i="3"/>
  <c r="Q28" i="3"/>
  <c r="M28" i="3"/>
  <c r="N28" i="3"/>
  <c r="J28" i="3"/>
  <c r="K28" i="3"/>
  <c r="G28" i="3"/>
  <c r="H28" i="3"/>
  <c r="BM27" i="3"/>
  <c r="BO27" i="3"/>
  <c r="BP27" i="3"/>
  <c r="BG27" i="3"/>
  <c r="BI27" i="3"/>
  <c r="BJ27" i="3"/>
  <c r="AZ27" i="3"/>
  <c r="BC27" i="3"/>
  <c r="BD27" i="3"/>
  <c r="AU27" i="3"/>
  <c r="AW27" i="3"/>
  <c r="AX27" i="3"/>
  <c r="AN27" i="3"/>
  <c r="AQ27" i="3"/>
  <c r="AR27" i="3"/>
  <c r="AG27" i="3"/>
  <c r="AJ27" i="3"/>
  <c r="AK27" i="3"/>
  <c r="AB27" i="3"/>
  <c r="Z27" i="3"/>
  <c r="V27" i="3"/>
  <c r="T27" i="3"/>
  <c r="S27" i="3"/>
  <c r="P27" i="3"/>
  <c r="Q27" i="3"/>
  <c r="N27" i="3"/>
  <c r="J27" i="3"/>
  <c r="K27" i="3"/>
  <c r="G27" i="3"/>
  <c r="H27" i="3"/>
  <c r="BO26" i="3"/>
  <c r="BP26" i="3"/>
  <c r="BG26" i="3"/>
  <c r="BI26" i="3"/>
  <c r="BJ26" i="3"/>
  <c r="BC26" i="3"/>
  <c r="BD26" i="3"/>
  <c r="AW26" i="3"/>
  <c r="AX26" i="3"/>
  <c r="AQ26" i="3"/>
  <c r="AR26" i="3"/>
  <c r="AJ26" i="3"/>
  <c r="AK26" i="3"/>
  <c r="AB26" i="3"/>
  <c r="AB195" i="3"/>
  <c r="V26" i="3"/>
  <c r="S26" i="3"/>
  <c r="W26" i="3"/>
  <c r="Q26" i="3"/>
  <c r="N26" i="3"/>
  <c r="J26" i="3"/>
  <c r="K26" i="3"/>
  <c r="G26" i="3"/>
  <c r="H26" i="3"/>
  <c r="BM25" i="3"/>
  <c r="BO25" i="3"/>
  <c r="BP25" i="3"/>
  <c r="BG25" i="3"/>
  <c r="BI25" i="3"/>
  <c r="BJ25" i="3"/>
  <c r="AZ25" i="3"/>
  <c r="BC25" i="3"/>
  <c r="BD25" i="3"/>
  <c r="AU25" i="3"/>
  <c r="AW25" i="3"/>
  <c r="AX25" i="3"/>
  <c r="AN25" i="3"/>
  <c r="AQ25" i="3"/>
  <c r="AR25" i="3"/>
  <c r="AG25" i="3"/>
  <c r="AJ25" i="3"/>
  <c r="AK25" i="3"/>
  <c r="Z25" i="3"/>
  <c r="AC25" i="3"/>
  <c r="AD25" i="3"/>
  <c r="T25" i="3"/>
  <c r="W25" i="3"/>
  <c r="P25" i="3"/>
  <c r="Q25" i="3"/>
  <c r="M25" i="3"/>
  <c r="N25" i="3"/>
  <c r="J25" i="3"/>
  <c r="K25" i="3"/>
  <c r="G25" i="3"/>
  <c r="H25" i="3"/>
  <c r="BM24" i="3"/>
  <c r="BO24" i="3"/>
  <c r="BP24" i="3"/>
  <c r="BG24" i="3"/>
  <c r="BI24" i="3"/>
  <c r="BJ24" i="3"/>
  <c r="AZ24" i="3"/>
  <c r="BC24" i="3"/>
  <c r="BD24" i="3"/>
  <c r="AU24" i="3"/>
  <c r="AW24" i="3"/>
  <c r="AX24" i="3"/>
  <c r="AN24" i="3"/>
  <c r="AQ24" i="3"/>
  <c r="AR24" i="3"/>
  <c r="AG24" i="3"/>
  <c r="AJ24" i="3"/>
  <c r="AK24" i="3"/>
  <c r="Z24" i="3"/>
  <c r="AC24" i="3"/>
  <c r="AD24" i="3"/>
  <c r="W24" i="3"/>
  <c r="Q24" i="3"/>
  <c r="BM23" i="3"/>
  <c r="BO23" i="3"/>
  <c r="BP23" i="3"/>
  <c r="BG23" i="3"/>
  <c r="BI23" i="3"/>
  <c r="BJ23" i="3"/>
  <c r="AZ23" i="3"/>
  <c r="BC23" i="3"/>
  <c r="BD23" i="3"/>
  <c r="AU23" i="3"/>
  <c r="AW23" i="3"/>
  <c r="AX23" i="3"/>
  <c r="AQ23" i="3"/>
  <c r="AR23" i="3"/>
  <c r="AG23" i="3"/>
  <c r="AJ23" i="3"/>
  <c r="AK23" i="3"/>
  <c r="Z23" i="3"/>
  <c r="AC23" i="3"/>
  <c r="AD23" i="3"/>
  <c r="V23" i="3"/>
  <c r="T23" i="3"/>
  <c r="Q23" i="3"/>
  <c r="N23" i="3"/>
  <c r="K23" i="3"/>
  <c r="H23" i="3"/>
  <c r="BM22" i="3"/>
  <c r="BO22" i="3"/>
  <c r="BP22" i="3"/>
  <c r="BG22" i="3"/>
  <c r="BF22" i="3"/>
  <c r="AZ22" i="3"/>
  <c r="BC22" i="3"/>
  <c r="BD22" i="3"/>
  <c r="AU22" i="3"/>
  <c r="AW22" i="3"/>
  <c r="AX22" i="3"/>
  <c r="AN22" i="3"/>
  <c r="AQ22" i="3"/>
  <c r="AR22" i="3"/>
  <c r="AG22" i="3"/>
  <c r="AJ22" i="3"/>
  <c r="AK22" i="3"/>
  <c r="Z22" i="3"/>
  <c r="Y22" i="3"/>
  <c r="Y195" i="3"/>
  <c r="V22" i="3"/>
  <c r="T22" i="3"/>
  <c r="S22" i="3"/>
  <c r="P22" i="3"/>
  <c r="Q22" i="3"/>
  <c r="M22" i="3"/>
  <c r="N22" i="3"/>
  <c r="J22" i="3"/>
  <c r="K22" i="3"/>
  <c r="G22" i="3"/>
  <c r="H22" i="3"/>
  <c r="BM21" i="3"/>
  <c r="BO21" i="3"/>
  <c r="BP21" i="3"/>
  <c r="BG21" i="3"/>
  <c r="BI21" i="3"/>
  <c r="BJ21" i="3"/>
  <c r="AZ21" i="3"/>
  <c r="BC21" i="3"/>
  <c r="BD21" i="3"/>
  <c r="AU21" i="3"/>
  <c r="AW21" i="3"/>
  <c r="AX21" i="3"/>
  <c r="AN21" i="3"/>
  <c r="AQ21" i="3"/>
  <c r="AR21" i="3"/>
  <c r="AG21" i="3"/>
  <c r="AJ21" i="3"/>
  <c r="AK21" i="3"/>
  <c r="Z21" i="3"/>
  <c r="AC21" i="3"/>
  <c r="AD21" i="3"/>
  <c r="T21" i="3"/>
  <c r="S21" i="3"/>
  <c r="P21" i="3"/>
  <c r="Q21" i="3"/>
  <c r="M21" i="3"/>
  <c r="N21" i="3"/>
  <c r="J21" i="3"/>
  <c r="K21" i="3"/>
  <c r="G21" i="3"/>
  <c r="H21" i="3"/>
  <c r="BO20" i="3"/>
  <c r="BP20" i="3"/>
  <c r="BG20" i="3"/>
  <c r="BI20" i="3"/>
  <c r="BJ20" i="3"/>
  <c r="BC20" i="3"/>
  <c r="BD20" i="3"/>
  <c r="AU20" i="3"/>
  <c r="AW20" i="3"/>
  <c r="AX20" i="3"/>
  <c r="AN20" i="3"/>
  <c r="AQ20" i="3"/>
  <c r="AR20" i="3"/>
  <c r="AG20" i="3"/>
  <c r="AJ20" i="3"/>
  <c r="AK20" i="3"/>
  <c r="Z20" i="3"/>
  <c r="AC20" i="3"/>
  <c r="AD20" i="3"/>
  <c r="T20" i="3"/>
  <c r="S20" i="3"/>
  <c r="P20" i="3"/>
  <c r="Q20" i="3"/>
  <c r="M20" i="3"/>
  <c r="N20" i="3"/>
  <c r="J20" i="3"/>
  <c r="K20" i="3"/>
  <c r="G20" i="3"/>
  <c r="H20" i="3"/>
  <c r="BO19" i="3"/>
  <c r="BP19" i="3"/>
  <c r="BG19" i="3"/>
  <c r="BI19" i="3"/>
  <c r="BJ19" i="3"/>
  <c r="BC19" i="3"/>
  <c r="BD19" i="3"/>
  <c r="AW19" i="3"/>
  <c r="AX19" i="3"/>
  <c r="AQ19" i="3"/>
  <c r="AR19" i="3"/>
  <c r="AJ19" i="3"/>
  <c r="AK19" i="3"/>
  <c r="AC19" i="3"/>
  <c r="AD19" i="3"/>
  <c r="S19" i="3"/>
  <c r="W19" i="3"/>
  <c r="P19" i="3"/>
  <c r="Q19" i="3"/>
  <c r="N19" i="3"/>
  <c r="J19" i="3"/>
  <c r="K19" i="3"/>
  <c r="G19" i="3"/>
  <c r="H19" i="3"/>
  <c r="BM18" i="3"/>
  <c r="BO18" i="3"/>
  <c r="BP18" i="3"/>
  <c r="BG18" i="3"/>
  <c r="BF18" i="3"/>
  <c r="AZ18" i="3"/>
  <c r="BC18" i="3"/>
  <c r="BD18" i="3"/>
  <c r="AU18" i="3"/>
  <c r="AW18" i="3"/>
  <c r="AX18" i="3"/>
  <c r="AN18" i="3"/>
  <c r="AQ18" i="3"/>
  <c r="AR18" i="3"/>
  <c r="AG18" i="3"/>
  <c r="AJ18" i="3"/>
  <c r="AK18" i="3"/>
  <c r="Z18" i="3"/>
  <c r="AC18" i="3"/>
  <c r="AD18" i="3"/>
  <c r="T18" i="3"/>
  <c r="S18" i="3"/>
  <c r="P18" i="3"/>
  <c r="Q18" i="3"/>
  <c r="M18" i="3"/>
  <c r="N18" i="3"/>
  <c r="J18" i="3"/>
  <c r="K18" i="3"/>
  <c r="G18" i="3"/>
  <c r="H18" i="3"/>
  <c r="BO17" i="3"/>
  <c r="BP17" i="3"/>
  <c r="BG17" i="3"/>
  <c r="BI17" i="3"/>
  <c r="BJ17" i="3"/>
  <c r="BC17" i="3"/>
  <c r="BD17" i="3"/>
  <c r="AW17" i="3"/>
  <c r="AX17" i="3"/>
  <c r="AQ17" i="3"/>
  <c r="AR17" i="3"/>
  <c r="AJ17" i="3"/>
  <c r="AK17" i="3"/>
  <c r="AC17" i="3"/>
  <c r="AD17" i="3"/>
  <c r="S17" i="3"/>
  <c r="W17" i="3"/>
  <c r="Q17" i="3"/>
  <c r="N17" i="3"/>
  <c r="K17" i="3"/>
  <c r="H17" i="3"/>
  <c r="BO16" i="3"/>
  <c r="BP16" i="3"/>
  <c r="BI16" i="3"/>
  <c r="BJ16" i="3"/>
  <c r="BC16" i="3"/>
  <c r="BD16" i="3"/>
  <c r="AW16" i="3"/>
  <c r="AX16" i="3"/>
  <c r="AQ16" i="3"/>
  <c r="AR16" i="3"/>
  <c r="AJ16" i="3"/>
  <c r="AK16" i="3"/>
  <c r="AC16" i="3"/>
  <c r="AD16" i="3"/>
  <c r="W16" i="3"/>
  <c r="Q16" i="3"/>
  <c r="N16" i="3"/>
  <c r="K16" i="3"/>
  <c r="H16" i="3"/>
  <c r="BM15" i="3"/>
  <c r="BO15" i="3"/>
  <c r="BP15" i="3"/>
  <c r="BG15" i="3"/>
  <c r="BI15" i="3"/>
  <c r="BJ15" i="3"/>
  <c r="AZ15" i="3"/>
  <c r="BC15" i="3"/>
  <c r="BD15" i="3"/>
  <c r="AU15" i="3"/>
  <c r="AW15" i="3"/>
  <c r="AX15" i="3"/>
  <c r="AN15" i="3"/>
  <c r="AQ15" i="3"/>
  <c r="AR15" i="3"/>
  <c r="AG15" i="3"/>
  <c r="AJ15" i="3"/>
  <c r="AK15" i="3"/>
  <c r="Z15" i="3"/>
  <c r="AC15" i="3"/>
  <c r="AD15" i="3"/>
  <c r="T15" i="3"/>
  <c r="W15" i="3"/>
  <c r="Q15" i="3"/>
  <c r="BM14" i="3"/>
  <c r="BO14" i="3"/>
  <c r="BP14" i="3"/>
  <c r="BG14" i="3"/>
  <c r="BI14" i="3"/>
  <c r="BJ14" i="3"/>
  <c r="AZ14" i="3"/>
  <c r="BC14" i="3"/>
  <c r="BD14" i="3"/>
  <c r="AU14" i="3"/>
  <c r="AW14" i="3"/>
  <c r="AX14" i="3"/>
  <c r="AQ14" i="3"/>
  <c r="AR14" i="3"/>
  <c r="AG14" i="3"/>
  <c r="AJ14" i="3"/>
  <c r="AK14" i="3"/>
  <c r="Z14" i="3"/>
  <c r="AC14" i="3"/>
  <c r="AD14" i="3"/>
  <c r="T14" i="3"/>
  <c r="S14" i="3"/>
  <c r="P14" i="3"/>
  <c r="Q14" i="3"/>
  <c r="M14" i="3"/>
  <c r="N14" i="3"/>
  <c r="J14" i="3"/>
  <c r="K14" i="3"/>
  <c r="G14" i="3"/>
  <c r="H14" i="3"/>
  <c r="BO12" i="3"/>
  <c r="BP12" i="3"/>
  <c r="BI12" i="3"/>
  <c r="BJ12" i="3"/>
  <c r="BC12" i="3"/>
  <c r="BD12" i="3"/>
  <c r="AW12" i="3"/>
  <c r="AX12" i="3"/>
  <c r="AQ12" i="3"/>
  <c r="AR12" i="3"/>
  <c r="AJ12" i="3"/>
  <c r="AK12" i="3"/>
  <c r="AC12" i="3"/>
  <c r="AD12" i="3"/>
  <c r="V12" i="3"/>
  <c r="W12" i="3"/>
  <c r="Q12" i="3"/>
  <c r="N12" i="3"/>
  <c r="K12" i="3"/>
  <c r="H12" i="3"/>
  <c r="BM11" i="3"/>
  <c r="BO11" i="3"/>
  <c r="BP11" i="3"/>
  <c r="BG11" i="3"/>
  <c r="BI11" i="3"/>
  <c r="BJ11" i="3"/>
  <c r="AZ11" i="3"/>
  <c r="BC11" i="3"/>
  <c r="BD11" i="3"/>
  <c r="AU11" i="3"/>
  <c r="AW11" i="3"/>
  <c r="AX11" i="3"/>
  <c r="AN11" i="3"/>
  <c r="AQ11" i="3"/>
  <c r="AR11" i="3"/>
  <c r="AG11" i="3"/>
  <c r="AJ11" i="3"/>
  <c r="AK11" i="3"/>
  <c r="AC11" i="3"/>
  <c r="AD11" i="3"/>
  <c r="W11" i="3"/>
  <c r="BM10" i="3"/>
  <c r="BO10" i="3"/>
  <c r="BP10" i="3"/>
  <c r="BG10" i="3"/>
  <c r="BI10" i="3"/>
  <c r="BJ10" i="3"/>
  <c r="AZ10" i="3"/>
  <c r="BC10" i="3"/>
  <c r="BD10" i="3"/>
  <c r="AU10" i="3"/>
  <c r="AW10" i="3"/>
  <c r="AX10" i="3"/>
  <c r="AN10" i="3"/>
  <c r="AQ10" i="3"/>
  <c r="AR10" i="3"/>
  <c r="AG10" i="3"/>
  <c r="AJ10" i="3"/>
  <c r="AK10" i="3"/>
  <c r="Z10" i="3"/>
  <c r="AC10" i="3"/>
  <c r="AD10" i="3"/>
  <c r="T10" i="3"/>
  <c r="W10" i="3"/>
  <c r="P10" i="3"/>
  <c r="Q10" i="3"/>
  <c r="N10" i="3"/>
  <c r="J10" i="3"/>
  <c r="K10" i="3"/>
  <c r="G10" i="3"/>
  <c r="H10" i="3"/>
  <c r="BL195" i="3"/>
  <c r="U195" i="3"/>
  <c r="BO9" i="3"/>
  <c r="BP9" i="3"/>
  <c r="BI9" i="3"/>
  <c r="BJ9" i="3"/>
  <c r="BC9" i="3"/>
  <c r="BD9" i="3"/>
  <c r="AU9" i="3"/>
  <c r="AW9" i="3"/>
  <c r="AX9" i="3"/>
  <c r="AQ9" i="3"/>
  <c r="AR9" i="3"/>
  <c r="AJ9" i="3"/>
  <c r="AK9" i="3"/>
  <c r="AC9" i="3"/>
  <c r="AD9" i="3"/>
  <c r="W9" i="3"/>
  <c r="Q9" i="3"/>
  <c r="N9" i="3"/>
  <c r="K9" i="3"/>
  <c r="H9" i="3"/>
  <c r="BM6" i="3"/>
  <c r="BO6" i="3"/>
  <c r="BP6" i="3"/>
  <c r="BG6" i="3"/>
  <c r="BI6" i="3"/>
  <c r="BJ6" i="3"/>
  <c r="AZ6" i="3"/>
  <c r="BC6" i="3"/>
  <c r="BD6" i="3"/>
  <c r="AU6" i="3"/>
  <c r="AW6" i="3"/>
  <c r="AX6" i="3"/>
  <c r="AN6" i="3"/>
  <c r="AQ6" i="3"/>
  <c r="AR6" i="3"/>
  <c r="AG6" i="3"/>
  <c r="AJ6" i="3"/>
  <c r="AK6" i="3"/>
  <c r="Z6" i="3"/>
  <c r="AC6" i="3"/>
  <c r="AD6" i="3"/>
  <c r="T6" i="3"/>
  <c r="W6" i="3"/>
  <c r="P6" i="3"/>
  <c r="Q6" i="3"/>
  <c r="N6" i="3"/>
  <c r="K6" i="3"/>
  <c r="G6" i="3"/>
  <c r="H6" i="3"/>
  <c r="BO5" i="3"/>
  <c r="BP5" i="3"/>
  <c r="BI5" i="3"/>
  <c r="BJ5" i="3"/>
  <c r="AZ5" i="3"/>
  <c r="BC5" i="3"/>
  <c r="BD5" i="3"/>
  <c r="AW5" i="3"/>
  <c r="AX5" i="3"/>
  <c r="AN5" i="3"/>
  <c r="AQ5" i="3"/>
  <c r="AR5" i="3"/>
  <c r="AJ5" i="3"/>
  <c r="AK5" i="3"/>
  <c r="AC5" i="3"/>
  <c r="AD5" i="3"/>
  <c r="V5" i="3"/>
  <c r="S5" i="3"/>
  <c r="P5" i="3"/>
  <c r="Q5" i="3"/>
  <c r="M5" i="3"/>
  <c r="N5" i="3"/>
  <c r="J5" i="3"/>
  <c r="K5" i="3"/>
  <c r="G5" i="3"/>
  <c r="H5" i="3"/>
  <c r="BM64" i="3"/>
  <c r="BG64" i="3"/>
  <c r="BF64" i="3"/>
  <c r="AZ64" i="3"/>
  <c r="AN64" i="3"/>
  <c r="AG64" i="3"/>
  <c r="Z64" i="3"/>
  <c r="V64" i="3"/>
  <c r="V195" i="3"/>
  <c r="T64" i="3"/>
  <c r="S64" i="3"/>
  <c r="S195" i="3"/>
  <c r="P64" i="3"/>
  <c r="M64" i="3"/>
  <c r="M195" i="3"/>
  <c r="J64" i="3"/>
  <c r="G64" i="3"/>
  <c r="G195" i="3"/>
  <c r="AU140" i="3"/>
  <c r="AW140" i="3"/>
  <c r="AX140" i="3"/>
  <c r="BO73" i="3"/>
  <c r="BP73" i="3"/>
  <c r="AG195" i="3"/>
  <c r="AG196" i="3"/>
  <c r="W147" i="3"/>
  <c r="W42" i="3"/>
  <c r="AC184" i="3"/>
  <c r="AD184" i="3"/>
  <c r="BF195" i="3"/>
  <c r="BL196" i="3"/>
  <c r="AT195" i="3"/>
  <c r="W54" i="3"/>
  <c r="W58" i="3"/>
  <c r="W174" i="3"/>
  <c r="BC174" i="3"/>
  <c r="BD174" i="3"/>
  <c r="W8" i="3"/>
  <c r="W77" i="3"/>
  <c r="W78" i="3"/>
  <c r="W89" i="3"/>
  <c r="AC91" i="3"/>
  <c r="AD91" i="3"/>
  <c r="W102" i="3"/>
  <c r="AC102" i="3"/>
  <c r="AD102" i="3"/>
  <c r="W107" i="3"/>
  <c r="AC107" i="3"/>
  <c r="AD107" i="3"/>
  <c r="W109" i="3"/>
  <c r="BI111" i="3"/>
  <c r="BJ111" i="3"/>
  <c r="W114" i="3"/>
  <c r="W115" i="3"/>
  <c r="W120" i="3"/>
  <c r="W55" i="3"/>
  <c r="W94" i="3"/>
  <c r="W98" i="3"/>
  <c r="W103" i="3"/>
  <c r="BC124" i="3"/>
  <c r="BD124" i="3"/>
  <c r="AC126" i="3"/>
  <c r="AD126" i="3"/>
  <c r="AC145" i="3"/>
  <c r="AD145" i="3"/>
  <c r="W104" i="3"/>
  <c r="AC104" i="3"/>
  <c r="AD104" i="3"/>
  <c r="W22" i="3"/>
  <c r="W93" i="3"/>
  <c r="W95" i="3"/>
  <c r="W101" i="3"/>
  <c r="W117" i="3"/>
  <c r="W132" i="3"/>
  <c r="J195" i="3"/>
  <c r="P195" i="3"/>
  <c r="AN195" i="3"/>
  <c r="BM195" i="3"/>
  <c r="W5" i="3"/>
  <c r="BI31" i="3"/>
  <c r="BJ31" i="3"/>
  <c r="W183" i="3"/>
  <c r="W35" i="3"/>
  <c r="W48" i="3"/>
  <c r="W68" i="3"/>
  <c r="AC36" i="3"/>
  <c r="AD36" i="3"/>
  <c r="W38" i="3"/>
  <c r="W116" i="3"/>
  <c r="AQ116" i="3"/>
  <c r="AR116" i="3"/>
  <c r="AC112" i="3"/>
  <c r="AD112" i="3"/>
  <c r="W156" i="3"/>
  <c r="W28" i="3"/>
  <c r="W85" i="3"/>
  <c r="AC85" i="3"/>
  <c r="AD85" i="3"/>
  <c r="W121" i="3"/>
  <c r="BO140" i="3"/>
  <c r="BP140" i="3"/>
  <c r="AC192" i="3"/>
  <c r="AD192" i="3"/>
  <c r="W21" i="3"/>
  <c r="BI22" i="3"/>
  <c r="BJ22" i="3"/>
  <c r="W23" i="3"/>
  <c r="W158" i="3"/>
  <c r="AC158" i="3"/>
  <c r="AD158" i="3"/>
  <c r="W63" i="3"/>
  <c r="AC63" i="3"/>
  <c r="AD63" i="3"/>
  <c r="W81" i="3"/>
  <c r="AC84" i="3"/>
  <c r="AD84" i="3"/>
  <c r="AQ90" i="3"/>
  <c r="AR90" i="3"/>
  <c r="W113" i="3"/>
  <c r="W179" i="3"/>
  <c r="W187" i="3"/>
  <c r="W188" i="3"/>
  <c r="AC188" i="3"/>
  <c r="AD188" i="3"/>
  <c r="W190" i="3"/>
  <c r="W27" i="3"/>
  <c r="AC27" i="3"/>
  <c r="AD27" i="3"/>
  <c r="W31" i="3"/>
  <c r="W41" i="3"/>
  <c r="W45" i="3"/>
  <c r="BC45" i="3"/>
  <c r="BD45" i="3"/>
  <c r="W50" i="3"/>
  <c r="W51" i="3"/>
  <c r="W72" i="3"/>
  <c r="AC96" i="3"/>
  <c r="AD96" i="3"/>
  <c r="W99" i="3"/>
  <c r="AQ121" i="3"/>
  <c r="AR121" i="3"/>
  <c r="W126" i="3"/>
  <c r="W131" i="3"/>
  <c r="W133" i="3"/>
  <c r="AC133" i="3"/>
  <c r="AD133" i="3"/>
  <c r="BI133" i="3"/>
  <c r="BJ133" i="3"/>
  <c r="W136" i="3"/>
  <c r="W137" i="3"/>
  <c r="W140" i="3"/>
  <c r="W142" i="3"/>
  <c r="AU155" i="3"/>
  <c r="AW155" i="3"/>
  <c r="AX155" i="3"/>
  <c r="AQ172" i="3"/>
  <c r="AR172" i="3"/>
  <c r="T195" i="3"/>
  <c r="Z195" i="3"/>
  <c r="AJ64" i="3"/>
  <c r="AZ195" i="3"/>
  <c r="BG195" i="3"/>
  <c r="BM196" i="3"/>
  <c r="BO64" i="3"/>
  <c r="W14" i="3"/>
  <c r="W18" i="3"/>
  <c r="BI18" i="3"/>
  <c r="BJ18" i="3"/>
  <c r="W20" i="3"/>
  <c r="W39" i="3"/>
  <c r="AQ42" i="3"/>
  <c r="AR42" i="3"/>
  <c r="BO54" i="3"/>
  <c r="BP54" i="3"/>
  <c r="W65" i="3"/>
  <c r="BI65" i="3"/>
  <c r="BJ65" i="3"/>
  <c r="W66" i="3"/>
  <c r="W70" i="3"/>
  <c r="W92" i="3"/>
  <c r="BI105" i="3"/>
  <c r="BJ105" i="3"/>
  <c r="W111" i="3"/>
  <c r="W112" i="3"/>
  <c r="W124" i="3"/>
  <c r="W127" i="3"/>
  <c r="W74" i="3"/>
  <c r="W91" i="3"/>
  <c r="BI94" i="3"/>
  <c r="BJ94" i="3"/>
  <c r="BI120" i="3"/>
  <c r="BJ120" i="3"/>
  <c r="W123" i="3"/>
  <c r="BI124" i="3"/>
  <c r="BJ124" i="3"/>
  <c r="W125" i="3"/>
  <c r="BI140" i="3"/>
  <c r="BJ140" i="3"/>
  <c r="AW147" i="3"/>
  <c r="AX147" i="3"/>
  <c r="W151" i="3"/>
  <c r="W157" i="3"/>
  <c r="W159" i="3"/>
  <c r="BI159" i="3"/>
  <c r="BJ159" i="3"/>
  <c r="W162" i="3"/>
  <c r="W163" i="3"/>
  <c r="W165" i="3"/>
  <c r="W168" i="3"/>
  <c r="W170" i="3"/>
  <c r="W172" i="3"/>
  <c r="AC186" i="3"/>
  <c r="AD186" i="3"/>
  <c r="AJ186" i="3"/>
  <c r="AK186" i="3"/>
  <c r="W191" i="3"/>
  <c r="W194" i="3"/>
  <c r="H64" i="3"/>
  <c r="H195" i="3"/>
  <c r="K64" i="3"/>
  <c r="K195" i="3"/>
  <c r="N64" i="3"/>
  <c r="N195" i="3"/>
  <c r="Q64" i="3"/>
  <c r="Q195" i="3"/>
  <c r="W64" i="3"/>
  <c r="AC64" i="3"/>
  <c r="AK64" i="3"/>
  <c r="AQ64" i="3"/>
  <c r="AU64" i="3"/>
  <c r="BC64" i="3"/>
  <c r="BI64" i="3"/>
  <c r="BP64" i="3"/>
  <c r="AC22" i="3"/>
  <c r="AD22" i="3"/>
  <c r="AC26" i="3"/>
  <c r="AD26" i="3"/>
  <c r="AQ158" i="3"/>
  <c r="AR158" i="3"/>
  <c r="W90" i="3"/>
  <c r="AW45" i="3"/>
  <c r="AX45" i="3"/>
  <c r="W144" i="3"/>
  <c r="BC143" i="3"/>
  <c r="BD143" i="3"/>
  <c r="W169" i="3"/>
  <c r="AU170" i="3"/>
  <c r="AW170" i="3"/>
  <c r="AX170" i="3"/>
  <c r="BP195" i="3"/>
  <c r="BO195" i="3"/>
  <c r="BI195" i="3"/>
  <c r="BJ64" i="3"/>
  <c r="BJ195" i="3"/>
  <c r="AU195" i="3"/>
  <c r="AW64" i="3"/>
  <c r="AK195" i="3"/>
  <c r="W195" i="3"/>
  <c r="AJ195" i="3"/>
  <c r="BC195" i="3"/>
  <c r="BD64" i="3"/>
  <c r="BD195" i="3"/>
  <c r="AQ195" i="3"/>
  <c r="AR64" i="3"/>
  <c r="AR195" i="3"/>
  <c r="AC195" i="3"/>
  <c r="AD64" i="3"/>
  <c r="AD195" i="3"/>
  <c r="AW195" i="3"/>
  <c r="AW196" i="3"/>
  <c r="AX64" i="3"/>
  <c r="AX195" i="3"/>
  <c r="A3" i="6"/>
  <c r="A4" i="6"/>
  <c r="A5" i="6"/>
  <c r="F4" i="4"/>
  <c r="C6" i="5"/>
  <c r="C10" i="5"/>
  <c r="E625" i="4"/>
  <c r="E563" i="4"/>
  <c r="E481" i="4"/>
  <c r="E381" i="4"/>
  <c r="E280" i="4"/>
  <c r="E886" i="4"/>
  <c r="E713" i="4"/>
  <c r="E796" i="4"/>
  <c r="E958" i="4"/>
  <c r="D37" i="2"/>
  <c r="E797" i="4"/>
  <c r="D33" i="2"/>
  <c r="E714" i="4"/>
  <c r="E959" i="4"/>
  <c r="D43" i="2"/>
  <c r="D40" i="2"/>
  <c r="E887" i="4"/>
  <c r="E281" i="4"/>
  <c r="D16" i="2"/>
  <c r="D20" i="2"/>
  <c r="D23" i="2"/>
  <c r="D27" i="2"/>
  <c r="D30" i="2"/>
  <c r="D384" i="2"/>
  <c r="F384" i="2"/>
  <c r="D2" i="5"/>
  <c r="E482" i="4"/>
  <c r="E626" i="4"/>
  <c r="E382" i="4"/>
  <c r="E564" i="4"/>
  <c r="E1011" i="4"/>
  <c r="F1011" i="4"/>
  <c r="C4" i="6"/>
  <c r="D4" i="6"/>
  <c r="C3" i="6"/>
  <c r="D3" i="6"/>
  <c r="D10" i="5"/>
  <c r="D11" i="5"/>
  <c r="C5" i="6"/>
  <c r="D5" i="6"/>
  <c r="C2" i="6"/>
  <c r="D2" i="6"/>
  <c r="D6" i="6"/>
  <c r="C8" i="6"/>
  <c r="D8" i="6"/>
  <c r="C9" i="6"/>
  <c r="D9" i="6"/>
  <c r="D10" i="6"/>
</calcChain>
</file>

<file path=xl/sharedStrings.xml><?xml version="1.0" encoding="utf-8"?>
<sst xmlns="http://schemas.openxmlformats.org/spreadsheetml/2006/main" count="2066" uniqueCount="694">
  <si>
    <t>No.</t>
  </si>
  <si>
    <t>Keterangan</t>
  </si>
  <si>
    <t xml:space="preserve">Debit </t>
  </si>
  <si>
    <t>Kredit</t>
  </si>
  <si>
    <t>Saldo</t>
  </si>
  <si>
    <t>Tedy Rinaldy</t>
  </si>
  <si>
    <t>Maryati</t>
  </si>
  <si>
    <t>DATA PENDAPATAN KOPERASI KARYAWAN MANDIRI</t>
  </si>
  <si>
    <t>Debit</t>
  </si>
  <si>
    <t>Data Pemotongan Iuran Anggota Koperasi " Mandiri" REDTOP Hotel</t>
  </si>
  <si>
    <t>No</t>
  </si>
  <si>
    <t>NIK</t>
  </si>
  <si>
    <t>Nama Karyawan</t>
  </si>
  <si>
    <t>Department/ Outlet</t>
  </si>
  <si>
    <t>Iuran wajib</t>
  </si>
  <si>
    <t>Cicilan</t>
  </si>
  <si>
    <t>Total</t>
  </si>
  <si>
    <t>January</t>
  </si>
  <si>
    <t>Potongan</t>
  </si>
  <si>
    <t>February</t>
  </si>
  <si>
    <t>March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</si>
  <si>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</si>
  <si>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</si>
  <si>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</si>
  <si>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</si>
  <si>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</si>
  <si>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</si>
  <si>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</si>
  <si>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</si>
  <si>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</si>
  <si>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 xml:space="preserve">Sri Kurniawati </t>
  </si>
  <si>
    <t>09076931</t>
  </si>
  <si>
    <t>Ady Fitriadi</t>
  </si>
  <si>
    <t>Accounting</t>
  </si>
  <si>
    <t>04023715</t>
  </si>
  <si>
    <t>Andriansyah</t>
  </si>
  <si>
    <t>Fifi Kusuma Dewi</t>
  </si>
  <si>
    <t>Safikurrohman</t>
  </si>
  <si>
    <t>Trisno</t>
  </si>
  <si>
    <t>06014806</t>
  </si>
  <si>
    <t>Aan Kayan</t>
  </si>
  <si>
    <t>Engineering</t>
  </si>
  <si>
    <t>Agus</t>
  </si>
  <si>
    <t>05014236</t>
  </si>
  <si>
    <t>Asep Saprudin</t>
  </si>
  <si>
    <t xml:space="preserve">Bambang </t>
  </si>
  <si>
    <t>09087076</t>
  </si>
  <si>
    <t>Dwi Prihatno</t>
  </si>
  <si>
    <t>04104096</t>
  </si>
  <si>
    <t>Ervin Rasilani</t>
  </si>
  <si>
    <t>06014796</t>
  </si>
  <si>
    <t>Guntur Prabowo</t>
  </si>
  <si>
    <t>09076896</t>
  </si>
  <si>
    <t>Irwan</t>
  </si>
  <si>
    <t>Junjungan Tambunan</t>
  </si>
  <si>
    <t>09087046</t>
  </si>
  <si>
    <t>Sahrudin bin Maftuh</t>
  </si>
  <si>
    <t>Sirmawan</t>
  </si>
  <si>
    <t>Siswanto</t>
  </si>
  <si>
    <t>Sugyono</t>
  </si>
  <si>
    <t>Sunari</t>
  </si>
  <si>
    <t>Supoyo</t>
  </si>
  <si>
    <t>Suyono</t>
  </si>
  <si>
    <t>Siti Solikhah</t>
  </si>
  <si>
    <t>Ahyani</t>
  </si>
  <si>
    <t>FB/Banquet Opr.</t>
  </si>
  <si>
    <t>Badol Saragi</t>
  </si>
  <si>
    <t>J. Jacob Sitanggang</t>
  </si>
  <si>
    <t>Rahardjo</t>
  </si>
  <si>
    <t>03023111</t>
  </si>
  <si>
    <t>Satria</t>
  </si>
  <si>
    <t>01052599</t>
  </si>
  <si>
    <t>Sobirin HR</t>
  </si>
  <si>
    <t>Thalib MP Manihiya</t>
  </si>
  <si>
    <t>FB/Gallery Rest.</t>
  </si>
  <si>
    <t>Gatot Agung Imansyah</t>
  </si>
  <si>
    <t>M. Herman Hakim</t>
  </si>
  <si>
    <t>Subarini</t>
  </si>
  <si>
    <t>01062679</t>
  </si>
  <si>
    <t>Syarifudin (Gallery)</t>
  </si>
  <si>
    <t>04073999</t>
  </si>
  <si>
    <t>Agustin Rina Astuti</t>
  </si>
  <si>
    <t>FB/Lobby Lounge &amp; Bar</t>
  </si>
  <si>
    <t>00022339</t>
  </si>
  <si>
    <t>Mulyadi</t>
  </si>
  <si>
    <t>FB/Mini Bar</t>
  </si>
  <si>
    <t>Riswanto</t>
  </si>
  <si>
    <t>Agus Hermawan</t>
  </si>
  <si>
    <t>FB/O Café</t>
  </si>
  <si>
    <t>03093439</t>
  </si>
  <si>
    <t>Hari Sugeng Kurnianto</t>
  </si>
  <si>
    <t>Izmi</t>
  </si>
  <si>
    <t>Muhammad Fahrizal</t>
  </si>
  <si>
    <t>Supriadi (O Café)</t>
  </si>
  <si>
    <t>Yudi Herawadi</t>
  </si>
  <si>
    <t>FB/Room Service</t>
  </si>
  <si>
    <t>Kusrini</t>
  </si>
  <si>
    <t>FB/Sapphire Lounge &amp; Bar</t>
  </si>
  <si>
    <t>04104069</t>
  </si>
  <si>
    <t>S. Harriyono</t>
  </si>
  <si>
    <t>Fitness &amp; Spa</t>
  </si>
  <si>
    <t>M. Subkhan</t>
  </si>
  <si>
    <t>A. Rifqi</t>
  </si>
  <si>
    <t>FO</t>
  </si>
  <si>
    <t>06065024</t>
  </si>
  <si>
    <t>Dini Marianta Putri</t>
  </si>
  <si>
    <t>03093474</t>
  </si>
  <si>
    <t>Dwini Setyowati</t>
  </si>
  <si>
    <t>Een Nuragina Meilasari</t>
  </si>
  <si>
    <t>Fifi Kuryani</t>
  </si>
  <si>
    <t>Herti Mulyasari</t>
  </si>
  <si>
    <t>03063194</t>
  </si>
  <si>
    <t>Ifik Rorowilis</t>
  </si>
  <si>
    <t>Rina Rakhmi</t>
  </si>
  <si>
    <t>FO/Concierge</t>
  </si>
  <si>
    <t>Erwinadi</t>
  </si>
  <si>
    <t xml:space="preserve">Ferry Setiawan </t>
  </si>
  <si>
    <t>09016625</t>
  </si>
  <si>
    <t>H. Abdul Hamid</t>
  </si>
  <si>
    <t>05034315</t>
  </si>
  <si>
    <t>Jakaria Gunawan</t>
  </si>
  <si>
    <t>01062689</t>
  </si>
  <si>
    <t>Joko Susilo</t>
  </si>
  <si>
    <t>Lusiani</t>
  </si>
  <si>
    <t>Matsani</t>
  </si>
  <si>
    <t>00082499</t>
  </si>
  <si>
    <t>Sammy Raflimy</t>
  </si>
  <si>
    <t>Supriyadi (Driver)</t>
  </si>
  <si>
    <t>Agus Sukmawijaya</t>
  </si>
  <si>
    <t>FO/Operator</t>
  </si>
  <si>
    <t>02092994</t>
  </si>
  <si>
    <t>Bonny Firmansyah</t>
  </si>
  <si>
    <t>FO/Reservation</t>
  </si>
  <si>
    <t>Fisty Helny Risnawati</t>
  </si>
  <si>
    <t>Agus Ridwan</t>
  </si>
  <si>
    <t>Housekeeping</t>
  </si>
  <si>
    <t>03073285</t>
  </si>
  <si>
    <t>Agus Supriyanto</t>
  </si>
  <si>
    <t>04023735</t>
  </si>
  <si>
    <t>Ahmad Sofyan</t>
  </si>
  <si>
    <t>06075035</t>
  </si>
  <si>
    <t>Budhi Waluyojati</t>
  </si>
  <si>
    <t>Dede Mulyadi</t>
  </si>
  <si>
    <t>03053175</t>
  </si>
  <si>
    <t>Dodi Casmadi</t>
  </si>
  <si>
    <t>03083335</t>
  </si>
  <si>
    <t>Dwi Riyantoko</t>
  </si>
  <si>
    <t>05014195</t>
  </si>
  <si>
    <t>Eko Muliono</t>
  </si>
  <si>
    <t>05054445</t>
  </si>
  <si>
    <t>Hafiz Sulaiman</t>
  </si>
  <si>
    <t>Hari Supriadi</t>
  </si>
  <si>
    <t>Hartono</t>
  </si>
  <si>
    <t>03053165</t>
  </si>
  <si>
    <t>Hendra</t>
  </si>
  <si>
    <t>00052445</t>
  </si>
  <si>
    <t>Heru Cahyono</t>
  </si>
  <si>
    <t>00122525</t>
  </si>
  <si>
    <t>Irwan Krisnawan</t>
  </si>
  <si>
    <t>06044925</t>
  </si>
  <si>
    <t>Komarulloh</t>
  </si>
  <si>
    <t>M Firdaus Fahlevi</t>
  </si>
  <si>
    <t>01082735</t>
  </si>
  <si>
    <t>M. Djufriadi</t>
  </si>
  <si>
    <t>Melita Padmanegara</t>
  </si>
  <si>
    <t>Nawawi</t>
  </si>
  <si>
    <t>Ni Made Sariani</t>
  </si>
  <si>
    <t>Norlia BR Manurung</t>
  </si>
  <si>
    <t>Prawoto</t>
  </si>
  <si>
    <t>Ratna Suminar</t>
  </si>
  <si>
    <t>02032885</t>
  </si>
  <si>
    <t>Rian Purna Indrianto</t>
  </si>
  <si>
    <t>02072925</t>
  </si>
  <si>
    <t>03053155</t>
  </si>
  <si>
    <t>Srianto</t>
  </si>
  <si>
    <t>Sunarno</t>
  </si>
  <si>
    <t>04023725</t>
  </si>
  <si>
    <t>Susamto</t>
  </si>
  <si>
    <t>Suwarno</t>
  </si>
  <si>
    <t>Taryuni</t>
  </si>
  <si>
    <t>Yatmin</t>
  </si>
  <si>
    <t>06024855</t>
  </si>
  <si>
    <t>Zuwandi</t>
  </si>
  <si>
    <t>HRD</t>
  </si>
  <si>
    <t>Inayah</t>
  </si>
  <si>
    <t>04073983</t>
  </si>
  <si>
    <t>05094583</t>
  </si>
  <si>
    <t>Yulindah Nawangtyas</t>
  </si>
  <si>
    <t>Kitchen/Admin</t>
  </si>
  <si>
    <t>Wahyudi Winarso</t>
  </si>
  <si>
    <t>Azwar Hamzah</t>
  </si>
  <si>
    <t>Kitchen/Banquet</t>
  </si>
  <si>
    <t>Nakam</t>
  </si>
  <si>
    <t>Sugiyanto</t>
  </si>
  <si>
    <t>Tono</t>
  </si>
  <si>
    <t>04043818</t>
  </si>
  <si>
    <t>Zaenal Mutaqin</t>
  </si>
  <si>
    <t>Agus Bahtiar</t>
  </si>
  <si>
    <t>Kitchen/Commissary</t>
  </si>
  <si>
    <t>Dasep Supriatna</t>
  </si>
  <si>
    <t>05124718</t>
  </si>
  <si>
    <t>Muslihat</t>
  </si>
  <si>
    <t>Agus Mulyadi</t>
  </si>
  <si>
    <t>Kitchen/Gallery</t>
  </si>
  <si>
    <t>Ceky Kuncoro</t>
  </si>
  <si>
    <t>00052458</t>
  </si>
  <si>
    <t>Dede Wahyudi</t>
  </si>
  <si>
    <t>02022868</t>
  </si>
  <si>
    <t>Isnanto</t>
  </si>
  <si>
    <t>Setiyayadi</t>
  </si>
  <si>
    <t>01092768</t>
  </si>
  <si>
    <t>Syarifudin (Kitchen)</t>
  </si>
  <si>
    <t>05124708</t>
  </si>
  <si>
    <t>Yanuar Setiawan</t>
  </si>
  <si>
    <t>Yusuf Bara Laluhangga</t>
  </si>
  <si>
    <t>Adi Priyanto</t>
  </si>
  <si>
    <t>Kitchen/Oriental</t>
  </si>
  <si>
    <t>Agus Siswanto</t>
  </si>
  <si>
    <t>Hari Sutopo</t>
  </si>
  <si>
    <t>Moch Arifin Anwar</t>
  </si>
  <si>
    <t>09026678</t>
  </si>
  <si>
    <t>Rusli Widayat</t>
  </si>
  <si>
    <t>Sudono Suharyanto</t>
  </si>
  <si>
    <t>Sutrisno</t>
  </si>
  <si>
    <t>Suwandi</t>
  </si>
  <si>
    <t>04013648</t>
  </si>
  <si>
    <t>Guntur Gunawan</t>
  </si>
  <si>
    <t>Kitchen/Pastry</t>
  </si>
  <si>
    <t>Rohman Sujana</t>
  </si>
  <si>
    <t>Sade Rusyana</t>
  </si>
  <si>
    <t>Kitchen/Steward</t>
  </si>
  <si>
    <t>Faisal</t>
  </si>
  <si>
    <t>02022858</t>
  </si>
  <si>
    <t>Farizal Andriawan</t>
  </si>
  <si>
    <t>Herry Heryanto Supantoro</t>
  </si>
  <si>
    <t>M. Muslih</t>
  </si>
  <si>
    <t>R. Budi Wibisono</t>
  </si>
  <si>
    <t>Saidi</t>
  </si>
  <si>
    <t>Subanar</t>
  </si>
  <si>
    <t>01042578</t>
  </si>
  <si>
    <t>Suparman</t>
  </si>
  <si>
    <t>Warsono</t>
  </si>
  <si>
    <t>Benny Mustika Alam</t>
  </si>
  <si>
    <t>Laundry</t>
  </si>
  <si>
    <t>00042415</t>
  </si>
  <si>
    <t>Deniawan</t>
  </si>
  <si>
    <t>06014829</t>
  </si>
  <si>
    <t>Dewi Priatni</t>
  </si>
  <si>
    <t>Herman Susilo</t>
  </si>
  <si>
    <t>M Rizki P Ariwibowo</t>
  </si>
  <si>
    <t>Rista Meliana</t>
  </si>
  <si>
    <t>03083365</t>
  </si>
  <si>
    <t>Riwanto</t>
  </si>
  <si>
    <t>00042405</t>
  </si>
  <si>
    <t>Rodean Dermawan</t>
  </si>
  <si>
    <t>Ronny</t>
  </si>
  <si>
    <t>00012315</t>
  </si>
  <si>
    <t>Yuli Wahyudin</t>
  </si>
  <si>
    <t>Sales &amp; Marketing</t>
  </si>
  <si>
    <t>Citra Lusita</t>
  </si>
  <si>
    <t>Sales &amp; Marketing/PR</t>
  </si>
  <si>
    <t>Security</t>
  </si>
  <si>
    <t>09087017</t>
  </si>
  <si>
    <t>Agus Lasadi</t>
  </si>
  <si>
    <t>05104627</t>
  </si>
  <si>
    <t>Dedi Junaedi</t>
  </si>
  <si>
    <t>Eddy Kurnianto</t>
  </si>
  <si>
    <t>Perdiansyah</t>
  </si>
  <si>
    <t>03083417</t>
  </si>
  <si>
    <t>Ramsis E Pangaribuan</t>
  </si>
  <si>
    <t>Ranto Parluhutan</t>
  </si>
  <si>
    <t>Robby Sutikno</t>
  </si>
  <si>
    <t>Rudi Suhartono</t>
  </si>
  <si>
    <t xml:space="preserve">Sarina Damanik </t>
  </si>
  <si>
    <t>03083427</t>
  </si>
  <si>
    <t>Sunarto (Security)</t>
  </si>
  <si>
    <t>05014257</t>
  </si>
  <si>
    <t>Surasa</t>
  </si>
  <si>
    <t>01042587</t>
  </si>
  <si>
    <t>02012847</t>
  </si>
  <si>
    <t>Teguh Utomo</t>
  </si>
  <si>
    <t>06105147</t>
  </si>
  <si>
    <t>Tri Mardianto</t>
  </si>
  <si>
    <t>Total :</t>
  </si>
  <si>
    <t>Cash on hand</t>
  </si>
  <si>
    <t>Giro</t>
  </si>
  <si>
    <t>PERHITUNGAN SHU YANG DIPAKAI KOPERASI INDONESIA</t>
  </si>
  <si>
    <t>SHU atas aktivitas ekonomi 70 %</t>
  </si>
  <si>
    <t>SHU atas modal usaha 30 %</t>
  </si>
  <si>
    <t>07035366</t>
  </si>
  <si>
    <t>Yudistira</t>
  </si>
  <si>
    <t>Alhamdika R. Matari</t>
  </si>
  <si>
    <t>Irfan Maulana</t>
  </si>
  <si>
    <t>Jeffry</t>
  </si>
  <si>
    <t>07045435</t>
  </si>
  <si>
    <t>Nurhadi</t>
  </si>
  <si>
    <t>08016148</t>
  </si>
  <si>
    <t>Dana cadangan 20 %</t>
  </si>
  <si>
    <t>SHU dibagi anggota 60 %</t>
  </si>
  <si>
    <t>Dana pendidikan 5%</t>
  </si>
  <si>
    <t>Dana lain - lain 15 %</t>
  </si>
  <si>
    <t>Pinjaman anggota bulan Januari 2016</t>
  </si>
  <si>
    <t>Iuran anggota bulan Januari 2016</t>
  </si>
  <si>
    <t>Pengembalian cicilan pinjaman anggota bulan Januari 2016</t>
  </si>
  <si>
    <t>Pendapatan bunga pinjaman anggota bulan Januari 2016</t>
  </si>
  <si>
    <t>Saldo tahun 2015</t>
  </si>
  <si>
    <t>Pinjaman anggota bulan Februari 2016</t>
  </si>
  <si>
    <t>Iuran anggota bulan Februari 2016</t>
  </si>
  <si>
    <t>Pengembalian cicilan pinjaman anggota bulan Februari 2016</t>
  </si>
  <si>
    <t>Pendapatan bunga pinjaman anggota bulan Februari 2016</t>
  </si>
  <si>
    <t>Pinjaman anggota bulan Maret 2016</t>
  </si>
  <si>
    <t>Iuran anggota bulan Maret 2016</t>
  </si>
  <si>
    <t>Pengembalian cicilan pinjaman anggota bulan Maret 2016</t>
  </si>
  <si>
    <t>Pendapatan bunga pinjaman anggota bulan Maret 2016</t>
  </si>
  <si>
    <t>Pendapatan bunga belanja karyawan Maret 2016</t>
  </si>
  <si>
    <t>Pinjaman anggota bulan April 2016</t>
  </si>
  <si>
    <t>Iuran anggota bulan April 2016</t>
  </si>
  <si>
    <t>Pengembalian cicilan pinjaman anggota bulan April 2016</t>
  </si>
  <si>
    <t>Pendapatan bunga pinjaman anggota bulan April 2016</t>
  </si>
  <si>
    <t>Pendapatan bunga belanja karyawan April 2016</t>
  </si>
  <si>
    <t>Pinjaman anggota bulan Mei 2016</t>
  </si>
  <si>
    <t>Iuran anggota bulan Mei 2016</t>
  </si>
  <si>
    <t>Pengembalian cicilan pinjaman anggota bulan Mei 2016</t>
  </si>
  <si>
    <t>Pendapatan bunga pinjaman anggota bulan Mei 2016</t>
  </si>
  <si>
    <t>Pendapatan bunga belanja karyawan Mei 2016</t>
  </si>
  <si>
    <t>Pinjaman anggota bulan Juni 2016</t>
  </si>
  <si>
    <t>Iuran anggota bulan Juni 2016</t>
  </si>
  <si>
    <t>Pengembalian cicilan pinjaman anggota bulan Juni 2016</t>
  </si>
  <si>
    <t>Pendapatan bunga pinjaman anggota bulan Juni 2016</t>
  </si>
  <si>
    <t>Pendapatan bunga belanja karyawan Juni 2016</t>
  </si>
  <si>
    <t>Pinjaman anggota bulan Juli 2016</t>
  </si>
  <si>
    <t>Iuran anggota bulan Juli 2016</t>
  </si>
  <si>
    <t>Pengembalian cicilan pinjaman anggota bulan Juli 2016</t>
  </si>
  <si>
    <t>Pendapatan bunga pinjaman anggota bulan Juli 2016</t>
  </si>
  <si>
    <t>Pendapatan bunga belanja karyawan Juli 2016</t>
  </si>
  <si>
    <t>Pinjaman anggota bulan Agustus 2016</t>
  </si>
  <si>
    <t>Iuran anggota bulan Agustus 2016</t>
  </si>
  <si>
    <t>Pengembalian cicilan pinjaman anggota bulan Agustus 2016</t>
  </si>
  <si>
    <t>Pendapatan bunga pinjaman anggota bulan Agustus 2016</t>
  </si>
  <si>
    <t>Pendapatan bunga belanja karyawan Agustus 2016</t>
  </si>
  <si>
    <t>Pinjaman anggota bulan September 2016</t>
  </si>
  <si>
    <t>Iuran anggota bulan September 2016</t>
  </si>
  <si>
    <t>Pengembalian cicilan pinjaman anggota bulan September 2016</t>
  </si>
  <si>
    <t>Pendapatan bunga pinjaman anggota bulan September 2016</t>
  </si>
  <si>
    <t>Pendapatan bunga belanja karyawan September 2016</t>
  </si>
  <si>
    <t>Pinjaman anggota bulan Oktober 2016</t>
  </si>
  <si>
    <t>Iuran anggota bulan Oktober 2016</t>
  </si>
  <si>
    <t>Pengembalian cicilan pinjaman anggota bulan Oktober 2016</t>
  </si>
  <si>
    <t>Pendapatan bunga pinjaman anggota bulan Oktober 2016</t>
  </si>
  <si>
    <t>Pendapatan bunga belanja karyawan Oktober 2016</t>
  </si>
  <si>
    <t>Pinjaman anggota bulan November 2016</t>
  </si>
  <si>
    <t>Iuran anggota bulan November 2016</t>
  </si>
  <si>
    <t>Pengembalian cicilan pinjaman anggota bulan November 2016</t>
  </si>
  <si>
    <t>Pendapatan bunga pinjaman anggota bulan November 2016</t>
  </si>
  <si>
    <t>Pendapatan bunga belanja karyawan November 2016</t>
  </si>
  <si>
    <t>Pinjaman anggota bulan Desember 2016</t>
  </si>
  <si>
    <t>Iuran anggota bulan Desember 2016</t>
  </si>
  <si>
    <t>Pengembalian cicilan pinjaman anggota bulan Desember 2016</t>
  </si>
  <si>
    <t>Pendapatan bunga pinjaman anggota bulan Desember 2016</t>
  </si>
  <si>
    <t>Saldo 2015</t>
  </si>
  <si>
    <t>Cicilan Pinjaman</t>
  </si>
  <si>
    <t>Potongan Belanja</t>
  </si>
  <si>
    <t>Cicilan Elektronik</t>
  </si>
  <si>
    <t>Pembayaran</t>
  </si>
  <si>
    <t xml:space="preserve">Cicilan </t>
  </si>
  <si>
    <t>Handuk</t>
  </si>
  <si>
    <t>Pinjaman</t>
  </si>
  <si>
    <t>Belanja</t>
  </si>
  <si>
    <t>Elektronik</t>
  </si>
  <si>
    <t>Bantal</t>
  </si>
  <si>
    <t>Parcel</t>
  </si>
  <si>
    <t>Gorengan</t>
  </si>
  <si>
    <t>Tedy Natamireja</t>
  </si>
  <si>
    <t>Anggota Baru Juni'16</t>
  </si>
  <si>
    <t>Abdal Al Hanip</t>
  </si>
  <si>
    <t>Anggota Baru April'16</t>
  </si>
  <si>
    <t>Pratikno</t>
  </si>
  <si>
    <t>Anggota Resign Agst'16</t>
  </si>
  <si>
    <t>Ujang Taufiq</t>
  </si>
  <si>
    <t>Anggota Baru Des'16</t>
  </si>
  <si>
    <t>Adhi Nugroho</t>
  </si>
  <si>
    <t>Anggota Baru Mei'16</t>
  </si>
  <si>
    <t>Anggota Resign Juli'16</t>
  </si>
  <si>
    <t>Anggota Resign April'16</t>
  </si>
  <si>
    <t>Anggota Resign Des'16</t>
  </si>
  <si>
    <t>Anggota Keluar Mei'16</t>
  </si>
  <si>
    <t>Ardiansyah Iskandar</t>
  </si>
  <si>
    <t>Anggota Baru Jan'16</t>
  </si>
  <si>
    <t>Anggota Resign Maret'16</t>
  </si>
  <si>
    <t>M. Fauzi Abdillah</t>
  </si>
  <si>
    <t>Anggota Baru Maret'16</t>
  </si>
  <si>
    <t>Suryo Prantoko</t>
  </si>
  <si>
    <t>Aries Fadhillah Wibisono</t>
  </si>
  <si>
    <t>Resign Juli'16</t>
  </si>
  <si>
    <t>Anggota Resign Nov'16</t>
  </si>
  <si>
    <t>Anggota Keluar Sept'16</t>
  </si>
  <si>
    <t>Rendy Glendy Kemur</t>
  </si>
  <si>
    <t>Asep Nugraha</t>
  </si>
  <si>
    <t>Anggota Baru Okt'2016</t>
  </si>
  <si>
    <t>Dody Saiful Amir</t>
  </si>
  <si>
    <t>Hendy Pratama</t>
  </si>
  <si>
    <t>Resign Desember'15</t>
  </si>
  <si>
    <t>Accounting/Purchasing</t>
  </si>
  <si>
    <t>Sobari M. Yasin</t>
  </si>
  <si>
    <t>Anggota Resign Okt'16</t>
  </si>
  <si>
    <t>Mustopa</t>
  </si>
  <si>
    <t>Toni Tanamal</t>
  </si>
  <si>
    <t>Ari Hermawan</t>
  </si>
  <si>
    <t>Sutrisno K.</t>
  </si>
  <si>
    <t>Wiyono</t>
  </si>
  <si>
    <t>Imam Firmansyah</t>
  </si>
  <si>
    <t>Anggota Resign Juni'16</t>
  </si>
  <si>
    <t>Alex Cahya Purnama</t>
  </si>
  <si>
    <t>Anggota Baru Agustus'16</t>
  </si>
  <si>
    <t>Anggota Keluar April'16</t>
  </si>
  <si>
    <t>Hans Robert Andrianus</t>
  </si>
  <si>
    <t>Syamhudi Maulana</t>
  </si>
  <si>
    <t>Transportasi Belanja Toko</t>
  </si>
  <si>
    <t>Belanja toko Aqua 600 ml + 1 galon</t>
  </si>
  <si>
    <t>Belanja toko Aqua 600 ml + 2 galon</t>
  </si>
  <si>
    <t>Pembelian gas</t>
  </si>
  <si>
    <t>Belanja koperasi gelas plastik + kantong plastik</t>
  </si>
  <si>
    <t>Isi ulang 3 galon Aqua</t>
  </si>
  <si>
    <t>Pembelian 1 unit komputer, printer, scanner</t>
  </si>
  <si>
    <t>Pembelian nota kontan</t>
  </si>
  <si>
    <t>Fee petugas toko Januari'16</t>
  </si>
  <si>
    <t>Fee bendahara Januari'16</t>
  </si>
  <si>
    <t>Biaya operasional Inventory &amp; presentasi system</t>
  </si>
  <si>
    <t>Belanja toko (gelas, kantong plastik)</t>
  </si>
  <si>
    <t>Biaya operasional Inventory &amp; instal system</t>
  </si>
  <si>
    <t>Biaya operasional Inventory</t>
  </si>
  <si>
    <t>Transportasi Market Survey Indogrosir</t>
  </si>
  <si>
    <t>Fee petugas toko Februari'16</t>
  </si>
  <si>
    <t>Fee bendahara Februari'16</t>
  </si>
  <si>
    <t>Pembelian gelas besar (gagang)</t>
  </si>
  <si>
    <t xml:space="preserve">Pembelian pesawat telepon </t>
  </si>
  <si>
    <t>Pembelian Dasi Pria (farewell Pak Wisnu Reza)</t>
  </si>
  <si>
    <t>Pembelian kabel telepon</t>
  </si>
  <si>
    <t>Isi ulang 2 galon Aqua</t>
  </si>
  <si>
    <t>Belanja toko : Syifa Gas (Aqua galon)</t>
  </si>
  <si>
    <t>Belanja toko : Syifa Gas (Gas 3Kg)</t>
  </si>
  <si>
    <t>Fee petugas toko Maret'16</t>
  </si>
  <si>
    <t xml:space="preserve">Fee bendahara Maret'16 </t>
  </si>
  <si>
    <t>Pembelian pita printer</t>
  </si>
  <si>
    <t xml:space="preserve">Biaya operasional Inventory </t>
  </si>
  <si>
    <t>Pembelian 2 fly paper &amp; lakban</t>
  </si>
  <si>
    <t xml:space="preserve">Pembelian kantong plastik, gela splastik </t>
  </si>
  <si>
    <t>Pembelian sapu lidi &amp; pengki</t>
  </si>
  <si>
    <t>Isi ulang air galon</t>
  </si>
  <si>
    <t>Pembelian tinta &amp; bak stamp</t>
  </si>
  <si>
    <t>Bonus SHU u/ penjaga toko</t>
  </si>
  <si>
    <t>Pembelian stamp koperasi</t>
  </si>
  <si>
    <t>isi ulang air galon + gas perdana + isi ulang gas</t>
  </si>
  <si>
    <t>Pembelian 1 galon kosong</t>
  </si>
  <si>
    <t>Biaya operasional Inventory lelang handuk</t>
  </si>
  <si>
    <t>Pembelian kantong plastik &amp; tali rapia</t>
  </si>
  <si>
    <t>Fee petugas toko April'16</t>
  </si>
  <si>
    <t xml:space="preserve">Fee bendahara April'16 </t>
  </si>
  <si>
    <t>Transportasi Belanja Elektronik</t>
  </si>
  <si>
    <t>Pembelian gelas kecil &amp; besar</t>
  </si>
  <si>
    <t xml:space="preserve">Pembelian kantong plastik, gelas plastik </t>
  </si>
  <si>
    <t>Tempat sampah, kontener &amp; sendok</t>
  </si>
  <si>
    <t>Transportasi Belanja Tempat sampah, kontainer dll</t>
  </si>
  <si>
    <t xml:space="preserve">Transportasi belanja &amp; meal untuk paket lebaran </t>
  </si>
  <si>
    <t>Beli gembok</t>
  </si>
  <si>
    <t>Fee petugas toko Mei'16</t>
  </si>
  <si>
    <t>Fee bendahara Mei'16</t>
  </si>
  <si>
    <t>Fee petugas toko Juni'16+ THR</t>
  </si>
  <si>
    <t>Fee bendahara Juni'16</t>
  </si>
  <si>
    <t>Fee petugas toko Juli'16</t>
  </si>
  <si>
    <t>Fee bendahara Juli'16</t>
  </si>
  <si>
    <t>Biaya operasional inventory</t>
  </si>
  <si>
    <t>Pembelian bunga papan HUT REDTOP</t>
  </si>
  <si>
    <t>Isi ulang air galon &amp; gas</t>
  </si>
  <si>
    <t>Isi ulang air (jerigen)</t>
  </si>
  <si>
    <t>Fee petugas toko Agustus'16</t>
  </si>
  <si>
    <t>Fee bendahara Agustus'16</t>
  </si>
  <si>
    <t>Biaya service showcase</t>
  </si>
  <si>
    <t>Fee petugas toko September'16</t>
  </si>
  <si>
    <t>Fee bendahara September'16</t>
  </si>
  <si>
    <t>Fee petugas toko Oktober'16</t>
  </si>
  <si>
    <t>Fee bendahara Oktober'16</t>
  </si>
  <si>
    <t>Pembelian gembok</t>
  </si>
  <si>
    <t>Fee petugas toko November'16</t>
  </si>
  <si>
    <t>Fee bendahara November'16</t>
  </si>
  <si>
    <t>Pembelian papan catur</t>
  </si>
  <si>
    <t>Fee petugas toko Desember'16</t>
  </si>
  <si>
    <t>Fee bendahara Desember'16</t>
  </si>
  <si>
    <t>Tanggal</t>
  </si>
  <si>
    <t>Grand Total :</t>
  </si>
  <si>
    <t>Pembelian buku Bank Kwarto (Gramedia)</t>
  </si>
  <si>
    <t>Belanja Cat Rambut (Toko Pasar Baru)</t>
  </si>
  <si>
    <t>Belanja Toko (Toko Beras Haris)</t>
  </si>
  <si>
    <t>Belanja Toko (Toko Susu Anakku)</t>
  </si>
  <si>
    <t>Belanja Toko (Toko Susu Thoriq)</t>
  </si>
  <si>
    <t>Pembelian Materai tempel (Kantor Pos Pasar Baru)</t>
  </si>
  <si>
    <t>Belanja Toko (Toko Johan Distributor)</t>
  </si>
  <si>
    <t>Pembayaran snack usus (Supriadi)</t>
  </si>
  <si>
    <t>Belanja toko Invoice : 96098671906040 (PT. Wicaksana Overseas)</t>
  </si>
  <si>
    <t>Belanja Toko (Matahari)</t>
  </si>
  <si>
    <t>Pembelian 30 pcs Yakult</t>
  </si>
  <si>
    <t>Belanja Toko (Toko Nur Gas)</t>
  </si>
  <si>
    <t>Pembelian rokok LA Bold (PT. Sumber Cipta Multiniaga)</t>
  </si>
  <si>
    <t>Belanja toko Invoice : 96098672056015 (PT. Wicaksana Overseas)</t>
  </si>
  <si>
    <t>Pembelian 25 pcs Yakult</t>
  </si>
  <si>
    <t>Belanja toko (Toko Newsi)</t>
  </si>
  <si>
    <t>Belanja Toko (Indomart)</t>
  </si>
  <si>
    <t>Pembayaran biji ketapang (Dwini)</t>
  </si>
  <si>
    <t>Pengembalian kesalahan potong (Riwanto)</t>
  </si>
  <si>
    <t>Belanja toko Invoice : 96098672213140 (PT. Wicaksana Overseas)</t>
  </si>
  <si>
    <t>Pengembalian kesalahan potong (Bahrudin)</t>
  </si>
  <si>
    <t>Belanja Toko (Toko Syifa Gas)</t>
  </si>
  <si>
    <t>Pengembalian dana anggota (Nana Kusnaedi)</t>
  </si>
  <si>
    <t>Pengembalian dana anggota (Rusdiman)</t>
  </si>
  <si>
    <t>Belanja toko Invoice : 96098672552838 (PT. Wicaksana Overseas)</t>
  </si>
  <si>
    <t>Belanja Toko (Toko Susu Kadung Sayang)</t>
  </si>
  <si>
    <t>Belanja Toko (Toko Tetap Segar)</t>
  </si>
  <si>
    <t>Belanja Toko (Toko Matahari)</t>
  </si>
  <si>
    <t>Bayar kerupuk</t>
  </si>
  <si>
    <t>Belanja Toko (Toko Susu Javi Milkky)</t>
  </si>
  <si>
    <t>Pembayaran 10 pcs sepatu (Norlia)</t>
  </si>
  <si>
    <t>Belanja toko Johan</t>
  </si>
  <si>
    <t>Belanja toko Invoice : 16205014270 (Atri Distributor)</t>
  </si>
  <si>
    <t>Belanja Toko (Toko Snack Pasar Rumput)</t>
  </si>
  <si>
    <t>Belanja toko Invoice : 00098028 (PT. Aneka Rasa Citra Sejati)</t>
  </si>
  <si>
    <t>Bayar kerupuk + kekurangan bayar rokok</t>
  </si>
  <si>
    <t>Pengembalian dana anggota (Bagus Gudiawan)</t>
  </si>
  <si>
    <t>Pengembalian kesalahan potong (Riswanto)</t>
  </si>
  <si>
    <t>Belanja toko Invoice : 16205019027 (Atri Distributor)</t>
  </si>
  <si>
    <t>Belanja toko Invoice : 96E1600371 (PT. Sumber Cipta Multiniaga)</t>
  </si>
  <si>
    <t>Pembelian 25 pcs Yakult + Kekurangan bayar</t>
  </si>
  <si>
    <t>Pembayaran 3 pcs T-shirt (Dewi)</t>
  </si>
  <si>
    <t>Pembayaran 3 pcs sepatu (Dewi)</t>
  </si>
  <si>
    <t>Pengembalian dana anggota (Leonardo Davinci)</t>
  </si>
  <si>
    <t>Pengembalian dana anggota (Yola Nivi Astriyani)</t>
  </si>
  <si>
    <t>Pengembalian dana anggota (Fara Nurfadilla)</t>
  </si>
  <si>
    <t>Pengembalian dana anggota (M. Imron)</t>
  </si>
  <si>
    <t>Belanja Elektronik</t>
  </si>
  <si>
    <t>Pembelian 20 pcs kaus kaki</t>
  </si>
  <si>
    <t>Belanja supllier Djarum</t>
  </si>
  <si>
    <t>Belanja Toko (Toko Aneka Snack)</t>
  </si>
  <si>
    <t>Belanja toko Invoice : 16205045597 (Atri Distributor)</t>
  </si>
  <si>
    <t>Pinjaman SP</t>
  </si>
  <si>
    <t>Pembayaran roti (Taryuni)</t>
  </si>
  <si>
    <t>Belanja toko Invoice : 16205017237 (Atri Distributor)</t>
  </si>
  <si>
    <t>Belanja toko Invoice : 96E1600614 (PT. Sumber Cipta Multiniaga)</t>
  </si>
  <si>
    <t>Pengembalian dana anggota (M. Zackyansyah)</t>
  </si>
  <si>
    <t>Pengembalian dana anggota (Reli Isti Aprilia)</t>
  </si>
  <si>
    <t>Pengembalian dana anggota (Yesicha Nur Sriati)</t>
  </si>
  <si>
    <t>Pengembalian anggota (Virginia Sabrina Ayurianti)</t>
  </si>
  <si>
    <t>Pengembalian dana anggota (Agustus MAM Djoka)</t>
  </si>
  <si>
    <t>Pembayaran keripik pisang (Dasep)</t>
  </si>
  <si>
    <t>Belanja toko Invoice : 96E1600696 (PT. Sumber Cipta Multiniaga)</t>
  </si>
  <si>
    <t>Pembelian 50 pcs Yakult</t>
  </si>
  <si>
    <t>Belanja Toko (Hari-Hari Lokasari)</t>
  </si>
  <si>
    <t>Belanja Toko (Indogrosir)</t>
  </si>
  <si>
    <t>Belanja toko Invoice : 96E1600794 (PT. Sumber Cipta Multiniaga)</t>
  </si>
  <si>
    <t>Pengembalian dana anggota (Amelia Octa Della)</t>
  </si>
  <si>
    <t>Pengembalian dana anggota (Citra Wulandari)</t>
  </si>
  <si>
    <t>Pengembalian dana anggota (Amik Hari Priyanto)</t>
  </si>
  <si>
    <t>Pengembalian dana anggota (Harryman)</t>
  </si>
  <si>
    <t>Pengembalian dana anggota (Ranto Manulang)</t>
  </si>
  <si>
    <t>Pengembalian dana anggota ( Joko Budiono)</t>
  </si>
  <si>
    <t>Pembayaran minyak wangi (Rudy Kurniawan)</t>
  </si>
  <si>
    <t>Belanja toko Invoice : 96E1600872 (PT. Sumber Cipta Multiniaga)</t>
  </si>
  <si>
    <t>Pembelian 10 pcs Yakult</t>
  </si>
  <si>
    <t>Pengembalian dana anggota (Puji Astuti)</t>
  </si>
  <si>
    <t>Pengembalian dana anggota (Wahyu Shandi S.)</t>
  </si>
  <si>
    <t>Pembayaran kue lebaran (Sugiyanto)</t>
  </si>
  <si>
    <t>Pembelian paket daging lebaran</t>
  </si>
  <si>
    <t>Belanja Toko (Alfa Trijaya)</t>
  </si>
  <si>
    <t>Belanja toko Invoice : 96E1600962 (PT. Sumber Cipta Multiniaga)</t>
  </si>
  <si>
    <t>Belanja toko Invoice : 248586 (PT. Surya Madistrindo)</t>
  </si>
  <si>
    <t>Belanja toko Invoice : 339676 (PT. Surya Madistrindo)</t>
  </si>
  <si>
    <t>Pembelian 25 pcs kaus kaki</t>
  </si>
  <si>
    <t>Pembelian 24 pcs kaus kaki</t>
  </si>
  <si>
    <t>Belanja toko Invoice : 96E1601034 (PT. Sumber Cipta Multiniaga)</t>
  </si>
  <si>
    <t>Belanja Toko (Alfamart Trijaya)</t>
  </si>
  <si>
    <t>Pengembalian dana anggota (Gusti Ngurah BWS)</t>
  </si>
  <si>
    <t>Pengembalian dana anggota (Sobari)</t>
  </si>
  <si>
    <t>Belanja toko Invoice : 302277 (PT. Surya Madistrindo)</t>
  </si>
  <si>
    <t>Belanja toko Invoice : 96E1601104 (PT. Sumber Cipta Multiniaga)</t>
  </si>
  <si>
    <t>Belanja Toko (Aneka Snack)</t>
  </si>
  <si>
    <t>Belanja toko Invoice : 258032 (PT. Surya Madistrindo)</t>
  </si>
  <si>
    <t>Pembayaran madu kurma (M. Rizky)</t>
  </si>
  <si>
    <t>Belanja toko Invoice : 302265 (PT. Surya Madistrindo)</t>
  </si>
  <si>
    <t>Pengeluaran dana anggota (Sukiyanto)</t>
  </si>
  <si>
    <t>Pengembalian dana anggota (Randy Fadillah) (FB/Banquet)</t>
  </si>
  <si>
    <t>Pengembalian dana anggota (Irsan Daulay)</t>
  </si>
  <si>
    <t>Pengembalian dana anggota (Nurdin)</t>
  </si>
  <si>
    <t>Pengembalian dana anggota (Bahrudin)</t>
  </si>
  <si>
    <t>Pengembalian dana anggota (Theresia Veronica Linogi)</t>
  </si>
  <si>
    <t>Pengembalian dana anggota (FX Bayu Nugroho)</t>
  </si>
  <si>
    <t>Belanja toko Invoice : 96E1601353 (PT. Sumber Cipta Multiniaga)</t>
  </si>
  <si>
    <t>Belanja toko Invoice : 0322483 (PT. Amerta Indah Otsuka)</t>
  </si>
  <si>
    <t>Pembayaran gorengan (Tajil puasa)</t>
  </si>
  <si>
    <t>Pengembalian dana anggota (Bambang Wisono)</t>
  </si>
  <si>
    <t>Pengembalian dana anggota (I Made Gde Suryadi)</t>
  </si>
  <si>
    <t>Pengembalian dana anggota (Redi Ramdhani)</t>
  </si>
  <si>
    <t>Pengembalian dana anggota (Edelhard Soedira)</t>
  </si>
  <si>
    <t>Pengembalian dana anggota (Iwan Agus Satriawan)</t>
  </si>
  <si>
    <t>Belanja toko Invoice : 296108 (PT. Surya Madistrindo)</t>
  </si>
  <si>
    <t>Belanja toko Invoice : 96E1601578 (PT. Sumber Cipta Multiniaga)</t>
  </si>
  <si>
    <t>Pembayaran arem-arem</t>
  </si>
  <si>
    <t>Belanja toko Invoice : 296137 (PT. Surya Madistrindo)</t>
  </si>
  <si>
    <t>Pembayaran lontong &amp; tahu</t>
  </si>
  <si>
    <t>Pengembalian dana anggota (K. Alice Ranadewa)</t>
  </si>
  <si>
    <t>Pengembalian dana anggota (Jaenal Arifin)</t>
  </si>
  <si>
    <t>Pengembalian dana anggota (Yopi Bayu Haryanto)</t>
  </si>
  <si>
    <t>Pengembalian dana anggota (Rinto Tampubolon)</t>
  </si>
  <si>
    <t>Pengembalian dana anggota (Hosein Rahmat Ibrahim)</t>
  </si>
  <si>
    <t>Pengembalian dana anggota (Roksi Ricardo)</t>
  </si>
  <si>
    <t>Pengembalian dana anggota (Jamil)</t>
  </si>
  <si>
    <t>Pengembalian dana anggota (Rudy Kurniawan)</t>
  </si>
  <si>
    <t>Pengembalian dana anggota (Andri Surawijaya)</t>
  </si>
  <si>
    <t>Pengembalian dana anggota (Ishak Kurniawan)</t>
  </si>
  <si>
    <t>Pengembalian dana anggota (Supriyono)</t>
  </si>
  <si>
    <t>Pengembalian dana anggota (Sudrajat)</t>
  </si>
  <si>
    <t>Pengembalian dana anggota (Agus Maulana)</t>
  </si>
  <si>
    <t>Pengembalian dana anggota (M. Syah)</t>
  </si>
  <si>
    <t>Pengembalian dana anggota (Enda Debora)</t>
  </si>
  <si>
    <t>Pendapatan bunga belanja karyawan Desember 2016</t>
  </si>
  <si>
    <t>Total simpanan anggota per 31 Desember'16</t>
  </si>
  <si>
    <t>Pendapatan Koperasi per 31 Desember'16</t>
  </si>
  <si>
    <t>Saldo rekening per 31 Desember'16</t>
  </si>
  <si>
    <t>Pengembalian cicilan elektronik bulan April 2016</t>
  </si>
  <si>
    <t>Pendapatan bunga elektronikbulan April 2016</t>
  </si>
  <si>
    <t>Pengembalian cicilan elektronik bulan Mei 2016</t>
  </si>
  <si>
    <t>Pengembalian cicilan elektronik bulan Juni 2016</t>
  </si>
  <si>
    <t>Pendapatan bunga elektronikbulan Juni 2016</t>
  </si>
  <si>
    <t>Pengembalian cicilan elektronik bulan Juli 2016</t>
  </si>
  <si>
    <t>Pendapatan bunga elektronikbulan Juli 2016</t>
  </si>
  <si>
    <t>Pengembalian cicilan elektronik bulan Agustus 2016</t>
  </si>
  <si>
    <t>Pendapatan bunga elektronikbulan Agustus 2016</t>
  </si>
  <si>
    <t>Pengembalian cicilan elektronik bulan September 2016</t>
  </si>
  <si>
    <t>Pendapatan bunga elektronikbulan September 2016</t>
  </si>
  <si>
    <t>Pengembalian cicilan elektronik bulan Oktober 2016</t>
  </si>
  <si>
    <t>Pendapatan bunga elektronikbulan Oktober 2016</t>
  </si>
  <si>
    <t>Pengembalian cicilan elektronik bulan November 2016</t>
  </si>
  <si>
    <t>Pendapatan bunga elektronikbulan November 2016</t>
  </si>
  <si>
    <t>Pengembalian cicilan elektronik bulan Desember 2016</t>
  </si>
  <si>
    <t>Pendapatan bunga elektronikbulan Desember 2016</t>
  </si>
  <si>
    <t>Pendapatan bunga elektronik bulan April 2016</t>
  </si>
  <si>
    <t>Pendapatan bunga elektronik bulan Mei 2016</t>
  </si>
  <si>
    <t>Pendapatan bunga elektronik bulan Juni 2016</t>
  </si>
  <si>
    <t>Pendapatan bunga elektronik bulan Juli 2016</t>
  </si>
  <si>
    <t>Pendapatan bunga elektronik bulan Agustus 2016</t>
  </si>
  <si>
    <t>Pendapatan bunga elektronik bulan September  2016</t>
  </si>
  <si>
    <t>Pendapatan bunga elektronik bulan Oktober 2016</t>
  </si>
  <si>
    <t>Pendapatan bunga elektronik bulan November 2016</t>
  </si>
  <si>
    <t>Pendapatan bunga elektronik bulan Desember 2016</t>
  </si>
  <si>
    <t>Pendapatan bunga belanja credit karyawan Januari 2016</t>
  </si>
  <si>
    <t>Pendapatan bunga belanja credit karyawan Februari 2016</t>
  </si>
  <si>
    <t>Pendapatan bunga belanja credit karyawan Maret 2016</t>
  </si>
  <si>
    <t>Pembagian SHU 2015</t>
  </si>
  <si>
    <t>NERACA KOPERASI KARYAWAN MANDIRI</t>
  </si>
  <si>
    <t>Pengembalian belanja credit karyawan bulan Juni 2016</t>
  </si>
  <si>
    <t>Pengembalian belanja credit karyawan bulan September 2016</t>
  </si>
  <si>
    <t>Pendapatan penjualan linen/towel</t>
  </si>
  <si>
    <t>Pembayaran keripik padang</t>
  </si>
  <si>
    <t>Pembayaran stocking (Dewi/Laundry)</t>
  </si>
  <si>
    <t>Pendapatan paket daging lebaran</t>
  </si>
  <si>
    <t>Pendapatan konsumsi staff outing 2016</t>
  </si>
  <si>
    <t>Pendapatan penjualan bantal</t>
  </si>
  <si>
    <t>Pendapatan bunga belanja tunai karyawan Februari 2016</t>
  </si>
  <si>
    <t>Pendapatan bunga belanja tunai karyawan Maret 2016</t>
  </si>
  <si>
    <t>Pendapatan bunga belanja tunai  karyawan Januari 2016</t>
  </si>
  <si>
    <t xml:space="preserve">Piutang pinjaman per 31 Desember 2016 </t>
  </si>
  <si>
    <t xml:space="preserve">Piutang elektronik per 31 Desember 2016 </t>
  </si>
  <si>
    <t xml:space="preserve">Piutang belanja per 31 Desember 2016 </t>
  </si>
  <si>
    <t>Inventori toko per 31 Desember 2016</t>
  </si>
  <si>
    <t>Belanja karyawan bulan April 2016</t>
  </si>
  <si>
    <t>Belanja karyawan bulan Mei 2016</t>
  </si>
  <si>
    <t>Belanja karyawan bulan Juli 2016</t>
  </si>
  <si>
    <t>Belanja karyawan bulan Agustus  2016</t>
  </si>
  <si>
    <t>Belanja karyawan bulan Oktober 2016</t>
  </si>
  <si>
    <t>Belanja karyawan bulan November 2016</t>
  </si>
  <si>
    <t>Belanja karyawan bulan Desember 2016</t>
  </si>
  <si>
    <t>Belanja karyawan bulan Maret 2016</t>
  </si>
  <si>
    <t>Belanja karyawan bulan Februari 2016</t>
  </si>
  <si>
    <t>Belanja karyawan bulan Januari 2016</t>
  </si>
  <si>
    <t>Sponsor Djarum</t>
  </si>
  <si>
    <t>Pendapatan bunga belanja karyawan Januari 2016</t>
  </si>
  <si>
    <t>Pendapatan bunga belanja karyawan Februari 2016</t>
  </si>
  <si>
    <t>Saldo 2016</t>
  </si>
  <si>
    <t>Laba Pinjaman</t>
  </si>
  <si>
    <t>Laba POS Jan - Maret</t>
  </si>
  <si>
    <t>Laba POS April -Des</t>
  </si>
  <si>
    <t>Laba Elektronik</t>
  </si>
  <si>
    <t>Laba Lain-lain</t>
  </si>
  <si>
    <t>Sudah di import</t>
  </si>
  <si>
    <t>Total Pengeluaran</t>
  </si>
  <si>
    <t>Sudah MASUK</t>
  </si>
  <si>
    <t>DATA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</si>
</sst>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64">
    <xf numFmtId="0" fontId="0" fillId="0" borderId="0" xfId="0"/>
    <xf numFmtId="164" fontId="0" fillId="0" borderId="0" xfId="1" applyFont="1"/>
    <xf numFmtId="164" fontId="0" fillId="0" borderId="0" xfId="0" applyNumberFormat="1"/>
    <xf numFmtId="165" fontId="0" fillId="0" borderId="3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4" fontId="7" fillId="0" borderId="0" xfId="1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164" fontId="5" fillId="3" borderId="1" xfId="1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0" xfId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Alignment="1">
      <alignment vertical="center"/>
    </xf>
    <xf numFmtId="164" fontId="2" fillId="0" borderId="0" xfId="1" applyFont="1" applyAlignment="1">
      <alignment vertical="center"/>
    </xf>
    <xf numFmtId="164" fontId="12" fillId="0" borderId="0" xfId="1" applyFont="1"/>
    <xf numFmtId="164" fontId="12" fillId="0" borderId="0" xfId="0" applyNumberFormat="1" applyFont="1"/>
    <xf numFmtId="0" fontId="0" fillId="0" borderId="0" xfId="0" applyAlignment="1">
      <alignment horizontal="center"/>
    </xf>
    <xf numFmtId="0" fontId="12" fillId="0" borderId="0" xfId="0" applyFont="1"/>
    <xf numFmtId="164" fontId="4" fillId="0" borderId="0" xfId="1" applyFont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164" fontId="0" fillId="2" borderId="0" xfId="1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164" fontId="4" fillId="2" borderId="0" xfId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64" fontId="4" fillId="4" borderId="0" xfId="1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64" fontId="3" fillId="0" borderId="0" xfId="1" applyFont="1" applyAlignment="1">
      <alignment vertical="center"/>
    </xf>
    <xf numFmtId="164" fontId="4" fillId="6" borderId="1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quotePrefix="1" applyFont="1" applyFill="1" applyBorder="1" applyAlignment="1">
      <alignment horizontal="center" vertical="center"/>
    </xf>
    <xf numFmtId="0" fontId="4" fillId="2" borderId="1" xfId="0" quotePrefix="1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0" fontId="9" fillId="2" borderId="4" xfId="0" quotePrefix="1" applyFont="1" applyFill="1" applyBorder="1" applyAlignment="1">
      <alignment horizontal="center" vertical="center"/>
    </xf>
    <xf numFmtId="39" fontId="4" fillId="2" borderId="1" xfId="1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horizontal="center" vertical="center"/>
    </xf>
    <xf numFmtId="164" fontId="15" fillId="0" borderId="0" xfId="1" applyFont="1" applyAlignment="1">
      <alignment vertical="center"/>
    </xf>
    <xf numFmtId="164" fontId="16" fillId="0" borderId="0" xfId="1" applyFont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4" fontId="17" fillId="0" borderId="0" xfId="1" applyFont="1" applyAlignment="1">
      <alignment vertical="center"/>
    </xf>
    <xf numFmtId="164" fontId="17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1" applyFont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164" fontId="0" fillId="0" borderId="3" xfId="1" applyFont="1" applyBorder="1" applyAlignment="1">
      <alignment vertical="center"/>
    </xf>
    <xf numFmtId="0" fontId="0" fillId="0" borderId="3" xfId="0" applyBorder="1" applyAlignment="1">
      <alignment vertical="center"/>
    </xf>
    <xf numFmtId="164" fontId="1" fillId="0" borderId="3" xfId="1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165" fontId="0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164" fontId="12" fillId="0" borderId="1" xfId="1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164" fontId="18" fillId="0" borderId="0" xfId="1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14" fillId="0" borderId="3" xfId="0" applyFont="1" applyBorder="1" applyAlignment="1">
      <alignment vertical="center"/>
    </xf>
    <xf numFmtId="164" fontId="18" fillId="0" borderId="1" xfId="1" applyFont="1" applyBorder="1" applyAlignment="1">
      <alignment vertical="center"/>
    </xf>
    <xf numFmtId="164" fontId="12" fillId="0" borderId="0" xfId="1" applyFont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165" fontId="0" fillId="0" borderId="3" xfId="0" applyNumberFormat="1" applyBorder="1" applyAlignment="1">
      <alignment horizontal="center" vertical="center"/>
    </xf>
    <xf numFmtId="164" fontId="12" fillId="0" borderId="3" xfId="1" applyFont="1" applyBorder="1" applyAlignment="1">
      <alignment vertical="center"/>
    </xf>
    <xf numFmtId="164" fontId="0" fillId="2" borderId="3" xfId="1" applyFont="1" applyFill="1" applyBorder="1" applyAlignment="1">
      <alignment vertical="center"/>
    </xf>
    <xf numFmtId="164" fontId="0" fillId="0" borderId="3" xfId="0" applyNumberFormat="1" applyBorder="1" applyAlignment="1">
      <alignment vertical="center"/>
    </xf>
    <xf numFmtId="0" fontId="16" fillId="7" borderId="3" xfId="0" applyFont="1" applyFill="1" applyBorder="1" applyAlignment="1">
      <alignment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164" fontId="14" fillId="0" borderId="1" xfId="1" applyFont="1" applyBorder="1" applyAlignment="1">
      <alignment vertical="center"/>
    </xf>
    <xf numFmtId="0" fontId="14" fillId="7" borderId="1" xfId="0" applyFont="1" applyFill="1" applyBorder="1" applyAlignment="1">
      <alignment vertical="center"/>
    </xf>
    <xf numFmtId="165" fontId="0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164" fontId="18" fillId="0" borderId="1" xfId="0" applyNumberFormat="1" applyFont="1" applyBorder="1" applyAlignment="1">
      <alignment vertical="center"/>
    </xf>
    <xf numFmtId="164" fontId="14" fillId="0" borderId="1" xfId="0" applyNumberFormat="1" applyFont="1" applyBorder="1" applyAlignment="1">
      <alignment vertical="center"/>
    </xf>
    <xf numFmtId="165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164" fontId="18" fillId="0" borderId="1" xfId="1" applyFont="1" applyBorder="1" applyAlignment="1">
      <alignment horizontal="right" vertical="center"/>
    </xf>
    <xf numFmtId="164" fontId="18" fillId="0" borderId="1" xfId="0" applyNumberFormat="1" applyFont="1" applyBorder="1" applyAlignment="1">
      <alignment horizontal="right" vertical="center"/>
    </xf>
    <xf numFmtId="0" fontId="18" fillId="4" borderId="1" xfId="0" applyFont="1" applyFill="1" applyBorder="1" applyAlignment="1">
      <alignment horizontal="center" vertical="center"/>
    </xf>
    <xf numFmtId="164" fontId="18" fillId="4" borderId="1" xfId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4" fontId="15" fillId="4" borderId="1" xfId="1" applyFont="1" applyFill="1" applyBorder="1" applyAlignment="1">
      <alignment horizontal="center" vertical="center"/>
    </xf>
    <xf numFmtId="164" fontId="0" fillId="4" borderId="1" xfId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164" fontId="14" fillId="5" borderId="1" xfId="1" applyFont="1" applyFill="1" applyBorder="1" applyAlignment="1">
      <alignment vertical="center"/>
    </xf>
    <xf numFmtId="164" fontId="14" fillId="9" borderId="1" xfId="1" applyFont="1" applyFill="1" applyBorder="1" applyAlignment="1">
      <alignment vertical="center"/>
    </xf>
    <xf numFmtId="164" fontId="14" fillId="10" borderId="1" xfId="1" applyFont="1" applyFill="1" applyBorder="1" applyAlignment="1">
      <alignment vertical="center"/>
    </xf>
    <xf numFmtId="164" fontId="0" fillId="10" borderId="1" xfId="1" applyFont="1" applyFill="1" applyBorder="1" applyAlignment="1">
      <alignment vertical="center"/>
    </xf>
    <xf numFmtId="164" fontId="18" fillId="10" borderId="1" xfId="1" applyFont="1" applyFill="1" applyBorder="1" applyAlignment="1">
      <alignment horizontal="right" vertical="center"/>
    </xf>
    <xf numFmtId="164" fontId="15" fillId="10" borderId="1" xfId="1" applyFont="1" applyFill="1" applyBorder="1" applyAlignment="1">
      <alignment horizontal="center" vertical="center"/>
    </xf>
    <xf numFmtId="0" fontId="16" fillId="8" borderId="0" xfId="0" applyFont="1" applyFill="1" applyAlignment="1">
      <alignment vertical="center"/>
    </xf>
    <xf numFmtId="4" fontId="16" fillId="8" borderId="0" xfId="0" applyNumberFormat="1" applyFont="1" applyFill="1" applyAlignment="1">
      <alignment vertical="center"/>
    </xf>
    <xf numFmtId="164" fontId="16" fillId="8" borderId="0" xfId="1" applyFont="1" applyFill="1" applyAlignment="1">
      <alignment vertical="center"/>
    </xf>
    <xf numFmtId="3" fontId="16" fillId="8" borderId="0" xfId="0" applyNumberFormat="1" applyFont="1" applyFill="1" applyAlignment="1">
      <alignment vertical="center"/>
    </xf>
    <xf numFmtId="164" fontId="16" fillId="8" borderId="0" xfId="0" applyNumberFormat="1" applyFont="1" applyFill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20" Type="http://schemas.openxmlformats.org/officeDocument/2006/relationships/externalLink" Target="externalLinks/externalLink14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1" Type="http://schemas.openxmlformats.org/officeDocument/2006/relationships/externalLink" Target="externalLinks/externalLink5.xml"/><Relationship Id="rId12" Type="http://schemas.openxmlformats.org/officeDocument/2006/relationships/externalLink" Target="externalLinks/externalLink6.xml"/><Relationship Id="rId13" Type="http://schemas.openxmlformats.org/officeDocument/2006/relationships/externalLink" Target="externalLinks/externalLink7.xml"/><Relationship Id="rId14" Type="http://schemas.openxmlformats.org/officeDocument/2006/relationships/externalLink" Target="externalLinks/externalLink8.xml"/><Relationship Id="rId15" Type="http://schemas.openxmlformats.org/officeDocument/2006/relationships/externalLink" Target="externalLinks/externalLink9.xml"/><Relationship Id="rId16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2.xml"/><Relationship Id="rId1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Anggota%20201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Agst%20-%2012%20Sept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Okt%20-%2012%20Nov%20201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Nov%20-%2012%20Des%20201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Data%20pemotongan%20iuran%20koperasi%20201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Pinjaman%20Anggota%20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Electronic%20Anggota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%20transaksi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Rekap%20Data%20Belanja%20%20Anggo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li%20-%2012%20Agustus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Sept-12%20Okt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motongan%20Mei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Mei%20-%2012%20Juni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ni%20-%2012%20Juli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njaman 2016"/>
      <sheetName val="Pinjaman 2017"/>
      <sheetName val="Belanja"/>
    </sheetNames>
    <sheetDataSet>
      <sheetData sheetId="0" refreshError="1">
        <row r="235">
          <cell r="E235">
            <v>66926200</v>
          </cell>
          <cell r="F235">
            <v>4805725</v>
          </cell>
          <cell r="G235">
            <v>67750000</v>
          </cell>
          <cell r="H235">
            <v>4560975</v>
          </cell>
          <cell r="I235">
            <v>72600000</v>
          </cell>
          <cell r="J235">
            <v>4616750</v>
          </cell>
          <cell r="K235">
            <v>76541666.670000002</v>
          </cell>
          <cell r="L235">
            <v>4743958.33</v>
          </cell>
          <cell r="M235">
            <v>80041666.670000002</v>
          </cell>
          <cell r="N235">
            <v>4865458.33</v>
          </cell>
          <cell r="O235">
            <v>76691666.670000002</v>
          </cell>
          <cell r="P235">
            <v>4623208.33</v>
          </cell>
          <cell r="Q235">
            <v>75866666.670000002</v>
          </cell>
          <cell r="R235">
            <v>4598833.33</v>
          </cell>
          <cell r="S235">
            <v>81366666.670000002</v>
          </cell>
          <cell r="T235">
            <v>4938083.33</v>
          </cell>
          <cell r="U235">
            <v>85366666.670000002</v>
          </cell>
          <cell r="V235">
            <v>5181333.33</v>
          </cell>
          <cell r="W235">
            <v>85050000</v>
          </cell>
          <cell r="X235">
            <v>5158625</v>
          </cell>
          <cell r="Y235">
            <v>80450000</v>
          </cell>
          <cell r="Z235">
            <v>4877625</v>
          </cell>
          <cell r="AA235">
            <v>80500000</v>
          </cell>
          <cell r="AB235">
            <v>4892625</v>
          </cell>
        </row>
      </sheetData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4">
          <cell r="E4">
            <v>249000</v>
          </cell>
        </row>
        <row r="7">
          <cell r="E7">
            <v>40000</v>
          </cell>
        </row>
        <row r="12">
          <cell r="E12">
            <v>138000</v>
          </cell>
        </row>
        <row r="35">
          <cell r="E35">
            <v>313500</v>
          </cell>
        </row>
        <row r="45">
          <cell r="E45">
            <v>807350</v>
          </cell>
        </row>
        <row r="69">
          <cell r="E69">
            <v>69000</v>
          </cell>
        </row>
        <row r="83">
          <cell r="E83">
            <v>272500</v>
          </cell>
        </row>
        <row r="90">
          <cell r="E90">
            <v>385000</v>
          </cell>
        </row>
        <row r="95">
          <cell r="E95">
            <v>88500</v>
          </cell>
        </row>
        <row r="104">
          <cell r="E104">
            <v>115000</v>
          </cell>
        </row>
        <row r="110">
          <cell r="E110">
            <v>182000</v>
          </cell>
        </row>
        <row r="128">
          <cell r="E128">
            <v>468050</v>
          </cell>
        </row>
        <row r="138">
          <cell r="E138">
            <v>252000</v>
          </cell>
        </row>
        <row r="147">
          <cell r="E147">
            <v>140000</v>
          </cell>
        </row>
        <row r="164">
          <cell r="E164">
            <v>225500</v>
          </cell>
        </row>
        <row r="181">
          <cell r="E181">
            <v>437000</v>
          </cell>
        </row>
        <row r="197">
          <cell r="E197">
            <v>992000</v>
          </cell>
        </row>
        <row r="209">
          <cell r="E209">
            <v>996000</v>
          </cell>
        </row>
        <row r="212">
          <cell r="E212">
            <v>138000</v>
          </cell>
        </row>
        <row r="220">
          <cell r="E220">
            <v>194000</v>
          </cell>
        </row>
        <row r="239">
          <cell r="E239">
            <v>405250</v>
          </cell>
        </row>
        <row r="283">
          <cell r="E283">
            <v>395000</v>
          </cell>
        </row>
        <row r="321">
          <cell r="E321">
            <v>523500</v>
          </cell>
        </row>
        <row r="326">
          <cell r="E326">
            <v>62000</v>
          </cell>
        </row>
        <row r="339">
          <cell r="E339">
            <v>219000</v>
          </cell>
        </row>
        <row r="341">
          <cell r="E341">
            <v>230000</v>
          </cell>
        </row>
        <row r="346">
          <cell r="E346">
            <v>998600</v>
          </cell>
        </row>
        <row r="360">
          <cell r="E360">
            <v>225000</v>
          </cell>
        </row>
        <row r="364">
          <cell r="E364">
            <v>39000</v>
          </cell>
        </row>
        <row r="367">
          <cell r="E367">
            <v>174000</v>
          </cell>
        </row>
        <row r="369">
          <cell r="E369">
            <v>56000</v>
          </cell>
        </row>
        <row r="378">
          <cell r="E378">
            <v>910500</v>
          </cell>
        </row>
        <row r="388">
          <cell r="E388">
            <v>564000</v>
          </cell>
        </row>
        <row r="392">
          <cell r="E392">
            <v>236500</v>
          </cell>
        </row>
        <row r="401">
          <cell r="E401">
            <v>250000</v>
          </cell>
        </row>
        <row r="427">
          <cell r="E427">
            <v>861000</v>
          </cell>
        </row>
        <row r="436">
          <cell r="E436">
            <v>203000</v>
          </cell>
        </row>
        <row r="443">
          <cell r="E443">
            <v>278000</v>
          </cell>
        </row>
        <row r="454">
          <cell r="E454">
            <v>688000</v>
          </cell>
        </row>
        <row r="466">
          <cell r="E466">
            <v>174000</v>
          </cell>
        </row>
        <row r="473">
          <cell r="E473">
            <v>196000</v>
          </cell>
        </row>
        <row r="478">
          <cell r="E478">
            <v>185000</v>
          </cell>
        </row>
        <row r="526">
          <cell r="E526">
            <v>255500</v>
          </cell>
        </row>
        <row r="530">
          <cell r="E530">
            <v>14000</v>
          </cell>
        </row>
        <row r="538">
          <cell r="E538">
            <v>388000</v>
          </cell>
        </row>
        <row r="553">
          <cell r="E553">
            <v>477000</v>
          </cell>
        </row>
        <row r="571">
          <cell r="E571">
            <v>260000</v>
          </cell>
        </row>
        <row r="672">
          <cell r="E672">
            <v>780750</v>
          </cell>
        </row>
        <row r="674">
          <cell r="E674">
            <v>32500</v>
          </cell>
        </row>
        <row r="682">
          <cell r="E682">
            <v>71000</v>
          </cell>
        </row>
        <row r="685">
          <cell r="E685">
            <v>170000</v>
          </cell>
        </row>
        <row r="715">
          <cell r="E715">
            <v>448500</v>
          </cell>
        </row>
        <row r="740">
          <cell r="E740">
            <v>436000</v>
          </cell>
        </row>
        <row r="756">
          <cell r="E756">
            <v>116500</v>
          </cell>
        </row>
        <row r="780">
          <cell r="E780">
            <v>999250</v>
          </cell>
        </row>
        <row r="795">
          <cell r="E795">
            <v>23000</v>
          </cell>
        </row>
        <row r="800">
          <cell r="E800">
            <v>50000</v>
          </cell>
        </row>
        <row r="820">
          <cell r="E820">
            <v>532000</v>
          </cell>
        </row>
        <row r="823">
          <cell r="E823">
            <v>162500</v>
          </cell>
        </row>
        <row r="843">
          <cell r="E843">
            <v>374500</v>
          </cell>
        </row>
        <row r="860">
          <cell r="E860">
            <v>351000</v>
          </cell>
        </row>
        <row r="875">
          <cell r="E875">
            <v>623500</v>
          </cell>
        </row>
        <row r="887">
          <cell r="E887">
            <v>673000</v>
          </cell>
        </row>
        <row r="890">
          <cell r="E890">
            <v>348000</v>
          </cell>
        </row>
        <row r="893">
          <cell r="E893">
            <v>46000</v>
          </cell>
        </row>
        <row r="905">
          <cell r="E905">
            <v>42000</v>
          </cell>
        </row>
        <row r="908">
          <cell r="E908">
            <v>225500</v>
          </cell>
        </row>
        <row r="930">
          <cell r="E930">
            <v>211000</v>
          </cell>
        </row>
        <row r="944">
          <cell r="E944">
            <v>358250</v>
          </cell>
        </row>
        <row r="967">
          <cell r="E967">
            <v>329000</v>
          </cell>
        </row>
        <row r="971">
          <cell r="E971">
            <v>14000</v>
          </cell>
        </row>
        <row r="1058">
          <cell r="E1058">
            <v>943250</v>
          </cell>
        </row>
        <row r="1065">
          <cell r="E1065">
            <v>90000</v>
          </cell>
        </row>
        <row r="1084">
          <cell r="E1084">
            <v>482750</v>
          </cell>
        </row>
        <row r="1105">
          <cell r="E1105">
            <v>495500</v>
          </cell>
        </row>
        <row r="1111">
          <cell r="E1111">
            <v>504500</v>
          </cell>
        </row>
        <row r="1120">
          <cell r="E1120">
            <v>315000</v>
          </cell>
        </row>
        <row r="1129">
          <cell r="E1129">
            <v>992500</v>
          </cell>
        </row>
        <row r="1134">
          <cell r="E1134">
            <v>103000</v>
          </cell>
        </row>
        <row r="1143">
          <cell r="E1143">
            <v>106000</v>
          </cell>
        </row>
        <row r="1148">
          <cell r="E1148">
            <v>31000</v>
          </cell>
        </row>
        <row r="1154">
          <cell r="E1154">
            <v>962500</v>
          </cell>
        </row>
        <row r="1156">
          <cell r="E1156">
            <v>10000</v>
          </cell>
        </row>
        <row r="1168">
          <cell r="E1168">
            <v>299500</v>
          </cell>
        </row>
        <row r="1176">
          <cell r="E1176">
            <v>265000</v>
          </cell>
        </row>
        <row r="1178">
          <cell r="E1178">
            <v>110000</v>
          </cell>
        </row>
        <row r="1221">
          <cell r="E1221">
            <v>337000</v>
          </cell>
        </row>
        <row r="1251">
          <cell r="E1251">
            <v>871500</v>
          </cell>
        </row>
        <row r="1261">
          <cell r="E1261">
            <v>195000</v>
          </cell>
        </row>
        <row r="1265">
          <cell r="E1265">
            <v>808800</v>
          </cell>
        </row>
        <row r="1271">
          <cell r="E1271">
            <v>72500</v>
          </cell>
        </row>
        <row r="1301">
          <cell r="E1301">
            <v>582500</v>
          </cell>
        </row>
        <row r="1319">
          <cell r="E1319">
            <v>415000</v>
          </cell>
        </row>
        <row r="1331">
          <cell r="E1331">
            <v>310000</v>
          </cell>
        </row>
        <row r="1333">
          <cell r="E1333">
            <v>2000</v>
          </cell>
        </row>
        <row r="1335">
          <cell r="E1335">
            <v>153000</v>
          </cell>
        </row>
        <row r="1341">
          <cell r="E1341">
            <v>60000</v>
          </cell>
        </row>
        <row r="1346">
          <cell r="E1346">
            <v>56000</v>
          </cell>
        </row>
        <row r="1351">
          <cell r="E1351">
            <v>197000</v>
          </cell>
        </row>
        <row r="1361">
          <cell r="E1361">
            <v>303000</v>
          </cell>
        </row>
        <row r="1383">
          <cell r="E1383">
            <v>697500</v>
          </cell>
        </row>
        <row r="1389">
          <cell r="E1389">
            <v>304000</v>
          </cell>
        </row>
        <row r="1415">
          <cell r="E1415">
            <v>285000</v>
          </cell>
        </row>
        <row r="1424">
          <cell r="E1424">
            <v>361000</v>
          </cell>
        </row>
        <row r="1428">
          <cell r="E1428">
            <v>280000</v>
          </cell>
        </row>
        <row r="1442">
          <cell r="E1442">
            <v>382000</v>
          </cell>
        </row>
        <row r="1447">
          <cell r="E1447">
            <v>27000</v>
          </cell>
        </row>
        <row r="1467">
          <cell r="E1467">
            <v>230500</v>
          </cell>
        </row>
        <row r="1470">
          <cell r="E1470">
            <v>41000</v>
          </cell>
        </row>
        <row r="1475">
          <cell r="E1475">
            <v>51000</v>
          </cell>
        </row>
        <row r="1496">
          <cell r="E1496">
            <v>232000</v>
          </cell>
        </row>
        <row r="1504">
          <cell r="E1504">
            <v>139000</v>
          </cell>
        </row>
        <row r="1528">
          <cell r="E1528">
            <v>511000</v>
          </cell>
        </row>
        <row r="1563">
          <cell r="E1563">
            <v>496750</v>
          </cell>
        </row>
        <row r="1565">
          <cell r="E1565">
            <v>246000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Kredit"/>
    </sheetNames>
    <sheetDataSet>
      <sheetData sheetId="0"/>
      <sheetData sheetId="1"/>
      <sheetData sheetId="2">
        <row r="5">
          <cell r="E5">
            <v>341000</v>
          </cell>
        </row>
        <row r="8">
          <cell r="E8">
            <v>191000</v>
          </cell>
        </row>
        <row r="14">
          <cell r="E14">
            <v>141200</v>
          </cell>
        </row>
        <row r="16">
          <cell r="E16">
            <v>20000</v>
          </cell>
        </row>
        <row r="38">
          <cell r="E38">
            <v>297500</v>
          </cell>
        </row>
        <row r="50">
          <cell r="E50">
            <v>668350</v>
          </cell>
        </row>
        <row r="87">
          <cell r="E87">
            <v>137000</v>
          </cell>
        </row>
        <row r="105">
          <cell r="E105">
            <v>153000</v>
          </cell>
        </row>
        <row r="107">
          <cell r="E107">
            <v>108000</v>
          </cell>
        </row>
        <row r="113">
          <cell r="E113">
            <v>56000</v>
          </cell>
        </row>
        <row r="119">
          <cell r="E119">
            <v>157500</v>
          </cell>
        </row>
        <row r="127">
          <cell r="E127">
            <v>390000</v>
          </cell>
        </row>
        <row r="149">
          <cell r="E149">
            <v>864500</v>
          </cell>
        </row>
        <row r="160">
          <cell r="E160">
            <v>304000</v>
          </cell>
        </row>
        <row r="167">
          <cell r="E167">
            <v>91000</v>
          </cell>
        </row>
        <row r="196">
          <cell r="E196">
            <v>342000</v>
          </cell>
        </row>
        <row r="218">
          <cell r="E218">
            <v>411000</v>
          </cell>
        </row>
        <row r="223">
          <cell r="E223">
            <v>113000</v>
          </cell>
        </row>
        <row r="226">
          <cell r="E226">
            <v>190000</v>
          </cell>
        </row>
        <row r="241">
          <cell r="E241">
            <v>964000</v>
          </cell>
        </row>
        <row r="252">
          <cell r="E252">
            <v>995200</v>
          </cell>
        </row>
        <row r="257">
          <cell r="E257">
            <v>208500</v>
          </cell>
        </row>
        <row r="259">
          <cell r="E259">
            <v>20000</v>
          </cell>
        </row>
        <row r="266">
          <cell r="E266">
            <v>390000</v>
          </cell>
        </row>
        <row r="285">
          <cell r="E285">
            <v>320500</v>
          </cell>
        </row>
        <row r="299">
          <cell r="E299">
            <v>169000</v>
          </cell>
        </row>
        <row r="320">
          <cell r="E320">
            <v>637500</v>
          </cell>
        </row>
        <row r="345">
          <cell r="E345">
            <v>40000</v>
          </cell>
        </row>
        <row r="353">
          <cell r="E353">
            <v>295000</v>
          </cell>
        </row>
        <row r="366">
          <cell r="E366">
            <v>140000</v>
          </cell>
        </row>
        <row r="369">
          <cell r="E369">
            <v>350000</v>
          </cell>
        </row>
        <row r="377">
          <cell r="E377">
            <v>105000</v>
          </cell>
        </row>
        <row r="385">
          <cell r="E385">
            <v>155500</v>
          </cell>
        </row>
        <row r="393">
          <cell r="E393">
            <v>124000</v>
          </cell>
        </row>
        <row r="396">
          <cell r="E396">
            <v>201500</v>
          </cell>
        </row>
        <row r="423">
          <cell r="E423">
            <v>273000</v>
          </cell>
        </row>
        <row r="425">
          <cell r="E425">
            <v>21000</v>
          </cell>
        </row>
        <row r="446">
          <cell r="E446">
            <v>535000</v>
          </cell>
        </row>
        <row r="456">
          <cell r="E456">
            <v>74500</v>
          </cell>
        </row>
        <row r="461">
          <cell r="E461">
            <v>79000</v>
          </cell>
        </row>
        <row r="463">
          <cell r="E463">
            <v>110000</v>
          </cell>
        </row>
        <row r="473">
          <cell r="E473">
            <v>671000</v>
          </cell>
        </row>
        <row r="476">
          <cell r="E476">
            <v>359000</v>
          </cell>
        </row>
        <row r="484">
          <cell r="E484">
            <v>636000</v>
          </cell>
        </row>
        <row r="490">
          <cell r="E490">
            <v>436000</v>
          </cell>
        </row>
        <row r="515">
          <cell r="E515">
            <v>997900</v>
          </cell>
        </row>
        <row r="537">
          <cell r="E537">
            <v>503000</v>
          </cell>
        </row>
        <row r="544">
          <cell r="E544">
            <v>301000</v>
          </cell>
        </row>
        <row r="558">
          <cell r="E558">
            <v>792000</v>
          </cell>
        </row>
        <row r="569">
          <cell r="E569">
            <v>217000</v>
          </cell>
        </row>
        <row r="582">
          <cell r="E582">
            <v>315000</v>
          </cell>
        </row>
        <row r="584">
          <cell r="E584">
            <v>40000</v>
          </cell>
        </row>
        <row r="613">
          <cell r="E613">
            <v>90500</v>
          </cell>
        </row>
        <row r="615">
          <cell r="E615">
            <v>120000</v>
          </cell>
        </row>
        <row r="621">
          <cell r="E621">
            <v>101500</v>
          </cell>
        </row>
        <row r="636">
          <cell r="E636">
            <v>396500</v>
          </cell>
        </row>
        <row r="644">
          <cell r="E644">
            <v>172000</v>
          </cell>
        </row>
        <row r="650">
          <cell r="E650">
            <v>68000</v>
          </cell>
        </row>
        <row r="698">
          <cell r="E698">
            <v>999500</v>
          </cell>
        </row>
        <row r="701">
          <cell r="E701">
            <v>37000</v>
          </cell>
        </row>
        <row r="718">
          <cell r="E718">
            <v>275500</v>
          </cell>
        </row>
        <row r="742">
          <cell r="E742">
            <v>463000</v>
          </cell>
        </row>
        <row r="772">
          <cell r="E772">
            <v>833500</v>
          </cell>
        </row>
        <row r="786">
          <cell r="E786">
            <v>122500</v>
          </cell>
        </row>
        <row r="811">
          <cell r="E811">
            <v>858750</v>
          </cell>
        </row>
        <row r="817">
          <cell r="E817">
            <v>48000</v>
          </cell>
        </row>
        <row r="819">
          <cell r="E819">
            <v>36000</v>
          </cell>
        </row>
        <row r="847">
          <cell r="E847">
            <v>394500</v>
          </cell>
        </row>
        <row r="849">
          <cell r="E849">
            <v>110000</v>
          </cell>
        </row>
        <row r="852">
          <cell r="E852">
            <v>283000</v>
          </cell>
        </row>
        <row r="877">
          <cell r="E877">
            <v>327000</v>
          </cell>
        </row>
        <row r="901">
          <cell r="E901">
            <v>381500</v>
          </cell>
        </row>
        <row r="916">
          <cell r="E916">
            <v>240750</v>
          </cell>
        </row>
        <row r="922">
          <cell r="E922">
            <v>386000</v>
          </cell>
        </row>
        <row r="926">
          <cell r="E926">
            <v>48000</v>
          </cell>
        </row>
        <row r="931">
          <cell r="E931">
            <v>302000</v>
          </cell>
        </row>
        <row r="935">
          <cell r="E935">
            <v>27000</v>
          </cell>
        </row>
        <row r="951">
          <cell r="E951">
            <v>283000</v>
          </cell>
        </row>
        <row r="953">
          <cell r="E953">
            <v>130500</v>
          </cell>
        </row>
        <row r="957">
          <cell r="E957">
            <v>109500</v>
          </cell>
        </row>
        <row r="963">
          <cell r="E963">
            <v>61500</v>
          </cell>
        </row>
        <row r="976">
          <cell r="E976">
            <v>319500</v>
          </cell>
        </row>
        <row r="979">
          <cell r="E979">
            <v>31000</v>
          </cell>
        </row>
        <row r="1006">
          <cell r="E1006">
            <v>177500</v>
          </cell>
        </row>
        <row r="1039">
          <cell r="E1039">
            <v>983500</v>
          </cell>
        </row>
        <row r="1063">
          <cell r="E1063">
            <v>774000</v>
          </cell>
        </row>
        <row r="1090">
          <cell r="E1090">
            <v>611000</v>
          </cell>
        </row>
        <row r="1094">
          <cell r="E1094">
            <v>553500</v>
          </cell>
        </row>
        <row r="1103">
          <cell r="E1103">
            <v>476600</v>
          </cell>
        </row>
        <row r="1108">
          <cell r="E1108">
            <v>1000000</v>
          </cell>
        </row>
        <row r="1110">
          <cell r="E1110">
            <v>110000</v>
          </cell>
        </row>
        <row r="1117">
          <cell r="E1117">
            <v>118500</v>
          </cell>
        </row>
        <row r="1132">
          <cell r="E1132">
            <v>132000</v>
          </cell>
        </row>
        <row r="1140">
          <cell r="E1140">
            <v>350500</v>
          </cell>
        </row>
        <row r="1142">
          <cell r="E1142">
            <v>812500</v>
          </cell>
        </row>
        <row r="1144">
          <cell r="E1144">
            <v>6000</v>
          </cell>
        </row>
        <row r="1157">
          <cell r="E1157">
            <v>296000</v>
          </cell>
        </row>
        <row r="1163">
          <cell r="E1163">
            <v>200000</v>
          </cell>
        </row>
        <row r="1212">
          <cell r="E1212">
            <v>276500</v>
          </cell>
        </row>
        <row r="1244">
          <cell r="E1244">
            <v>882750</v>
          </cell>
        </row>
        <row r="1252">
          <cell r="E1252">
            <v>280000</v>
          </cell>
        </row>
        <row r="1260">
          <cell r="E1260">
            <v>983600</v>
          </cell>
        </row>
        <row r="1269">
          <cell r="E1269">
            <v>104000</v>
          </cell>
        </row>
        <row r="1306">
          <cell r="E1306">
            <v>406500</v>
          </cell>
        </row>
        <row r="1336">
          <cell r="E1336">
            <v>315000</v>
          </cell>
        </row>
        <row r="1338">
          <cell r="E1338">
            <v>200000</v>
          </cell>
        </row>
        <row r="1342">
          <cell r="E1342">
            <v>85000</v>
          </cell>
        </row>
        <row r="1344">
          <cell r="E1344">
            <v>210000</v>
          </cell>
        </row>
        <row r="1351">
          <cell r="E1351">
            <v>143000</v>
          </cell>
        </row>
        <row r="1355">
          <cell r="E1355">
            <v>222000</v>
          </cell>
        </row>
        <row r="1368">
          <cell r="E1368">
            <v>442000</v>
          </cell>
        </row>
        <row r="1392">
          <cell r="E1392">
            <v>583000</v>
          </cell>
        </row>
        <row r="1397">
          <cell r="E1397">
            <v>296100</v>
          </cell>
        </row>
        <row r="1428">
          <cell r="E1428">
            <v>462000</v>
          </cell>
        </row>
        <row r="1435">
          <cell r="E1435">
            <v>672000</v>
          </cell>
        </row>
        <row r="1440">
          <cell r="E1440">
            <v>317000</v>
          </cell>
        </row>
        <row r="1456">
          <cell r="E1456">
            <v>272500</v>
          </cell>
        </row>
        <row r="1462">
          <cell r="E1462">
            <v>59500</v>
          </cell>
        </row>
        <row r="1497">
          <cell r="E1497">
            <v>359000</v>
          </cell>
        </row>
        <row r="1506">
          <cell r="E1506">
            <v>98500</v>
          </cell>
        </row>
        <row r="1513">
          <cell r="E1513">
            <v>412500</v>
          </cell>
        </row>
        <row r="1539">
          <cell r="E1539">
            <v>271000</v>
          </cell>
        </row>
        <row r="1545">
          <cell r="E1545">
            <v>169500</v>
          </cell>
        </row>
        <row r="1573">
          <cell r="E1573">
            <v>604500</v>
          </cell>
        </row>
        <row r="1577">
          <cell r="E1577">
            <v>33000</v>
          </cell>
        </row>
        <row r="1579">
          <cell r="E1579">
            <v>3000</v>
          </cell>
        </row>
        <row r="1614">
          <cell r="E1614">
            <v>850000</v>
          </cell>
        </row>
        <row r="1623">
          <cell r="E1623">
            <v>239000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5">
          <cell r="E5">
            <v>342000</v>
          </cell>
        </row>
        <row r="8">
          <cell r="E8">
            <v>173500</v>
          </cell>
        </row>
        <row r="13">
          <cell r="E13">
            <v>65000</v>
          </cell>
        </row>
        <row r="15">
          <cell r="E15">
            <v>8000</v>
          </cell>
        </row>
        <row r="29">
          <cell r="E29">
            <v>464000</v>
          </cell>
        </row>
        <row r="40">
          <cell r="E40">
            <v>641250</v>
          </cell>
        </row>
        <row r="68">
          <cell r="E68">
            <v>121000</v>
          </cell>
        </row>
        <row r="94">
          <cell r="E94">
            <v>337500</v>
          </cell>
        </row>
        <row r="96">
          <cell r="E96">
            <v>14000</v>
          </cell>
        </row>
        <row r="99">
          <cell r="E99">
            <v>67000</v>
          </cell>
        </row>
        <row r="106">
          <cell r="E106">
            <v>182000</v>
          </cell>
        </row>
        <row r="111">
          <cell r="E111">
            <v>91500</v>
          </cell>
        </row>
        <row r="131">
          <cell r="E131">
            <v>622000</v>
          </cell>
        </row>
        <row r="138">
          <cell r="E138">
            <v>214000</v>
          </cell>
        </row>
        <row r="144">
          <cell r="E144">
            <v>72000</v>
          </cell>
        </row>
        <row r="170">
          <cell r="E170">
            <v>308000</v>
          </cell>
        </row>
        <row r="191">
          <cell r="E191">
            <v>263000</v>
          </cell>
        </row>
        <row r="194">
          <cell r="E194">
            <v>45000</v>
          </cell>
        </row>
        <row r="196">
          <cell r="E196">
            <v>4000</v>
          </cell>
        </row>
        <row r="217">
          <cell r="E217">
            <v>923250</v>
          </cell>
        </row>
        <row r="231">
          <cell r="E231">
            <v>996500</v>
          </cell>
        </row>
        <row r="238">
          <cell r="E238">
            <v>317500</v>
          </cell>
        </row>
        <row r="244">
          <cell r="E244">
            <v>244500</v>
          </cell>
        </row>
        <row r="268">
          <cell r="E268">
            <v>429000</v>
          </cell>
        </row>
        <row r="294">
          <cell r="E294">
            <v>487500</v>
          </cell>
        </row>
        <row r="327">
          <cell r="E327">
            <v>848450</v>
          </cell>
        </row>
        <row r="355">
          <cell r="E355">
            <v>20000</v>
          </cell>
        </row>
        <row r="362">
          <cell r="E362">
            <v>70000</v>
          </cell>
        </row>
        <row r="377">
          <cell r="E377">
            <v>403500</v>
          </cell>
        </row>
        <row r="382">
          <cell r="E382">
            <v>90000</v>
          </cell>
        </row>
        <row r="389">
          <cell r="E389">
            <v>54000</v>
          </cell>
        </row>
        <row r="398">
          <cell r="E398">
            <v>157500</v>
          </cell>
        </row>
        <row r="408">
          <cell r="E408">
            <v>78000</v>
          </cell>
        </row>
        <row r="410">
          <cell r="E410">
            <v>15500</v>
          </cell>
        </row>
        <row r="436">
          <cell r="E436">
            <v>441500</v>
          </cell>
        </row>
        <row r="446">
          <cell r="E446">
            <v>78000</v>
          </cell>
        </row>
        <row r="448">
          <cell r="E448">
            <v>66000</v>
          </cell>
        </row>
        <row r="451">
          <cell r="E451">
            <v>323000</v>
          </cell>
        </row>
        <row r="461">
          <cell r="E461">
            <v>799400</v>
          </cell>
        </row>
        <row r="468">
          <cell r="E468">
            <v>498500</v>
          </cell>
        </row>
        <row r="473">
          <cell r="E473">
            <v>429500</v>
          </cell>
        </row>
        <row r="479">
          <cell r="E479">
            <v>520000</v>
          </cell>
        </row>
        <row r="502">
          <cell r="E502">
            <v>740500</v>
          </cell>
        </row>
        <row r="523">
          <cell r="E523">
            <v>454500</v>
          </cell>
        </row>
        <row r="525">
          <cell r="E525">
            <v>129000</v>
          </cell>
        </row>
        <row r="537">
          <cell r="E537">
            <v>517000</v>
          </cell>
        </row>
        <row r="548">
          <cell r="E548">
            <v>223500</v>
          </cell>
        </row>
        <row r="557">
          <cell r="E557">
            <v>418500</v>
          </cell>
        </row>
        <row r="565">
          <cell r="E565">
            <v>477500</v>
          </cell>
        </row>
        <row r="583">
          <cell r="E583">
            <v>218500</v>
          </cell>
        </row>
        <row r="587">
          <cell r="E587">
            <v>370000</v>
          </cell>
        </row>
        <row r="599">
          <cell r="E599">
            <v>469000</v>
          </cell>
        </row>
        <row r="610">
          <cell r="E610">
            <v>392500</v>
          </cell>
        </row>
        <row r="612">
          <cell r="E612">
            <v>3000</v>
          </cell>
        </row>
        <row r="618">
          <cell r="E618">
            <v>348000</v>
          </cell>
        </row>
        <row r="653">
          <cell r="E653">
            <v>992250</v>
          </cell>
        </row>
        <row r="655">
          <cell r="E655">
            <v>16000</v>
          </cell>
        </row>
        <row r="664">
          <cell r="E664">
            <v>256000</v>
          </cell>
        </row>
        <row r="667">
          <cell r="E667">
            <v>268000</v>
          </cell>
        </row>
        <row r="691">
          <cell r="E691">
            <v>468000</v>
          </cell>
        </row>
        <row r="710">
          <cell r="E710">
            <v>367500</v>
          </cell>
        </row>
        <row r="720">
          <cell r="E720">
            <v>138000</v>
          </cell>
        </row>
        <row r="745">
          <cell r="E745">
            <v>999000</v>
          </cell>
        </row>
        <row r="749">
          <cell r="E749">
            <v>47000</v>
          </cell>
        </row>
        <row r="752">
          <cell r="E752">
            <v>13000</v>
          </cell>
        </row>
        <row r="783">
          <cell r="E783">
            <v>573000</v>
          </cell>
        </row>
        <row r="787">
          <cell r="E787">
            <v>269500</v>
          </cell>
        </row>
        <row r="807">
          <cell r="E807">
            <v>393000</v>
          </cell>
        </row>
        <row r="827">
          <cell r="E827">
            <v>381500</v>
          </cell>
        </row>
        <row r="846">
          <cell r="E846">
            <v>139500</v>
          </cell>
        </row>
        <row r="849">
          <cell r="E849">
            <v>385000</v>
          </cell>
        </row>
        <row r="853">
          <cell r="E853">
            <v>9000</v>
          </cell>
        </row>
        <row r="859">
          <cell r="E859">
            <v>383500</v>
          </cell>
        </row>
        <row r="864">
          <cell r="E864">
            <v>105000</v>
          </cell>
        </row>
        <row r="879">
          <cell r="E879">
            <v>249000</v>
          </cell>
        </row>
        <row r="886">
          <cell r="E886">
            <v>99000</v>
          </cell>
        </row>
        <row r="896">
          <cell r="E896">
            <v>457500</v>
          </cell>
        </row>
        <row r="916">
          <cell r="E916">
            <v>366500</v>
          </cell>
        </row>
        <row r="918">
          <cell r="E918">
            <v>200000</v>
          </cell>
        </row>
        <row r="922">
          <cell r="E922">
            <v>96500</v>
          </cell>
        </row>
        <row r="956">
          <cell r="E956">
            <v>869000</v>
          </cell>
        </row>
        <row r="959">
          <cell r="E959">
            <v>30000</v>
          </cell>
        </row>
        <row r="982">
          <cell r="E982">
            <v>754000</v>
          </cell>
        </row>
        <row r="1008">
          <cell r="E1008">
            <v>584000</v>
          </cell>
        </row>
        <row r="1013">
          <cell r="E1013">
            <v>727000</v>
          </cell>
        </row>
        <row r="1021">
          <cell r="E1021">
            <v>214500</v>
          </cell>
        </row>
        <row r="1023">
          <cell r="E1023">
            <v>997000</v>
          </cell>
        </row>
        <row r="1028">
          <cell r="E1028">
            <v>120000</v>
          </cell>
        </row>
        <row r="1048">
          <cell r="E1048">
            <v>154000</v>
          </cell>
        </row>
        <row r="1063">
          <cell r="E1063">
            <v>244500</v>
          </cell>
        </row>
        <row r="1067">
          <cell r="E1067">
            <v>693500</v>
          </cell>
        </row>
        <row r="1080">
          <cell r="E1080">
            <v>358000</v>
          </cell>
        </row>
        <row r="1084">
          <cell r="E1084">
            <v>215500</v>
          </cell>
        </row>
        <row r="1116">
          <cell r="E1116">
            <v>284000</v>
          </cell>
        </row>
        <row r="1157">
          <cell r="E1157">
            <v>998500</v>
          </cell>
        </row>
        <row r="1162">
          <cell r="E1162">
            <v>93500</v>
          </cell>
        </row>
        <row r="1170">
          <cell r="E1170">
            <v>812500</v>
          </cell>
        </row>
        <row r="1176">
          <cell r="E1176">
            <v>55500</v>
          </cell>
        </row>
        <row r="1212">
          <cell r="E1212">
            <v>532500</v>
          </cell>
        </row>
        <row r="1237">
          <cell r="E1237">
            <v>423100</v>
          </cell>
        </row>
        <row r="1242">
          <cell r="E1242">
            <v>273000</v>
          </cell>
        </row>
        <row r="1245">
          <cell r="E1245">
            <v>153000</v>
          </cell>
        </row>
        <row r="1258">
          <cell r="E1258">
            <v>149000</v>
          </cell>
        </row>
        <row r="1262">
          <cell r="E1262">
            <v>227500</v>
          </cell>
        </row>
        <row r="1264">
          <cell r="E1264">
            <v>133500</v>
          </cell>
        </row>
        <row r="1275">
          <cell r="E1275">
            <v>319000</v>
          </cell>
        </row>
        <row r="1307">
          <cell r="E1307">
            <v>543000</v>
          </cell>
        </row>
        <row r="1311">
          <cell r="E1311">
            <v>273500</v>
          </cell>
        </row>
        <row r="1342">
          <cell r="E1342">
            <v>407000</v>
          </cell>
        </row>
        <row r="1348">
          <cell r="E1348">
            <v>581000</v>
          </cell>
        </row>
        <row r="1353">
          <cell r="E1353">
            <v>342000</v>
          </cell>
        </row>
        <row r="1365">
          <cell r="E1365">
            <v>443000</v>
          </cell>
        </row>
        <row r="1370">
          <cell r="E1370">
            <v>57000</v>
          </cell>
        </row>
        <row r="1397">
          <cell r="E1397">
            <v>366500</v>
          </cell>
        </row>
        <row r="1401">
          <cell r="E1401">
            <v>50000</v>
          </cell>
        </row>
        <row r="1409">
          <cell r="E1409">
            <v>155000</v>
          </cell>
        </row>
        <row r="1422">
          <cell r="E1422">
            <v>133000</v>
          </cell>
        </row>
        <row r="1430">
          <cell r="E1430">
            <v>146500</v>
          </cell>
        </row>
        <row r="1463">
          <cell r="E1463">
            <v>474500</v>
          </cell>
        </row>
        <row r="1465">
          <cell r="E1465">
            <v>12500</v>
          </cell>
        </row>
        <row r="1509">
          <cell r="E1509">
            <v>785000</v>
          </cell>
        </row>
        <row r="1527">
          <cell r="E1527">
            <v>414000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Januari"/>
      <sheetName val="Kasbon Jan "/>
      <sheetName val="Februari"/>
      <sheetName val="Kasbon Feb"/>
      <sheetName val="Maret"/>
      <sheetName val="Kasbon Mar"/>
      <sheetName val="April"/>
      <sheetName val="Kasbon April"/>
      <sheetName val="Mei"/>
      <sheetName val="Kasbon Mei"/>
      <sheetName val="Juni"/>
      <sheetName val="Kasbon Juni"/>
      <sheetName val="Juli"/>
      <sheetName val="Kasbon Juli"/>
      <sheetName val="Agustus"/>
      <sheetName val="Kasbon Agustus"/>
      <sheetName val="September"/>
      <sheetName val="Sept 2"/>
      <sheetName val="Kasbon Sept"/>
      <sheetName val="Oktober"/>
      <sheetName val="Kasbon Okt"/>
      <sheetName val="November"/>
      <sheetName val="Kasbon Nov"/>
      <sheetName val="Desember"/>
      <sheetName val="Kasbon Des"/>
      <sheetName val="Rekap 1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9">
          <cell r="Q49">
            <v>32499.666666666668</v>
          </cell>
        </row>
      </sheetData>
      <sheetData sheetId="8"/>
      <sheetData sheetId="9">
        <row r="57">
          <cell r="Q57">
            <v>47500</v>
          </cell>
        </row>
      </sheetData>
      <sheetData sheetId="10"/>
      <sheetData sheetId="11">
        <row r="50">
          <cell r="R50">
            <v>7500</v>
          </cell>
        </row>
      </sheetData>
      <sheetData sheetId="12"/>
      <sheetData sheetId="13">
        <row r="56">
          <cell r="Q56">
            <v>45000</v>
          </cell>
        </row>
      </sheetData>
      <sheetData sheetId="14"/>
      <sheetData sheetId="15">
        <row r="55">
          <cell r="Q55">
            <v>45000</v>
          </cell>
        </row>
      </sheetData>
      <sheetData sheetId="16"/>
      <sheetData sheetId="17"/>
      <sheetData sheetId="18">
        <row r="57">
          <cell r="R57">
            <v>45000</v>
          </cell>
        </row>
      </sheetData>
      <sheetData sheetId="19"/>
      <sheetData sheetId="20">
        <row r="48">
          <cell r="R48">
            <v>45000</v>
          </cell>
        </row>
      </sheetData>
      <sheetData sheetId="21"/>
      <sheetData sheetId="22">
        <row r="46">
          <cell r="R46">
            <v>7500</v>
          </cell>
        </row>
      </sheetData>
      <sheetData sheetId="23">
        <row r="205">
          <cell r="BP205">
            <v>151933526</v>
          </cell>
        </row>
      </sheetData>
      <sheetData sheetId="24">
        <row r="55">
          <cell r="R55">
            <v>22500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Pinjaman 2016"/>
      <sheetName val="Pinjaman 2017"/>
      <sheetName val="Belanja"/>
    </sheetNames>
    <sheetDataSet>
      <sheetData sheetId="0"/>
      <sheetData sheetId="1">
        <row r="222">
          <cell r="AC222">
            <v>235564500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onic 2016"/>
      <sheetName val="Electronic 2017"/>
    </sheetNames>
    <sheetDataSet>
      <sheetData sheetId="0">
        <row r="203">
          <cell r="K203">
            <v>2475333.333333333</v>
          </cell>
          <cell r="L203">
            <v>215589.66666666669</v>
          </cell>
          <cell r="M203">
            <v>4660166.666666666</v>
          </cell>
          <cell r="N203">
            <v>408416.33333333337</v>
          </cell>
          <cell r="O203">
            <v>6973499.9999999991</v>
          </cell>
          <cell r="P203">
            <v>624115</v>
          </cell>
          <cell r="Q203">
            <v>8806833.3333333321</v>
          </cell>
          <cell r="R203">
            <v>721615</v>
          </cell>
          <cell r="S203">
            <v>10498500</v>
          </cell>
          <cell r="T203">
            <v>898414.99999999988</v>
          </cell>
          <cell r="U203">
            <v>12143166.666666668</v>
          </cell>
          <cell r="V203">
            <v>1049968.3333333333</v>
          </cell>
          <cell r="W203">
            <v>13007333.333333334</v>
          </cell>
          <cell r="X203">
            <v>1097209.6666666667</v>
          </cell>
          <cell r="Y203">
            <v>13372500</v>
          </cell>
          <cell r="Z203">
            <v>1107483</v>
          </cell>
          <cell r="AA203">
            <v>12934166.666666668</v>
          </cell>
          <cell r="AB203">
            <v>1049284.3333333333</v>
          </cell>
        </row>
      </sheetData>
      <sheetData sheetId="1">
        <row r="200">
          <cell r="AC200">
            <v>33353493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ummary per-anggota"/>
      <sheetName val="Detail Transaksi"/>
      <sheetName val="Summary keuntungan"/>
      <sheetName val="Sheet1"/>
      <sheetName val="Report transaksi 2016"/>
    </sheetNames>
    <sheetDataSet>
      <sheetData sheetId="0"/>
      <sheetData sheetId="1"/>
      <sheetData sheetId="2">
        <row r="2">
          <cell r="B2">
            <v>6989460</v>
          </cell>
        </row>
        <row r="3">
          <cell r="B3">
            <v>6654481</v>
          </cell>
        </row>
        <row r="4">
          <cell r="B4">
            <v>6084071</v>
          </cell>
        </row>
        <row r="5">
          <cell r="B5">
            <v>5054528</v>
          </cell>
        </row>
        <row r="6">
          <cell r="B6">
            <v>7044895</v>
          </cell>
        </row>
        <row r="7">
          <cell r="B7">
            <v>6582181</v>
          </cell>
        </row>
        <row r="8">
          <cell r="B8">
            <v>6486944</v>
          </cell>
        </row>
        <row r="9">
          <cell r="B9">
            <v>6938933</v>
          </cell>
        </row>
        <row r="10">
          <cell r="B10">
            <v>6457574</v>
          </cell>
        </row>
      </sheetData>
      <sheetData sheetId="3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ept'14"/>
      <sheetName val="Oct'14"/>
      <sheetName val="Nov'14"/>
      <sheetName val="Dec'14"/>
      <sheetName val="Jan'15"/>
      <sheetName val="Feb'15"/>
      <sheetName val="Mar'15"/>
      <sheetName val="Apr'15"/>
      <sheetName val="May'15"/>
      <sheetName val="June'15"/>
      <sheetName val="July'15"/>
      <sheetName val="Agst'15"/>
      <sheetName val="Sept'15"/>
      <sheetName val="Okt'15"/>
      <sheetName val="Nov'15"/>
      <sheetName val="Des'15"/>
      <sheetName val="Jan'16"/>
      <sheetName val="Feb'16"/>
      <sheetName val="Mar'16"/>
      <sheetName val="April'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4">
          <cell r="B34">
            <v>247240</v>
          </cell>
          <cell r="C34">
            <v>689633</v>
          </cell>
        </row>
      </sheetData>
      <sheetData sheetId="18">
        <row r="33">
          <cell r="B33">
            <v>228885</v>
          </cell>
          <cell r="C33">
            <v>754598</v>
          </cell>
        </row>
      </sheetData>
      <sheetData sheetId="19">
        <row r="35">
          <cell r="B35">
            <v>240850</v>
          </cell>
          <cell r="C35">
            <v>694744</v>
          </cell>
        </row>
      </sheetData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325500</v>
          </cell>
        </row>
        <row r="5">
          <cell r="E5">
            <v>40000</v>
          </cell>
        </row>
        <row r="22">
          <cell r="E22">
            <v>215000</v>
          </cell>
        </row>
        <row r="24">
          <cell r="E24">
            <v>6000</v>
          </cell>
        </row>
        <row r="32">
          <cell r="E32">
            <v>627000</v>
          </cell>
        </row>
        <row r="50">
          <cell r="E50">
            <v>360000</v>
          </cell>
        </row>
        <row r="67">
          <cell r="E67">
            <v>247000</v>
          </cell>
        </row>
        <row r="71">
          <cell r="E71">
            <v>67000</v>
          </cell>
        </row>
        <row r="81">
          <cell r="E81">
            <v>137500</v>
          </cell>
        </row>
        <row r="88">
          <cell r="E88">
            <v>143000</v>
          </cell>
        </row>
        <row r="92">
          <cell r="E92">
            <v>340000</v>
          </cell>
        </row>
        <row r="108">
          <cell r="E108">
            <v>384700</v>
          </cell>
        </row>
        <row r="118">
          <cell r="E118">
            <v>402000</v>
          </cell>
        </row>
        <row r="128">
          <cell r="E128">
            <v>138000</v>
          </cell>
        </row>
        <row r="142">
          <cell r="E142">
            <v>136000</v>
          </cell>
        </row>
        <row r="158">
          <cell r="E158">
            <v>255000</v>
          </cell>
        </row>
        <row r="160">
          <cell r="E160">
            <v>5000</v>
          </cell>
        </row>
        <row r="177">
          <cell r="E177">
            <v>952800</v>
          </cell>
        </row>
        <row r="200">
          <cell r="E200">
            <v>996000</v>
          </cell>
        </row>
        <row r="202">
          <cell r="E202">
            <v>14000</v>
          </cell>
        </row>
        <row r="206">
          <cell r="E206">
            <v>195000</v>
          </cell>
        </row>
        <row r="211">
          <cell r="E211">
            <v>89500</v>
          </cell>
        </row>
        <row r="219">
          <cell r="E219">
            <v>384000</v>
          </cell>
        </row>
        <row r="236">
          <cell r="E236">
            <v>242250</v>
          </cell>
        </row>
        <row r="257">
          <cell r="E257">
            <v>783200</v>
          </cell>
        </row>
        <row r="275">
          <cell r="E275">
            <v>224750</v>
          </cell>
        </row>
        <row r="290">
          <cell r="E290">
            <v>55500</v>
          </cell>
        </row>
        <row r="311">
          <cell r="E311">
            <v>337000</v>
          </cell>
        </row>
        <row r="314">
          <cell r="E314">
            <v>55000</v>
          </cell>
        </row>
        <row r="333">
          <cell r="E333">
            <v>230000</v>
          </cell>
        </row>
        <row r="336">
          <cell r="E336">
            <v>257500</v>
          </cell>
        </row>
        <row r="339">
          <cell r="E339">
            <v>999000</v>
          </cell>
        </row>
        <row r="357">
          <cell r="E357">
            <v>275000</v>
          </cell>
        </row>
        <row r="366">
          <cell r="E366">
            <v>87000</v>
          </cell>
        </row>
        <row r="370">
          <cell r="E370">
            <v>57000</v>
          </cell>
        </row>
        <row r="373">
          <cell r="E373">
            <v>71000</v>
          </cell>
        </row>
        <row r="385">
          <cell r="E385">
            <v>751500</v>
          </cell>
        </row>
        <row r="404">
          <cell r="E404">
            <v>76000</v>
          </cell>
        </row>
        <row r="407">
          <cell r="E407">
            <v>125000</v>
          </cell>
        </row>
        <row r="413">
          <cell r="E413">
            <v>19000</v>
          </cell>
        </row>
        <row r="428">
          <cell r="E428">
            <v>506500</v>
          </cell>
        </row>
        <row r="432">
          <cell r="E432">
            <v>30000</v>
          </cell>
        </row>
        <row r="435">
          <cell r="E435">
            <v>138500</v>
          </cell>
        </row>
        <row r="445">
          <cell r="E445">
            <v>502000</v>
          </cell>
        </row>
        <row r="461">
          <cell r="E461">
            <v>255000</v>
          </cell>
        </row>
        <row r="467">
          <cell r="E467">
            <v>431500</v>
          </cell>
        </row>
        <row r="470">
          <cell r="E470">
            <v>106000</v>
          </cell>
        </row>
        <row r="516">
          <cell r="E516">
            <v>284000</v>
          </cell>
        </row>
        <row r="519">
          <cell r="E519">
            <v>408000</v>
          </cell>
        </row>
        <row r="528">
          <cell r="E528">
            <v>643500</v>
          </cell>
        </row>
        <row r="545">
          <cell r="E545">
            <v>311000</v>
          </cell>
        </row>
        <row r="581">
          <cell r="E581">
            <v>175000</v>
          </cell>
        </row>
        <row r="685">
          <cell r="E685">
            <v>995000</v>
          </cell>
        </row>
        <row r="699">
          <cell r="E699">
            <v>163500</v>
          </cell>
        </row>
        <row r="705">
          <cell r="E705">
            <v>93000</v>
          </cell>
        </row>
        <row r="739">
          <cell r="E739">
            <v>511000</v>
          </cell>
        </row>
        <row r="773">
          <cell r="E773">
            <v>752500</v>
          </cell>
        </row>
        <row r="781">
          <cell r="E781">
            <v>91000</v>
          </cell>
        </row>
        <row r="797">
          <cell r="E797">
            <v>992000</v>
          </cell>
        </row>
        <row r="820">
          <cell r="E820">
            <v>441000</v>
          </cell>
        </row>
        <row r="822">
          <cell r="E822">
            <v>23000</v>
          </cell>
        </row>
        <row r="824">
          <cell r="E824">
            <v>2000</v>
          </cell>
        </row>
        <row r="828">
          <cell r="E828">
            <v>19500</v>
          </cell>
        </row>
        <row r="840">
          <cell r="E840">
            <v>268000</v>
          </cell>
        </row>
        <row r="842">
          <cell r="E842">
            <v>186500</v>
          </cell>
        </row>
        <row r="856">
          <cell r="E856">
            <v>370000</v>
          </cell>
        </row>
        <row r="870">
          <cell r="E870">
            <v>266500</v>
          </cell>
        </row>
        <row r="881">
          <cell r="E881">
            <v>199000</v>
          </cell>
        </row>
        <row r="887">
          <cell r="E887">
            <v>407000</v>
          </cell>
        </row>
        <row r="901">
          <cell r="E901">
            <v>441500</v>
          </cell>
        </row>
        <row r="904">
          <cell r="E904">
            <v>309000</v>
          </cell>
        </row>
        <row r="919">
          <cell r="E919">
            <v>9000</v>
          </cell>
        </row>
        <row r="932">
          <cell r="E932">
            <v>133000</v>
          </cell>
        </row>
        <row r="935">
          <cell r="E935">
            <v>214600</v>
          </cell>
        </row>
        <row r="937">
          <cell r="E937">
            <v>68000</v>
          </cell>
        </row>
        <row r="953">
          <cell r="E953">
            <v>263000</v>
          </cell>
        </row>
        <row r="956">
          <cell r="E956">
            <v>61000</v>
          </cell>
        </row>
        <row r="977">
          <cell r="E977">
            <v>600000</v>
          </cell>
        </row>
        <row r="1000">
          <cell r="E1000">
            <v>364000</v>
          </cell>
        </row>
        <row r="1029">
          <cell r="E1029">
            <v>357500</v>
          </cell>
        </row>
        <row r="1068">
          <cell r="E1068">
            <v>210500</v>
          </cell>
        </row>
        <row r="1114">
          <cell r="E1114">
            <v>832000</v>
          </cell>
        </row>
        <row r="1124">
          <cell r="E1124">
            <v>99500</v>
          </cell>
        </row>
        <row r="1152">
          <cell r="E1152">
            <v>614000</v>
          </cell>
        </row>
        <row r="1170">
          <cell r="E1170">
            <v>388000</v>
          </cell>
        </row>
        <row r="1176">
          <cell r="E1176">
            <v>627500</v>
          </cell>
        </row>
        <row r="1182">
          <cell r="E1182">
            <v>190000</v>
          </cell>
        </row>
        <row r="1185">
          <cell r="E1185">
            <v>994000</v>
          </cell>
        </row>
        <row r="1190">
          <cell r="E1190">
            <v>102000</v>
          </cell>
        </row>
        <row r="1200">
          <cell r="E1200">
            <v>126000</v>
          </cell>
        </row>
        <row r="1204">
          <cell r="E1204">
            <v>15000</v>
          </cell>
        </row>
        <row r="1214">
          <cell r="E1214">
            <v>930000</v>
          </cell>
        </row>
        <row r="1220">
          <cell r="E1220">
            <v>75000</v>
          </cell>
        </row>
        <row r="1222">
          <cell r="E1222">
            <v>8000</v>
          </cell>
        </row>
        <row r="1283">
          <cell r="E1283">
            <v>366500</v>
          </cell>
        </row>
        <row r="1312">
          <cell r="E1312">
            <v>758000</v>
          </cell>
        </row>
        <row r="1316">
          <cell r="E1316">
            <v>19000</v>
          </cell>
        </row>
        <row r="1320">
          <cell r="E1320">
            <v>598000</v>
          </cell>
        </row>
        <row r="1327">
          <cell r="E1327">
            <v>57000</v>
          </cell>
        </row>
        <row r="1361">
          <cell r="E1361">
            <v>392500</v>
          </cell>
        </row>
        <row r="1381">
          <cell r="E1381">
            <v>328500</v>
          </cell>
        </row>
        <row r="1387">
          <cell r="E1387">
            <v>123000</v>
          </cell>
        </row>
        <row r="1390">
          <cell r="E1390">
            <v>154000</v>
          </cell>
        </row>
        <row r="1396">
          <cell r="E1396">
            <v>66000</v>
          </cell>
        </row>
        <row r="1398">
          <cell r="E1398">
            <v>170000</v>
          </cell>
        </row>
        <row r="1405">
          <cell r="E1405">
            <v>253500</v>
          </cell>
        </row>
        <row r="1408">
          <cell r="E1408">
            <v>90000</v>
          </cell>
        </row>
        <row r="1431">
          <cell r="E1431">
            <v>692000</v>
          </cell>
        </row>
        <row r="1437">
          <cell r="E1437">
            <v>246800</v>
          </cell>
        </row>
        <row r="1471">
          <cell r="E1471">
            <v>450000</v>
          </cell>
        </row>
        <row r="1475">
          <cell r="E1475">
            <v>295000</v>
          </cell>
        </row>
        <row r="1489">
          <cell r="E1489">
            <v>148000</v>
          </cell>
        </row>
        <row r="1509">
          <cell r="E1509">
            <v>226000</v>
          </cell>
        </row>
        <row r="1513">
          <cell r="E1513">
            <v>25000</v>
          </cell>
        </row>
        <row r="1518">
          <cell r="E1518">
            <v>319000</v>
          </cell>
        </row>
        <row r="1536">
          <cell r="E1536">
            <v>145000</v>
          </cell>
        </row>
        <row r="1551">
          <cell r="E1551">
            <v>186000</v>
          </cell>
        </row>
        <row r="1576">
          <cell r="E1576">
            <v>365500</v>
          </cell>
        </row>
        <row r="1613">
          <cell r="E1613">
            <v>411000</v>
          </cell>
        </row>
        <row r="1634">
          <cell r="E1634">
            <v>409000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42000</v>
          </cell>
        </row>
        <row r="5">
          <cell r="F5">
            <v>113000</v>
          </cell>
        </row>
        <row r="10">
          <cell r="F10">
            <v>46000</v>
          </cell>
        </row>
        <row r="13">
          <cell r="F13">
            <v>14000</v>
          </cell>
        </row>
        <row r="29">
          <cell r="F29">
            <v>194000</v>
          </cell>
        </row>
        <row r="31">
          <cell r="F31">
            <v>15000</v>
          </cell>
        </row>
        <row r="42">
          <cell r="F42">
            <v>970000</v>
          </cell>
        </row>
        <row r="65">
          <cell r="F65">
            <v>110000</v>
          </cell>
        </row>
        <row r="86">
          <cell r="F86">
            <v>418000</v>
          </cell>
        </row>
        <row r="88">
          <cell r="F88">
            <v>2000</v>
          </cell>
        </row>
        <row r="93">
          <cell r="F93">
            <v>33000</v>
          </cell>
        </row>
        <row r="97">
          <cell r="F97">
            <v>50000</v>
          </cell>
        </row>
        <row r="103">
          <cell r="F103">
            <v>348000</v>
          </cell>
        </row>
        <row r="121">
          <cell r="F121">
            <v>882500</v>
          </cell>
        </row>
        <row r="134">
          <cell r="F134">
            <v>348500</v>
          </cell>
        </row>
        <row r="151">
          <cell r="F151">
            <v>166500</v>
          </cell>
        </row>
        <row r="173">
          <cell r="F173">
            <v>300000</v>
          </cell>
        </row>
        <row r="187">
          <cell r="F187">
            <v>272000</v>
          </cell>
        </row>
        <row r="201">
          <cell r="F201">
            <v>997000</v>
          </cell>
        </row>
        <row r="218">
          <cell r="F218">
            <v>990000</v>
          </cell>
        </row>
        <row r="220">
          <cell r="F220">
            <v>14500</v>
          </cell>
        </row>
        <row r="224">
          <cell r="F224">
            <v>164500</v>
          </cell>
        </row>
        <row r="232">
          <cell r="F232">
            <v>186000</v>
          </cell>
        </row>
        <row r="246">
          <cell r="F246">
            <v>223000</v>
          </cell>
        </row>
        <row r="275">
          <cell r="F275">
            <v>902500</v>
          </cell>
        </row>
        <row r="286">
          <cell r="F286">
            <v>368700</v>
          </cell>
        </row>
        <row r="311">
          <cell r="F311">
            <v>425000</v>
          </cell>
        </row>
        <row r="325">
          <cell r="F325">
            <v>297000</v>
          </cell>
        </row>
        <row r="331">
          <cell r="F331">
            <v>87000</v>
          </cell>
        </row>
        <row r="335">
          <cell r="F335">
            <v>95500</v>
          </cell>
        </row>
        <row r="348">
          <cell r="F348">
            <v>181000</v>
          </cell>
        </row>
        <row r="353">
          <cell r="F353">
            <v>122000</v>
          </cell>
        </row>
        <row r="357">
          <cell r="F357">
            <v>988000</v>
          </cell>
        </row>
        <row r="382">
          <cell r="F382">
            <v>347500</v>
          </cell>
        </row>
        <row r="386">
          <cell r="F386">
            <v>26000</v>
          </cell>
        </row>
        <row r="389">
          <cell r="F389">
            <v>60000</v>
          </cell>
        </row>
        <row r="392">
          <cell r="F392">
            <v>143000</v>
          </cell>
        </row>
        <row r="402">
          <cell r="F402">
            <v>896900</v>
          </cell>
        </row>
        <row r="410">
          <cell r="F410">
            <v>580500</v>
          </cell>
        </row>
        <row r="417">
          <cell r="F417">
            <v>462000</v>
          </cell>
        </row>
        <row r="424">
          <cell r="F424">
            <v>497200</v>
          </cell>
        </row>
        <row r="447">
          <cell r="F447">
            <v>988500</v>
          </cell>
        </row>
        <row r="456">
          <cell r="F456">
            <v>162000</v>
          </cell>
        </row>
        <row r="464">
          <cell r="F464">
            <v>325500</v>
          </cell>
        </row>
        <row r="471">
          <cell r="F471">
            <v>195000</v>
          </cell>
        </row>
        <row r="487">
          <cell r="F487">
            <v>259000</v>
          </cell>
        </row>
        <row r="496">
          <cell r="F496">
            <v>423500</v>
          </cell>
        </row>
        <row r="500">
          <cell r="F500">
            <v>470000</v>
          </cell>
        </row>
        <row r="542">
          <cell r="F542">
            <v>213000</v>
          </cell>
        </row>
        <row r="544">
          <cell r="F544">
            <v>102000</v>
          </cell>
        </row>
        <row r="547">
          <cell r="F547">
            <v>9000</v>
          </cell>
        </row>
        <row r="555">
          <cell r="F555">
            <v>137000</v>
          </cell>
        </row>
        <row r="568">
          <cell r="F568">
            <v>416000</v>
          </cell>
        </row>
        <row r="579">
          <cell r="F579">
            <v>166000</v>
          </cell>
        </row>
        <row r="617">
          <cell r="F617">
            <v>145000</v>
          </cell>
        </row>
        <row r="695">
          <cell r="F695">
            <v>859000</v>
          </cell>
        </row>
        <row r="698">
          <cell r="F698">
            <v>29000</v>
          </cell>
        </row>
        <row r="709">
          <cell r="F709">
            <v>102000</v>
          </cell>
        </row>
        <row r="711">
          <cell r="F711">
            <v>109000</v>
          </cell>
        </row>
        <row r="746">
          <cell r="F746">
            <v>491000</v>
          </cell>
        </row>
        <row r="769">
          <cell r="F769">
            <v>440250</v>
          </cell>
        </row>
        <row r="784">
          <cell r="F784">
            <v>228300</v>
          </cell>
        </row>
        <row r="807">
          <cell r="F807">
            <v>1021000</v>
          </cell>
        </row>
        <row r="810">
          <cell r="F810">
            <v>40050</v>
          </cell>
        </row>
        <row r="828">
          <cell r="F828">
            <v>618000</v>
          </cell>
        </row>
        <row r="832">
          <cell r="F832">
            <v>27000</v>
          </cell>
        </row>
        <row r="850">
          <cell r="F850">
            <v>278000</v>
          </cell>
        </row>
        <row r="853">
          <cell r="F853">
            <v>159500</v>
          </cell>
        </row>
        <row r="857">
          <cell r="F857">
            <v>493500</v>
          </cell>
        </row>
        <row r="877">
          <cell r="F877">
            <v>367500</v>
          </cell>
        </row>
        <row r="889">
          <cell r="F889">
            <v>235500</v>
          </cell>
        </row>
        <row r="904">
          <cell r="F904">
            <v>395500</v>
          </cell>
        </row>
        <row r="923">
          <cell r="F923">
            <v>574500</v>
          </cell>
        </row>
        <row r="929">
          <cell r="F929">
            <v>333500</v>
          </cell>
        </row>
        <row r="933">
          <cell r="F933">
            <v>42000</v>
          </cell>
        </row>
        <row r="948">
          <cell r="F948">
            <v>69000</v>
          </cell>
        </row>
        <row r="962">
          <cell r="F962">
            <v>172000</v>
          </cell>
        </row>
        <row r="973">
          <cell r="F973">
            <v>470500</v>
          </cell>
        </row>
        <row r="995">
          <cell r="F995">
            <v>291000</v>
          </cell>
        </row>
        <row r="999">
          <cell r="F999">
            <v>59500</v>
          </cell>
        </row>
        <row r="1037">
          <cell r="F1037">
            <v>92500</v>
          </cell>
        </row>
        <row r="1072">
          <cell r="F1072">
            <v>994000</v>
          </cell>
        </row>
        <row r="1074">
          <cell r="F1074">
            <v>8000</v>
          </cell>
        </row>
        <row r="1098">
          <cell r="F1098">
            <v>540750</v>
          </cell>
        </row>
        <row r="1118">
          <cell r="F1118">
            <v>559500</v>
          </cell>
        </row>
        <row r="1121">
          <cell r="F1121">
            <v>535500</v>
          </cell>
        </row>
        <row r="1124">
          <cell r="F1124">
            <v>259500</v>
          </cell>
        </row>
        <row r="1131">
          <cell r="F1131">
            <v>1000000</v>
          </cell>
        </row>
        <row r="1137">
          <cell r="F1137">
            <v>135500</v>
          </cell>
        </row>
        <row r="1150">
          <cell r="F1150">
            <v>134500</v>
          </cell>
        </row>
        <row r="1160">
          <cell r="F1160">
            <v>400000</v>
          </cell>
        </row>
        <row r="1165">
          <cell r="F1165">
            <v>990000</v>
          </cell>
        </row>
        <row r="1168">
          <cell r="F1168">
            <v>16000</v>
          </cell>
        </row>
        <row r="1178">
          <cell r="F1178">
            <v>385500</v>
          </cell>
        </row>
        <row r="1180">
          <cell r="F1180">
            <v>151000</v>
          </cell>
        </row>
        <row r="1223">
          <cell r="F1223">
            <v>323000</v>
          </cell>
        </row>
        <row r="1247">
          <cell r="F1247">
            <v>698500</v>
          </cell>
        </row>
        <row r="1252">
          <cell r="F1252">
            <v>159000</v>
          </cell>
        </row>
        <row r="1258">
          <cell r="F1258">
            <v>963000</v>
          </cell>
        </row>
        <row r="1264">
          <cell r="F1264">
            <v>60000</v>
          </cell>
        </row>
        <row r="1289">
          <cell r="F1289">
            <v>325500</v>
          </cell>
        </row>
        <row r="1306">
          <cell r="F1306">
            <v>350600</v>
          </cell>
        </row>
        <row r="1313">
          <cell r="F1313">
            <v>477500</v>
          </cell>
        </row>
        <row r="1316">
          <cell r="F1316">
            <v>160000</v>
          </cell>
        </row>
        <row r="1322">
          <cell r="F1322">
            <v>120500</v>
          </cell>
        </row>
        <row r="1326">
          <cell r="F1326">
            <v>360000</v>
          </cell>
        </row>
        <row r="1333">
          <cell r="F1333">
            <v>223000</v>
          </cell>
        </row>
        <row r="1342">
          <cell r="F1342">
            <v>240000</v>
          </cell>
        </row>
        <row r="1370">
          <cell r="F1370">
            <v>665000</v>
          </cell>
        </row>
        <row r="1375">
          <cell r="F1375">
            <v>501800</v>
          </cell>
        </row>
        <row r="1405">
          <cell r="F1405">
            <v>389000</v>
          </cell>
        </row>
        <row r="1411">
          <cell r="F1411">
            <v>719500</v>
          </cell>
        </row>
        <row r="1414">
          <cell r="F1414">
            <v>297500</v>
          </cell>
        </row>
        <row r="1427">
          <cell r="F1427">
            <v>153500</v>
          </cell>
        </row>
        <row r="1435">
          <cell r="F1435">
            <v>56500</v>
          </cell>
        </row>
        <row r="1460">
          <cell r="F1460">
            <v>303500</v>
          </cell>
        </row>
        <row r="1462">
          <cell r="F1462">
            <v>10000</v>
          </cell>
        </row>
        <row r="1467">
          <cell r="F1467">
            <v>340500</v>
          </cell>
        </row>
        <row r="1481">
          <cell r="F1481">
            <v>133000</v>
          </cell>
        </row>
        <row r="1488">
          <cell r="F1488">
            <v>88000</v>
          </cell>
        </row>
        <row r="1505">
          <cell r="F1505">
            <v>369000</v>
          </cell>
        </row>
        <row r="1507">
          <cell r="F1507">
            <v>29000</v>
          </cell>
        </row>
        <row r="1545">
          <cell r="F1545">
            <v>772800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nual"/>
      <sheetName val="System"/>
    </sheetNames>
    <sheetDataSet>
      <sheetData sheetId="0"/>
      <sheetData sheetId="1"/>
      <sheetData sheetId="2">
        <row r="3">
          <cell r="F3">
            <v>270000</v>
          </cell>
        </row>
        <row r="5">
          <cell r="F5">
            <v>100000</v>
          </cell>
        </row>
        <row r="8">
          <cell r="F8">
            <v>206000</v>
          </cell>
        </row>
        <row r="28">
          <cell r="F28">
            <v>267000</v>
          </cell>
        </row>
        <row r="36">
          <cell r="F36">
            <v>790900</v>
          </cell>
        </row>
        <row r="59">
          <cell r="F59">
            <v>337000</v>
          </cell>
        </row>
        <row r="62">
          <cell r="F62">
            <v>299500</v>
          </cell>
        </row>
        <row r="70">
          <cell r="F70">
            <v>405000</v>
          </cell>
        </row>
        <row r="72">
          <cell r="F72">
            <v>15000</v>
          </cell>
        </row>
        <row r="76">
          <cell r="F76">
            <v>13000</v>
          </cell>
        </row>
        <row r="81">
          <cell r="F81">
            <v>30000</v>
          </cell>
        </row>
        <row r="96">
          <cell r="F96">
            <v>745200</v>
          </cell>
        </row>
        <row r="101">
          <cell r="F101">
            <v>271750</v>
          </cell>
        </row>
        <row r="104">
          <cell r="F104">
            <v>123500</v>
          </cell>
        </row>
        <row r="107">
          <cell r="F107">
            <v>60000</v>
          </cell>
        </row>
        <row r="111">
          <cell r="F111">
            <v>243500</v>
          </cell>
        </row>
        <row r="129">
          <cell r="F129">
            <v>999500</v>
          </cell>
        </row>
        <row r="148">
          <cell r="F148">
            <v>998000</v>
          </cell>
        </row>
        <row r="150">
          <cell r="F150">
            <v>16500</v>
          </cell>
        </row>
        <row r="153">
          <cell r="F153">
            <v>172000</v>
          </cell>
        </row>
        <row r="157">
          <cell r="F157">
            <v>53000</v>
          </cell>
        </row>
        <row r="166">
          <cell r="F166">
            <v>241000</v>
          </cell>
        </row>
        <row r="189">
          <cell r="F189">
            <v>425500</v>
          </cell>
        </row>
        <row r="205">
          <cell r="F205">
            <v>236000</v>
          </cell>
        </row>
        <row r="229">
          <cell r="F229">
            <v>26000</v>
          </cell>
        </row>
        <row r="246">
          <cell r="F246">
            <v>473500</v>
          </cell>
        </row>
        <row r="256">
          <cell r="F256">
            <v>103500</v>
          </cell>
        </row>
        <row r="264">
          <cell r="F264">
            <v>19000</v>
          </cell>
        </row>
        <row r="266">
          <cell r="F266">
            <v>73000</v>
          </cell>
        </row>
        <row r="268">
          <cell r="F268">
            <v>4000</v>
          </cell>
        </row>
        <row r="270">
          <cell r="F270">
            <v>200000</v>
          </cell>
        </row>
        <row r="283">
          <cell r="F283">
            <v>169000</v>
          </cell>
        </row>
        <row r="286">
          <cell r="F286">
            <v>60000</v>
          </cell>
        </row>
        <row r="288">
          <cell r="F288">
            <v>16500</v>
          </cell>
        </row>
        <row r="294">
          <cell r="F294">
            <v>616500</v>
          </cell>
        </row>
        <row r="324">
          <cell r="F324">
            <v>985500</v>
          </cell>
        </row>
        <row r="328">
          <cell r="F328">
            <v>129000</v>
          </cell>
        </row>
        <row r="337">
          <cell r="F337">
            <v>2028</v>
          </cell>
        </row>
        <row r="363">
          <cell r="F363">
            <v>609000</v>
          </cell>
        </row>
        <row r="374">
          <cell r="F374">
            <v>222000</v>
          </cell>
        </row>
        <row r="379">
          <cell r="F379">
            <v>180000</v>
          </cell>
        </row>
        <row r="386">
          <cell r="F386">
            <v>420500</v>
          </cell>
        </row>
        <row r="396">
          <cell r="F396">
            <v>130000</v>
          </cell>
        </row>
        <row r="401">
          <cell r="F401">
            <v>172100</v>
          </cell>
        </row>
        <row r="403">
          <cell r="F403">
            <v>66500</v>
          </cell>
        </row>
        <row r="429">
          <cell r="F429">
            <v>60500</v>
          </cell>
        </row>
        <row r="431">
          <cell r="F431">
            <v>19500</v>
          </cell>
        </row>
        <row r="440">
          <cell r="F440">
            <v>412000</v>
          </cell>
        </row>
        <row r="449">
          <cell r="F449">
            <v>269000</v>
          </cell>
        </row>
        <row r="473">
          <cell r="F473">
            <v>30000</v>
          </cell>
        </row>
        <row r="476">
          <cell r="F476">
            <v>239000</v>
          </cell>
        </row>
        <row r="547">
          <cell r="F547">
            <v>786500</v>
          </cell>
        </row>
        <row r="551">
          <cell r="F551">
            <v>96500</v>
          </cell>
        </row>
        <row r="559">
          <cell r="F559">
            <v>78500</v>
          </cell>
        </row>
        <row r="564">
          <cell r="F564">
            <v>133000</v>
          </cell>
        </row>
        <row r="588">
          <cell r="F588">
            <v>358000</v>
          </cell>
        </row>
        <row r="604">
          <cell r="F604">
            <v>680000</v>
          </cell>
        </row>
        <row r="614">
          <cell r="F614">
            <v>134500</v>
          </cell>
        </row>
        <row r="632">
          <cell r="F632">
            <v>422500</v>
          </cell>
        </row>
        <row r="641">
          <cell r="F641">
            <v>338000</v>
          </cell>
        </row>
        <row r="645">
          <cell r="F645">
            <v>52000</v>
          </cell>
        </row>
        <row r="647">
          <cell r="F647">
            <v>116900</v>
          </cell>
        </row>
        <row r="650">
          <cell r="F650">
            <v>22000</v>
          </cell>
        </row>
        <row r="653">
          <cell r="F653">
            <v>27000</v>
          </cell>
        </row>
        <row r="670">
          <cell r="F670">
            <v>277000</v>
          </cell>
        </row>
        <row r="674">
          <cell r="F674">
            <v>243000</v>
          </cell>
        </row>
        <row r="683">
          <cell r="F683">
            <v>530000</v>
          </cell>
        </row>
        <row r="699">
          <cell r="F699">
            <v>315500</v>
          </cell>
        </row>
        <row r="704">
          <cell r="F704">
            <v>230000</v>
          </cell>
        </row>
        <row r="724">
          <cell r="F724">
            <v>604500</v>
          </cell>
        </row>
        <row r="727">
          <cell r="F727">
            <v>462500</v>
          </cell>
        </row>
        <row r="735">
          <cell r="F735">
            <v>8000</v>
          </cell>
        </row>
        <row r="748">
          <cell r="F748">
            <v>166000</v>
          </cell>
        </row>
        <row r="760">
          <cell r="F760">
            <v>129000</v>
          </cell>
        </row>
        <row r="782">
          <cell r="F782">
            <v>908000</v>
          </cell>
        </row>
        <row r="803">
          <cell r="F803">
            <v>235000</v>
          </cell>
        </row>
        <row r="830">
          <cell r="F830">
            <v>115500</v>
          </cell>
        </row>
        <row r="850">
          <cell r="F850">
            <v>497000</v>
          </cell>
        </row>
        <row r="867">
          <cell r="F867">
            <v>131000</v>
          </cell>
        </row>
        <row r="885">
          <cell r="F885">
            <v>451000</v>
          </cell>
        </row>
        <row r="897">
          <cell r="F897">
            <v>329000</v>
          </cell>
        </row>
        <row r="903">
          <cell r="F903">
            <v>518500</v>
          </cell>
        </row>
        <row r="907">
          <cell r="F907">
            <v>60000</v>
          </cell>
        </row>
        <row r="912">
          <cell r="F912">
            <v>997000</v>
          </cell>
        </row>
        <row r="916">
          <cell r="F916">
            <v>63500</v>
          </cell>
        </row>
        <row r="950">
          <cell r="F950">
            <v>6000</v>
          </cell>
        </row>
        <row r="956">
          <cell r="F956">
            <v>32000</v>
          </cell>
        </row>
        <row r="961">
          <cell r="F961">
            <v>748500</v>
          </cell>
        </row>
        <row r="968">
          <cell r="F968">
            <v>163000</v>
          </cell>
        </row>
        <row r="973">
          <cell r="F973">
            <v>98000</v>
          </cell>
        </row>
        <row r="1025">
          <cell r="F1025">
            <v>531400</v>
          </cell>
        </row>
        <row r="1050">
          <cell r="F1050">
            <v>633000</v>
          </cell>
        </row>
        <row r="1062">
          <cell r="F1062">
            <v>757500</v>
          </cell>
        </row>
        <row r="1069">
          <cell r="F1069">
            <v>107500</v>
          </cell>
        </row>
        <row r="1095">
          <cell r="F1095">
            <v>368000</v>
          </cell>
        </row>
        <row r="1106">
          <cell r="F1106">
            <v>142000</v>
          </cell>
        </row>
        <row r="1111">
          <cell r="F1111">
            <v>270000</v>
          </cell>
        </row>
        <row r="1113">
          <cell r="F1113">
            <v>150000</v>
          </cell>
        </row>
        <row r="1118">
          <cell r="F1118">
            <v>31500</v>
          </cell>
        </row>
        <row r="1120">
          <cell r="F1120">
            <v>17000</v>
          </cell>
        </row>
        <row r="1125">
          <cell r="F1125">
            <v>147500</v>
          </cell>
        </row>
        <row r="1130">
          <cell r="F1130">
            <v>191000</v>
          </cell>
        </row>
        <row r="1132">
          <cell r="F1132">
            <v>174000</v>
          </cell>
        </row>
        <row r="1136">
          <cell r="F1136">
            <v>155550</v>
          </cell>
        </row>
        <row r="1141">
          <cell r="F1141">
            <v>319000</v>
          </cell>
        </row>
        <row r="1149">
          <cell r="F1149">
            <v>109500</v>
          </cell>
        </row>
        <row r="1155">
          <cell r="F1155">
            <v>25000</v>
          </cell>
        </row>
        <row r="1203">
          <cell r="F1203">
            <v>361000</v>
          </cell>
        </row>
        <row r="1211">
          <cell r="F1211">
            <v>347500</v>
          </cell>
        </row>
        <row r="1227">
          <cell r="F1227">
            <v>117000</v>
          </cell>
        </row>
        <row r="1236">
          <cell r="F1236">
            <v>167500</v>
          </cell>
        </row>
        <row r="1254">
          <cell r="F1254">
            <v>293500</v>
          </cell>
        </row>
        <row r="1287">
          <cell r="F1287">
            <v>559250</v>
          </cell>
        </row>
        <row r="1308">
          <cell r="F1308">
            <v>553500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270000</v>
          </cell>
        </row>
        <row r="6">
          <cell r="E6">
            <v>113000</v>
          </cell>
        </row>
        <row r="10">
          <cell r="E10">
            <v>340000</v>
          </cell>
        </row>
        <row r="12">
          <cell r="E12">
            <v>20500</v>
          </cell>
        </row>
        <row r="18">
          <cell r="E18">
            <v>129000</v>
          </cell>
        </row>
        <row r="27">
          <cell r="E27">
            <v>575100</v>
          </cell>
        </row>
        <row r="44">
          <cell r="E44">
            <v>358500</v>
          </cell>
        </row>
        <row r="62">
          <cell r="E62">
            <v>242800</v>
          </cell>
        </row>
        <row r="66">
          <cell r="E66">
            <v>73000</v>
          </cell>
        </row>
        <row r="83">
          <cell r="E83">
            <v>388500</v>
          </cell>
        </row>
        <row r="88">
          <cell r="E88">
            <v>125500</v>
          </cell>
        </row>
        <row r="92">
          <cell r="E92">
            <v>64500</v>
          </cell>
        </row>
        <row r="96">
          <cell r="E96">
            <v>107000</v>
          </cell>
        </row>
        <row r="100">
          <cell r="E100">
            <v>260000</v>
          </cell>
        </row>
        <row r="122">
          <cell r="E122">
            <v>856500</v>
          </cell>
        </row>
        <row r="143">
          <cell r="E143">
            <v>996700</v>
          </cell>
        </row>
        <row r="148">
          <cell r="E148">
            <v>147500</v>
          </cell>
        </row>
        <row r="150">
          <cell r="E150">
            <v>119500</v>
          </cell>
        </row>
        <row r="163">
          <cell r="E163">
            <v>159000</v>
          </cell>
        </row>
        <row r="183">
          <cell r="E183">
            <v>483500</v>
          </cell>
        </row>
        <row r="198">
          <cell r="E198">
            <v>307500</v>
          </cell>
        </row>
        <row r="219">
          <cell r="E219">
            <v>130000</v>
          </cell>
        </row>
        <row r="242">
          <cell r="E242">
            <v>274700</v>
          </cell>
        </row>
        <row r="249">
          <cell r="E249">
            <v>85500</v>
          </cell>
        </row>
        <row r="266">
          <cell r="E266">
            <v>118000</v>
          </cell>
        </row>
        <row r="268">
          <cell r="E268">
            <v>149000</v>
          </cell>
        </row>
        <row r="276">
          <cell r="E276">
            <v>111500</v>
          </cell>
        </row>
        <row r="279">
          <cell r="E279">
            <v>999500</v>
          </cell>
        </row>
        <row r="290">
          <cell r="E290">
            <v>225000</v>
          </cell>
        </row>
        <row r="295">
          <cell r="E295">
            <v>20000</v>
          </cell>
        </row>
        <row r="298">
          <cell r="E298">
            <v>71000</v>
          </cell>
        </row>
        <row r="300">
          <cell r="E300">
            <v>14000</v>
          </cell>
        </row>
        <row r="308">
          <cell r="E308">
            <v>886000</v>
          </cell>
        </row>
        <row r="339">
          <cell r="E339">
            <v>843500</v>
          </cell>
        </row>
        <row r="342">
          <cell r="E342">
            <v>250000</v>
          </cell>
        </row>
        <row r="353">
          <cell r="E353">
            <v>4000</v>
          </cell>
        </row>
        <row r="369">
          <cell r="E369">
            <v>395500</v>
          </cell>
        </row>
        <row r="382">
          <cell r="E382">
            <v>248000</v>
          </cell>
        </row>
        <row r="390">
          <cell r="E390">
            <v>263000</v>
          </cell>
        </row>
        <row r="398">
          <cell r="E398">
            <v>429000</v>
          </cell>
        </row>
        <row r="409">
          <cell r="E409">
            <v>198500</v>
          </cell>
        </row>
        <row r="413">
          <cell r="E413">
            <v>379500</v>
          </cell>
        </row>
        <row r="417">
          <cell r="E417">
            <v>172500</v>
          </cell>
        </row>
        <row r="453">
          <cell r="E453">
            <v>103500</v>
          </cell>
        </row>
        <row r="456">
          <cell r="E456">
            <v>101000</v>
          </cell>
        </row>
        <row r="458">
          <cell r="E458">
            <v>17000</v>
          </cell>
        </row>
        <row r="469">
          <cell r="E469">
            <v>956500</v>
          </cell>
        </row>
        <row r="486">
          <cell r="E486">
            <v>297000</v>
          </cell>
        </row>
        <row r="503">
          <cell r="E503">
            <v>246500</v>
          </cell>
        </row>
        <row r="576">
          <cell r="E576">
            <v>855000</v>
          </cell>
        </row>
        <row r="579">
          <cell r="E579">
            <v>52500</v>
          </cell>
        </row>
        <row r="587">
          <cell r="E587">
            <v>91000</v>
          </cell>
        </row>
        <row r="597">
          <cell r="E597">
            <v>648500</v>
          </cell>
        </row>
        <row r="623">
          <cell r="E623">
            <v>338500</v>
          </cell>
        </row>
        <row r="645">
          <cell r="E645">
            <v>559000</v>
          </cell>
        </row>
        <row r="647">
          <cell r="E647">
            <v>13000</v>
          </cell>
        </row>
        <row r="660">
          <cell r="E660">
            <v>164500</v>
          </cell>
        </row>
        <row r="687">
          <cell r="E687">
            <v>609500</v>
          </cell>
        </row>
        <row r="702">
          <cell r="E702">
            <v>347000</v>
          </cell>
        </row>
        <row r="705">
          <cell r="E705">
            <v>24000</v>
          </cell>
        </row>
        <row r="708">
          <cell r="E708">
            <v>6000</v>
          </cell>
        </row>
        <row r="713">
          <cell r="E713">
            <v>55000</v>
          </cell>
        </row>
        <row r="730">
          <cell r="E730">
            <v>323000</v>
          </cell>
        </row>
        <row r="732">
          <cell r="E732">
            <v>70000</v>
          </cell>
        </row>
        <row r="739">
          <cell r="E739">
            <v>372000</v>
          </cell>
        </row>
        <row r="752">
          <cell r="E752">
            <v>233000</v>
          </cell>
        </row>
        <row r="757">
          <cell r="E757">
            <v>79500</v>
          </cell>
        </row>
        <row r="767">
          <cell r="E767">
            <v>321000</v>
          </cell>
        </row>
        <row r="789">
          <cell r="E789">
            <v>471000</v>
          </cell>
        </row>
        <row r="793">
          <cell r="E793">
            <v>465200</v>
          </cell>
        </row>
        <row r="795">
          <cell r="E795">
            <v>52000</v>
          </cell>
        </row>
        <row r="806">
          <cell r="E806">
            <v>21000</v>
          </cell>
        </row>
        <row r="815">
          <cell r="E815">
            <v>344000</v>
          </cell>
        </row>
        <row r="820">
          <cell r="E820">
            <v>83000</v>
          </cell>
        </row>
        <row r="830">
          <cell r="E830">
            <v>192500</v>
          </cell>
        </row>
        <row r="839">
          <cell r="E839">
            <v>400000</v>
          </cell>
        </row>
        <row r="860">
          <cell r="E860">
            <v>259000</v>
          </cell>
        </row>
        <row r="875">
          <cell r="E875">
            <v>147000</v>
          </cell>
        </row>
        <row r="925">
          <cell r="E925">
            <v>214000</v>
          </cell>
        </row>
        <row r="952">
          <cell r="E952">
            <v>735000</v>
          </cell>
        </row>
        <row r="974">
          <cell r="E974">
            <v>200500</v>
          </cell>
        </row>
        <row r="990">
          <cell r="E990">
            <v>545750</v>
          </cell>
        </row>
        <row r="1003">
          <cell r="E1003">
            <v>329000</v>
          </cell>
        </row>
        <row r="1009">
          <cell r="E1009">
            <v>355000</v>
          </cell>
        </row>
        <row r="1019">
          <cell r="E1019">
            <v>941000</v>
          </cell>
        </row>
        <row r="1022">
          <cell r="E1022">
            <v>989500</v>
          </cell>
        </row>
        <row r="1029">
          <cell r="E1029">
            <v>181000</v>
          </cell>
        </row>
        <row r="1066">
          <cell r="E1066">
            <v>32000</v>
          </cell>
        </row>
        <row r="1070">
          <cell r="E1070">
            <v>18000</v>
          </cell>
        </row>
        <row r="1073">
          <cell r="E1073">
            <v>769000</v>
          </cell>
        </row>
        <row r="1082">
          <cell r="E1082">
            <v>214500</v>
          </cell>
        </row>
        <row r="1085">
          <cell r="E1085">
            <v>42000</v>
          </cell>
        </row>
        <row r="1087">
          <cell r="E1087">
            <v>83000</v>
          </cell>
        </row>
        <row r="1131">
          <cell r="E1131">
            <v>291000</v>
          </cell>
        </row>
        <row r="1153">
          <cell r="E1153">
            <v>679000</v>
          </cell>
        </row>
        <row r="1158">
          <cell r="E1158">
            <v>110000</v>
          </cell>
        </row>
        <row r="1160">
          <cell r="E1160">
            <v>721500</v>
          </cell>
        </row>
        <row r="1163">
          <cell r="E1163">
            <v>24000</v>
          </cell>
        </row>
        <row r="1193">
          <cell r="E1193">
            <v>389000</v>
          </cell>
        </row>
        <row r="1210">
          <cell r="E1210">
            <v>504000</v>
          </cell>
        </row>
        <row r="1216">
          <cell r="E1216">
            <v>3000</v>
          </cell>
        </row>
        <row r="1218">
          <cell r="E1218">
            <v>151000</v>
          </cell>
        </row>
        <row r="1221">
          <cell r="E1221">
            <v>61500</v>
          </cell>
        </row>
        <row r="1223">
          <cell r="E1223">
            <v>2000</v>
          </cell>
        </row>
        <row r="1230">
          <cell r="E1230">
            <v>211000</v>
          </cell>
        </row>
        <row r="1239">
          <cell r="E1239">
            <v>341000</v>
          </cell>
        </row>
        <row r="1257">
          <cell r="E1257">
            <v>682000</v>
          </cell>
        </row>
        <row r="1262">
          <cell r="E1262">
            <v>325500</v>
          </cell>
        </row>
        <row r="1265">
          <cell r="E1265">
            <v>12000</v>
          </cell>
        </row>
        <row r="1270">
          <cell r="E1270">
            <v>341000</v>
          </cell>
        </row>
        <row r="1278">
          <cell r="E1278">
            <v>71500</v>
          </cell>
        </row>
        <row r="1281">
          <cell r="E1281">
            <v>11000</v>
          </cell>
        </row>
        <row r="1314">
          <cell r="E1314">
            <v>259500</v>
          </cell>
        </row>
        <row r="1324">
          <cell r="E1324">
            <v>71000</v>
          </cell>
        </row>
        <row r="1335">
          <cell r="E1335">
            <v>98000</v>
          </cell>
        </row>
        <row r="1352">
          <cell r="E1352">
            <v>176000</v>
          </cell>
        </row>
        <row r="1371">
          <cell r="E1371">
            <v>313500</v>
          </cell>
        </row>
        <row r="1401">
          <cell r="E1401">
            <v>484500</v>
          </cell>
        </row>
        <row r="1415">
          <cell r="E1415">
            <v>524500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270000</v>
          </cell>
        </row>
        <row r="6">
          <cell r="F6">
            <v>75000</v>
          </cell>
        </row>
        <row r="11">
          <cell r="F11">
            <v>547000</v>
          </cell>
        </row>
        <row r="15">
          <cell r="F15">
            <v>155000</v>
          </cell>
        </row>
        <row r="19">
          <cell r="F19">
            <v>465500</v>
          </cell>
        </row>
        <row r="30">
          <cell r="F30">
            <v>88000</v>
          </cell>
        </row>
        <row r="39">
          <cell r="F39">
            <v>142500</v>
          </cell>
        </row>
        <row r="42">
          <cell r="F42">
            <v>4000</v>
          </cell>
        </row>
        <row r="44">
          <cell r="F44">
            <v>61000</v>
          </cell>
        </row>
        <row r="54">
          <cell r="F54">
            <v>433000</v>
          </cell>
        </row>
        <row r="62">
          <cell r="F62">
            <v>231000</v>
          </cell>
        </row>
        <row r="69">
          <cell r="F69">
            <v>41000</v>
          </cell>
        </row>
        <row r="75">
          <cell r="F75">
            <v>164000</v>
          </cell>
        </row>
        <row r="78">
          <cell r="F78">
            <v>62500</v>
          </cell>
        </row>
        <row r="93">
          <cell r="F93">
            <v>687000</v>
          </cell>
        </row>
        <row r="107">
          <cell r="F107">
            <v>997500</v>
          </cell>
        </row>
        <row r="110">
          <cell r="F110">
            <v>76000</v>
          </cell>
        </row>
        <row r="113">
          <cell r="F113">
            <v>308000</v>
          </cell>
        </row>
        <row r="116">
          <cell r="F116">
            <v>19000</v>
          </cell>
        </row>
        <row r="139">
          <cell r="F139">
            <v>818500</v>
          </cell>
        </row>
        <row r="143">
          <cell r="F143">
            <v>169000</v>
          </cell>
        </row>
        <row r="156">
          <cell r="F156">
            <v>15000</v>
          </cell>
        </row>
        <row r="168">
          <cell r="F168">
            <v>209500</v>
          </cell>
        </row>
        <row r="172">
          <cell r="F172">
            <v>79500</v>
          </cell>
        </row>
        <row r="179">
          <cell r="F179">
            <v>73000</v>
          </cell>
        </row>
        <row r="181">
          <cell r="F181">
            <v>83000</v>
          </cell>
        </row>
        <row r="186">
          <cell r="F186">
            <v>998000</v>
          </cell>
        </row>
        <row r="197">
          <cell r="F197">
            <v>531500</v>
          </cell>
        </row>
        <row r="202">
          <cell r="F202">
            <v>67000</v>
          </cell>
        </row>
        <row r="206">
          <cell r="F206">
            <v>70000</v>
          </cell>
        </row>
        <row r="212">
          <cell r="F212">
            <v>676500</v>
          </cell>
        </row>
        <row r="235">
          <cell r="F235">
            <v>101000</v>
          </cell>
        </row>
        <row r="245">
          <cell r="F245">
            <v>149000</v>
          </cell>
        </row>
        <row r="250">
          <cell r="F250">
            <v>170000</v>
          </cell>
        </row>
        <row r="254">
          <cell r="F254">
            <v>192250</v>
          </cell>
        </row>
        <row r="262">
          <cell r="F262">
            <v>140000</v>
          </cell>
        </row>
        <row r="268">
          <cell r="F268">
            <v>73000</v>
          </cell>
        </row>
        <row r="300">
          <cell r="F300">
            <v>154500</v>
          </cell>
        </row>
        <row r="306">
          <cell r="F306">
            <v>636500</v>
          </cell>
        </row>
        <row r="315">
          <cell r="F315">
            <v>166000</v>
          </cell>
        </row>
        <row r="327">
          <cell r="F327">
            <v>213500</v>
          </cell>
        </row>
        <row r="379">
          <cell r="F379">
            <v>521000</v>
          </cell>
        </row>
        <row r="382">
          <cell r="F382">
            <v>81500</v>
          </cell>
        </row>
        <row r="393">
          <cell r="F393">
            <v>244250</v>
          </cell>
        </row>
        <row r="406">
          <cell r="F406">
            <v>515000</v>
          </cell>
        </row>
        <row r="408">
          <cell r="F408">
            <v>510000</v>
          </cell>
        </row>
        <row r="414">
          <cell r="F414">
            <v>96000</v>
          </cell>
        </row>
        <row r="428">
          <cell r="F428">
            <v>711000</v>
          </cell>
        </row>
        <row r="430">
          <cell r="F430">
            <v>72500</v>
          </cell>
        </row>
        <row r="439">
          <cell r="F439">
            <v>323000</v>
          </cell>
        </row>
        <row r="455">
          <cell r="F455">
            <v>285500</v>
          </cell>
        </row>
        <row r="457">
          <cell r="F457">
            <v>121000</v>
          </cell>
        </row>
        <row r="463">
          <cell r="F463">
            <v>342500</v>
          </cell>
        </row>
        <row r="470">
          <cell r="F470">
            <v>180500</v>
          </cell>
        </row>
        <row r="478">
          <cell r="F478">
            <v>118500</v>
          </cell>
        </row>
        <row r="480">
          <cell r="F480">
            <v>19000</v>
          </cell>
        </row>
        <row r="489">
          <cell r="F489">
            <v>425000</v>
          </cell>
        </row>
        <row r="491">
          <cell r="F491">
            <v>180500</v>
          </cell>
        </row>
        <row r="503">
          <cell r="F503">
            <v>70000</v>
          </cell>
        </row>
        <row r="505">
          <cell r="F505">
            <v>56000</v>
          </cell>
        </row>
        <row r="513">
          <cell r="F513">
            <v>167000</v>
          </cell>
        </row>
        <row r="524">
          <cell r="F524">
            <v>499000</v>
          </cell>
        </row>
        <row r="537">
          <cell r="F537">
            <v>219000</v>
          </cell>
        </row>
        <row r="546">
          <cell r="F546">
            <v>109000</v>
          </cell>
        </row>
        <row r="570">
          <cell r="F570">
            <v>232000</v>
          </cell>
        </row>
        <row r="597">
          <cell r="F597">
            <v>572500</v>
          </cell>
        </row>
        <row r="608">
          <cell r="F608">
            <v>76000</v>
          </cell>
        </row>
        <row r="620">
          <cell r="F620">
            <v>247000</v>
          </cell>
        </row>
        <row r="630">
          <cell r="F630">
            <v>231000</v>
          </cell>
        </row>
        <row r="632">
          <cell r="F632">
            <v>108000</v>
          </cell>
        </row>
        <row r="635">
          <cell r="F635">
            <v>556000</v>
          </cell>
        </row>
        <row r="639">
          <cell r="F639">
            <v>1000000</v>
          </cell>
        </row>
        <row r="642">
          <cell r="F642">
            <v>61000</v>
          </cell>
        </row>
        <row r="663">
          <cell r="F663">
            <v>150000</v>
          </cell>
        </row>
        <row r="669">
          <cell r="F669">
            <v>913500</v>
          </cell>
        </row>
        <row r="672">
          <cell r="F672">
            <v>30000</v>
          </cell>
        </row>
        <row r="674">
          <cell r="F674">
            <v>63500</v>
          </cell>
        </row>
        <row r="676">
          <cell r="F676">
            <v>50000</v>
          </cell>
        </row>
        <row r="696">
          <cell r="F696">
            <v>310000</v>
          </cell>
        </row>
        <row r="710">
          <cell r="F710">
            <v>824500</v>
          </cell>
        </row>
        <row r="716">
          <cell r="F716">
            <v>154000</v>
          </cell>
        </row>
        <row r="719">
          <cell r="F719">
            <v>726000</v>
          </cell>
        </row>
        <row r="726">
          <cell r="F726">
            <v>68000</v>
          </cell>
        </row>
        <row r="737">
          <cell r="F737">
            <v>184500</v>
          </cell>
        </row>
        <row r="748">
          <cell r="F748">
            <v>203000</v>
          </cell>
        </row>
        <row r="750">
          <cell r="F750">
            <v>6000</v>
          </cell>
        </row>
        <row r="752">
          <cell r="F752">
            <v>16500</v>
          </cell>
        </row>
        <row r="754">
          <cell r="F754">
            <v>15000</v>
          </cell>
        </row>
        <row r="757">
          <cell r="F757">
            <v>21000</v>
          </cell>
        </row>
        <row r="765">
          <cell r="F765">
            <v>359000</v>
          </cell>
        </row>
        <row r="772">
          <cell r="F772">
            <v>580500</v>
          </cell>
        </row>
        <row r="775">
          <cell r="F775">
            <v>255600</v>
          </cell>
        </row>
        <row r="781">
          <cell r="F781">
            <v>72500</v>
          </cell>
        </row>
        <row r="789">
          <cell r="F789">
            <v>285000</v>
          </cell>
        </row>
        <row r="796">
          <cell r="F796">
            <v>340000</v>
          </cell>
        </row>
        <row r="798">
          <cell r="F798">
            <v>5000</v>
          </cell>
        </row>
        <row r="805">
          <cell r="F805">
            <v>120000</v>
          </cell>
        </row>
        <row r="809">
          <cell r="F809">
            <v>59000</v>
          </cell>
        </row>
        <row r="820">
          <cell r="F820">
            <v>86000</v>
          </cell>
        </row>
        <row r="832">
          <cell r="F832">
            <v>248000</v>
          </cell>
        </row>
        <row r="842">
          <cell r="F842">
            <v>145000</v>
          </cell>
        </row>
        <row r="852">
          <cell r="F852">
            <v>160500</v>
          </cell>
        </row>
        <row r="858">
          <cell r="F858">
            <v>500500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7"/>
  <sheetViews>
    <sheetView showGridLines="0" topLeftCell="A711" workbookViewId="0">
      <selection activeCell="F1013" sqref="F1013"/>
    </sheetView>
  </sheetViews>
  <sheetFormatPr baseColWidth="10" defaultColWidth="5.1640625" defaultRowHeight="14" x14ac:dyDescent="0"/>
  <cols>
    <col min="1" max="1" width="5.1640625" style="115"/>
    <col min="2" max="2" width="12.1640625" style="115" customWidth="1"/>
    <col min="3" max="3" width="71.5" style="93" customWidth="1"/>
    <col min="4" max="6" width="18.6640625" style="12" customWidth="1"/>
    <col min="7" max="7" width="18.33203125" style="12" customWidth="1"/>
    <col min="8" max="8" width="15.33203125" style="12" bestFit="1" customWidth="1"/>
    <col min="9" max="9" width="14.33203125" style="93" bestFit="1" customWidth="1"/>
    <col min="10" max="16384" width="5.1640625" style="93"/>
  </cols>
  <sheetData>
    <row r="1" spans="1:9">
      <c r="A1" s="104" t="s">
        <v>655</v>
      </c>
      <c r="B1" s="116"/>
    </row>
    <row r="2" spans="1:9" ht="6" customHeight="1">
      <c r="A2" s="104"/>
      <c r="B2" s="116"/>
    </row>
    <row r="3" spans="1:9">
      <c r="A3" s="141" t="s">
        <v>0</v>
      </c>
      <c r="B3" s="141" t="s">
        <v>488</v>
      </c>
      <c r="C3" s="141" t="s">
        <v>1</v>
      </c>
      <c r="D3" s="142" t="s">
        <v>2</v>
      </c>
      <c r="E3" s="142" t="s">
        <v>3</v>
      </c>
      <c r="F3" s="142" t="s">
        <v>4</v>
      </c>
    </row>
    <row r="4" spans="1:9">
      <c r="A4" s="106">
        <v>1</v>
      </c>
      <c r="B4" s="106"/>
      <c r="C4" s="72" t="s">
        <v>305</v>
      </c>
      <c r="D4" s="107">
        <v>2175236242</v>
      </c>
      <c r="E4" s="107">
        <v>2453786897</v>
      </c>
      <c r="F4" s="107">
        <f>E4-D4</f>
        <v>278550655</v>
      </c>
    </row>
    <row r="5" spans="1:9">
      <c r="A5" s="109">
        <v>2</v>
      </c>
      <c r="B5" s="109"/>
      <c r="C5" s="89" t="s">
        <v>654</v>
      </c>
      <c r="D5" s="90">
        <v>40686237.32</v>
      </c>
      <c r="E5" s="123"/>
      <c r="F5" s="123"/>
    </row>
    <row r="6" spans="1:9">
      <c r="A6" s="109"/>
      <c r="B6" s="109"/>
      <c r="C6" s="94" t="s">
        <v>301</v>
      </c>
      <c r="D6" s="88">
        <v>74500000</v>
      </c>
      <c r="E6" s="88"/>
      <c r="F6" s="88"/>
      <c r="G6" s="110"/>
      <c r="H6" s="110"/>
      <c r="I6" s="111"/>
    </row>
    <row r="7" spans="1:9">
      <c r="A7" s="109"/>
      <c r="B7" s="109"/>
      <c r="C7" s="94" t="s">
        <v>302</v>
      </c>
      <c r="D7" s="88"/>
      <c r="E7" s="88">
        <v>22400000</v>
      </c>
      <c r="F7" s="88"/>
    </row>
    <row r="8" spans="1:9">
      <c r="A8" s="109"/>
      <c r="B8" s="109"/>
      <c r="C8" s="94" t="s">
        <v>303</v>
      </c>
      <c r="D8" s="88"/>
      <c r="E8" s="88">
        <f>'[1]Pinjaman 2016'!$E$235</f>
        <v>66926200</v>
      </c>
      <c r="F8" s="88"/>
    </row>
    <row r="9" spans="1:9">
      <c r="A9" s="109"/>
      <c r="B9" s="109"/>
      <c r="C9" s="94" t="s">
        <v>304</v>
      </c>
      <c r="D9" s="88"/>
      <c r="E9" s="88">
        <f>'[1]Pinjaman 2016'!$F$235</f>
        <v>4805725</v>
      </c>
      <c r="F9" s="88"/>
    </row>
    <row r="10" spans="1:9">
      <c r="A10" s="109"/>
      <c r="B10" s="109"/>
      <c r="C10" s="89" t="s">
        <v>680</v>
      </c>
      <c r="D10" s="88"/>
      <c r="E10" s="88">
        <v>45906777</v>
      </c>
      <c r="F10" s="88"/>
    </row>
    <row r="11" spans="1:9">
      <c r="A11" s="109"/>
      <c r="B11" s="109"/>
      <c r="C11" s="89" t="s">
        <v>682</v>
      </c>
      <c r="D11" s="88"/>
      <c r="E11" s="88">
        <v>936873</v>
      </c>
      <c r="F11" s="88"/>
      <c r="G11" s="12">
        <f>E10+E11</f>
        <v>46843650</v>
      </c>
    </row>
    <row r="12" spans="1:9" s="5" customFormat="1">
      <c r="A12" s="85"/>
      <c r="B12" s="117">
        <v>42372</v>
      </c>
      <c r="C12" s="87" t="s">
        <v>491</v>
      </c>
      <c r="D12" s="88">
        <v>60000</v>
      </c>
      <c r="E12" s="89"/>
      <c r="F12" s="125"/>
    </row>
    <row r="13" spans="1:9" s="5" customFormat="1">
      <c r="A13" s="85"/>
      <c r="B13" s="117">
        <v>42373</v>
      </c>
      <c r="C13" s="3" t="s">
        <v>659</v>
      </c>
      <c r="D13" s="88">
        <v>153000</v>
      </c>
      <c r="E13" s="89"/>
      <c r="F13" s="89"/>
    </row>
    <row r="14" spans="1:9" s="5" customFormat="1">
      <c r="A14" s="85"/>
      <c r="B14" s="117">
        <v>42373</v>
      </c>
      <c r="C14" s="87" t="s">
        <v>492</v>
      </c>
      <c r="D14" s="88">
        <v>516000</v>
      </c>
      <c r="E14" s="89"/>
      <c r="F14" s="89"/>
    </row>
    <row r="15" spans="1:9" s="5" customFormat="1">
      <c r="A15" s="85"/>
      <c r="B15" s="122">
        <v>42374</v>
      </c>
      <c r="C15" s="89" t="s">
        <v>417</v>
      </c>
      <c r="D15" s="88">
        <v>15000</v>
      </c>
      <c r="E15" s="89"/>
      <c r="F15" s="89"/>
    </row>
    <row r="16" spans="1:9" s="5" customFormat="1">
      <c r="A16" s="85"/>
      <c r="B16" s="122">
        <v>42374</v>
      </c>
      <c r="C16" s="3" t="s">
        <v>418</v>
      </c>
      <c r="D16" s="88">
        <v>66000</v>
      </c>
      <c r="E16" s="89"/>
      <c r="F16" s="89"/>
    </row>
    <row r="17" spans="1:6" s="5" customFormat="1">
      <c r="A17" s="85"/>
      <c r="B17" s="117">
        <v>42374</v>
      </c>
      <c r="C17" s="87" t="s">
        <v>493</v>
      </c>
      <c r="D17" s="88">
        <v>780000</v>
      </c>
      <c r="E17" s="89"/>
      <c r="F17" s="89"/>
    </row>
    <row r="18" spans="1:6" s="5" customFormat="1">
      <c r="A18" s="85"/>
      <c r="B18" s="117">
        <v>42374</v>
      </c>
      <c r="C18" s="87" t="s">
        <v>494</v>
      </c>
      <c r="D18" s="88">
        <v>202000</v>
      </c>
      <c r="E18" s="89"/>
      <c r="F18" s="89"/>
    </row>
    <row r="19" spans="1:6" s="5" customFormat="1">
      <c r="A19" s="85"/>
      <c r="B19" s="117">
        <v>42374</v>
      </c>
      <c r="C19" s="89" t="s">
        <v>660</v>
      </c>
      <c r="D19" s="88">
        <v>685000</v>
      </c>
      <c r="E19" s="89"/>
      <c r="F19" s="89"/>
    </row>
    <row r="20" spans="1:6" s="5" customFormat="1">
      <c r="A20" s="85"/>
      <c r="B20" s="122">
        <v>42375</v>
      </c>
      <c r="C20" s="89" t="s">
        <v>417</v>
      </c>
      <c r="D20" s="88">
        <v>10000</v>
      </c>
      <c r="E20" s="89"/>
      <c r="F20" s="89"/>
    </row>
    <row r="21" spans="1:6" s="5" customFormat="1">
      <c r="A21" s="85"/>
      <c r="B21" s="117">
        <v>42375</v>
      </c>
      <c r="C21" s="87" t="s">
        <v>495</v>
      </c>
      <c r="D21" s="88">
        <v>66000</v>
      </c>
      <c r="E21" s="89"/>
      <c r="F21" s="89"/>
    </row>
    <row r="22" spans="1:6" s="5" customFormat="1">
      <c r="A22" s="85"/>
      <c r="B22" s="117">
        <v>42375</v>
      </c>
      <c r="C22" s="87" t="s">
        <v>494</v>
      </c>
      <c r="D22" s="88">
        <v>499000</v>
      </c>
      <c r="E22" s="89"/>
      <c r="F22" s="89"/>
    </row>
    <row r="23" spans="1:6" s="5" customFormat="1">
      <c r="A23" s="85"/>
      <c r="B23" s="117">
        <v>42375</v>
      </c>
      <c r="C23" s="87" t="s">
        <v>496</v>
      </c>
      <c r="D23" s="88">
        <v>3911000</v>
      </c>
      <c r="E23" s="89"/>
      <c r="F23" s="89"/>
    </row>
    <row r="24" spans="1:6" s="5" customFormat="1">
      <c r="A24" s="85"/>
      <c r="B24" s="117">
        <v>42375</v>
      </c>
      <c r="C24" s="87" t="s">
        <v>497</v>
      </c>
      <c r="D24" s="88">
        <v>250000</v>
      </c>
      <c r="E24" s="89"/>
      <c r="F24" s="89"/>
    </row>
    <row r="25" spans="1:6" s="5" customFormat="1">
      <c r="A25" s="85"/>
      <c r="B25" s="122">
        <v>42376</v>
      </c>
      <c r="C25" s="89" t="s">
        <v>417</v>
      </c>
      <c r="D25" s="88">
        <v>20000</v>
      </c>
      <c r="E25" s="89"/>
      <c r="F25" s="89"/>
    </row>
    <row r="26" spans="1:6" s="5" customFormat="1">
      <c r="A26" s="85"/>
      <c r="B26" s="122">
        <v>42376</v>
      </c>
      <c r="C26" s="89" t="s">
        <v>417</v>
      </c>
      <c r="D26" s="88">
        <v>10000</v>
      </c>
      <c r="E26" s="89"/>
      <c r="F26" s="89"/>
    </row>
    <row r="27" spans="1:6" s="5" customFormat="1">
      <c r="A27" s="85"/>
      <c r="B27" s="122">
        <v>42376</v>
      </c>
      <c r="C27" s="3" t="s">
        <v>419</v>
      </c>
      <c r="D27" s="88">
        <v>73000</v>
      </c>
      <c r="E27" s="89"/>
      <c r="F27" s="89"/>
    </row>
    <row r="28" spans="1:6" s="5" customFormat="1">
      <c r="A28" s="85"/>
      <c r="B28" s="117">
        <v>42376</v>
      </c>
      <c r="C28" s="87" t="s">
        <v>496</v>
      </c>
      <c r="D28" s="88">
        <v>1298050</v>
      </c>
      <c r="E28" s="89"/>
      <c r="F28" s="89"/>
    </row>
    <row r="29" spans="1:6" s="5" customFormat="1">
      <c r="A29" s="85"/>
      <c r="B29" s="117">
        <v>42376</v>
      </c>
      <c r="C29" s="87" t="s">
        <v>493</v>
      </c>
      <c r="D29" s="88">
        <v>692000</v>
      </c>
      <c r="E29" s="89"/>
      <c r="F29" s="89"/>
    </row>
    <row r="30" spans="1:6" s="5" customFormat="1">
      <c r="A30" s="85"/>
      <c r="B30" s="122">
        <v>42377</v>
      </c>
      <c r="C30" s="89" t="s">
        <v>417</v>
      </c>
      <c r="D30" s="88">
        <v>10000</v>
      </c>
      <c r="E30" s="89"/>
      <c r="F30" s="89"/>
    </row>
    <row r="31" spans="1:6" s="5" customFormat="1">
      <c r="A31" s="85"/>
      <c r="B31" s="117">
        <v>42377</v>
      </c>
      <c r="C31" s="87" t="s">
        <v>496</v>
      </c>
      <c r="D31" s="88">
        <v>541250</v>
      </c>
      <c r="E31" s="89"/>
      <c r="F31" s="89"/>
    </row>
    <row r="32" spans="1:6" s="5" customFormat="1">
      <c r="A32" s="85"/>
      <c r="B32" s="117">
        <v>42377</v>
      </c>
      <c r="C32" s="87" t="s">
        <v>492</v>
      </c>
      <c r="D32" s="88">
        <v>520000</v>
      </c>
      <c r="E32" s="89"/>
      <c r="F32" s="89"/>
    </row>
    <row r="33" spans="1:8" s="5" customFormat="1">
      <c r="A33" s="85"/>
      <c r="B33" s="117">
        <v>42377</v>
      </c>
      <c r="C33" s="92" t="s">
        <v>498</v>
      </c>
      <c r="D33" s="88">
        <v>177000</v>
      </c>
      <c r="E33" s="89"/>
      <c r="F33" s="89"/>
    </row>
    <row r="34" spans="1:8" s="5" customFormat="1">
      <c r="A34" s="85"/>
      <c r="B34" s="122">
        <v>42378</v>
      </c>
      <c r="C34" s="89" t="s">
        <v>417</v>
      </c>
      <c r="D34" s="88">
        <v>10000</v>
      </c>
      <c r="E34" s="89"/>
      <c r="F34" s="89"/>
    </row>
    <row r="35" spans="1:8" s="5" customFormat="1">
      <c r="A35" s="85"/>
      <c r="B35" s="122">
        <v>42378</v>
      </c>
      <c r="C35" s="89" t="s">
        <v>417</v>
      </c>
      <c r="D35" s="88">
        <v>15000</v>
      </c>
      <c r="E35" s="89"/>
      <c r="F35" s="89"/>
    </row>
    <row r="36" spans="1:8" s="5" customFormat="1">
      <c r="A36" s="85"/>
      <c r="B36" s="117">
        <v>42378</v>
      </c>
      <c r="C36" s="87" t="s">
        <v>493</v>
      </c>
      <c r="D36" s="88">
        <v>397500</v>
      </c>
      <c r="E36" s="89"/>
      <c r="F36" s="89"/>
    </row>
    <row r="37" spans="1:8" s="5" customFormat="1">
      <c r="A37" s="85"/>
      <c r="B37" s="117">
        <v>42378</v>
      </c>
      <c r="C37" s="87" t="s">
        <v>499</v>
      </c>
      <c r="D37" s="88">
        <v>554650</v>
      </c>
      <c r="E37" s="89"/>
      <c r="F37" s="89"/>
    </row>
    <row r="38" spans="1:8" s="5" customFormat="1">
      <c r="A38" s="85"/>
      <c r="B38" s="117">
        <v>42380</v>
      </c>
      <c r="C38" s="92" t="s">
        <v>500</v>
      </c>
      <c r="D38" s="88">
        <v>22500</v>
      </c>
      <c r="E38" s="89"/>
      <c r="F38" s="89"/>
    </row>
    <row r="39" spans="1:8" s="5" customFormat="1">
      <c r="A39" s="85"/>
      <c r="B39" s="117">
        <v>42381</v>
      </c>
      <c r="C39" s="87" t="s">
        <v>501</v>
      </c>
      <c r="D39" s="88">
        <v>209000</v>
      </c>
      <c r="E39" s="89"/>
      <c r="F39" s="89"/>
    </row>
    <row r="40" spans="1:8" s="5" customFormat="1">
      <c r="A40" s="85"/>
      <c r="B40" s="117">
        <v>42381</v>
      </c>
      <c r="C40" s="92" t="s">
        <v>502</v>
      </c>
      <c r="D40" s="88">
        <v>559000</v>
      </c>
      <c r="E40" s="89"/>
      <c r="F40" s="89"/>
    </row>
    <row r="41" spans="1:8" s="5" customFormat="1">
      <c r="A41" s="85"/>
      <c r="B41" s="117">
        <v>42381</v>
      </c>
      <c r="C41" s="87" t="s">
        <v>492</v>
      </c>
      <c r="D41" s="88">
        <v>1300000</v>
      </c>
      <c r="E41" s="89"/>
      <c r="F41" s="89"/>
    </row>
    <row r="42" spans="1:8" s="5" customFormat="1">
      <c r="A42" s="85"/>
      <c r="B42" s="122">
        <v>42382</v>
      </c>
      <c r="C42" s="3" t="s">
        <v>420</v>
      </c>
      <c r="D42" s="88">
        <v>18000</v>
      </c>
      <c r="E42" s="89"/>
      <c r="F42" s="89"/>
    </row>
    <row r="43" spans="1:8" s="5" customFormat="1">
      <c r="A43" s="85"/>
      <c r="B43" s="122">
        <v>42383</v>
      </c>
      <c r="C43" s="3" t="s">
        <v>421</v>
      </c>
      <c r="D43" s="88">
        <v>50000</v>
      </c>
      <c r="E43" s="89"/>
      <c r="F43" s="89"/>
    </row>
    <row r="44" spans="1:8" s="5" customFormat="1">
      <c r="A44" s="85"/>
      <c r="B44" s="122">
        <v>42383</v>
      </c>
      <c r="C44" s="89" t="s">
        <v>417</v>
      </c>
      <c r="D44" s="88">
        <v>10000</v>
      </c>
      <c r="E44" s="89"/>
      <c r="F44" s="89"/>
    </row>
    <row r="45" spans="1:8" s="5" customFormat="1">
      <c r="A45" s="85"/>
      <c r="B45" s="122">
        <v>42383</v>
      </c>
      <c r="C45" s="89" t="s">
        <v>417</v>
      </c>
      <c r="D45" s="88">
        <v>5000</v>
      </c>
      <c r="E45" s="89"/>
      <c r="F45" s="89"/>
    </row>
    <row r="46" spans="1:8">
      <c r="A46" s="91"/>
      <c r="B46" s="122">
        <v>42383</v>
      </c>
      <c r="C46" s="89" t="s">
        <v>417</v>
      </c>
      <c r="D46" s="88">
        <v>5000</v>
      </c>
      <c r="E46" s="94"/>
      <c r="F46" s="94"/>
      <c r="G46" s="93"/>
      <c r="H46" s="93"/>
    </row>
    <row r="47" spans="1:8">
      <c r="A47" s="91"/>
      <c r="B47" s="122">
        <v>42383</v>
      </c>
      <c r="C47" s="89" t="s">
        <v>417</v>
      </c>
      <c r="D47" s="88">
        <v>15000</v>
      </c>
      <c r="E47" s="94"/>
      <c r="F47" s="94"/>
      <c r="G47" s="93"/>
      <c r="H47" s="93"/>
    </row>
    <row r="48" spans="1:8">
      <c r="A48" s="91"/>
      <c r="B48" s="122">
        <v>42383</v>
      </c>
      <c r="C48" s="89" t="s">
        <v>417</v>
      </c>
      <c r="D48" s="88">
        <v>15000</v>
      </c>
      <c r="E48" s="94"/>
      <c r="F48" s="94"/>
      <c r="G48" s="93"/>
      <c r="H48" s="93"/>
    </row>
    <row r="49" spans="1:8">
      <c r="A49" s="91"/>
      <c r="B49" s="117">
        <v>42383</v>
      </c>
      <c r="C49" s="87" t="s">
        <v>494</v>
      </c>
      <c r="D49" s="88">
        <v>300000</v>
      </c>
      <c r="E49" s="94"/>
      <c r="F49" s="94"/>
      <c r="G49" s="93"/>
      <c r="H49" s="93"/>
    </row>
    <row r="50" spans="1:8">
      <c r="A50" s="91"/>
      <c r="B50" s="117">
        <v>42383</v>
      </c>
      <c r="C50" s="87" t="s">
        <v>493</v>
      </c>
      <c r="D50" s="88">
        <v>324000</v>
      </c>
      <c r="E50" s="94"/>
      <c r="F50" s="94"/>
      <c r="G50" s="93"/>
      <c r="H50" s="93"/>
    </row>
    <row r="51" spans="1:8">
      <c r="A51" s="91"/>
      <c r="B51" s="117">
        <v>42383</v>
      </c>
      <c r="C51" s="87" t="s">
        <v>496</v>
      </c>
      <c r="D51" s="88">
        <v>1549450</v>
      </c>
      <c r="E51" s="94"/>
      <c r="F51" s="94"/>
      <c r="G51" s="93"/>
      <c r="H51" s="93"/>
    </row>
    <row r="52" spans="1:8">
      <c r="A52" s="91"/>
      <c r="B52" s="117">
        <v>42383</v>
      </c>
      <c r="C52" s="87" t="s">
        <v>496</v>
      </c>
      <c r="D52" s="88">
        <v>535500</v>
      </c>
      <c r="E52" s="94"/>
      <c r="F52" s="94"/>
      <c r="G52" s="93"/>
      <c r="H52" s="93"/>
    </row>
    <row r="53" spans="1:8">
      <c r="A53" s="91"/>
      <c r="B53" s="117">
        <v>42384</v>
      </c>
      <c r="C53" s="92" t="s">
        <v>503</v>
      </c>
      <c r="D53" s="88">
        <v>45000</v>
      </c>
      <c r="E53" s="94"/>
      <c r="F53" s="94"/>
      <c r="G53" s="93"/>
      <c r="H53" s="93"/>
    </row>
    <row r="54" spans="1:8">
      <c r="A54" s="91"/>
      <c r="B54" s="117">
        <v>42384</v>
      </c>
      <c r="C54" s="87" t="s">
        <v>492</v>
      </c>
      <c r="D54" s="88">
        <v>780000</v>
      </c>
      <c r="E54" s="94"/>
      <c r="F54" s="94"/>
      <c r="G54" s="93"/>
      <c r="H54" s="93"/>
    </row>
    <row r="55" spans="1:8">
      <c r="A55" s="91"/>
      <c r="B55" s="117">
        <v>42385</v>
      </c>
      <c r="C55" s="92" t="s">
        <v>504</v>
      </c>
      <c r="D55" s="88">
        <v>37500</v>
      </c>
      <c r="E55" s="94"/>
      <c r="F55" s="94"/>
      <c r="G55" s="93"/>
      <c r="H55" s="93"/>
    </row>
    <row r="56" spans="1:8">
      <c r="A56" s="91"/>
      <c r="B56" s="117">
        <v>42387</v>
      </c>
      <c r="C56" s="87" t="s">
        <v>493</v>
      </c>
      <c r="D56" s="88">
        <v>66000</v>
      </c>
      <c r="E56" s="94"/>
      <c r="F56" s="94"/>
      <c r="G56" s="93"/>
      <c r="H56" s="93"/>
    </row>
    <row r="57" spans="1:8">
      <c r="A57" s="91"/>
      <c r="B57" s="117">
        <v>42387</v>
      </c>
      <c r="C57" s="87" t="s">
        <v>494</v>
      </c>
      <c r="D57" s="88">
        <v>168000</v>
      </c>
      <c r="E57" s="94"/>
      <c r="F57" s="94"/>
      <c r="G57" s="93"/>
      <c r="H57" s="93"/>
    </row>
    <row r="58" spans="1:8">
      <c r="A58" s="91"/>
      <c r="B58" s="117">
        <v>42388</v>
      </c>
      <c r="C58" s="92" t="s">
        <v>505</v>
      </c>
      <c r="D58" s="88">
        <v>237000</v>
      </c>
      <c r="E58" s="94"/>
      <c r="F58" s="94"/>
      <c r="G58" s="93"/>
      <c r="H58" s="93"/>
    </row>
    <row r="59" spans="1:8">
      <c r="A59" s="91"/>
      <c r="B59" s="117">
        <v>42388</v>
      </c>
      <c r="C59" s="87" t="s">
        <v>506</v>
      </c>
      <c r="D59" s="88">
        <v>439800</v>
      </c>
      <c r="E59" s="94"/>
      <c r="F59" s="94"/>
      <c r="G59" s="93"/>
      <c r="H59" s="93"/>
    </row>
    <row r="60" spans="1:8">
      <c r="A60" s="91"/>
      <c r="B60" s="117">
        <v>42388</v>
      </c>
      <c r="C60" s="87" t="s">
        <v>496</v>
      </c>
      <c r="D60" s="88">
        <v>603000</v>
      </c>
      <c r="E60" s="94"/>
      <c r="F60" s="94"/>
      <c r="G60" s="93"/>
      <c r="H60" s="93"/>
    </row>
    <row r="61" spans="1:8">
      <c r="A61" s="91"/>
      <c r="B61" s="122">
        <v>42389</v>
      </c>
      <c r="C61" s="3" t="s">
        <v>422</v>
      </c>
      <c r="D61" s="88">
        <v>48000</v>
      </c>
      <c r="E61" s="94"/>
      <c r="F61" s="94"/>
      <c r="G61" s="93"/>
      <c r="H61" s="93"/>
    </row>
    <row r="62" spans="1:8">
      <c r="A62" s="91"/>
      <c r="B62" s="122">
        <v>42389</v>
      </c>
      <c r="C62" s="89" t="s">
        <v>423</v>
      </c>
      <c r="D62" s="88">
        <v>9673400</v>
      </c>
      <c r="E62" s="94"/>
      <c r="F62" s="94"/>
      <c r="G62" s="93"/>
      <c r="H62" s="93"/>
    </row>
    <row r="63" spans="1:8">
      <c r="A63" s="91"/>
      <c r="B63" s="122">
        <v>42389</v>
      </c>
      <c r="C63" s="89" t="s">
        <v>424</v>
      </c>
      <c r="D63" s="88">
        <v>10000</v>
      </c>
      <c r="E63" s="94"/>
      <c r="F63" s="94"/>
      <c r="G63" s="93"/>
      <c r="H63" s="93"/>
    </row>
    <row r="64" spans="1:8">
      <c r="A64" s="91"/>
      <c r="B64" s="117">
        <v>42389</v>
      </c>
      <c r="C64" s="87" t="s">
        <v>492</v>
      </c>
      <c r="D64" s="88">
        <v>1300000</v>
      </c>
      <c r="E64" s="94"/>
      <c r="F64" s="94"/>
      <c r="G64" s="93"/>
      <c r="H64" s="93"/>
    </row>
    <row r="65" spans="1:8">
      <c r="A65" s="91"/>
      <c r="B65" s="117">
        <v>42389</v>
      </c>
      <c r="C65" s="94" t="s">
        <v>507</v>
      </c>
      <c r="D65" s="88">
        <v>90000</v>
      </c>
      <c r="E65" s="94"/>
      <c r="F65" s="94"/>
      <c r="G65" s="93"/>
      <c r="H65" s="93"/>
    </row>
    <row r="66" spans="1:8">
      <c r="A66" s="91"/>
      <c r="B66" s="117">
        <v>42389</v>
      </c>
      <c r="C66" s="94" t="s">
        <v>508</v>
      </c>
      <c r="D66" s="88">
        <v>170000</v>
      </c>
      <c r="E66" s="94"/>
      <c r="F66" s="94"/>
      <c r="G66" s="93"/>
      <c r="H66" s="93"/>
    </row>
    <row r="67" spans="1:8">
      <c r="A67" s="91"/>
      <c r="B67" s="117">
        <v>42390</v>
      </c>
      <c r="C67" s="92" t="s">
        <v>509</v>
      </c>
      <c r="D67" s="88">
        <v>40000</v>
      </c>
      <c r="E67" s="94"/>
      <c r="F67" s="94"/>
      <c r="G67" s="93"/>
      <c r="H67" s="93"/>
    </row>
    <row r="68" spans="1:8">
      <c r="A68" s="91"/>
      <c r="B68" s="117">
        <f>B66+1</f>
        <v>42390</v>
      </c>
      <c r="C68" s="92" t="s">
        <v>504</v>
      </c>
      <c r="D68" s="88">
        <v>37000</v>
      </c>
      <c r="E68" s="94"/>
      <c r="F68" s="94"/>
      <c r="G68" s="93"/>
      <c r="H68" s="93"/>
    </row>
    <row r="69" spans="1:8">
      <c r="A69" s="91"/>
      <c r="B69" s="122">
        <v>42391</v>
      </c>
      <c r="C69" s="89" t="s">
        <v>417</v>
      </c>
      <c r="D69" s="88">
        <v>20000</v>
      </c>
      <c r="E69" s="94"/>
      <c r="F69" s="94"/>
      <c r="G69" s="93"/>
      <c r="H69" s="93"/>
    </row>
    <row r="70" spans="1:8">
      <c r="A70" s="91"/>
      <c r="B70" s="117">
        <v>42391</v>
      </c>
      <c r="C70" s="87" t="s">
        <v>496</v>
      </c>
      <c r="D70" s="88">
        <v>5676500</v>
      </c>
      <c r="E70" s="94"/>
      <c r="F70" s="94"/>
      <c r="G70" s="93"/>
      <c r="H70" s="93"/>
    </row>
    <row r="71" spans="1:8">
      <c r="A71" s="91"/>
      <c r="B71" s="117">
        <v>42391</v>
      </c>
      <c r="C71" s="87" t="s">
        <v>492</v>
      </c>
      <c r="D71" s="88">
        <v>520000</v>
      </c>
      <c r="E71" s="94"/>
      <c r="F71" s="94"/>
      <c r="G71" s="93"/>
      <c r="H71" s="93"/>
    </row>
    <row r="72" spans="1:8">
      <c r="A72" s="91"/>
      <c r="B72" s="117">
        <v>42391</v>
      </c>
      <c r="C72" s="87" t="s">
        <v>493</v>
      </c>
      <c r="D72" s="88">
        <v>439000</v>
      </c>
      <c r="E72" s="94"/>
      <c r="F72" s="94"/>
      <c r="G72" s="93"/>
      <c r="H72" s="93"/>
    </row>
    <row r="73" spans="1:8">
      <c r="A73" s="91"/>
      <c r="B73" s="122">
        <v>42392</v>
      </c>
      <c r="C73" s="89" t="s">
        <v>417</v>
      </c>
      <c r="D73" s="88">
        <v>10000</v>
      </c>
      <c r="E73" s="94"/>
      <c r="F73" s="94"/>
      <c r="G73" s="93"/>
      <c r="H73" s="93"/>
    </row>
    <row r="74" spans="1:8">
      <c r="A74" s="91"/>
      <c r="B74" s="117">
        <v>42392</v>
      </c>
      <c r="C74" s="87" t="s">
        <v>494</v>
      </c>
      <c r="D74" s="88">
        <v>474000</v>
      </c>
      <c r="E74" s="94"/>
      <c r="F74" s="94"/>
      <c r="G74" s="93"/>
      <c r="H74" s="93"/>
    </row>
    <row r="75" spans="1:8">
      <c r="A75" s="91"/>
      <c r="B75" s="122">
        <v>42394</v>
      </c>
      <c r="C75" s="3" t="s">
        <v>422</v>
      </c>
      <c r="D75" s="88">
        <v>51000</v>
      </c>
      <c r="E75" s="94"/>
      <c r="F75" s="94"/>
      <c r="G75" s="93"/>
      <c r="H75" s="93"/>
    </row>
    <row r="76" spans="1:8">
      <c r="A76" s="91"/>
      <c r="B76" s="122">
        <v>42394</v>
      </c>
      <c r="C76" s="89" t="s">
        <v>417</v>
      </c>
      <c r="D76" s="88">
        <v>10000</v>
      </c>
      <c r="E76" s="94"/>
      <c r="F76" s="94"/>
      <c r="G76" s="93"/>
      <c r="H76" s="93"/>
    </row>
    <row r="77" spans="1:8">
      <c r="A77" s="91"/>
      <c r="B77" s="122">
        <v>42394</v>
      </c>
      <c r="C77" s="89" t="s">
        <v>417</v>
      </c>
      <c r="D77" s="88">
        <v>15000</v>
      </c>
      <c r="E77" s="94"/>
      <c r="F77" s="94"/>
      <c r="G77" s="93"/>
      <c r="H77" s="93"/>
    </row>
    <row r="78" spans="1:8">
      <c r="A78" s="91"/>
      <c r="B78" s="117">
        <v>42394</v>
      </c>
      <c r="C78" s="94" t="s">
        <v>510</v>
      </c>
      <c r="D78" s="88">
        <v>540000</v>
      </c>
      <c r="E78" s="94"/>
      <c r="F78" s="94"/>
      <c r="G78" s="93"/>
      <c r="H78" s="93"/>
    </row>
    <row r="79" spans="1:8">
      <c r="A79" s="91"/>
      <c r="B79" s="117">
        <v>42394</v>
      </c>
      <c r="C79" s="87" t="s">
        <v>493</v>
      </c>
      <c r="D79" s="88">
        <v>782000</v>
      </c>
      <c r="E79" s="94"/>
      <c r="F79" s="94"/>
      <c r="G79" s="93"/>
      <c r="H79" s="93"/>
    </row>
    <row r="80" spans="1:8">
      <c r="A80" s="91"/>
      <c r="B80" s="117">
        <v>42394</v>
      </c>
      <c r="C80" s="87" t="s">
        <v>496</v>
      </c>
      <c r="D80" s="88">
        <v>1024250</v>
      </c>
      <c r="E80" s="94"/>
      <c r="F80" s="94"/>
      <c r="G80" s="93"/>
      <c r="H80" s="93"/>
    </row>
    <row r="81" spans="1:8">
      <c r="A81" s="91"/>
      <c r="B81" s="122">
        <v>42395</v>
      </c>
      <c r="C81" s="89" t="s">
        <v>490</v>
      </c>
      <c r="D81" s="88">
        <v>107800</v>
      </c>
      <c r="E81" s="94"/>
      <c r="F81" s="94"/>
      <c r="G81" s="93"/>
      <c r="H81" s="93"/>
    </row>
    <row r="82" spans="1:8">
      <c r="A82" s="91"/>
      <c r="B82" s="122">
        <v>42395</v>
      </c>
      <c r="C82" s="89" t="s">
        <v>417</v>
      </c>
      <c r="D82" s="88">
        <v>10000</v>
      </c>
      <c r="E82" s="94"/>
      <c r="F82" s="94"/>
      <c r="G82" s="93"/>
      <c r="H82" s="93"/>
    </row>
    <row r="83" spans="1:8">
      <c r="A83" s="91"/>
      <c r="B83" s="117">
        <v>42395</v>
      </c>
      <c r="C83" s="92" t="s">
        <v>502</v>
      </c>
      <c r="D83" s="88">
        <v>551000</v>
      </c>
      <c r="E83" s="94"/>
      <c r="F83" s="94"/>
      <c r="G83" s="93"/>
      <c r="H83" s="93"/>
    </row>
    <row r="84" spans="1:8">
      <c r="A84" s="91"/>
      <c r="B84" s="117">
        <v>42395</v>
      </c>
      <c r="C84" s="87" t="s">
        <v>492</v>
      </c>
      <c r="D84" s="88">
        <v>50000</v>
      </c>
      <c r="E84" s="94"/>
      <c r="F84" s="94"/>
      <c r="G84" s="93"/>
      <c r="H84" s="93"/>
    </row>
    <row r="85" spans="1:8">
      <c r="A85" s="91"/>
      <c r="B85" s="117">
        <v>42395</v>
      </c>
      <c r="C85" s="87" t="s">
        <v>506</v>
      </c>
      <c r="D85" s="88">
        <v>128700</v>
      </c>
      <c r="E85" s="94"/>
      <c r="F85" s="94"/>
      <c r="G85" s="93"/>
      <c r="H85" s="93"/>
    </row>
    <row r="86" spans="1:8">
      <c r="A86" s="91"/>
      <c r="B86" s="122">
        <v>42396</v>
      </c>
      <c r="C86" s="3" t="s">
        <v>421</v>
      </c>
      <c r="D86" s="88">
        <v>50000</v>
      </c>
      <c r="E86" s="94"/>
      <c r="F86" s="94"/>
      <c r="G86" s="93"/>
      <c r="H86" s="93"/>
    </row>
    <row r="87" spans="1:8">
      <c r="A87" s="91"/>
      <c r="B87" s="117">
        <v>42396</v>
      </c>
      <c r="C87" s="87" t="s">
        <v>492</v>
      </c>
      <c r="D87" s="88">
        <v>530000</v>
      </c>
      <c r="E87" s="94"/>
      <c r="F87" s="94"/>
      <c r="G87" s="93"/>
      <c r="H87" s="93"/>
    </row>
    <row r="88" spans="1:8">
      <c r="A88" s="91"/>
      <c r="B88" s="122">
        <v>42397</v>
      </c>
      <c r="C88" s="89" t="s">
        <v>417</v>
      </c>
      <c r="D88" s="88">
        <v>5000</v>
      </c>
      <c r="E88" s="94"/>
      <c r="F88" s="94"/>
      <c r="G88" s="93"/>
      <c r="H88" s="93"/>
    </row>
    <row r="89" spans="1:8">
      <c r="A89" s="91"/>
      <c r="B89" s="122">
        <v>42397</v>
      </c>
      <c r="C89" s="89" t="s">
        <v>417</v>
      </c>
      <c r="D89" s="88">
        <v>15000</v>
      </c>
      <c r="E89" s="94"/>
      <c r="F89" s="94"/>
      <c r="G89" s="93"/>
      <c r="H89" s="93"/>
    </row>
    <row r="90" spans="1:8">
      <c r="A90" s="91"/>
      <c r="B90" s="122">
        <v>42397</v>
      </c>
      <c r="C90" s="89" t="s">
        <v>417</v>
      </c>
      <c r="D90" s="88">
        <v>10000</v>
      </c>
      <c r="E90" s="94"/>
      <c r="F90" s="94"/>
      <c r="G90" s="93"/>
      <c r="H90" s="93"/>
    </row>
    <row r="91" spans="1:8">
      <c r="A91" s="91"/>
      <c r="B91" s="117">
        <v>42397</v>
      </c>
      <c r="C91" s="87" t="s">
        <v>494</v>
      </c>
      <c r="D91" s="88">
        <v>342000</v>
      </c>
      <c r="E91" s="94"/>
      <c r="F91" s="94"/>
      <c r="G91" s="93"/>
      <c r="H91" s="93"/>
    </row>
    <row r="92" spans="1:8">
      <c r="A92" s="91"/>
      <c r="B92" s="117">
        <v>42397</v>
      </c>
      <c r="C92" s="87" t="s">
        <v>511</v>
      </c>
      <c r="D92" s="88">
        <v>691000</v>
      </c>
      <c r="E92" s="94"/>
      <c r="F92" s="94"/>
      <c r="G92" s="93"/>
      <c r="H92" s="93"/>
    </row>
    <row r="93" spans="1:8">
      <c r="A93" s="91"/>
      <c r="B93" s="117">
        <v>42397</v>
      </c>
      <c r="C93" s="87" t="s">
        <v>496</v>
      </c>
      <c r="D93" s="88">
        <v>5151200</v>
      </c>
      <c r="E93" s="94"/>
      <c r="F93" s="94"/>
      <c r="G93" s="93"/>
      <c r="H93" s="93"/>
    </row>
    <row r="94" spans="1:8">
      <c r="A94" s="91"/>
      <c r="B94" s="117">
        <v>42397</v>
      </c>
      <c r="C94" s="87" t="s">
        <v>496</v>
      </c>
      <c r="D94" s="88">
        <v>858800</v>
      </c>
      <c r="E94" s="94"/>
      <c r="F94" s="94"/>
      <c r="G94" s="93"/>
      <c r="H94" s="93"/>
    </row>
    <row r="95" spans="1:8">
      <c r="A95" s="91"/>
      <c r="B95" s="117">
        <v>42397</v>
      </c>
      <c r="C95" s="87" t="s">
        <v>492</v>
      </c>
      <c r="D95" s="88">
        <v>1040000</v>
      </c>
      <c r="E95" s="94"/>
      <c r="F95" s="94"/>
      <c r="G95" s="93"/>
      <c r="H95" s="93"/>
    </row>
    <row r="96" spans="1:8">
      <c r="A96" s="91"/>
      <c r="B96" s="117">
        <v>42398</v>
      </c>
      <c r="C96" s="92" t="s">
        <v>504</v>
      </c>
      <c r="D96" s="88">
        <v>37500</v>
      </c>
      <c r="E96" s="94"/>
      <c r="F96" s="94"/>
      <c r="G96" s="93"/>
      <c r="H96" s="93"/>
    </row>
    <row r="97" spans="1:9">
      <c r="A97" s="91"/>
      <c r="B97" s="122">
        <v>42399</v>
      </c>
      <c r="C97" s="3" t="s">
        <v>420</v>
      </c>
      <c r="D97" s="88">
        <v>18000</v>
      </c>
      <c r="E97" s="94"/>
      <c r="F97" s="94"/>
      <c r="G97" s="93"/>
      <c r="H97" s="93"/>
    </row>
    <row r="98" spans="1:9">
      <c r="A98" s="91"/>
      <c r="B98" s="122">
        <v>42399</v>
      </c>
      <c r="C98" s="89" t="s">
        <v>417</v>
      </c>
      <c r="D98" s="88">
        <v>10000</v>
      </c>
      <c r="E98" s="94"/>
      <c r="F98" s="94"/>
      <c r="G98" s="93"/>
      <c r="H98" s="93"/>
    </row>
    <row r="99" spans="1:9">
      <c r="A99" s="91"/>
      <c r="B99" s="117">
        <v>42399</v>
      </c>
      <c r="C99" s="87" t="s">
        <v>496</v>
      </c>
      <c r="D99" s="88">
        <v>848000</v>
      </c>
      <c r="E99" s="94"/>
      <c r="F99" s="94"/>
      <c r="G99" s="93"/>
      <c r="H99" s="93"/>
    </row>
    <row r="100" spans="1:9">
      <c r="A100" s="91"/>
      <c r="B100" s="122">
        <v>42400</v>
      </c>
      <c r="C100" s="89" t="s">
        <v>425</v>
      </c>
      <c r="D100" s="88">
        <v>1500000</v>
      </c>
      <c r="E100" s="94"/>
      <c r="F100" s="94"/>
      <c r="G100" s="93"/>
      <c r="H100" s="93"/>
    </row>
    <row r="101" spans="1:9">
      <c r="A101" s="91"/>
      <c r="B101" s="122">
        <v>42400</v>
      </c>
      <c r="C101" s="89" t="s">
        <v>426</v>
      </c>
      <c r="D101" s="88">
        <v>300000</v>
      </c>
      <c r="E101" s="94"/>
      <c r="F101" s="94"/>
      <c r="G101" s="93"/>
      <c r="H101" s="93"/>
    </row>
    <row r="102" spans="1:9">
      <c r="A102" s="91"/>
      <c r="B102" s="117">
        <v>42400</v>
      </c>
      <c r="C102" s="94" t="s">
        <v>512</v>
      </c>
      <c r="D102" s="88">
        <v>2775000</v>
      </c>
      <c r="E102" s="94"/>
      <c r="F102" s="94"/>
      <c r="G102" s="93"/>
      <c r="H102" s="93"/>
    </row>
    <row r="103" spans="1:9">
      <c r="A103" s="95"/>
      <c r="B103" s="118">
        <v>42400</v>
      </c>
      <c r="C103" s="97" t="s">
        <v>513</v>
      </c>
      <c r="D103" s="86">
        <v>1900000</v>
      </c>
      <c r="E103" s="97"/>
      <c r="F103" s="94"/>
      <c r="G103" s="93"/>
      <c r="H103" s="93"/>
    </row>
    <row r="104" spans="1:9">
      <c r="A104" s="109">
        <v>3</v>
      </c>
      <c r="B104" s="109"/>
      <c r="C104" s="94" t="s">
        <v>306</v>
      </c>
      <c r="D104" s="88">
        <v>67500000</v>
      </c>
      <c r="E104" s="88"/>
      <c r="F104" s="88"/>
      <c r="G104" s="110"/>
      <c r="H104" s="110"/>
      <c r="I104" s="111"/>
    </row>
    <row r="105" spans="1:9">
      <c r="A105" s="109"/>
      <c r="B105" s="109"/>
      <c r="C105" s="94" t="s">
        <v>307</v>
      </c>
      <c r="D105" s="88"/>
      <c r="E105" s="88">
        <v>21800000</v>
      </c>
      <c r="F105" s="88"/>
    </row>
    <row r="106" spans="1:9">
      <c r="A106" s="109"/>
      <c r="B106" s="109"/>
      <c r="C106" s="94" t="s">
        <v>308</v>
      </c>
      <c r="D106" s="88"/>
      <c r="E106" s="88">
        <f>'[1]Pinjaman 2016'!$G$235</f>
        <v>67750000</v>
      </c>
      <c r="F106" s="88"/>
    </row>
    <row r="107" spans="1:9">
      <c r="A107" s="109"/>
      <c r="B107" s="109"/>
      <c r="C107" s="94" t="s">
        <v>309</v>
      </c>
      <c r="D107" s="88"/>
      <c r="E107" s="88">
        <f>'[1]Pinjaman 2016'!$H$235</f>
        <v>4560975</v>
      </c>
      <c r="F107" s="88"/>
    </row>
    <row r="108" spans="1:9">
      <c r="A108" s="109"/>
      <c r="B108" s="109"/>
      <c r="C108" s="89" t="s">
        <v>679</v>
      </c>
      <c r="D108" s="88"/>
      <c r="E108" s="88">
        <v>48190667</v>
      </c>
      <c r="F108" s="88"/>
      <c r="G108" s="12">
        <f>E108+E109</f>
        <v>49174150</v>
      </c>
    </row>
    <row r="109" spans="1:9">
      <c r="A109" s="109"/>
      <c r="B109" s="109"/>
      <c r="C109" s="89" t="s">
        <v>683</v>
      </c>
      <c r="D109" s="88"/>
      <c r="E109" s="88">
        <v>983483</v>
      </c>
      <c r="F109" s="88"/>
    </row>
    <row r="110" spans="1:9" s="5" customFormat="1">
      <c r="A110" s="85"/>
      <c r="B110" s="122">
        <v>42401</v>
      </c>
      <c r="C110" s="3" t="s">
        <v>422</v>
      </c>
      <c r="D110" s="88">
        <v>52000</v>
      </c>
      <c r="E110" s="89"/>
      <c r="F110" s="125"/>
    </row>
    <row r="111" spans="1:9" s="5" customFormat="1">
      <c r="A111" s="85"/>
      <c r="B111" s="117">
        <v>42401</v>
      </c>
      <c r="C111" s="3" t="s">
        <v>514</v>
      </c>
      <c r="D111" s="88">
        <v>80000</v>
      </c>
      <c r="E111" s="89"/>
      <c r="F111" s="89"/>
    </row>
    <row r="112" spans="1:9" s="5" customFormat="1">
      <c r="A112" s="85"/>
      <c r="B112" s="117">
        <v>42401</v>
      </c>
      <c r="C112" s="94" t="s">
        <v>507</v>
      </c>
      <c r="D112" s="88">
        <v>165000</v>
      </c>
      <c r="E112" s="89"/>
      <c r="F112" s="89"/>
    </row>
    <row r="113" spans="1:6" s="5" customFormat="1">
      <c r="A113" s="85"/>
      <c r="B113" s="117">
        <v>42401</v>
      </c>
      <c r="C113" s="94" t="s">
        <v>507</v>
      </c>
      <c r="D113" s="88">
        <v>165000</v>
      </c>
      <c r="E113" s="89"/>
      <c r="F113" s="89"/>
    </row>
    <row r="114" spans="1:6" s="5" customFormat="1">
      <c r="A114" s="85"/>
      <c r="B114" s="117">
        <v>42401</v>
      </c>
      <c r="C114" s="87" t="s">
        <v>492</v>
      </c>
      <c r="D114" s="88">
        <v>1040000</v>
      </c>
      <c r="E114" s="89"/>
      <c r="F114" s="89"/>
    </row>
    <row r="115" spans="1:6" s="5" customFormat="1">
      <c r="A115" s="85"/>
      <c r="B115" s="122">
        <v>42402</v>
      </c>
      <c r="C115" s="89" t="s">
        <v>417</v>
      </c>
      <c r="D115" s="88">
        <v>5000</v>
      </c>
      <c r="E115" s="89"/>
      <c r="F115" s="89"/>
    </row>
    <row r="116" spans="1:6" s="5" customFormat="1">
      <c r="A116" s="85"/>
      <c r="B116" s="117">
        <v>42402</v>
      </c>
      <c r="C116" s="87" t="s">
        <v>515</v>
      </c>
      <c r="D116" s="88">
        <v>398500</v>
      </c>
      <c r="E116" s="89"/>
      <c r="F116" s="89"/>
    </row>
    <row r="117" spans="1:6" s="5" customFormat="1">
      <c r="A117" s="85"/>
      <c r="B117" s="122">
        <v>42404</v>
      </c>
      <c r="C117" s="89" t="s">
        <v>427</v>
      </c>
      <c r="D117" s="90">
        <v>137000</v>
      </c>
      <c r="E117" s="89"/>
      <c r="F117" s="89"/>
    </row>
    <row r="118" spans="1:6" s="5" customFormat="1">
      <c r="A118" s="85"/>
      <c r="B118" s="122">
        <v>42405</v>
      </c>
      <c r="C118" s="89" t="s">
        <v>417</v>
      </c>
      <c r="D118" s="88">
        <v>15000</v>
      </c>
      <c r="E118" s="89"/>
      <c r="F118" s="89"/>
    </row>
    <row r="119" spans="1:6" s="5" customFormat="1">
      <c r="A119" s="85"/>
      <c r="B119" s="117">
        <v>42405</v>
      </c>
      <c r="C119" s="87" t="s">
        <v>506</v>
      </c>
      <c r="D119" s="88">
        <v>185200</v>
      </c>
      <c r="E119" s="89"/>
      <c r="F119" s="89"/>
    </row>
    <row r="120" spans="1:6" s="5" customFormat="1">
      <c r="A120" s="85"/>
      <c r="B120" s="117">
        <v>42405</v>
      </c>
      <c r="C120" s="87" t="s">
        <v>496</v>
      </c>
      <c r="D120" s="88">
        <v>4528000</v>
      </c>
      <c r="E120" s="89"/>
      <c r="F120" s="89"/>
    </row>
    <row r="121" spans="1:6" s="5" customFormat="1">
      <c r="A121" s="85"/>
      <c r="B121" s="117">
        <v>42405</v>
      </c>
      <c r="C121" s="87" t="s">
        <v>511</v>
      </c>
      <c r="D121" s="88">
        <v>245500</v>
      </c>
      <c r="E121" s="89"/>
      <c r="F121" s="89"/>
    </row>
    <row r="122" spans="1:6" s="5" customFormat="1">
      <c r="A122" s="85"/>
      <c r="B122" s="117">
        <v>42405</v>
      </c>
      <c r="C122" s="87" t="s">
        <v>492</v>
      </c>
      <c r="D122" s="88">
        <v>1040000</v>
      </c>
      <c r="E122" s="89"/>
      <c r="F122" s="89"/>
    </row>
    <row r="123" spans="1:6" s="5" customFormat="1">
      <c r="A123" s="85"/>
      <c r="B123" s="122">
        <v>42406</v>
      </c>
      <c r="C123" s="89" t="s">
        <v>417</v>
      </c>
      <c r="D123" s="88">
        <v>10000</v>
      </c>
      <c r="E123" s="89"/>
      <c r="F123" s="89"/>
    </row>
    <row r="124" spans="1:6" s="5" customFormat="1">
      <c r="A124" s="85"/>
      <c r="B124" s="122">
        <v>42406</v>
      </c>
      <c r="C124" s="89" t="s">
        <v>417</v>
      </c>
      <c r="D124" s="88">
        <v>10000</v>
      </c>
      <c r="E124" s="89"/>
      <c r="F124" s="89"/>
    </row>
    <row r="125" spans="1:6" s="5" customFormat="1">
      <c r="A125" s="85"/>
      <c r="B125" s="117">
        <v>42406</v>
      </c>
      <c r="C125" s="87" t="s">
        <v>516</v>
      </c>
      <c r="D125" s="88">
        <v>99000</v>
      </c>
      <c r="E125" s="89"/>
      <c r="F125" s="89"/>
    </row>
    <row r="126" spans="1:6" s="5" customFormat="1">
      <c r="A126" s="85"/>
      <c r="B126" s="117">
        <v>42406</v>
      </c>
      <c r="C126" s="87" t="s">
        <v>494</v>
      </c>
      <c r="D126" s="88">
        <v>718000</v>
      </c>
      <c r="E126" s="89"/>
      <c r="F126" s="89"/>
    </row>
    <row r="127" spans="1:6" s="5" customFormat="1">
      <c r="A127" s="85"/>
      <c r="B127" s="117">
        <v>42406</v>
      </c>
      <c r="C127" s="87" t="s">
        <v>517</v>
      </c>
      <c r="D127" s="88">
        <v>289000</v>
      </c>
      <c r="E127" s="89"/>
      <c r="F127" s="89"/>
    </row>
    <row r="128" spans="1:6" s="5" customFormat="1">
      <c r="A128" s="85"/>
      <c r="B128" s="117">
        <v>42406</v>
      </c>
      <c r="C128" s="87" t="s">
        <v>496</v>
      </c>
      <c r="D128" s="88">
        <v>818900</v>
      </c>
      <c r="E128" s="89"/>
      <c r="F128" s="89"/>
    </row>
    <row r="129" spans="1:8" s="5" customFormat="1">
      <c r="A129" s="85"/>
      <c r="B129" s="117">
        <v>42407</v>
      </c>
      <c r="C129" s="94" t="s">
        <v>507</v>
      </c>
      <c r="D129" s="88">
        <v>168500</v>
      </c>
      <c r="E129" s="89"/>
      <c r="F129" s="89"/>
    </row>
    <row r="130" spans="1:8" s="5" customFormat="1">
      <c r="A130" s="85"/>
      <c r="B130" s="117">
        <v>42409</v>
      </c>
      <c r="C130" s="92" t="s">
        <v>518</v>
      </c>
      <c r="D130" s="88">
        <v>15500</v>
      </c>
      <c r="E130" s="89"/>
      <c r="F130" s="89"/>
    </row>
    <row r="131" spans="1:8" s="5" customFormat="1">
      <c r="A131" s="85"/>
      <c r="B131" s="117">
        <v>42409</v>
      </c>
      <c r="C131" s="87" t="s">
        <v>494</v>
      </c>
      <c r="D131" s="88">
        <v>324000</v>
      </c>
      <c r="E131" s="89"/>
      <c r="F131" s="89"/>
    </row>
    <row r="132" spans="1:8" s="5" customFormat="1">
      <c r="A132" s="85"/>
      <c r="B132" s="117">
        <v>42410</v>
      </c>
      <c r="C132" s="87" t="s">
        <v>506</v>
      </c>
      <c r="D132" s="88">
        <v>32400</v>
      </c>
      <c r="E132" s="89"/>
      <c r="F132" s="89"/>
    </row>
    <row r="133" spans="1:8" s="5" customFormat="1">
      <c r="A133" s="85"/>
      <c r="B133" s="122">
        <v>42411</v>
      </c>
      <c r="C133" s="89" t="s">
        <v>417</v>
      </c>
      <c r="D133" s="88">
        <v>10000</v>
      </c>
      <c r="E133" s="89"/>
      <c r="F133" s="89"/>
    </row>
    <row r="134" spans="1:8" s="5" customFormat="1">
      <c r="A134" s="85"/>
      <c r="B134" s="117">
        <v>42411</v>
      </c>
      <c r="C134" s="87" t="s">
        <v>494</v>
      </c>
      <c r="D134" s="88">
        <v>688000</v>
      </c>
      <c r="E134" s="89"/>
      <c r="F134" s="89"/>
    </row>
    <row r="135" spans="1:8" s="5" customFormat="1">
      <c r="A135" s="85"/>
      <c r="B135" s="117">
        <v>42411</v>
      </c>
      <c r="C135" s="87" t="s">
        <v>519</v>
      </c>
      <c r="D135" s="88">
        <v>78000</v>
      </c>
      <c r="E135" s="89"/>
      <c r="F135" s="89"/>
    </row>
    <row r="136" spans="1:8" s="5" customFormat="1">
      <c r="A136" s="85"/>
      <c r="B136" s="117">
        <v>42412</v>
      </c>
      <c r="C136" s="92" t="s">
        <v>502</v>
      </c>
      <c r="D136" s="88">
        <v>697000</v>
      </c>
      <c r="E136" s="89"/>
      <c r="F136" s="89"/>
    </row>
    <row r="137" spans="1:8" s="5" customFormat="1">
      <c r="A137" s="85"/>
      <c r="B137" s="117">
        <v>42412</v>
      </c>
      <c r="C137" s="94" t="s">
        <v>520</v>
      </c>
      <c r="D137" s="88">
        <v>700000</v>
      </c>
      <c r="E137" s="89"/>
      <c r="F137" s="89"/>
    </row>
    <row r="138" spans="1:8" s="5" customFormat="1">
      <c r="A138" s="85"/>
      <c r="B138" s="117">
        <v>42412</v>
      </c>
      <c r="C138" s="87" t="s">
        <v>492</v>
      </c>
      <c r="D138" s="88">
        <v>1040000</v>
      </c>
      <c r="E138" s="89"/>
      <c r="F138" s="89"/>
    </row>
    <row r="139" spans="1:8" s="5" customFormat="1">
      <c r="A139" s="85"/>
      <c r="B139" s="122">
        <v>42413</v>
      </c>
      <c r="C139" s="3" t="s">
        <v>428</v>
      </c>
      <c r="D139" s="88">
        <v>63000</v>
      </c>
      <c r="E139" s="89"/>
      <c r="F139" s="89"/>
    </row>
    <row r="140" spans="1:8">
      <c r="A140" s="91"/>
      <c r="B140" s="122">
        <v>42413</v>
      </c>
      <c r="C140" s="89" t="s">
        <v>429</v>
      </c>
      <c r="D140" s="88">
        <v>110000</v>
      </c>
      <c r="E140" s="94"/>
      <c r="F140" s="94"/>
      <c r="G140" s="93"/>
      <c r="H140" s="93"/>
    </row>
    <row r="141" spans="1:8">
      <c r="A141" s="91"/>
      <c r="B141" s="122">
        <v>42413</v>
      </c>
      <c r="C141" s="89" t="s">
        <v>417</v>
      </c>
      <c r="D141" s="88">
        <v>10000</v>
      </c>
      <c r="E141" s="94"/>
      <c r="F141" s="94"/>
      <c r="G141" s="93"/>
      <c r="H141" s="93"/>
    </row>
    <row r="142" spans="1:8">
      <c r="A142" s="91"/>
      <c r="B142" s="117">
        <v>42413</v>
      </c>
      <c r="C142" s="87" t="s">
        <v>496</v>
      </c>
      <c r="D142" s="88">
        <v>791500</v>
      </c>
      <c r="E142" s="94"/>
      <c r="F142" s="94"/>
      <c r="G142" s="93"/>
      <c r="H142" s="93"/>
    </row>
    <row r="143" spans="1:8">
      <c r="A143" s="91"/>
      <c r="B143" s="117">
        <v>42415</v>
      </c>
      <c r="C143" s="87" t="s">
        <v>511</v>
      </c>
      <c r="D143" s="88">
        <v>133000</v>
      </c>
      <c r="E143" s="94"/>
      <c r="F143" s="94"/>
      <c r="G143" s="93"/>
      <c r="H143" s="93"/>
    </row>
    <row r="144" spans="1:8">
      <c r="A144" s="91"/>
      <c r="B144" s="117">
        <v>42415</v>
      </c>
      <c r="C144" s="87" t="s">
        <v>492</v>
      </c>
      <c r="D144" s="88">
        <v>1040000</v>
      </c>
      <c r="E144" s="94"/>
      <c r="F144" s="94"/>
      <c r="G144" s="93"/>
      <c r="H144" s="93"/>
    </row>
    <row r="145" spans="1:8">
      <c r="A145" s="91"/>
      <c r="B145" s="117">
        <v>42416</v>
      </c>
      <c r="C145" s="92" t="s">
        <v>521</v>
      </c>
      <c r="D145" s="88">
        <v>5000000</v>
      </c>
      <c r="E145" s="94"/>
      <c r="F145" s="94"/>
      <c r="G145" s="93"/>
      <c r="H145" s="93"/>
    </row>
    <row r="146" spans="1:8">
      <c r="A146" s="91"/>
      <c r="B146" s="117">
        <f>B144+1</f>
        <v>42416</v>
      </c>
      <c r="C146" s="92" t="s">
        <v>522</v>
      </c>
      <c r="D146" s="88">
        <v>228000</v>
      </c>
      <c r="E146" s="94"/>
      <c r="F146" s="94"/>
      <c r="G146" s="93"/>
      <c r="H146" s="93"/>
    </row>
    <row r="147" spans="1:8">
      <c r="A147" s="91"/>
      <c r="B147" s="117">
        <v>42416</v>
      </c>
      <c r="C147" s="87" t="s">
        <v>523</v>
      </c>
      <c r="D147" s="88">
        <v>474500</v>
      </c>
      <c r="E147" s="94"/>
      <c r="F147" s="94"/>
      <c r="G147" s="93"/>
      <c r="H147" s="93"/>
    </row>
    <row r="148" spans="1:8">
      <c r="A148" s="91"/>
      <c r="B148" s="117">
        <v>42416</v>
      </c>
      <c r="C148" s="87" t="s">
        <v>511</v>
      </c>
      <c r="D148" s="88">
        <v>325000</v>
      </c>
      <c r="E148" s="94"/>
      <c r="F148" s="94"/>
      <c r="G148" s="93"/>
      <c r="H148" s="93"/>
    </row>
    <row r="149" spans="1:8">
      <c r="A149" s="91"/>
      <c r="B149" s="122">
        <v>42417</v>
      </c>
      <c r="C149" s="3" t="s">
        <v>420</v>
      </c>
      <c r="D149" s="88">
        <v>18000</v>
      </c>
      <c r="E149" s="94"/>
      <c r="F149" s="94"/>
      <c r="G149" s="93"/>
      <c r="H149" s="93"/>
    </row>
    <row r="150" spans="1:8">
      <c r="A150" s="91"/>
      <c r="B150" s="122">
        <v>42417</v>
      </c>
      <c r="C150" s="89" t="s">
        <v>417</v>
      </c>
      <c r="D150" s="88">
        <v>10000</v>
      </c>
      <c r="E150" s="94"/>
      <c r="F150" s="94"/>
      <c r="G150" s="93"/>
      <c r="H150" s="93"/>
    </row>
    <row r="151" spans="1:8">
      <c r="A151" s="91"/>
      <c r="B151" s="122">
        <v>42417</v>
      </c>
      <c r="C151" s="89" t="s">
        <v>417</v>
      </c>
      <c r="D151" s="88">
        <v>10000</v>
      </c>
      <c r="E151" s="94"/>
      <c r="F151" s="94"/>
      <c r="G151" s="93"/>
      <c r="H151" s="93"/>
    </row>
    <row r="152" spans="1:8">
      <c r="A152" s="91"/>
      <c r="B152" s="117">
        <f>B150+1</f>
        <v>42418</v>
      </c>
      <c r="C152" s="92" t="s">
        <v>524</v>
      </c>
      <c r="D152" s="88">
        <v>126000</v>
      </c>
      <c r="E152" s="94"/>
      <c r="F152" s="94"/>
      <c r="G152" s="93"/>
      <c r="H152" s="93"/>
    </row>
    <row r="153" spans="1:8">
      <c r="A153" s="91"/>
      <c r="B153" s="117">
        <v>42417</v>
      </c>
      <c r="C153" s="94" t="s">
        <v>507</v>
      </c>
      <c r="D153" s="88">
        <v>168500</v>
      </c>
      <c r="E153" s="94"/>
      <c r="F153" s="94"/>
      <c r="G153" s="93"/>
      <c r="H153" s="93"/>
    </row>
    <row r="154" spans="1:8">
      <c r="A154" s="91"/>
      <c r="B154" s="117">
        <v>42417</v>
      </c>
      <c r="C154" s="87" t="s">
        <v>511</v>
      </c>
      <c r="D154" s="88">
        <v>174000</v>
      </c>
      <c r="E154" s="94"/>
      <c r="F154" s="94"/>
      <c r="G154" s="93"/>
      <c r="H154" s="93"/>
    </row>
    <row r="155" spans="1:8">
      <c r="A155" s="91"/>
      <c r="B155" s="117">
        <v>42417</v>
      </c>
      <c r="C155" s="87" t="s">
        <v>515</v>
      </c>
      <c r="D155" s="88">
        <v>524000</v>
      </c>
      <c r="E155" s="94"/>
      <c r="F155" s="94"/>
      <c r="G155" s="93"/>
      <c r="H155" s="93"/>
    </row>
    <row r="156" spans="1:8">
      <c r="A156" s="91"/>
      <c r="B156" s="117">
        <v>42417</v>
      </c>
      <c r="C156" s="87" t="s">
        <v>494</v>
      </c>
      <c r="D156" s="88">
        <v>866000</v>
      </c>
      <c r="E156" s="94"/>
      <c r="F156" s="94"/>
      <c r="G156" s="93"/>
      <c r="H156" s="93"/>
    </row>
    <row r="157" spans="1:8">
      <c r="A157" s="91"/>
      <c r="B157" s="122">
        <v>42418</v>
      </c>
      <c r="C157" s="89" t="s">
        <v>417</v>
      </c>
      <c r="D157" s="88">
        <v>15000</v>
      </c>
      <c r="E157" s="94"/>
      <c r="F157" s="94"/>
      <c r="G157" s="93"/>
      <c r="H157" s="93"/>
    </row>
    <row r="158" spans="1:8">
      <c r="A158" s="91"/>
      <c r="B158" s="117">
        <v>42418</v>
      </c>
      <c r="C158" s="92" t="s">
        <v>504</v>
      </c>
      <c r="D158" s="88">
        <v>37500</v>
      </c>
      <c r="E158" s="94"/>
      <c r="F158" s="94"/>
      <c r="G158" s="93"/>
      <c r="H158" s="93"/>
    </row>
    <row r="159" spans="1:8">
      <c r="A159" s="91"/>
      <c r="B159" s="117">
        <f>B157+1</f>
        <v>42419</v>
      </c>
      <c r="C159" s="92" t="s">
        <v>504</v>
      </c>
      <c r="D159" s="88">
        <v>37500</v>
      </c>
      <c r="E159" s="94"/>
      <c r="F159" s="94"/>
      <c r="G159" s="93"/>
      <c r="H159" s="93"/>
    </row>
    <row r="160" spans="1:8">
      <c r="A160" s="91"/>
      <c r="B160" s="117">
        <v>42418</v>
      </c>
      <c r="C160" s="87" t="s">
        <v>496</v>
      </c>
      <c r="D160" s="88">
        <v>1352250</v>
      </c>
      <c r="E160" s="94"/>
      <c r="F160" s="94"/>
      <c r="G160" s="93"/>
      <c r="H160" s="93"/>
    </row>
    <row r="161" spans="1:8">
      <c r="A161" s="91"/>
      <c r="B161" s="117">
        <v>42418</v>
      </c>
      <c r="C161" s="87" t="s">
        <v>494</v>
      </c>
      <c r="D161" s="88">
        <v>276000</v>
      </c>
      <c r="E161" s="94"/>
      <c r="F161" s="94"/>
      <c r="G161" s="93"/>
      <c r="H161" s="93"/>
    </row>
    <row r="162" spans="1:8">
      <c r="A162" s="91"/>
      <c r="B162" s="122">
        <v>42419</v>
      </c>
      <c r="C162" s="89" t="s">
        <v>417</v>
      </c>
      <c r="D162" s="88">
        <v>15000</v>
      </c>
      <c r="E162" s="94"/>
      <c r="F162" s="94"/>
      <c r="G162" s="93"/>
      <c r="H162" s="93"/>
    </row>
    <row r="163" spans="1:8">
      <c r="A163" s="91"/>
      <c r="B163" s="122">
        <v>42419</v>
      </c>
      <c r="C163" s="89" t="s">
        <v>417</v>
      </c>
      <c r="D163" s="88">
        <v>10000</v>
      </c>
      <c r="E163" s="94"/>
      <c r="F163" s="94"/>
      <c r="G163" s="93"/>
      <c r="H163" s="93"/>
    </row>
    <row r="164" spans="1:8">
      <c r="A164" s="91"/>
      <c r="B164" s="122">
        <v>42419</v>
      </c>
      <c r="C164" s="89" t="s">
        <v>417</v>
      </c>
      <c r="D164" s="88">
        <v>15000</v>
      </c>
      <c r="E164" s="94"/>
      <c r="F164" s="94"/>
      <c r="G164" s="93"/>
      <c r="H164" s="93"/>
    </row>
    <row r="165" spans="1:8">
      <c r="A165" s="91"/>
      <c r="B165" s="122">
        <v>42419</v>
      </c>
      <c r="C165" s="89" t="s">
        <v>417</v>
      </c>
      <c r="D165" s="88">
        <v>15000</v>
      </c>
      <c r="E165" s="94"/>
      <c r="F165" s="94"/>
      <c r="G165" s="93"/>
      <c r="H165" s="93"/>
    </row>
    <row r="166" spans="1:8">
      <c r="A166" s="91"/>
      <c r="B166" s="117">
        <v>42419</v>
      </c>
      <c r="C166" s="92" t="s">
        <v>525</v>
      </c>
      <c r="D166" s="88">
        <v>23900</v>
      </c>
      <c r="E166" s="94"/>
      <c r="F166" s="94"/>
      <c r="G166" s="93"/>
      <c r="H166" s="93"/>
    </row>
    <row r="167" spans="1:8">
      <c r="A167" s="91"/>
      <c r="B167" s="117">
        <f>B165+1</f>
        <v>42420</v>
      </c>
      <c r="C167" s="87" t="s">
        <v>506</v>
      </c>
      <c r="D167" s="88">
        <v>48400</v>
      </c>
      <c r="E167" s="94"/>
      <c r="F167" s="94"/>
      <c r="G167" s="93"/>
      <c r="H167" s="93"/>
    </row>
    <row r="168" spans="1:8">
      <c r="A168" s="91"/>
      <c r="B168" s="117">
        <v>42419</v>
      </c>
      <c r="C168" s="87" t="s">
        <v>492</v>
      </c>
      <c r="D168" s="88">
        <v>1040000</v>
      </c>
      <c r="E168" s="94"/>
      <c r="F168" s="94"/>
      <c r="G168" s="93"/>
      <c r="H168" s="93"/>
    </row>
    <row r="169" spans="1:8">
      <c r="A169" s="91"/>
      <c r="B169" s="117">
        <v>42419</v>
      </c>
      <c r="C169" s="87" t="s">
        <v>496</v>
      </c>
      <c r="D169" s="88">
        <v>7753000</v>
      </c>
      <c r="E169" s="94"/>
      <c r="F169" s="94"/>
      <c r="G169" s="93"/>
      <c r="H169" s="93"/>
    </row>
    <row r="170" spans="1:8">
      <c r="A170" s="91"/>
      <c r="B170" s="117">
        <v>42419</v>
      </c>
      <c r="C170" s="87" t="s">
        <v>496</v>
      </c>
      <c r="D170" s="88">
        <v>1452750</v>
      </c>
      <c r="E170" s="94"/>
      <c r="F170" s="94"/>
      <c r="G170" s="93"/>
      <c r="H170" s="93"/>
    </row>
    <row r="171" spans="1:8">
      <c r="A171" s="91"/>
      <c r="B171" s="122">
        <v>42420</v>
      </c>
      <c r="C171" s="89" t="s">
        <v>430</v>
      </c>
      <c r="D171" s="88">
        <v>110000</v>
      </c>
      <c r="E171" s="94"/>
      <c r="F171" s="94"/>
      <c r="G171" s="93"/>
      <c r="H171" s="93"/>
    </row>
    <row r="172" spans="1:8">
      <c r="A172" s="91"/>
      <c r="B172" s="122">
        <v>42420</v>
      </c>
      <c r="C172" s="89" t="s">
        <v>417</v>
      </c>
      <c r="D172" s="88">
        <v>15000</v>
      </c>
      <c r="E172" s="94"/>
      <c r="F172" s="94"/>
      <c r="G172" s="93"/>
      <c r="H172" s="93"/>
    </row>
    <row r="173" spans="1:8">
      <c r="A173" s="91"/>
      <c r="B173" s="117">
        <v>42420</v>
      </c>
      <c r="C173" s="87" t="s">
        <v>523</v>
      </c>
      <c r="D173" s="88">
        <v>634500</v>
      </c>
      <c r="E173" s="94"/>
      <c r="F173" s="94"/>
      <c r="G173" s="93"/>
      <c r="H173" s="93"/>
    </row>
    <row r="174" spans="1:8">
      <c r="A174" s="91"/>
      <c r="B174" s="117">
        <v>42420</v>
      </c>
      <c r="C174" s="87" t="s">
        <v>496</v>
      </c>
      <c r="D174" s="88">
        <v>376000</v>
      </c>
      <c r="E174" s="94"/>
      <c r="F174" s="94"/>
      <c r="G174" s="93"/>
      <c r="H174" s="93"/>
    </row>
    <row r="175" spans="1:8">
      <c r="A175" s="91"/>
      <c r="B175" s="122">
        <v>42421</v>
      </c>
      <c r="C175" s="89" t="s">
        <v>417</v>
      </c>
      <c r="D175" s="88">
        <v>28000</v>
      </c>
      <c r="E175" s="94"/>
      <c r="F175" s="94"/>
      <c r="G175" s="93"/>
      <c r="H175" s="93"/>
    </row>
    <row r="176" spans="1:8">
      <c r="A176" s="91"/>
      <c r="B176" s="122">
        <v>42422</v>
      </c>
      <c r="C176" s="89" t="s">
        <v>431</v>
      </c>
      <c r="D176" s="88">
        <v>45000</v>
      </c>
      <c r="E176" s="94"/>
      <c r="F176" s="94"/>
      <c r="G176" s="93"/>
      <c r="H176" s="93"/>
    </row>
    <row r="177" spans="1:8">
      <c r="A177" s="91"/>
      <c r="B177" s="122">
        <v>42425</v>
      </c>
      <c r="C177" s="89" t="s">
        <v>417</v>
      </c>
      <c r="D177" s="88">
        <v>10000</v>
      </c>
      <c r="E177" s="94"/>
      <c r="F177" s="94"/>
      <c r="G177" s="93"/>
      <c r="H177" s="93"/>
    </row>
    <row r="178" spans="1:8">
      <c r="A178" s="91"/>
      <c r="B178" s="117">
        <v>42425</v>
      </c>
      <c r="C178" s="87" t="s">
        <v>493</v>
      </c>
      <c r="D178" s="88">
        <v>597500</v>
      </c>
      <c r="E178" s="94"/>
      <c r="F178" s="94"/>
      <c r="G178" s="93"/>
      <c r="H178" s="93"/>
    </row>
    <row r="179" spans="1:8">
      <c r="A179" s="91"/>
      <c r="B179" s="122">
        <v>42427</v>
      </c>
      <c r="C179" s="89" t="s">
        <v>417</v>
      </c>
      <c r="D179" s="88">
        <v>20000</v>
      </c>
      <c r="E179" s="94"/>
      <c r="F179" s="94"/>
      <c r="G179" s="93"/>
      <c r="H179" s="93"/>
    </row>
    <row r="180" spans="1:8">
      <c r="A180" s="91"/>
      <c r="B180" s="122">
        <v>42427</v>
      </c>
      <c r="C180" s="89" t="s">
        <v>417</v>
      </c>
      <c r="D180" s="88">
        <v>10000</v>
      </c>
      <c r="E180" s="94"/>
      <c r="F180" s="94"/>
      <c r="G180" s="93"/>
      <c r="H180" s="93"/>
    </row>
    <row r="181" spans="1:8">
      <c r="A181" s="91"/>
      <c r="B181" s="117">
        <v>42427</v>
      </c>
      <c r="C181" s="87" t="s">
        <v>511</v>
      </c>
      <c r="D181" s="88">
        <v>238000</v>
      </c>
      <c r="E181" s="94"/>
      <c r="F181" s="94"/>
      <c r="G181" s="93"/>
      <c r="H181" s="93"/>
    </row>
    <row r="182" spans="1:8">
      <c r="A182" s="91"/>
      <c r="B182" s="117">
        <v>42427</v>
      </c>
      <c r="C182" s="87" t="s">
        <v>492</v>
      </c>
      <c r="D182" s="88">
        <v>1040000</v>
      </c>
      <c r="E182" s="94"/>
      <c r="F182" s="94"/>
      <c r="G182" s="93"/>
      <c r="H182" s="93"/>
    </row>
    <row r="183" spans="1:8">
      <c r="A183" s="91"/>
      <c r="B183" s="117">
        <v>42427</v>
      </c>
      <c r="C183" s="87" t="s">
        <v>496</v>
      </c>
      <c r="D183" s="88">
        <v>6085500</v>
      </c>
      <c r="E183" s="94"/>
      <c r="F183" s="94"/>
      <c r="G183" s="93"/>
      <c r="H183" s="93"/>
    </row>
    <row r="184" spans="1:8">
      <c r="A184" s="91"/>
      <c r="B184" s="117">
        <v>42427</v>
      </c>
      <c r="C184" s="87" t="s">
        <v>493</v>
      </c>
      <c r="D184" s="88">
        <v>965000</v>
      </c>
      <c r="E184" s="94"/>
      <c r="F184" s="94"/>
      <c r="G184" s="93"/>
      <c r="H184" s="93"/>
    </row>
    <row r="185" spans="1:8">
      <c r="A185" s="91"/>
      <c r="B185" s="122">
        <v>42429</v>
      </c>
      <c r="C185" s="89" t="s">
        <v>432</v>
      </c>
      <c r="D185" s="88">
        <v>1500000</v>
      </c>
      <c r="E185" s="94"/>
      <c r="F185" s="94"/>
      <c r="G185" s="93"/>
      <c r="H185" s="93"/>
    </row>
    <row r="186" spans="1:8">
      <c r="A186" s="91"/>
      <c r="B186" s="122">
        <v>42429</v>
      </c>
      <c r="C186" s="89" t="s">
        <v>433</v>
      </c>
      <c r="D186" s="88">
        <v>300000</v>
      </c>
      <c r="E186" s="94"/>
      <c r="F186" s="94"/>
      <c r="G186" s="93"/>
      <c r="H186" s="93"/>
    </row>
    <row r="187" spans="1:8">
      <c r="A187" s="91"/>
      <c r="B187" s="122">
        <v>42429</v>
      </c>
      <c r="C187" s="3" t="s">
        <v>428</v>
      </c>
      <c r="D187" s="88">
        <v>56000</v>
      </c>
      <c r="E187" s="94"/>
      <c r="F187" s="94"/>
      <c r="G187" s="93"/>
      <c r="H187" s="93"/>
    </row>
    <row r="188" spans="1:8">
      <c r="A188" s="91"/>
      <c r="B188" s="122">
        <v>42429</v>
      </c>
      <c r="C188" s="89" t="s">
        <v>434</v>
      </c>
      <c r="D188" s="88">
        <v>30000</v>
      </c>
      <c r="E188" s="94"/>
      <c r="F188" s="94"/>
      <c r="G188" s="93"/>
      <c r="H188" s="93"/>
    </row>
    <row r="189" spans="1:8">
      <c r="A189" s="91"/>
      <c r="B189" s="122">
        <v>42429</v>
      </c>
      <c r="C189" s="89" t="s">
        <v>417</v>
      </c>
      <c r="D189" s="88">
        <v>15000</v>
      </c>
      <c r="E189" s="94"/>
      <c r="F189" s="94"/>
      <c r="G189" s="93"/>
      <c r="H189" s="93"/>
    </row>
    <row r="190" spans="1:8">
      <c r="A190" s="91"/>
      <c r="B190" s="117">
        <v>42429</v>
      </c>
      <c r="C190" s="94" t="s">
        <v>526</v>
      </c>
      <c r="D190" s="88">
        <v>800000</v>
      </c>
      <c r="E190" s="94"/>
      <c r="F190" s="94"/>
      <c r="G190" s="93"/>
      <c r="H190" s="93"/>
    </row>
    <row r="191" spans="1:8">
      <c r="A191" s="91"/>
      <c r="B191" s="117">
        <v>42429</v>
      </c>
      <c r="C191" s="87" t="s">
        <v>496</v>
      </c>
      <c r="D191" s="88">
        <v>1168000</v>
      </c>
      <c r="E191" s="94"/>
      <c r="F191" s="94"/>
      <c r="G191" s="93"/>
      <c r="H191" s="93"/>
    </row>
    <row r="192" spans="1:8">
      <c r="A192" s="95"/>
      <c r="B192" s="118">
        <v>42429</v>
      </c>
      <c r="C192" s="120" t="s">
        <v>517</v>
      </c>
      <c r="D192" s="86">
        <v>278500</v>
      </c>
      <c r="E192" s="97"/>
      <c r="F192" s="94"/>
      <c r="G192" s="93"/>
      <c r="H192" s="93"/>
    </row>
    <row r="193" spans="1:9">
      <c r="A193" s="109">
        <v>4</v>
      </c>
      <c r="B193" s="109"/>
      <c r="C193" s="94" t="s">
        <v>310</v>
      </c>
      <c r="D193" s="88">
        <v>81000000</v>
      </c>
      <c r="E193" s="88"/>
      <c r="F193" s="88"/>
      <c r="G193" s="110"/>
      <c r="H193" s="110"/>
      <c r="I193" s="111"/>
    </row>
    <row r="194" spans="1:9">
      <c r="A194" s="109"/>
      <c r="B194" s="109"/>
      <c r="C194" s="94" t="s">
        <v>311</v>
      </c>
      <c r="D194" s="88"/>
      <c r="E194" s="88">
        <v>22300000</v>
      </c>
      <c r="F194" s="88"/>
    </row>
    <row r="195" spans="1:9">
      <c r="A195" s="109"/>
      <c r="B195" s="109"/>
      <c r="C195" s="94" t="s">
        <v>312</v>
      </c>
      <c r="D195" s="88"/>
      <c r="E195" s="88">
        <f>'[1]Pinjaman 2016'!$I$235</f>
        <v>72600000</v>
      </c>
      <c r="F195" s="88"/>
    </row>
    <row r="196" spans="1:9">
      <c r="A196" s="109"/>
      <c r="B196" s="109"/>
      <c r="C196" s="94" t="s">
        <v>313</v>
      </c>
      <c r="D196" s="88"/>
      <c r="E196" s="88">
        <f>'[1]Pinjaman 2016'!$J$235</f>
        <v>4616750</v>
      </c>
      <c r="F196" s="88"/>
    </row>
    <row r="197" spans="1:9">
      <c r="A197" s="109"/>
      <c r="B197" s="109"/>
      <c r="C197" s="89" t="s">
        <v>678</v>
      </c>
      <c r="D197" s="88"/>
      <c r="E197" s="88">
        <v>45844106</v>
      </c>
      <c r="F197" s="88"/>
    </row>
    <row r="198" spans="1:9">
      <c r="A198" s="109"/>
      <c r="B198" s="109"/>
      <c r="C198" s="94" t="s">
        <v>314</v>
      </c>
      <c r="D198" s="88"/>
      <c r="E198" s="88">
        <v>935594</v>
      </c>
      <c r="F198" s="88"/>
      <c r="G198" s="12">
        <f>E197+E198</f>
        <v>46779700</v>
      </c>
    </row>
    <row r="199" spans="1:9" s="5" customFormat="1">
      <c r="A199" s="85"/>
      <c r="B199" s="117">
        <v>42430</v>
      </c>
      <c r="C199" s="94" t="s">
        <v>507</v>
      </c>
      <c r="D199" s="88">
        <v>84800</v>
      </c>
      <c r="E199" s="89"/>
      <c r="F199" s="89"/>
    </row>
    <row r="200" spans="1:9" s="5" customFormat="1">
      <c r="A200" s="85"/>
      <c r="B200" s="117">
        <v>42431</v>
      </c>
      <c r="C200" s="87" t="s">
        <v>492</v>
      </c>
      <c r="D200" s="88">
        <v>1067000</v>
      </c>
      <c r="E200" s="89"/>
      <c r="F200" s="89"/>
    </row>
    <row r="201" spans="1:9" s="5" customFormat="1">
      <c r="A201" s="85"/>
      <c r="B201" s="117">
        <v>42432</v>
      </c>
      <c r="C201" s="87" t="s">
        <v>511</v>
      </c>
      <c r="D201" s="88">
        <v>51000</v>
      </c>
      <c r="E201" s="89"/>
      <c r="F201" s="89"/>
    </row>
    <row r="202" spans="1:9" s="5" customFormat="1">
      <c r="A202" s="85"/>
      <c r="B202" s="117">
        <v>42432</v>
      </c>
      <c r="C202" s="94" t="s">
        <v>527</v>
      </c>
      <c r="D202" s="88">
        <v>440500</v>
      </c>
      <c r="E202" s="89"/>
      <c r="F202" s="89"/>
    </row>
    <row r="203" spans="1:9" s="5" customFormat="1">
      <c r="A203" s="85"/>
      <c r="B203" s="122">
        <v>42433</v>
      </c>
      <c r="C203" s="89" t="s">
        <v>417</v>
      </c>
      <c r="D203" s="88">
        <v>15000</v>
      </c>
      <c r="E203" s="89"/>
      <c r="F203" s="89"/>
    </row>
    <row r="204" spans="1:9" s="5" customFormat="1">
      <c r="A204" s="85"/>
      <c r="B204" s="117">
        <v>42433</v>
      </c>
      <c r="C204" s="87" t="s">
        <v>496</v>
      </c>
      <c r="D204" s="88">
        <v>5565450</v>
      </c>
      <c r="E204" s="89"/>
      <c r="F204" s="89"/>
    </row>
    <row r="205" spans="1:9" s="5" customFormat="1">
      <c r="A205" s="85"/>
      <c r="B205" s="117">
        <v>42433</v>
      </c>
      <c r="C205" s="87" t="s">
        <v>511</v>
      </c>
      <c r="D205" s="88">
        <v>545000</v>
      </c>
      <c r="E205" s="89"/>
      <c r="F205" s="89"/>
    </row>
    <row r="206" spans="1:9" s="5" customFormat="1">
      <c r="A206" s="85"/>
      <c r="B206" s="122">
        <v>42434</v>
      </c>
      <c r="C206" s="89" t="s">
        <v>417</v>
      </c>
      <c r="D206" s="88">
        <v>15000</v>
      </c>
      <c r="E206" s="89"/>
      <c r="F206" s="89"/>
    </row>
    <row r="207" spans="1:9" s="5" customFormat="1">
      <c r="A207" s="85"/>
      <c r="B207" s="122">
        <v>42434</v>
      </c>
      <c r="C207" s="89" t="s">
        <v>417</v>
      </c>
      <c r="D207" s="88">
        <v>15000</v>
      </c>
      <c r="E207" s="89"/>
      <c r="F207" s="89"/>
    </row>
    <row r="208" spans="1:9" s="5" customFormat="1">
      <c r="A208" s="85"/>
      <c r="B208" s="117">
        <v>42434</v>
      </c>
      <c r="C208" s="87" t="s">
        <v>493</v>
      </c>
      <c r="D208" s="88">
        <v>1210000</v>
      </c>
      <c r="E208" s="89"/>
      <c r="F208" s="89"/>
    </row>
    <row r="209" spans="1:8" s="5" customFormat="1">
      <c r="A209" s="85"/>
      <c r="B209" s="117">
        <v>42434</v>
      </c>
      <c r="C209" s="87" t="s">
        <v>496</v>
      </c>
      <c r="D209" s="88">
        <v>61500</v>
      </c>
      <c r="E209" s="89"/>
      <c r="F209" s="89"/>
    </row>
    <row r="210" spans="1:8" s="5" customFormat="1">
      <c r="A210" s="85"/>
      <c r="B210" s="117">
        <v>42434</v>
      </c>
      <c r="C210" s="87" t="s">
        <v>492</v>
      </c>
      <c r="D210" s="88">
        <v>1040000</v>
      </c>
      <c r="E210" s="89"/>
      <c r="F210" s="89"/>
    </row>
    <row r="211" spans="1:8" s="5" customFormat="1">
      <c r="A211" s="85"/>
      <c r="B211" s="117">
        <v>42434</v>
      </c>
      <c r="C211" s="87" t="s">
        <v>496</v>
      </c>
      <c r="D211" s="88">
        <v>1458000</v>
      </c>
      <c r="E211" s="89"/>
      <c r="F211" s="89"/>
    </row>
    <row r="212" spans="1:8" s="5" customFormat="1">
      <c r="A212" s="85"/>
      <c r="B212" s="117">
        <v>42436</v>
      </c>
      <c r="C212" s="92" t="s">
        <v>504</v>
      </c>
      <c r="D212" s="88">
        <v>37500</v>
      </c>
      <c r="E212" s="89"/>
      <c r="F212" s="89"/>
    </row>
    <row r="213" spans="1:8" s="5" customFormat="1">
      <c r="A213" s="85"/>
      <c r="B213" s="122">
        <v>42439</v>
      </c>
      <c r="C213" s="89" t="s">
        <v>417</v>
      </c>
      <c r="D213" s="88">
        <v>15000</v>
      </c>
      <c r="E213" s="89"/>
      <c r="F213" s="89"/>
    </row>
    <row r="214" spans="1:8" s="5" customFormat="1">
      <c r="A214" s="85"/>
      <c r="B214" s="117">
        <v>42439</v>
      </c>
      <c r="C214" s="87" t="s">
        <v>492</v>
      </c>
      <c r="D214" s="88">
        <v>1040000</v>
      </c>
      <c r="E214" s="89"/>
      <c r="F214" s="89"/>
    </row>
    <row r="215" spans="1:8" s="5" customFormat="1">
      <c r="A215" s="85"/>
      <c r="B215" s="117">
        <v>42439</v>
      </c>
      <c r="C215" s="87" t="s">
        <v>496</v>
      </c>
      <c r="D215" s="88">
        <v>4189750</v>
      </c>
      <c r="E215" s="89"/>
      <c r="F215" s="89"/>
    </row>
    <row r="216" spans="1:8" s="5" customFormat="1">
      <c r="A216" s="85"/>
      <c r="B216" s="122">
        <v>42440</v>
      </c>
      <c r="C216" s="3" t="s">
        <v>428</v>
      </c>
      <c r="D216" s="88">
        <v>61000</v>
      </c>
      <c r="E216" s="89"/>
      <c r="F216" s="89"/>
    </row>
    <row r="217" spans="1:8" s="5" customFormat="1">
      <c r="A217" s="85"/>
      <c r="B217" s="122">
        <v>42440</v>
      </c>
      <c r="C217" s="89" t="s">
        <v>417</v>
      </c>
      <c r="D217" s="88">
        <v>10000</v>
      </c>
      <c r="E217" s="89"/>
      <c r="F217" s="89"/>
    </row>
    <row r="218" spans="1:8" s="5" customFormat="1">
      <c r="A218" s="85"/>
      <c r="B218" s="122">
        <v>42440</v>
      </c>
      <c r="C218" s="89" t="s">
        <v>417</v>
      </c>
      <c r="D218" s="88">
        <v>15000</v>
      </c>
      <c r="E218" s="89"/>
      <c r="F218" s="89"/>
    </row>
    <row r="219" spans="1:8" s="5" customFormat="1">
      <c r="A219" s="85"/>
      <c r="B219" s="117">
        <v>42440</v>
      </c>
      <c r="C219" s="87" t="s">
        <v>496</v>
      </c>
      <c r="D219" s="88">
        <v>912900</v>
      </c>
      <c r="E219" s="89"/>
      <c r="F219" s="89"/>
    </row>
    <row r="220" spans="1:8" s="5" customFormat="1">
      <c r="A220" s="85"/>
      <c r="B220" s="117">
        <v>42440</v>
      </c>
      <c r="C220" s="87" t="s">
        <v>493</v>
      </c>
      <c r="D220" s="88">
        <v>954000</v>
      </c>
      <c r="E220" s="89"/>
      <c r="F220" s="89"/>
    </row>
    <row r="221" spans="1:8" s="5" customFormat="1">
      <c r="A221" s="85"/>
      <c r="B221" s="117">
        <v>42441</v>
      </c>
      <c r="C221" s="87" t="s">
        <v>511</v>
      </c>
      <c r="D221" s="88">
        <v>506000</v>
      </c>
      <c r="E221" s="89"/>
      <c r="F221" s="89"/>
    </row>
    <row r="222" spans="1:8" s="5" customFormat="1">
      <c r="A222" s="85"/>
      <c r="B222" s="117">
        <v>42441</v>
      </c>
      <c r="C222" s="87" t="s">
        <v>492</v>
      </c>
      <c r="D222" s="88">
        <v>1300000</v>
      </c>
      <c r="E222" s="89"/>
      <c r="F222" s="89"/>
    </row>
    <row r="223" spans="1:8" s="5" customFormat="1">
      <c r="A223" s="85"/>
      <c r="B223" s="117">
        <v>42442</v>
      </c>
      <c r="C223" s="87" t="s">
        <v>511</v>
      </c>
      <c r="D223" s="88">
        <v>70000</v>
      </c>
      <c r="E223" s="89"/>
      <c r="F223" s="89"/>
    </row>
    <row r="224" spans="1:8">
      <c r="A224" s="91"/>
      <c r="B224" s="117">
        <v>42443</v>
      </c>
      <c r="C224" s="92" t="s">
        <v>504</v>
      </c>
      <c r="D224" s="88">
        <v>37500</v>
      </c>
      <c r="E224" s="94"/>
      <c r="F224" s="94"/>
      <c r="G224" s="93"/>
      <c r="H224" s="93"/>
    </row>
    <row r="225" spans="1:8">
      <c r="A225" s="91"/>
      <c r="B225" s="122">
        <v>42444</v>
      </c>
      <c r="C225" s="89" t="s">
        <v>417</v>
      </c>
      <c r="D225" s="88">
        <v>10000</v>
      </c>
      <c r="E225" s="94"/>
      <c r="F225" s="94"/>
      <c r="G225" s="93"/>
      <c r="H225" s="93"/>
    </row>
    <row r="226" spans="1:8">
      <c r="A226" s="91"/>
      <c r="B226" s="117">
        <v>42444</v>
      </c>
      <c r="C226" s="92" t="s">
        <v>528</v>
      </c>
      <c r="D226" s="88">
        <v>112000</v>
      </c>
      <c r="E226" s="94"/>
      <c r="F226" s="94"/>
      <c r="G226" s="93"/>
      <c r="H226" s="93"/>
    </row>
    <row r="227" spans="1:8">
      <c r="A227" s="91"/>
      <c r="B227" s="117">
        <v>42444</v>
      </c>
      <c r="C227" s="87" t="s">
        <v>493</v>
      </c>
      <c r="D227" s="88">
        <v>503000</v>
      </c>
      <c r="E227" s="94"/>
      <c r="F227" s="94"/>
      <c r="G227" s="93"/>
      <c r="H227" s="93"/>
    </row>
    <row r="228" spans="1:8">
      <c r="A228" s="91"/>
      <c r="B228" s="122">
        <v>42445</v>
      </c>
      <c r="C228" s="3" t="s">
        <v>435</v>
      </c>
      <c r="D228" s="88">
        <v>150000</v>
      </c>
      <c r="E228" s="94"/>
      <c r="F228" s="94"/>
      <c r="G228" s="93"/>
      <c r="H228" s="93"/>
    </row>
    <row r="229" spans="1:8">
      <c r="A229" s="91"/>
      <c r="B229" s="117">
        <v>42445</v>
      </c>
      <c r="C229" s="94" t="s">
        <v>507</v>
      </c>
      <c r="D229" s="88">
        <v>107500</v>
      </c>
      <c r="E229" s="94"/>
      <c r="F229" s="94"/>
      <c r="G229" s="93"/>
      <c r="H229" s="93"/>
    </row>
    <row r="230" spans="1:8">
      <c r="A230" s="91"/>
      <c r="B230" s="122">
        <v>42446</v>
      </c>
      <c r="C230" s="89" t="s">
        <v>417</v>
      </c>
      <c r="D230" s="88">
        <v>20000</v>
      </c>
      <c r="E230" s="94"/>
      <c r="F230" s="94"/>
      <c r="G230" s="93"/>
      <c r="H230" s="93"/>
    </row>
    <row r="231" spans="1:8">
      <c r="A231" s="91"/>
      <c r="B231" s="117">
        <v>42446</v>
      </c>
      <c r="C231" s="87" t="s">
        <v>511</v>
      </c>
      <c r="D231" s="88">
        <v>34000</v>
      </c>
      <c r="E231" s="94"/>
      <c r="F231" s="94"/>
      <c r="G231" s="93"/>
      <c r="H231" s="93"/>
    </row>
    <row r="232" spans="1:8">
      <c r="A232" s="91"/>
      <c r="B232" s="117">
        <v>42446</v>
      </c>
      <c r="C232" s="87" t="s">
        <v>492</v>
      </c>
      <c r="D232" s="88">
        <v>1560000</v>
      </c>
      <c r="E232" s="94"/>
      <c r="F232" s="94"/>
      <c r="G232" s="93"/>
      <c r="H232" s="93"/>
    </row>
    <row r="233" spans="1:8">
      <c r="A233" s="91"/>
      <c r="B233" s="117">
        <v>42446</v>
      </c>
      <c r="C233" s="87" t="s">
        <v>492</v>
      </c>
      <c r="D233" s="88">
        <v>1300000</v>
      </c>
      <c r="E233" s="94"/>
      <c r="F233" s="94"/>
      <c r="G233" s="93"/>
      <c r="H233" s="93"/>
    </row>
    <row r="234" spans="1:8">
      <c r="A234" s="91"/>
      <c r="B234" s="117">
        <v>42446</v>
      </c>
      <c r="C234" s="87" t="s">
        <v>496</v>
      </c>
      <c r="D234" s="88">
        <v>153000</v>
      </c>
      <c r="E234" s="94"/>
      <c r="F234" s="94"/>
      <c r="G234" s="93"/>
      <c r="H234" s="93"/>
    </row>
    <row r="235" spans="1:8">
      <c r="A235" s="91"/>
      <c r="B235" s="117">
        <v>42446</v>
      </c>
      <c r="C235" s="87" t="s">
        <v>496</v>
      </c>
      <c r="D235" s="88">
        <v>6334250</v>
      </c>
      <c r="E235" s="94"/>
      <c r="F235" s="94"/>
      <c r="G235" s="93"/>
      <c r="H235" s="93"/>
    </row>
    <row r="236" spans="1:8">
      <c r="A236" s="91"/>
      <c r="B236" s="122">
        <v>42447</v>
      </c>
      <c r="C236" s="89" t="s">
        <v>417</v>
      </c>
      <c r="D236" s="88">
        <v>15000</v>
      </c>
      <c r="E236" s="94"/>
      <c r="F236" s="94"/>
      <c r="G236" s="93"/>
      <c r="H236" s="93"/>
    </row>
    <row r="237" spans="1:8">
      <c r="A237" s="91"/>
      <c r="B237" s="122">
        <v>42447</v>
      </c>
      <c r="C237" s="89" t="s">
        <v>417</v>
      </c>
      <c r="D237" s="88">
        <v>10000</v>
      </c>
      <c r="E237" s="94"/>
      <c r="F237" s="94"/>
      <c r="G237" s="93"/>
      <c r="H237" s="93"/>
    </row>
    <row r="238" spans="1:8">
      <c r="A238" s="91"/>
      <c r="B238" s="122">
        <v>42447</v>
      </c>
      <c r="C238" s="89" t="s">
        <v>417</v>
      </c>
      <c r="D238" s="88">
        <v>10000</v>
      </c>
      <c r="E238" s="94"/>
      <c r="F238" s="94"/>
      <c r="G238" s="93"/>
      <c r="H238" s="93"/>
    </row>
    <row r="239" spans="1:8">
      <c r="A239" s="91"/>
      <c r="B239" s="117">
        <v>42447</v>
      </c>
      <c r="C239" s="92" t="s">
        <v>529</v>
      </c>
      <c r="D239" s="88">
        <v>454500</v>
      </c>
      <c r="E239" s="94"/>
      <c r="F239" s="94"/>
      <c r="G239" s="93"/>
      <c r="H239" s="93"/>
    </row>
    <row r="240" spans="1:8">
      <c r="A240" s="91"/>
      <c r="B240" s="117">
        <v>42447</v>
      </c>
      <c r="C240" s="87" t="s">
        <v>493</v>
      </c>
      <c r="D240" s="88">
        <v>444000</v>
      </c>
      <c r="E240" s="94"/>
      <c r="F240" s="94"/>
      <c r="G240" s="93"/>
      <c r="H240" s="93"/>
    </row>
    <row r="241" spans="1:8">
      <c r="A241" s="91"/>
      <c r="B241" s="117">
        <v>42447</v>
      </c>
      <c r="C241" s="87" t="s">
        <v>496</v>
      </c>
      <c r="D241" s="88">
        <v>1669700</v>
      </c>
      <c r="E241" s="94"/>
      <c r="F241" s="94"/>
      <c r="G241" s="93"/>
      <c r="H241" s="93"/>
    </row>
    <row r="242" spans="1:8">
      <c r="A242" s="91"/>
      <c r="B242" s="117">
        <v>42447</v>
      </c>
      <c r="C242" s="87" t="s">
        <v>494</v>
      </c>
      <c r="D242" s="88">
        <v>1154000</v>
      </c>
      <c r="E242" s="94"/>
      <c r="F242" s="94"/>
      <c r="G242" s="93"/>
      <c r="H242" s="93"/>
    </row>
    <row r="243" spans="1:8">
      <c r="A243" s="91"/>
      <c r="B243" s="122">
        <v>42448</v>
      </c>
      <c r="C243" s="89" t="s">
        <v>417</v>
      </c>
      <c r="D243" s="88">
        <v>5000</v>
      </c>
      <c r="E243" s="94"/>
      <c r="F243" s="94"/>
      <c r="G243" s="93"/>
      <c r="H243" s="93"/>
    </row>
    <row r="244" spans="1:8">
      <c r="A244" s="91"/>
      <c r="B244" s="122">
        <v>42448</v>
      </c>
      <c r="C244" s="89" t="s">
        <v>417</v>
      </c>
      <c r="D244" s="88">
        <v>10000</v>
      </c>
      <c r="E244" s="94"/>
      <c r="F244" s="94"/>
      <c r="G244" s="93"/>
      <c r="H244" s="93"/>
    </row>
    <row r="245" spans="1:8">
      <c r="A245" s="91"/>
      <c r="B245" s="117">
        <v>42448</v>
      </c>
      <c r="C245" s="92" t="s">
        <v>530</v>
      </c>
      <c r="D245" s="88">
        <v>42000</v>
      </c>
      <c r="E245" s="94"/>
      <c r="F245" s="94"/>
      <c r="G245" s="93"/>
      <c r="H245" s="93"/>
    </row>
    <row r="246" spans="1:8">
      <c r="A246" s="91"/>
      <c r="B246" s="117">
        <v>42448</v>
      </c>
      <c r="C246" s="87" t="s">
        <v>517</v>
      </c>
      <c r="D246" s="88">
        <v>440250</v>
      </c>
      <c r="E246" s="94"/>
      <c r="F246" s="94"/>
      <c r="G246" s="93"/>
      <c r="H246" s="93"/>
    </row>
    <row r="247" spans="1:8">
      <c r="A247" s="91"/>
      <c r="B247" s="117">
        <v>42448</v>
      </c>
      <c r="C247" s="87" t="s">
        <v>511</v>
      </c>
      <c r="D247" s="88">
        <v>593000</v>
      </c>
      <c r="E247" s="94"/>
      <c r="F247" s="94"/>
      <c r="G247" s="93"/>
      <c r="H247" s="93"/>
    </row>
    <row r="248" spans="1:8">
      <c r="A248" s="91"/>
      <c r="B248" s="117">
        <v>42448</v>
      </c>
      <c r="C248" s="87" t="s">
        <v>494</v>
      </c>
      <c r="D248" s="88">
        <v>417000</v>
      </c>
      <c r="E248" s="94"/>
      <c r="F248" s="94"/>
      <c r="G248" s="93"/>
      <c r="H248" s="93"/>
    </row>
    <row r="249" spans="1:8">
      <c r="A249" s="91"/>
      <c r="B249" s="117">
        <v>42450</v>
      </c>
      <c r="C249" s="87" t="s">
        <v>506</v>
      </c>
      <c r="D249" s="88">
        <v>170800</v>
      </c>
      <c r="E249" s="94"/>
      <c r="F249" s="94"/>
      <c r="G249" s="93"/>
      <c r="H249" s="93"/>
    </row>
    <row r="250" spans="1:8">
      <c r="A250" s="91"/>
      <c r="B250" s="122">
        <v>42451</v>
      </c>
      <c r="C250" s="89" t="s">
        <v>436</v>
      </c>
      <c r="D250" s="88">
        <v>166400</v>
      </c>
      <c r="E250" s="94"/>
      <c r="F250" s="94"/>
      <c r="G250" s="93"/>
      <c r="H250" s="93"/>
    </row>
    <row r="251" spans="1:8">
      <c r="A251" s="91"/>
      <c r="B251" s="117">
        <v>42451</v>
      </c>
      <c r="C251" s="94" t="s">
        <v>507</v>
      </c>
      <c r="D251" s="88">
        <v>35000</v>
      </c>
      <c r="E251" s="94"/>
      <c r="F251" s="94"/>
      <c r="G251" s="93"/>
      <c r="H251" s="93"/>
    </row>
    <row r="252" spans="1:8">
      <c r="A252" s="91"/>
      <c r="B252" s="117">
        <v>42451</v>
      </c>
      <c r="C252" s="87" t="s">
        <v>492</v>
      </c>
      <c r="D252" s="88">
        <v>1067000</v>
      </c>
      <c r="E252" s="94"/>
      <c r="F252" s="94"/>
      <c r="G252" s="93"/>
      <c r="H252" s="93"/>
    </row>
    <row r="253" spans="1:8">
      <c r="A253" s="91"/>
      <c r="B253" s="122">
        <v>42452</v>
      </c>
      <c r="C253" s="87" t="s">
        <v>437</v>
      </c>
      <c r="D253" s="88">
        <v>200000</v>
      </c>
      <c r="E253" s="94"/>
      <c r="F253" s="94"/>
      <c r="G253" s="93"/>
      <c r="H253" s="93"/>
    </row>
    <row r="254" spans="1:8">
      <c r="A254" s="91"/>
      <c r="B254" s="117">
        <v>42452</v>
      </c>
      <c r="C254" s="94" t="s">
        <v>531</v>
      </c>
      <c r="D254" s="88">
        <v>225000</v>
      </c>
      <c r="E254" s="94"/>
      <c r="F254" s="94"/>
      <c r="G254" s="93"/>
      <c r="H254" s="93"/>
    </row>
    <row r="255" spans="1:8">
      <c r="A255" s="91"/>
      <c r="B255" s="117">
        <v>42452</v>
      </c>
      <c r="C255" s="94" t="s">
        <v>532</v>
      </c>
      <c r="D255" s="88">
        <v>210000</v>
      </c>
      <c r="E255" s="94"/>
      <c r="F255" s="94"/>
      <c r="G255" s="93"/>
      <c r="H255" s="93"/>
    </row>
    <row r="256" spans="1:8">
      <c r="A256" s="91"/>
      <c r="B256" s="122">
        <v>42453</v>
      </c>
      <c r="C256" s="3" t="s">
        <v>438</v>
      </c>
      <c r="D256" s="88">
        <v>34000</v>
      </c>
      <c r="E256" s="94"/>
      <c r="F256" s="94"/>
      <c r="G256" s="93"/>
      <c r="H256" s="93"/>
    </row>
    <row r="257" spans="1:8">
      <c r="A257" s="91"/>
      <c r="B257" s="117">
        <v>42453</v>
      </c>
      <c r="C257" s="87" t="s">
        <v>492</v>
      </c>
      <c r="D257" s="88">
        <v>1300000</v>
      </c>
      <c r="E257" s="94"/>
      <c r="F257" s="94"/>
      <c r="G257" s="93"/>
      <c r="H257" s="93"/>
    </row>
    <row r="258" spans="1:8">
      <c r="A258" s="91"/>
      <c r="B258" s="122">
        <v>42454</v>
      </c>
      <c r="C258" s="89" t="s">
        <v>417</v>
      </c>
      <c r="D258" s="88">
        <v>20000</v>
      </c>
      <c r="E258" s="94"/>
      <c r="F258" s="94"/>
      <c r="G258" s="93"/>
      <c r="H258" s="93"/>
    </row>
    <row r="259" spans="1:8">
      <c r="A259" s="91"/>
      <c r="B259" s="117">
        <v>42454</v>
      </c>
      <c r="C259" s="87" t="s">
        <v>494</v>
      </c>
      <c r="D259" s="88">
        <v>1132000</v>
      </c>
      <c r="E259" s="94"/>
      <c r="F259" s="94"/>
      <c r="G259" s="93"/>
      <c r="H259" s="93"/>
    </row>
    <row r="260" spans="1:8">
      <c r="A260" s="91"/>
      <c r="B260" s="117">
        <v>42455</v>
      </c>
      <c r="C260" s="87" t="s">
        <v>515</v>
      </c>
      <c r="D260" s="88">
        <v>281000</v>
      </c>
      <c r="E260" s="94"/>
      <c r="F260" s="94"/>
      <c r="G260" s="93"/>
      <c r="H260" s="93"/>
    </row>
    <row r="261" spans="1:8">
      <c r="A261" s="91"/>
      <c r="B261" s="122">
        <v>42457</v>
      </c>
      <c r="C261" s="89" t="s">
        <v>417</v>
      </c>
      <c r="D261" s="88">
        <v>20000</v>
      </c>
      <c r="E261" s="94"/>
      <c r="F261" s="94"/>
      <c r="G261" s="93"/>
      <c r="H261" s="93"/>
    </row>
    <row r="262" spans="1:8">
      <c r="A262" s="91"/>
      <c r="B262" s="117">
        <v>42457</v>
      </c>
      <c r="C262" s="87" t="s">
        <v>493</v>
      </c>
      <c r="D262" s="88">
        <v>133000</v>
      </c>
      <c r="E262" s="94"/>
      <c r="F262" s="94"/>
      <c r="G262" s="93"/>
      <c r="H262" s="93"/>
    </row>
    <row r="263" spans="1:8">
      <c r="A263" s="91"/>
      <c r="B263" s="122">
        <v>42458</v>
      </c>
      <c r="C263" s="3" t="s">
        <v>439</v>
      </c>
      <c r="D263" s="88">
        <v>51000</v>
      </c>
      <c r="E263" s="94"/>
      <c r="F263" s="94"/>
      <c r="G263" s="93"/>
      <c r="H263" s="93"/>
    </row>
    <row r="264" spans="1:8">
      <c r="A264" s="91"/>
      <c r="B264" s="117">
        <v>42458</v>
      </c>
      <c r="C264" s="87" t="s">
        <v>511</v>
      </c>
      <c r="D264" s="88">
        <v>943000</v>
      </c>
      <c r="E264" s="94"/>
      <c r="F264" s="94"/>
      <c r="G264" s="93"/>
      <c r="H264" s="93"/>
    </row>
    <row r="265" spans="1:8">
      <c r="A265" s="91"/>
      <c r="B265" s="122">
        <v>42459</v>
      </c>
      <c r="C265" s="89" t="s">
        <v>417</v>
      </c>
      <c r="D265" s="88">
        <v>20000</v>
      </c>
      <c r="E265" s="94"/>
      <c r="F265" s="94"/>
      <c r="G265" s="93"/>
      <c r="H265" s="93"/>
    </row>
    <row r="266" spans="1:8">
      <c r="A266" s="91"/>
      <c r="B266" s="122">
        <v>42459</v>
      </c>
      <c r="C266" s="3" t="s">
        <v>440</v>
      </c>
      <c r="D266" s="88">
        <v>18000</v>
      </c>
      <c r="E266" s="94"/>
      <c r="F266" s="94"/>
      <c r="G266" s="93"/>
      <c r="H266" s="93"/>
    </row>
    <row r="267" spans="1:8">
      <c r="A267" s="91"/>
      <c r="B267" s="117">
        <v>42459</v>
      </c>
      <c r="C267" s="87" t="s">
        <v>496</v>
      </c>
      <c r="D267" s="88">
        <v>8095600</v>
      </c>
      <c r="E267" s="94"/>
      <c r="F267" s="94"/>
      <c r="G267" s="93"/>
      <c r="H267" s="93"/>
    </row>
    <row r="268" spans="1:8">
      <c r="A268" s="91"/>
      <c r="B268" s="117">
        <v>42459</v>
      </c>
      <c r="C268" s="87" t="s">
        <v>492</v>
      </c>
      <c r="D268" s="88">
        <v>1040000</v>
      </c>
      <c r="E268" s="94"/>
      <c r="F268" s="94"/>
      <c r="G268" s="93"/>
      <c r="H268" s="93"/>
    </row>
    <row r="269" spans="1:8">
      <c r="A269" s="91"/>
      <c r="B269" s="122">
        <v>42460</v>
      </c>
      <c r="C269" s="89" t="s">
        <v>441</v>
      </c>
      <c r="D269" s="88">
        <v>1500000</v>
      </c>
      <c r="E269" s="94"/>
      <c r="F269" s="94"/>
      <c r="G269" s="93"/>
      <c r="H269" s="93"/>
    </row>
    <row r="270" spans="1:8">
      <c r="A270" s="91"/>
      <c r="B270" s="122">
        <v>42460</v>
      </c>
      <c r="C270" s="89" t="s">
        <v>442</v>
      </c>
      <c r="D270" s="88">
        <v>300000</v>
      </c>
      <c r="E270" s="94"/>
      <c r="F270" s="94"/>
      <c r="G270" s="93"/>
      <c r="H270" s="93"/>
    </row>
    <row r="271" spans="1:8">
      <c r="A271" s="91"/>
      <c r="B271" s="117">
        <v>42460</v>
      </c>
      <c r="C271" s="94" t="s">
        <v>533</v>
      </c>
      <c r="D271" s="88">
        <v>2975000</v>
      </c>
      <c r="E271" s="94"/>
      <c r="F271" s="94"/>
      <c r="G271" s="93"/>
      <c r="H271" s="93"/>
    </row>
    <row r="272" spans="1:8">
      <c r="A272" s="91"/>
      <c r="B272" s="117">
        <v>42460</v>
      </c>
      <c r="C272" s="94" t="s">
        <v>534</v>
      </c>
      <c r="D272" s="88">
        <v>2525000</v>
      </c>
      <c r="E272" s="94"/>
      <c r="F272" s="94"/>
      <c r="G272" s="93"/>
      <c r="H272" s="93"/>
    </row>
    <row r="273" spans="1:9">
      <c r="A273" s="91"/>
      <c r="B273" s="117">
        <v>42460</v>
      </c>
      <c r="C273" s="94" t="s">
        <v>535</v>
      </c>
      <c r="D273" s="88">
        <v>1700000</v>
      </c>
      <c r="E273" s="94"/>
      <c r="F273" s="94"/>
      <c r="G273" s="93"/>
      <c r="H273" s="93"/>
    </row>
    <row r="274" spans="1:9">
      <c r="A274" s="91"/>
      <c r="B274" s="117">
        <v>42460</v>
      </c>
      <c r="C274" s="94" t="s">
        <v>536</v>
      </c>
      <c r="D274" s="88">
        <v>300000</v>
      </c>
      <c r="E274" s="94"/>
      <c r="F274" s="94"/>
      <c r="G274" s="93"/>
      <c r="H274" s="93"/>
    </row>
    <row r="275" spans="1:9">
      <c r="A275" s="95"/>
      <c r="B275" s="118">
        <v>42460</v>
      </c>
      <c r="C275" s="120" t="s">
        <v>493</v>
      </c>
      <c r="D275" s="86">
        <v>543000</v>
      </c>
      <c r="E275" s="97"/>
      <c r="F275" s="94"/>
      <c r="G275" s="93"/>
      <c r="H275" s="93"/>
    </row>
    <row r="276" spans="1:9">
      <c r="A276" s="109">
        <v>5</v>
      </c>
      <c r="B276" s="109"/>
      <c r="C276" s="112" t="s">
        <v>315</v>
      </c>
      <c r="D276" s="88">
        <v>65910000</v>
      </c>
      <c r="E276" s="88"/>
      <c r="F276" s="88"/>
      <c r="G276" s="110"/>
      <c r="H276" s="110"/>
      <c r="I276" s="111"/>
    </row>
    <row r="277" spans="1:9">
      <c r="A277" s="109"/>
      <c r="B277" s="109"/>
      <c r="C277" s="112" t="s">
        <v>316</v>
      </c>
      <c r="D277" s="88"/>
      <c r="E277" s="88">
        <v>22400000</v>
      </c>
      <c r="F277" s="88"/>
    </row>
    <row r="278" spans="1:9">
      <c r="A278" s="109"/>
      <c r="B278" s="109"/>
      <c r="C278" s="112" t="s">
        <v>317</v>
      </c>
      <c r="D278" s="88"/>
      <c r="E278" s="88">
        <f>'[1]Pinjaman 2016'!$K$235</f>
        <v>76541666.670000002</v>
      </c>
      <c r="F278" s="88"/>
    </row>
    <row r="279" spans="1:9">
      <c r="A279" s="109"/>
      <c r="B279" s="109"/>
      <c r="C279" s="112" t="s">
        <v>318</v>
      </c>
      <c r="D279" s="88"/>
      <c r="E279" s="88">
        <f>'[1]Pinjaman 2016'!$L$235</f>
        <v>4743958.33</v>
      </c>
      <c r="F279" s="88"/>
    </row>
    <row r="280" spans="1:9">
      <c r="A280" s="109"/>
      <c r="B280" s="109"/>
      <c r="C280" s="112" t="s">
        <v>625</v>
      </c>
      <c r="D280" s="88"/>
      <c r="E280" s="88">
        <f>'[2]Electronic 2016'!$K$203</f>
        <v>2475333.333333333</v>
      </c>
      <c r="F280" s="88"/>
    </row>
    <row r="281" spans="1:9">
      <c r="A281" s="109"/>
      <c r="B281" s="109"/>
      <c r="C281" s="112" t="s">
        <v>626</v>
      </c>
      <c r="D281" s="88"/>
      <c r="E281" s="88">
        <f>'[2]Electronic 2016'!$L$203</f>
        <v>215589.66666666669</v>
      </c>
      <c r="F281" s="88"/>
    </row>
    <row r="282" spans="1:9">
      <c r="A282" s="109"/>
      <c r="B282" s="109"/>
      <c r="C282" s="112" t="s">
        <v>671</v>
      </c>
      <c r="D282" s="88"/>
      <c r="E282" s="124">
        <v>44359790</v>
      </c>
      <c r="F282" s="88"/>
    </row>
    <row r="283" spans="1:9">
      <c r="A283" s="109"/>
      <c r="B283" s="109"/>
      <c r="C283" s="112" t="s">
        <v>319</v>
      </c>
      <c r="D283" s="88"/>
      <c r="E283" s="88">
        <f>'[3]Summary keuntungan'!$B$2</f>
        <v>6989460</v>
      </c>
      <c r="F283" s="88"/>
      <c r="G283" s="12">
        <f>E282+E283</f>
        <v>51349250</v>
      </c>
    </row>
    <row r="284" spans="1:9" ht="15">
      <c r="A284" s="109"/>
      <c r="B284" s="109"/>
      <c r="C284" s="126" t="s">
        <v>663</v>
      </c>
      <c r="D284" s="88"/>
      <c r="E284" s="88">
        <f>Pendapatan!D13</f>
        <v>1938250</v>
      </c>
      <c r="F284" s="88"/>
    </row>
    <row r="285" spans="1:9" s="5" customFormat="1">
      <c r="A285" s="85"/>
      <c r="B285" s="122">
        <v>42461</v>
      </c>
      <c r="C285" s="89" t="s">
        <v>417</v>
      </c>
      <c r="D285" s="88">
        <v>15000</v>
      </c>
      <c r="E285" s="89"/>
      <c r="F285" s="89"/>
    </row>
    <row r="286" spans="1:9" s="5" customFormat="1">
      <c r="A286" s="85"/>
      <c r="B286" s="122">
        <v>42461</v>
      </c>
      <c r="C286" s="94" t="s">
        <v>537</v>
      </c>
      <c r="D286" s="88">
        <v>13780000</v>
      </c>
      <c r="E286" s="89"/>
      <c r="F286" s="89"/>
    </row>
    <row r="287" spans="1:9" s="5" customFormat="1">
      <c r="A287" s="85"/>
      <c r="B287" s="117">
        <v>42461</v>
      </c>
      <c r="C287" s="87" t="s">
        <v>496</v>
      </c>
      <c r="D287" s="88">
        <v>1543500</v>
      </c>
      <c r="E287" s="89"/>
      <c r="F287" s="89"/>
    </row>
    <row r="288" spans="1:9" s="5" customFormat="1">
      <c r="A288" s="85"/>
      <c r="B288" s="117">
        <v>42461</v>
      </c>
      <c r="C288" s="87" t="s">
        <v>511</v>
      </c>
      <c r="D288" s="88">
        <v>213000</v>
      </c>
      <c r="E288" s="89"/>
      <c r="F288" s="89"/>
    </row>
    <row r="289" spans="1:6" s="5" customFormat="1">
      <c r="A289" s="85"/>
      <c r="B289" s="117">
        <v>42461</v>
      </c>
      <c r="C289" s="87" t="s">
        <v>496</v>
      </c>
      <c r="D289" s="88">
        <v>284500</v>
      </c>
      <c r="E289" s="89"/>
      <c r="F289" s="89"/>
    </row>
    <row r="290" spans="1:6" s="5" customFormat="1">
      <c r="A290" s="85"/>
      <c r="B290" s="117">
        <v>42461</v>
      </c>
      <c r="C290" s="87" t="s">
        <v>492</v>
      </c>
      <c r="D290" s="88">
        <v>107000</v>
      </c>
      <c r="E290" s="89"/>
      <c r="F290" s="89"/>
    </row>
    <row r="291" spans="1:6" s="5" customFormat="1">
      <c r="A291" s="85"/>
      <c r="B291" s="117">
        <v>42461</v>
      </c>
      <c r="C291" s="92" t="s">
        <v>504</v>
      </c>
      <c r="D291" s="88">
        <v>37500</v>
      </c>
      <c r="E291" s="89"/>
      <c r="F291" s="89"/>
    </row>
    <row r="292" spans="1:6" s="5" customFormat="1">
      <c r="A292" s="85"/>
      <c r="B292" s="122">
        <v>42462</v>
      </c>
      <c r="C292" s="89" t="s">
        <v>443</v>
      </c>
      <c r="D292" s="88">
        <v>76000</v>
      </c>
      <c r="E292" s="89"/>
      <c r="F292" s="89"/>
    </row>
    <row r="293" spans="1:6" s="5" customFormat="1">
      <c r="A293" s="85"/>
      <c r="B293" s="122">
        <v>42462</v>
      </c>
      <c r="C293" s="89" t="s">
        <v>444</v>
      </c>
      <c r="D293" s="88">
        <v>259000</v>
      </c>
      <c r="E293" s="89"/>
      <c r="F293" s="89"/>
    </row>
    <row r="294" spans="1:6" s="5" customFormat="1">
      <c r="A294" s="85"/>
      <c r="B294" s="117">
        <v>42462</v>
      </c>
      <c r="C294" s="92" t="s">
        <v>538</v>
      </c>
      <c r="D294" s="88">
        <v>100000</v>
      </c>
      <c r="E294" s="89"/>
      <c r="F294" s="89"/>
    </row>
    <row r="295" spans="1:6" s="5" customFormat="1">
      <c r="A295" s="85"/>
      <c r="B295" s="122">
        <v>42463</v>
      </c>
      <c r="C295" s="89" t="s">
        <v>445</v>
      </c>
      <c r="D295" s="88">
        <v>147000</v>
      </c>
      <c r="E295" s="89"/>
      <c r="F295" s="89"/>
    </row>
    <row r="296" spans="1:6" s="5" customFormat="1">
      <c r="A296" s="85"/>
      <c r="B296" s="117">
        <v>42464</v>
      </c>
      <c r="C296" s="87" t="s">
        <v>506</v>
      </c>
      <c r="D296" s="88">
        <v>226000</v>
      </c>
      <c r="E296" s="89"/>
      <c r="F296" s="89"/>
    </row>
    <row r="297" spans="1:6" s="5" customFormat="1">
      <c r="A297" s="85"/>
      <c r="B297" s="122">
        <v>42465</v>
      </c>
      <c r="C297" s="89" t="s">
        <v>417</v>
      </c>
      <c r="D297" s="88">
        <v>15000</v>
      </c>
      <c r="E297" s="89"/>
      <c r="F297" s="89"/>
    </row>
    <row r="298" spans="1:6" s="5" customFormat="1">
      <c r="A298" s="85"/>
      <c r="B298" s="122">
        <v>42465</v>
      </c>
      <c r="C298" s="3" t="s">
        <v>446</v>
      </c>
      <c r="D298" s="88">
        <v>68000</v>
      </c>
      <c r="E298" s="89"/>
      <c r="F298" s="89"/>
    </row>
    <row r="299" spans="1:6" s="5" customFormat="1">
      <c r="A299" s="85"/>
      <c r="B299" s="117">
        <v>42465</v>
      </c>
      <c r="C299" s="87" t="s">
        <v>517</v>
      </c>
      <c r="D299" s="88">
        <v>92000</v>
      </c>
      <c r="E299" s="89"/>
      <c r="F299" s="89"/>
    </row>
    <row r="300" spans="1:6" s="5" customFormat="1">
      <c r="A300" s="85"/>
      <c r="B300" s="117">
        <v>42465</v>
      </c>
      <c r="C300" s="87" t="s">
        <v>493</v>
      </c>
      <c r="D300" s="88">
        <v>545000</v>
      </c>
      <c r="E300" s="89"/>
      <c r="F300" s="89"/>
    </row>
    <row r="301" spans="1:6" s="5" customFormat="1">
      <c r="A301" s="85"/>
      <c r="B301" s="117">
        <v>42465</v>
      </c>
      <c r="C301" s="87" t="s">
        <v>515</v>
      </c>
      <c r="D301" s="88">
        <v>153000</v>
      </c>
      <c r="E301" s="89"/>
      <c r="F301" s="89"/>
    </row>
    <row r="302" spans="1:6" s="5" customFormat="1">
      <c r="A302" s="85"/>
      <c r="B302" s="117">
        <v>42465</v>
      </c>
      <c r="C302" s="87" t="s">
        <v>492</v>
      </c>
      <c r="D302" s="88">
        <v>1040000</v>
      </c>
      <c r="E302" s="89"/>
      <c r="F302" s="89"/>
    </row>
    <row r="303" spans="1:6" s="5" customFormat="1">
      <c r="A303" s="85"/>
      <c r="B303" s="122">
        <v>42466</v>
      </c>
      <c r="C303" s="89" t="s">
        <v>447</v>
      </c>
      <c r="D303" s="88">
        <v>48000</v>
      </c>
      <c r="E303" s="89"/>
      <c r="F303" s="89"/>
    </row>
    <row r="304" spans="1:6" s="5" customFormat="1">
      <c r="A304" s="85"/>
      <c r="B304" s="122">
        <v>42467</v>
      </c>
      <c r="C304" s="3" t="s">
        <v>448</v>
      </c>
      <c r="D304" s="88">
        <v>51000</v>
      </c>
      <c r="E304" s="89"/>
      <c r="F304" s="89"/>
    </row>
    <row r="305" spans="1:8" s="5" customFormat="1">
      <c r="A305" s="85"/>
      <c r="B305" s="117">
        <v>42467</v>
      </c>
      <c r="C305" s="87" t="s">
        <v>515</v>
      </c>
      <c r="D305" s="88">
        <v>609000</v>
      </c>
      <c r="E305" s="89"/>
      <c r="F305" s="89"/>
    </row>
    <row r="306" spans="1:8" s="5" customFormat="1">
      <c r="A306" s="85"/>
      <c r="B306" s="117">
        <v>42467</v>
      </c>
      <c r="C306" s="87" t="s">
        <v>511</v>
      </c>
      <c r="D306" s="88">
        <v>53000</v>
      </c>
      <c r="E306" s="89"/>
      <c r="F306" s="89"/>
    </row>
    <row r="307" spans="1:8" s="5" customFormat="1">
      <c r="A307" s="85"/>
      <c r="B307" s="117">
        <v>42468</v>
      </c>
      <c r="C307" s="92" t="s">
        <v>504</v>
      </c>
      <c r="D307" s="88">
        <v>37500</v>
      </c>
      <c r="E307" s="89"/>
      <c r="F307" s="89"/>
    </row>
    <row r="308" spans="1:8" s="5" customFormat="1">
      <c r="A308" s="85"/>
      <c r="B308" s="117">
        <v>42468</v>
      </c>
      <c r="C308" s="92" t="s">
        <v>539</v>
      </c>
      <c r="D308" s="88">
        <v>601900</v>
      </c>
      <c r="E308" s="89"/>
      <c r="F308" s="89"/>
    </row>
    <row r="309" spans="1:8" s="5" customFormat="1">
      <c r="A309" s="85"/>
      <c r="B309" s="122">
        <v>42471</v>
      </c>
      <c r="C309" s="89" t="s">
        <v>417</v>
      </c>
      <c r="D309" s="88">
        <v>20000</v>
      </c>
      <c r="E309" s="89"/>
      <c r="F309" s="89"/>
    </row>
    <row r="310" spans="1:8" s="5" customFormat="1">
      <c r="A310" s="85"/>
      <c r="B310" s="122">
        <v>42471</v>
      </c>
      <c r="C310" s="89" t="s">
        <v>417</v>
      </c>
      <c r="D310" s="88">
        <v>20000</v>
      </c>
      <c r="E310" s="89"/>
      <c r="F310" s="89"/>
    </row>
    <row r="311" spans="1:8" s="5" customFormat="1">
      <c r="A311" s="85"/>
      <c r="B311" s="117">
        <v>42471</v>
      </c>
      <c r="C311" s="87" t="s">
        <v>540</v>
      </c>
      <c r="D311" s="88">
        <v>383500</v>
      </c>
      <c r="E311" s="89"/>
      <c r="F311" s="89"/>
    </row>
    <row r="312" spans="1:8" s="5" customFormat="1">
      <c r="A312" s="85"/>
      <c r="B312" s="117">
        <v>42471</v>
      </c>
      <c r="C312" s="87" t="s">
        <v>496</v>
      </c>
      <c r="D312" s="88">
        <v>2447900</v>
      </c>
      <c r="E312" s="89"/>
      <c r="F312" s="89"/>
    </row>
    <row r="313" spans="1:8" s="5" customFormat="1">
      <c r="A313" s="85"/>
      <c r="B313" s="117">
        <v>42471</v>
      </c>
      <c r="C313" s="92" t="s">
        <v>541</v>
      </c>
      <c r="D313" s="88">
        <v>144000</v>
      </c>
      <c r="E313" s="89"/>
      <c r="F313" s="89"/>
    </row>
    <row r="314" spans="1:8" s="5" customFormat="1">
      <c r="A314" s="85"/>
      <c r="B314" s="117">
        <v>42471</v>
      </c>
      <c r="C314" s="94" t="s">
        <v>542</v>
      </c>
      <c r="D314" s="88">
        <v>1300000</v>
      </c>
      <c r="E314" s="89"/>
      <c r="F314" s="89"/>
    </row>
    <row r="315" spans="1:8" s="5" customFormat="1">
      <c r="A315" s="85"/>
      <c r="B315" s="117">
        <v>42471</v>
      </c>
      <c r="C315" s="94" t="s">
        <v>543</v>
      </c>
      <c r="D315" s="88">
        <v>90000</v>
      </c>
      <c r="E315" s="89"/>
      <c r="F315" s="89"/>
    </row>
    <row r="316" spans="1:8" s="5" customFormat="1">
      <c r="A316" s="85"/>
      <c r="B316" s="122">
        <v>42472</v>
      </c>
      <c r="C316" s="89" t="s">
        <v>449</v>
      </c>
      <c r="D316" s="88">
        <v>11500</v>
      </c>
      <c r="E316" s="89"/>
      <c r="F316" s="89"/>
    </row>
    <row r="317" spans="1:8" s="5" customFormat="1">
      <c r="A317" s="85"/>
      <c r="B317" s="117">
        <v>42472</v>
      </c>
      <c r="C317" s="87" t="s">
        <v>511</v>
      </c>
      <c r="D317" s="88">
        <v>912000</v>
      </c>
      <c r="E317" s="89"/>
      <c r="F317" s="89"/>
    </row>
    <row r="318" spans="1:8" s="5" customFormat="1">
      <c r="A318" s="85"/>
      <c r="B318" s="122">
        <v>42473</v>
      </c>
      <c r="C318" s="89" t="s">
        <v>450</v>
      </c>
      <c r="D318" s="88">
        <v>200000</v>
      </c>
      <c r="E318" s="89"/>
      <c r="F318" s="89"/>
    </row>
    <row r="319" spans="1:8">
      <c r="A319" s="91"/>
      <c r="B319" s="122">
        <v>42473</v>
      </c>
      <c r="C319" s="89" t="s">
        <v>417</v>
      </c>
      <c r="D319" s="88">
        <v>20000</v>
      </c>
      <c r="E319" s="94"/>
      <c r="F319" s="94"/>
      <c r="G319" s="93"/>
      <c r="H319" s="93"/>
    </row>
    <row r="320" spans="1:8">
      <c r="A320" s="91"/>
      <c r="B320" s="122">
        <v>42473</v>
      </c>
      <c r="C320" s="89" t="s">
        <v>417</v>
      </c>
      <c r="D320" s="88">
        <v>15000</v>
      </c>
      <c r="E320" s="94"/>
      <c r="F320" s="94"/>
      <c r="G320" s="93"/>
      <c r="H320" s="93"/>
    </row>
    <row r="321" spans="1:8">
      <c r="A321" s="91"/>
      <c r="B321" s="117">
        <v>42473</v>
      </c>
      <c r="C321" s="87" t="s">
        <v>496</v>
      </c>
      <c r="D321" s="88">
        <v>1236500</v>
      </c>
      <c r="E321" s="94"/>
      <c r="F321" s="94"/>
      <c r="G321" s="93"/>
      <c r="H321" s="93"/>
    </row>
    <row r="322" spans="1:8">
      <c r="A322" s="91"/>
      <c r="B322" s="117">
        <v>42473</v>
      </c>
      <c r="C322" s="87" t="s">
        <v>492</v>
      </c>
      <c r="D322" s="88">
        <v>2580000</v>
      </c>
      <c r="E322" s="94"/>
      <c r="F322" s="94"/>
      <c r="G322" s="93"/>
      <c r="H322" s="93"/>
    </row>
    <row r="323" spans="1:8">
      <c r="A323" s="91"/>
      <c r="B323" s="117">
        <v>42473</v>
      </c>
      <c r="C323" s="87" t="s">
        <v>515</v>
      </c>
      <c r="D323" s="88">
        <v>767000</v>
      </c>
      <c r="E323" s="94"/>
      <c r="F323" s="94"/>
      <c r="G323" s="93"/>
      <c r="H323" s="93"/>
    </row>
    <row r="324" spans="1:8">
      <c r="A324" s="91"/>
      <c r="B324" s="122">
        <v>42474</v>
      </c>
      <c r="C324" s="89" t="s">
        <v>417</v>
      </c>
      <c r="D324" s="88">
        <v>20000</v>
      </c>
      <c r="E324" s="94"/>
      <c r="F324" s="94"/>
      <c r="G324" s="93"/>
      <c r="H324" s="93"/>
    </row>
    <row r="325" spans="1:8">
      <c r="A325" s="91"/>
      <c r="B325" s="117">
        <v>42474</v>
      </c>
      <c r="C325" s="87" t="s">
        <v>496</v>
      </c>
      <c r="D325" s="88">
        <v>6509750</v>
      </c>
      <c r="E325" s="94"/>
      <c r="F325" s="94"/>
      <c r="G325" s="93"/>
      <c r="H325" s="93"/>
    </row>
    <row r="326" spans="1:8">
      <c r="A326" s="91"/>
      <c r="B326" s="122">
        <v>42475</v>
      </c>
      <c r="C326" s="89" t="s">
        <v>417</v>
      </c>
      <c r="D326" s="88">
        <v>10000</v>
      </c>
      <c r="E326" s="94"/>
      <c r="F326" s="94"/>
      <c r="G326" s="93"/>
      <c r="H326" s="93"/>
    </row>
    <row r="327" spans="1:8">
      <c r="A327" s="91"/>
      <c r="B327" s="122">
        <v>42475</v>
      </c>
      <c r="C327" s="89" t="s">
        <v>417</v>
      </c>
      <c r="D327" s="88">
        <v>10000</v>
      </c>
      <c r="E327" s="94"/>
      <c r="F327" s="94"/>
      <c r="G327" s="93"/>
      <c r="H327" s="93"/>
    </row>
    <row r="328" spans="1:8">
      <c r="A328" s="91"/>
      <c r="B328" s="122">
        <v>42475</v>
      </c>
      <c r="C328" s="3" t="s">
        <v>448</v>
      </c>
      <c r="D328" s="88">
        <v>26000</v>
      </c>
      <c r="E328" s="94"/>
      <c r="F328" s="94"/>
      <c r="G328" s="93"/>
      <c r="H328" s="93"/>
    </row>
    <row r="329" spans="1:8">
      <c r="A329" s="91"/>
      <c r="B329" s="117">
        <v>42475</v>
      </c>
      <c r="C329" s="87" t="s">
        <v>492</v>
      </c>
      <c r="D329" s="88">
        <v>78000</v>
      </c>
      <c r="E329" s="94"/>
      <c r="F329" s="94"/>
      <c r="G329" s="93"/>
      <c r="H329" s="93"/>
    </row>
    <row r="330" spans="1:8">
      <c r="A330" s="91"/>
      <c r="B330" s="117">
        <v>42475</v>
      </c>
      <c r="C330" s="87" t="s">
        <v>493</v>
      </c>
      <c r="D330" s="88">
        <v>286000</v>
      </c>
      <c r="E330" s="94"/>
      <c r="F330" s="94"/>
      <c r="G330" s="93"/>
      <c r="H330" s="93"/>
    </row>
    <row r="331" spans="1:8">
      <c r="A331" s="91"/>
      <c r="B331" s="117">
        <v>42475</v>
      </c>
      <c r="C331" s="87" t="s">
        <v>517</v>
      </c>
      <c r="D331" s="88">
        <v>498850</v>
      </c>
      <c r="E331" s="94"/>
      <c r="F331" s="94"/>
      <c r="G331" s="93"/>
      <c r="H331" s="93"/>
    </row>
    <row r="332" spans="1:8">
      <c r="A332" s="91"/>
      <c r="B332" s="117">
        <v>42475</v>
      </c>
      <c r="C332" s="87" t="s">
        <v>496</v>
      </c>
      <c r="D332" s="88">
        <v>866250</v>
      </c>
      <c r="E332" s="94"/>
      <c r="F332" s="94"/>
      <c r="G332" s="93"/>
      <c r="H332" s="93"/>
    </row>
    <row r="333" spans="1:8">
      <c r="A333" s="91"/>
      <c r="B333" s="117">
        <v>42475</v>
      </c>
      <c r="C333" s="92" t="s">
        <v>504</v>
      </c>
      <c r="D333" s="88">
        <v>37500</v>
      </c>
      <c r="E333" s="94"/>
      <c r="F333" s="94"/>
      <c r="G333" s="93"/>
      <c r="H333" s="93"/>
    </row>
    <row r="334" spans="1:8">
      <c r="A334" s="91"/>
      <c r="B334" s="117">
        <v>42475</v>
      </c>
      <c r="C334" s="92" t="s">
        <v>544</v>
      </c>
      <c r="D334" s="88">
        <v>138000</v>
      </c>
      <c r="E334" s="94"/>
      <c r="F334" s="94"/>
      <c r="G334" s="93"/>
      <c r="H334" s="93"/>
    </row>
    <row r="335" spans="1:8">
      <c r="A335" s="91"/>
      <c r="B335" s="117">
        <v>42476</v>
      </c>
      <c r="C335" s="94" t="s">
        <v>507</v>
      </c>
      <c r="D335" s="88">
        <v>77000</v>
      </c>
      <c r="E335" s="94"/>
      <c r="F335" s="94"/>
      <c r="G335" s="93"/>
      <c r="H335" s="93"/>
    </row>
    <row r="336" spans="1:8">
      <c r="A336" s="91"/>
      <c r="B336" s="122">
        <v>42477</v>
      </c>
      <c r="C336" s="89" t="s">
        <v>451</v>
      </c>
      <c r="D336" s="88">
        <v>65000</v>
      </c>
      <c r="E336" s="94"/>
      <c r="F336" s="94"/>
      <c r="G336" s="93"/>
      <c r="H336" s="93"/>
    </row>
    <row r="337" spans="1:8">
      <c r="A337" s="91"/>
      <c r="B337" s="122">
        <v>42477</v>
      </c>
      <c r="C337" s="89" t="s">
        <v>417</v>
      </c>
      <c r="D337" s="88">
        <v>5000</v>
      </c>
      <c r="E337" s="94"/>
      <c r="F337" s="94"/>
      <c r="G337" s="93"/>
      <c r="H337" s="93"/>
    </row>
    <row r="338" spans="1:8">
      <c r="A338" s="91"/>
      <c r="B338" s="117">
        <v>42477</v>
      </c>
      <c r="C338" s="87" t="s">
        <v>515</v>
      </c>
      <c r="D338" s="88">
        <v>354000</v>
      </c>
      <c r="E338" s="94"/>
      <c r="F338" s="94"/>
      <c r="G338" s="93"/>
      <c r="H338" s="93"/>
    </row>
    <row r="339" spans="1:8">
      <c r="A339" s="91"/>
      <c r="B339" s="122">
        <v>42479</v>
      </c>
      <c r="C339" s="89" t="s">
        <v>417</v>
      </c>
      <c r="D339" s="88">
        <v>20000</v>
      </c>
      <c r="E339" s="94"/>
      <c r="F339" s="94"/>
      <c r="G339" s="93"/>
      <c r="H339" s="93"/>
    </row>
    <row r="340" spans="1:8">
      <c r="A340" s="91"/>
      <c r="B340" s="117">
        <v>42479</v>
      </c>
      <c r="C340" s="87" t="s">
        <v>515</v>
      </c>
      <c r="D340" s="88">
        <v>1319500</v>
      </c>
      <c r="E340" s="94"/>
      <c r="F340" s="94"/>
      <c r="G340" s="93"/>
      <c r="H340" s="93"/>
    </row>
    <row r="341" spans="1:8">
      <c r="A341" s="91"/>
      <c r="B341" s="117">
        <v>42479</v>
      </c>
      <c r="C341" s="87" t="s">
        <v>492</v>
      </c>
      <c r="D341" s="88">
        <v>1290000</v>
      </c>
      <c r="E341" s="94"/>
      <c r="F341" s="94"/>
      <c r="G341" s="93"/>
      <c r="H341" s="93"/>
    </row>
    <row r="342" spans="1:8">
      <c r="A342" s="91"/>
      <c r="B342" s="122">
        <v>42480</v>
      </c>
      <c r="C342" s="89" t="s">
        <v>417</v>
      </c>
      <c r="D342" s="88">
        <v>10000</v>
      </c>
      <c r="E342" s="94"/>
      <c r="F342" s="94"/>
      <c r="G342" s="93"/>
      <c r="H342" s="93"/>
    </row>
    <row r="343" spans="1:8">
      <c r="A343" s="91"/>
      <c r="B343" s="122">
        <v>42480</v>
      </c>
      <c r="C343" s="3" t="s">
        <v>452</v>
      </c>
      <c r="D343" s="88">
        <v>182000</v>
      </c>
      <c r="E343" s="94"/>
      <c r="F343" s="94"/>
      <c r="G343" s="93"/>
      <c r="H343" s="93"/>
    </row>
    <row r="344" spans="1:8">
      <c r="A344" s="91"/>
      <c r="B344" s="117">
        <v>42480</v>
      </c>
      <c r="C344" s="87" t="s">
        <v>511</v>
      </c>
      <c r="D344" s="88">
        <v>1131000</v>
      </c>
      <c r="E344" s="94"/>
      <c r="F344" s="94"/>
      <c r="G344" s="93"/>
      <c r="H344" s="93"/>
    </row>
    <row r="345" spans="1:8">
      <c r="A345" s="91"/>
      <c r="B345" s="117">
        <v>42480</v>
      </c>
      <c r="C345" s="87" t="s">
        <v>517</v>
      </c>
      <c r="D345" s="88">
        <v>316100</v>
      </c>
      <c r="E345" s="94"/>
      <c r="F345" s="94"/>
      <c r="G345" s="93"/>
      <c r="H345" s="93"/>
    </row>
    <row r="346" spans="1:8">
      <c r="A346" s="91"/>
      <c r="B346" s="117">
        <v>42480</v>
      </c>
      <c r="C346" s="87" t="s">
        <v>492</v>
      </c>
      <c r="D346" s="88">
        <v>1275000</v>
      </c>
      <c r="E346" s="94"/>
      <c r="F346" s="94"/>
      <c r="G346" s="93"/>
      <c r="H346" s="93"/>
    </row>
    <row r="347" spans="1:8">
      <c r="A347" s="91"/>
      <c r="B347" s="122">
        <v>42481</v>
      </c>
      <c r="C347" s="89" t="s">
        <v>417</v>
      </c>
      <c r="D347" s="88">
        <v>20000</v>
      </c>
      <c r="E347" s="94"/>
      <c r="F347" s="94"/>
      <c r="G347" s="93"/>
      <c r="H347" s="93"/>
    </row>
    <row r="348" spans="1:8">
      <c r="A348" s="91"/>
      <c r="B348" s="122">
        <v>42481</v>
      </c>
      <c r="C348" s="3" t="s">
        <v>453</v>
      </c>
      <c r="D348" s="88">
        <v>35000</v>
      </c>
      <c r="E348" s="94"/>
      <c r="F348" s="94"/>
      <c r="G348" s="93"/>
      <c r="H348" s="93"/>
    </row>
    <row r="349" spans="1:8">
      <c r="A349" s="91"/>
      <c r="B349" s="122">
        <v>42481</v>
      </c>
      <c r="C349" s="3" t="s">
        <v>446</v>
      </c>
      <c r="D349" s="88">
        <v>104000</v>
      </c>
      <c r="E349" s="94"/>
      <c r="F349" s="94"/>
      <c r="G349" s="93"/>
      <c r="H349" s="93"/>
    </row>
    <row r="350" spans="1:8">
      <c r="A350" s="91"/>
      <c r="B350" s="117">
        <v>42481</v>
      </c>
      <c r="C350" s="87" t="s">
        <v>496</v>
      </c>
      <c r="D350" s="88">
        <v>1319400</v>
      </c>
      <c r="E350" s="94"/>
      <c r="F350" s="94"/>
      <c r="G350" s="93"/>
      <c r="H350" s="93"/>
    </row>
    <row r="351" spans="1:8">
      <c r="A351" s="91"/>
      <c r="B351" s="117">
        <v>42481</v>
      </c>
      <c r="C351" s="87" t="s">
        <v>511</v>
      </c>
      <c r="D351" s="88">
        <v>159000</v>
      </c>
      <c r="E351" s="94"/>
      <c r="F351" s="94"/>
      <c r="G351" s="93"/>
      <c r="H351" s="93"/>
    </row>
    <row r="352" spans="1:8">
      <c r="A352" s="91"/>
      <c r="B352" s="117">
        <v>42481</v>
      </c>
      <c r="C352" s="87" t="s">
        <v>496</v>
      </c>
      <c r="D352" s="88">
        <v>5876000</v>
      </c>
      <c r="E352" s="94"/>
      <c r="F352" s="94"/>
      <c r="G352" s="93"/>
      <c r="H352" s="93"/>
    </row>
    <row r="353" spans="1:8">
      <c r="A353" s="91"/>
      <c r="B353" s="117">
        <v>42481</v>
      </c>
      <c r="C353" s="87" t="s">
        <v>506</v>
      </c>
      <c r="D353" s="88">
        <v>177400</v>
      </c>
      <c r="E353" s="94"/>
      <c r="F353" s="94"/>
      <c r="G353" s="93"/>
      <c r="H353" s="93"/>
    </row>
    <row r="354" spans="1:8">
      <c r="A354" s="91"/>
      <c r="B354" s="117">
        <v>42481</v>
      </c>
      <c r="C354" s="92" t="s">
        <v>504</v>
      </c>
      <c r="D354" s="88">
        <v>37500</v>
      </c>
      <c r="E354" s="94"/>
      <c r="F354" s="94"/>
      <c r="G354" s="93"/>
      <c r="H354" s="93"/>
    </row>
    <row r="355" spans="1:8">
      <c r="A355" s="91"/>
      <c r="B355" s="122">
        <v>42482</v>
      </c>
      <c r="C355" s="89" t="s">
        <v>417</v>
      </c>
      <c r="D355" s="88">
        <v>10000</v>
      </c>
      <c r="E355" s="94"/>
      <c r="F355" s="94"/>
      <c r="G355" s="93"/>
      <c r="H355" s="93"/>
    </row>
    <row r="356" spans="1:8">
      <c r="A356" s="91"/>
      <c r="B356" s="122">
        <v>42482</v>
      </c>
      <c r="C356" s="89" t="s">
        <v>417</v>
      </c>
      <c r="D356" s="88">
        <v>20000</v>
      </c>
      <c r="E356" s="94"/>
      <c r="F356" s="94"/>
      <c r="G356" s="93"/>
      <c r="H356" s="93"/>
    </row>
    <row r="357" spans="1:8">
      <c r="A357" s="91"/>
      <c r="B357" s="117">
        <v>42482</v>
      </c>
      <c r="C357" s="87" t="s">
        <v>496</v>
      </c>
      <c r="D357" s="88">
        <v>3964000</v>
      </c>
      <c r="E357" s="94"/>
      <c r="F357" s="94"/>
      <c r="G357" s="93"/>
      <c r="H357" s="93"/>
    </row>
    <row r="358" spans="1:8">
      <c r="A358" s="91"/>
      <c r="B358" s="122">
        <v>42483</v>
      </c>
      <c r="C358" s="89" t="s">
        <v>417</v>
      </c>
      <c r="D358" s="88">
        <v>10000</v>
      </c>
      <c r="E358" s="94"/>
      <c r="F358" s="94"/>
      <c r="G358" s="93"/>
      <c r="H358" s="93"/>
    </row>
    <row r="359" spans="1:8">
      <c r="A359" s="91"/>
      <c r="B359" s="117">
        <v>42483</v>
      </c>
      <c r="C359" s="87" t="s">
        <v>515</v>
      </c>
      <c r="D359" s="88">
        <v>524500</v>
      </c>
      <c r="E359" s="94"/>
      <c r="F359" s="94"/>
      <c r="G359" s="93"/>
      <c r="H359" s="93"/>
    </row>
    <row r="360" spans="1:8">
      <c r="A360" s="91"/>
      <c r="B360" s="122">
        <v>42484</v>
      </c>
      <c r="C360" s="3" t="s">
        <v>448</v>
      </c>
      <c r="D360" s="88">
        <v>51000</v>
      </c>
      <c r="E360" s="94"/>
      <c r="F360" s="94"/>
      <c r="G360" s="93"/>
      <c r="H360" s="93"/>
    </row>
    <row r="361" spans="1:8">
      <c r="A361" s="91"/>
      <c r="B361" s="117">
        <v>42485</v>
      </c>
      <c r="C361" s="87" t="s">
        <v>506</v>
      </c>
      <c r="D361" s="88">
        <v>57400</v>
      </c>
      <c r="E361" s="94"/>
      <c r="F361" s="94"/>
      <c r="G361" s="93"/>
      <c r="H361" s="93"/>
    </row>
    <row r="362" spans="1:8">
      <c r="A362" s="91"/>
      <c r="B362" s="117">
        <v>42485</v>
      </c>
      <c r="C362" s="87" t="s">
        <v>492</v>
      </c>
      <c r="D362" s="88">
        <v>1032000</v>
      </c>
      <c r="E362" s="94"/>
      <c r="F362" s="94"/>
      <c r="G362" s="93"/>
      <c r="H362" s="93"/>
    </row>
    <row r="363" spans="1:8">
      <c r="A363" s="91"/>
      <c r="B363" s="122">
        <v>42487</v>
      </c>
      <c r="C363" s="89" t="s">
        <v>454</v>
      </c>
      <c r="D363" s="88">
        <v>127750</v>
      </c>
      <c r="E363" s="94"/>
      <c r="F363" s="94"/>
      <c r="G363" s="93"/>
      <c r="H363" s="93"/>
    </row>
    <row r="364" spans="1:8">
      <c r="A364" s="91"/>
      <c r="B364" s="117">
        <v>42487</v>
      </c>
      <c r="C364" s="87" t="s">
        <v>506</v>
      </c>
      <c r="D364" s="88">
        <v>129100</v>
      </c>
      <c r="E364" s="94"/>
      <c r="F364" s="94"/>
      <c r="G364" s="93"/>
      <c r="H364" s="93"/>
    </row>
    <row r="365" spans="1:8">
      <c r="A365" s="91"/>
      <c r="B365" s="117">
        <v>42487</v>
      </c>
      <c r="C365" s="87" t="s">
        <v>515</v>
      </c>
      <c r="D365" s="88">
        <v>398000</v>
      </c>
      <c r="E365" s="94"/>
      <c r="F365" s="94"/>
      <c r="G365" s="93"/>
      <c r="H365" s="93"/>
    </row>
    <row r="366" spans="1:8">
      <c r="A366" s="91"/>
      <c r="B366" s="117">
        <v>42487</v>
      </c>
      <c r="C366" s="92" t="s">
        <v>545</v>
      </c>
      <c r="D366" s="88">
        <v>752900</v>
      </c>
      <c r="E366" s="94"/>
      <c r="F366" s="94"/>
      <c r="G366" s="93"/>
      <c r="H366" s="93"/>
    </row>
    <row r="367" spans="1:8">
      <c r="A367" s="91"/>
      <c r="B367" s="122">
        <v>42490</v>
      </c>
      <c r="C367" s="89" t="s">
        <v>455</v>
      </c>
      <c r="D367" s="88">
        <v>148000</v>
      </c>
      <c r="E367" s="94"/>
      <c r="F367" s="94"/>
      <c r="G367" s="93"/>
      <c r="H367" s="93"/>
    </row>
    <row r="368" spans="1:8">
      <c r="A368" s="91"/>
      <c r="B368" s="122">
        <v>42490</v>
      </c>
      <c r="C368" s="89" t="s">
        <v>456</v>
      </c>
      <c r="D368" s="88">
        <v>1500000</v>
      </c>
      <c r="E368" s="94"/>
      <c r="F368" s="94"/>
      <c r="G368" s="93"/>
      <c r="H368" s="93"/>
    </row>
    <row r="369" spans="1:9">
      <c r="A369" s="91"/>
      <c r="B369" s="122">
        <v>42490</v>
      </c>
      <c r="C369" s="89" t="s">
        <v>457</v>
      </c>
      <c r="D369" s="88">
        <v>300000</v>
      </c>
      <c r="E369" s="94"/>
      <c r="F369" s="94"/>
      <c r="G369" s="93"/>
      <c r="H369" s="93"/>
    </row>
    <row r="370" spans="1:9">
      <c r="A370" s="91"/>
      <c r="B370" s="117">
        <v>42490</v>
      </c>
      <c r="C370" s="87" t="s">
        <v>546</v>
      </c>
      <c r="D370" s="88">
        <v>3075000</v>
      </c>
      <c r="E370" s="94"/>
      <c r="F370" s="94"/>
      <c r="G370" s="93"/>
      <c r="H370" s="93"/>
    </row>
    <row r="371" spans="1:9">
      <c r="A371" s="91"/>
      <c r="B371" s="117">
        <v>42490</v>
      </c>
      <c r="C371" s="87" t="s">
        <v>547</v>
      </c>
      <c r="D371" s="88">
        <v>200000</v>
      </c>
      <c r="E371" s="94"/>
      <c r="F371" s="94"/>
      <c r="G371" s="93"/>
      <c r="H371" s="93"/>
    </row>
    <row r="372" spans="1:9">
      <c r="A372" s="91"/>
      <c r="B372" s="117">
        <v>42490</v>
      </c>
      <c r="C372" s="87" t="s">
        <v>548</v>
      </c>
      <c r="D372" s="88">
        <v>2300000</v>
      </c>
      <c r="E372" s="94"/>
      <c r="F372" s="94"/>
      <c r="G372" s="93"/>
      <c r="H372" s="93"/>
    </row>
    <row r="373" spans="1:9">
      <c r="A373" s="91"/>
      <c r="B373" s="117">
        <v>42490</v>
      </c>
      <c r="C373" s="87" t="s">
        <v>549</v>
      </c>
      <c r="D373" s="88">
        <v>400000</v>
      </c>
      <c r="E373" s="94"/>
      <c r="F373" s="94"/>
      <c r="G373" s="93"/>
      <c r="H373" s="93"/>
    </row>
    <row r="374" spans="1:9">
      <c r="A374" s="91"/>
      <c r="B374" s="117">
        <v>42490</v>
      </c>
      <c r="C374" s="87" t="s">
        <v>550</v>
      </c>
      <c r="D374" s="88">
        <v>3075000</v>
      </c>
      <c r="E374" s="94"/>
      <c r="F374" s="94"/>
      <c r="G374" s="93"/>
      <c r="H374" s="93"/>
    </row>
    <row r="375" spans="1:9">
      <c r="A375" s="91"/>
      <c r="B375" s="117">
        <v>42490</v>
      </c>
      <c r="C375" s="92" t="s">
        <v>504</v>
      </c>
      <c r="D375" s="88">
        <v>37500</v>
      </c>
      <c r="E375" s="94"/>
      <c r="F375" s="94"/>
      <c r="G375" s="93"/>
      <c r="H375" s="93"/>
    </row>
    <row r="376" spans="1:9">
      <c r="A376" s="95"/>
      <c r="B376" s="118">
        <v>42490</v>
      </c>
      <c r="C376" s="120" t="s">
        <v>492</v>
      </c>
      <c r="D376" s="86">
        <v>1020000</v>
      </c>
      <c r="E376" s="97"/>
      <c r="F376" s="94"/>
      <c r="G376" s="93"/>
      <c r="H376" s="93"/>
    </row>
    <row r="377" spans="1:9">
      <c r="A377" s="109">
        <v>6</v>
      </c>
      <c r="B377" s="109"/>
      <c r="C377" s="112" t="s">
        <v>320</v>
      </c>
      <c r="D377" s="88">
        <v>91940000</v>
      </c>
      <c r="E377" s="88"/>
      <c r="F377" s="88"/>
      <c r="G377" s="110"/>
      <c r="H377" s="110"/>
      <c r="I377" s="111"/>
    </row>
    <row r="378" spans="1:9">
      <c r="A378" s="109"/>
      <c r="B378" s="109"/>
      <c r="C378" s="112" t="s">
        <v>321</v>
      </c>
      <c r="D378" s="88"/>
      <c r="E378" s="88">
        <v>22000000</v>
      </c>
      <c r="F378" s="88"/>
    </row>
    <row r="379" spans="1:9">
      <c r="A379" s="109"/>
      <c r="B379" s="109"/>
      <c r="C379" s="112" t="s">
        <v>322</v>
      </c>
      <c r="D379" s="88"/>
      <c r="E379" s="88">
        <f>'[1]Pinjaman 2016'!$M$235</f>
        <v>80041666.670000002</v>
      </c>
      <c r="F379" s="88"/>
    </row>
    <row r="380" spans="1:9">
      <c r="A380" s="109"/>
      <c r="B380" s="109"/>
      <c r="C380" s="112" t="s">
        <v>323</v>
      </c>
      <c r="D380" s="88"/>
      <c r="E380" s="88">
        <f>'[1]Pinjaman 2016'!$N$235</f>
        <v>4865458.33</v>
      </c>
      <c r="F380" s="88"/>
    </row>
    <row r="381" spans="1:9">
      <c r="A381" s="109"/>
      <c r="B381" s="109"/>
      <c r="C381" s="112" t="s">
        <v>627</v>
      </c>
      <c r="D381" s="88"/>
      <c r="E381" s="88">
        <f>'[2]Electronic 2016'!$M$203</f>
        <v>4660166.666666666</v>
      </c>
      <c r="F381" s="88"/>
    </row>
    <row r="382" spans="1:9">
      <c r="A382" s="109"/>
      <c r="B382" s="109"/>
      <c r="C382" s="112" t="s">
        <v>643</v>
      </c>
      <c r="D382" s="88"/>
      <c r="E382" s="88">
        <f>'[2]Electronic 2016'!$N$203</f>
        <v>408416.33333333337</v>
      </c>
      <c r="F382" s="88"/>
    </row>
    <row r="383" spans="1:9">
      <c r="A383" s="109"/>
      <c r="B383" s="109"/>
      <c r="C383" s="112" t="s">
        <v>672</v>
      </c>
      <c r="D383" s="88"/>
      <c r="E383" s="124">
        <v>43516369</v>
      </c>
      <c r="F383" s="88"/>
    </row>
    <row r="384" spans="1:9">
      <c r="A384" s="109"/>
      <c r="B384" s="109"/>
      <c r="C384" s="112" t="s">
        <v>324</v>
      </c>
      <c r="D384" s="88"/>
      <c r="E384" s="88">
        <f>'[3]Summary keuntungan'!$B$3</f>
        <v>6654481</v>
      </c>
      <c r="F384" s="88"/>
      <c r="G384" s="12">
        <f>E383+E384</f>
        <v>50170850</v>
      </c>
    </row>
    <row r="385" spans="1:6" ht="15">
      <c r="A385" s="109"/>
      <c r="B385" s="109"/>
      <c r="C385" s="126" t="s">
        <v>658</v>
      </c>
      <c r="D385" s="88"/>
      <c r="E385" s="88">
        <f>Pendapatan!D18</f>
        <v>3348000</v>
      </c>
      <c r="F385" s="88"/>
    </row>
    <row r="386" spans="1:6" s="5" customFormat="1">
      <c r="A386" s="85"/>
      <c r="B386" s="122">
        <v>42491</v>
      </c>
      <c r="C386" s="89" t="s">
        <v>458</v>
      </c>
      <c r="D386" s="90">
        <v>45000</v>
      </c>
      <c r="E386" s="89"/>
      <c r="F386" s="89"/>
    </row>
    <row r="387" spans="1:6" s="5" customFormat="1">
      <c r="A387" s="85"/>
      <c r="B387" s="117">
        <v>42491</v>
      </c>
      <c r="C387" s="94" t="s">
        <v>537</v>
      </c>
      <c r="D387" s="88">
        <v>13109000</v>
      </c>
      <c r="E387" s="89"/>
      <c r="F387" s="89"/>
    </row>
    <row r="388" spans="1:6" s="5" customFormat="1">
      <c r="A388" s="85"/>
      <c r="B388" s="117">
        <v>42491</v>
      </c>
      <c r="C388" s="94" t="s">
        <v>518</v>
      </c>
      <c r="D388" s="88">
        <v>24000</v>
      </c>
      <c r="E388" s="89"/>
      <c r="F388" s="89"/>
    </row>
    <row r="389" spans="1:6" s="5" customFormat="1">
      <c r="A389" s="85"/>
      <c r="B389" s="122">
        <v>42492</v>
      </c>
      <c r="C389" s="89" t="s">
        <v>417</v>
      </c>
      <c r="D389" s="88">
        <v>20000</v>
      </c>
      <c r="E389" s="89"/>
      <c r="F389" s="89"/>
    </row>
    <row r="390" spans="1:6" s="5" customFormat="1">
      <c r="A390" s="85"/>
      <c r="B390" s="122">
        <v>42492</v>
      </c>
      <c r="C390" s="89" t="s">
        <v>417</v>
      </c>
      <c r="D390" s="88">
        <v>10000</v>
      </c>
      <c r="E390" s="89"/>
      <c r="F390" s="89"/>
    </row>
    <row r="391" spans="1:6" s="5" customFormat="1">
      <c r="A391" s="85"/>
      <c r="B391" s="117">
        <v>42492</v>
      </c>
      <c r="C391" s="87" t="s">
        <v>515</v>
      </c>
      <c r="D391" s="88">
        <v>551500</v>
      </c>
      <c r="E391" s="89"/>
      <c r="F391" s="89"/>
    </row>
    <row r="392" spans="1:6" s="5" customFormat="1">
      <c r="A392" s="85"/>
      <c r="B392" s="117">
        <v>42492</v>
      </c>
      <c r="C392" s="87" t="s">
        <v>496</v>
      </c>
      <c r="D392" s="88">
        <v>4730750</v>
      </c>
      <c r="E392" s="89"/>
      <c r="F392" s="89"/>
    </row>
    <row r="393" spans="1:6" s="5" customFormat="1">
      <c r="A393" s="85"/>
      <c r="B393" s="122">
        <v>42493</v>
      </c>
      <c r="C393" s="89" t="s">
        <v>417</v>
      </c>
      <c r="D393" s="88">
        <v>15000</v>
      </c>
      <c r="E393" s="89"/>
      <c r="F393" s="89"/>
    </row>
    <row r="394" spans="1:6" s="5" customFormat="1">
      <c r="A394" s="85"/>
      <c r="B394" s="117">
        <v>42493</v>
      </c>
      <c r="C394" s="87" t="s">
        <v>496</v>
      </c>
      <c r="D394" s="88">
        <v>1516500</v>
      </c>
      <c r="E394" s="89"/>
      <c r="F394" s="89"/>
    </row>
    <row r="395" spans="1:6" s="5" customFormat="1">
      <c r="A395" s="85"/>
      <c r="B395" s="117">
        <v>42493</v>
      </c>
      <c r="C395" s="87" t="s">
        <v>511</v>
      </c>
      <c r="D395" s="88">
        <v>1192000</v>
      </c>
      <c r="E395" s="89"/>
      <c r="F395" s="89"/>
    </row>
    <row r="396" spans="1:6" s="5" customFormat="1">
      <c r="A396" s="85"/>
      <c r="B396" s="117">
        <v>42493</v>
      </c>
      <c r="C396" s="87" t="s">
        <v>517</v>
      </c>
      <c r="D396" s="88">
        <v>461000</v>
      </c>
      <c r="E396" s="89"/>
      <c r="F396" s="89"/>
    </row>
    <row r="397" spans="1:6" s="5" customFormat="1">
      <c r="A397" s="85"/>
      <c r="B397" s="117">
        <v>42494</v>
      </c>
      <c r="C397" s="87" t="s">
        <v>511</v>
      </c>
      <c r="D397" s="88">
        <v>315000</v>
      </c>
      <c r="E397" s="89"/>
      <c r="F397" s="89"/>
    </row>
    <row r="398" spans="1:6" s="5" customFormat="1">
      <c r="A398" s="85"/>
      <c r="B398" s="122">
        <v>42496</v>
      </c>
      <c r="C398" s="89" t="s">
        <v>459</v>
      </c>
      <c r="D398" s="88">
        <v>100000</v>
      </c>
      <c r="E398" s="89"/>
      <c r="F398" s="89"/>
    </row>
    <row r="399" spans="1:6" s="5" customFormat="1">
      <c r="A399" s="85"/>
      <c r="B399" s="117">
        <v>42498</v>
      </c>
      <c r="C399" s="87" t="s">
        <v>496</v>
      </c>
      <c r="D399" s="88">
        <v>1507600</v>
      </c>
      <c r="E399" s="89"/>
      <c r="F399" s="89"/>
    </row>
    <row r="400" spans="1:6" s="5" customFormat="1">
      <c r="A400" s="85"/>
      <c r="B400" s="117">
        <v>42499</v>
      </c>
      <c r="C400" s="94" t="s">
        <v>507</v>
      </c>
      <c r="D400" s="88">
        <v>25000</v>
      </c>
      <c r="E400" s="89"/>
      <c r="F400" s="89"/>
    </row>
    <row r="401" spans="1:6" s="5" customFormat="1">
      <c r="A401" s="85"/>
      <c r="B401" s="122">
        <v>42500</v>
      </c>
      <c r="C401" s="89" t="s">
        <v>417</v>
      </c>
      <c r="D401" s="88">
        <v>10000</v>
      </c>
      <c r="E401" s="89"/>
      <c r="F401" s="89"/>
    </row>
    <row r="402" spans="1:6" s="5" customFormat="1">
      <c r="A402" s="85"/>
      <c r="B402" s="122">
        <v>42500</v>
      </c>
      <c r="C402" s="3" t="s">
        <v>460</v>
      </c>
      <c r="D402" s="88">
        <v>71000</v>
      </c>
      <c r="E402" s="89"/>
      <c r="F402" s="89"/>
    </row>
    <row r="403" spans="1:6" s="5" customFormat="1">
      <c r="A403" s="85"/>
      <c r="B403" s="117">
        <v>42500</v>
      </c>
      <c r="C403" s="94" t="s">
        <v>551</v>
      </c>
      <c r="D403" s="88">
        <v>85500</v>
      </c>
      <c r="E403" s="89"/>
      <c r="F403" s="89"/>
    </row>
    <row r="404" spans="1:6" s="5" customFormat="1">
      <c r="A404" s="85"/>
      <c r="B404" s="122">
        <v>42501</v>
      </c>
      <c r="C404" s="89" t="s">
        <v>417</v>
      </c>
      <c r="D404" s="88">
        <v>20000</v>
      </c>
      <c r="E404" s="89"/>
      <c r="F404" s="89"/>
    </row>
    <row r="405" spans="1:6" s="5" customFormat="1">
      <c r="A405" s="85"/>
      <c r="B405" s="122">
        <v>42501</v>
      </c>
      <c r="C405" s="89" t="s">
        <v>417</v>
      </c>
      <c r="D405" s="88">
        <v>10000</v>
      </c>
      <c r="E405" s="89"/>
      <c r="F405" s="89"/>
    </row>
    <row r="406" spans="1:6" s="5" customFormat="1">
      <c r="A406" s="85"/>
      <c r="B406" s="117">
        <v>42501</v>
      </c>
      <c r="C406" s="87" t="s">
        <v>515</v>
      </c>
      <c r="D406" s="88">
        <v>878500</v>
      </c>
      <c r="E406" s="89"/>
      <c r="F406" s="89"/>
    </row>
    <row r="407" spans="1:6" s="5" customFormat="1">
      <c r="A407" s="85"/>
      <c r="B407" s="117">
        <v>42501</v>
      </c>
      <c r="C407" s="87" t="s">
        <v>540</v>
      </c>
      <c r="D407" s="88">
        <v>430500</v>
      </c>
      <c r="E407" s="89"/>
      <c r="F407" s="89"/>
    </row>
    <row r="408" spans="1:6" s="5" customFormat="1">
      <c r="A408" s="85"/>
      <c r="B408" s="117">
        <v>42501</v>
      </c>
      <c r="C408" s="92" t="s">
        <v>552</v>
      </c>
      <c r="D408" s="88">
        <v>835000</v>
      </c>
      <c r="E408" s="89"/>
      <c r="F408" s="89"/>
    </row>
    <row r="409" spans="1:6" s="5" customFormat="1">
      <c r="A409" s="85"/>
      <c r="B409" s="122">
        <v>42502</v>
      </c>
      <c r="C409" s="89" t="s">
        <v>455</v>
      </c>
      <c r="D409" s="88">
        <v>148000</v>
      </c>
      <c r="E409" s="89"/>
      <c r="F409" s="89"/>
    </row>
    <row r="410" spans="1:6" s="5" customFormat="1">
      <c r="A410" s="85"/>
      <c r="B410" s="117">
        <v>42503</v>
      </c>
      <c r="C410" s="92" t="s">
        <v>504</v>
      </c>
      <c r="D410" s="88">
        <v>37500</v>
      </c>
      <c r="E410" s="89"/>
      <c r="F410" s="89"/>
    </row>
    <row r="411" spans="1:6" s="5" customFormat="1">
      <c r="A411" s="85"/>
      <c r="B411" s="122">
        <v>42504</v>
      </c>
      <c r="C411" s="3" t="s">
        <v>448</v>
      </c>
      <c r="D411" s="88">
        <v>21000</v>
      </c>
      <c r="E411" s="89"/>
      <c r="F411" s="89"/>
    </row>
    <row r="412" spans="1:6" s="5" customFormat="1">
      <c r="A412" s="85"/>
      <c r="B412" s="117">
        <v>42506</v>
      </c>
      <c r="C412" s="94" t="s">
        <v>507</v>
      </c>
      <c r="D412" s="88">
        <v>25000</v>
      </c>
      <c r="E412" s="89"/>
      <c r="F412" s="89"/>
    </row>
    <row r="413" spans="1:6" s="5" customFormat="1">
      <c r="A413" s="85"/>
      <c r="B413" s="122">
        <v>42508</v>
      </c>
      <c r="C413" s="89" t="s">
        <v>444</v>
      </c>
      <c r="D413" s="88">
        <v>149000</v>
      </c>
      <c r="E413" s="89"/>
      <c r="F413" s="89"/>
    </row>
    <row r="414" spans="1:6" s="5" customFormat="1">
      <c r="A414" s="85"/>
      <c r="B414" s="122">
        <v>42508</v>
      </c>
      <c r="C414" s="89" t="s">
        <v>461</v>
      </c>
      <c r="D414" s="88">
        <v>435500</v>
      </c>
      <c r="E414" s="89"/>
      <c r="F414" s="89"/>
    </row>
    <row r="415" spans="1:6" s="5" customFormat="1">
      <c r="A415" s="85"/>
      <c r="B415" s="122">
        <v>42508</v>
      </c>
      <c r="C415" s="89" t="s">
        <v>462</v>
      </c>
      <c r="D415" s="88">
        <v>10000</v>
      </c>
      <c r="E415" s="89"/>
      <c r="F415" s="89"/>
    </row>
    <row r="416" spans="1:6" s="5" customFormat="1">
      <c r="A416" s="85"/>
      <c r="B416" s="122">
        <v>42508</v>
      </c>
      <c r="C416" s="89" t="s">
        <v>417</v>
      </c>
      <c r="D416" s="88">
        <v>10000</v>
      </c>
      <c r="E416" s="89"/>
      <c r="F416" s="89"/>
    </row>
    <row r="417" spans="1:8" s="5" customFormat="1">
      <c r="A417" s="85"/>
      <c r="B417" s="122">
        <v>42508</v>
      </c>
      <c r="C417" s="3" t="s">
        <v>420</v>
      </c>
      <c r="D417" s="88">
        <v>36000</v>
      </c>
      <c r="E417" s="89"/>
      <c r="F417" s="89"/>
    </row>
    <row r="418" spans="1:8" s="5" customFormat="1">
      <c r="A418" s="85"/>
      <c r="B418" s="117">
        <v>42508</v>
      </c>
      <c r="C418" s="87" t="s">
        <v>515</v>
      </c>
      <c r="D418" s="88">
        <v>615000</v>
      </c>
      <c r="E418" s="89"/>
      <c r="F418" s="89"/>
    </row>
    <row r="419" spans="1:8" s="5" customFormat="1">
      <c r="A419" s="85"/>
      <c r="B419" s="117">
        <v>42508</v>
      </c>
      <c r="C419" s="87" t="s">
        <v>511</v>
      </c>
      <c r="D419" s="88">
        <v>619000</v>
      </c>
      <c r="E419" s="89"/>
      <c r="F419" s="89"/>
    </row>
    <row r="420" spans="1:8">
      <c r="A420" s="91"/>
      <c r="B420" s="117">
        <v>42508</v>
      </c>
      <c r="C420" s="87" t="s">
        <v>511</v>
      </c>
      <c r="D420" s="88">
        <v>455000</v>
      </c>
      <c r="E420" s="94"/>
      <c r="F420" s="94"/>
      <c r="G420" s="93"/>
      <c r="H420" s="93"/>
    </row>
    <row r="421" spans="1:8">
      <c r="A421" s="91"/>
      <c r="B421" s="117">
        <v>42508</v>
      </c>
      <c r="C421" s="87" t="s">
        <v>492</v>
      </c>
      <c r="D421" s="88">
        <v>1530000</v>
      </c>
      <c r="E421" s="94"/>
      <c r="F421" s="94"/>
      <c r="G421" s="93"/>
      <c r="H421" s="93"/>
    </row>
    <row r="422" spans="1:8">
      <c r="A422" s="91"/>
      <c r="B422" s="122">
        <v>42509</v>
      </c>
      <c r="C422" s="89" t="s">
        <v>417</v>
      </c>
      <c r="D422" s="88">
        <v>20000</v>
      </c>
      <c r="E422" s="94"/>
      <c r="F422" s="94"/>
      <c r="G422" s="93"/>
      <c r="H422" s="93"/>
    </row>
    <row r="423" spans="1:8">
      <c r="A423" s="91"/>
      <c r="B423" s="122">
        <v>42509</v>
      </c>
      <c r="C423" s="89" t="s">
        <v>417</v>
      </c>
      <c r="D423" s="88">
        <v>15000</v>
      </c>
      <c r="E423" s="94"/>
      <c r="F423" s="94"/>
      <c r="G423" s="93"/>
      <c r="H423" s="93"/>
    </row>
    <row r="424" spans="1:8">
      <c r="A424" s="91"/>
      <c r="B424" s="122">
        <v>42509</v>
      </c>
      <c r="C424" s="89" t="s">
        <v>417</v>
      </c>
      <c r="D424" s="88">
        <v>10000</v>
      </c>
      <c r="E424" s="94"/>
      <c r="F424" s="94"/>
      <c r="G424" s="93"/>
      <c r="H424" s="93"/>
    </row>
    <row r="425" spans="1:8">
      <c r="A425" s="91"/>
      <c r="B425" s="117">
        <v>42509</v>
      </c>
      <c r="C425" s="87" t="s">
        <v>496</v>
      </c>
      <c r="D425" s="88">
        <v>10099000</v>
      </c>
      <c r="E425" s="94"/>
      <c r="F425" s="94"/>
      <c r="G425" s="93"/>
      <c r="H425" s="93"/>
    </row>
    <row r="426" spans="1:8">
      <c r="A426" s="91"/>
      <c r="B426" s="117">
        <v>42509</v>
      </c>
      <c r="C426" s="87" t="s">
        <v>496</v>
      </c>
      <c r="D426" s="88">
        <v>1567150</v>
      </c>
      <c r="E426" s="94"/>
      <c r="F426" s="94"/>
      <c r="G426" s="93"/>
      <c r="H426" s="93"/>
    </row>
    <row r="427" spans="1:8">
      <c r="A427" s="91"/>
      <c r="B427" s="117">
        <v>42509</v>
      </c>
      <c r="C427" s="87" t="s">
        <v>515</v>
      </c>
      <c r="D427" s="88">
        <v>488000</v>
      </c>
      <c r="E427" s="94"/>
      <c r="F427" s="94"/>
      <c r="G427" s="93"/>
      <c r="H427" s="93"/>
    </row>
    <row r="428" spans="1:8">
      <c r="A428" s="91"/>
      <c r="B428" s="117">
        <v>42509</v>
      </c>
      <c r="C428" s="87" t="s">
        <v>492</v>
      </c>
      <c r="D428" s="88">
        <v>1020000</v>
      </c>
      <c r="E428" s="94"/>
      <c r="F428" s="94"/>
      <c r="G428" s="93"/>
      <c r="H428" s="93"/>
    </row>
    <row r="429" spans="1:8">
      <c r="A429" s="91"/>
      <c r="B429" s="122">
        <v>42510</v>
      </c>
      <c r="C429" s="89" t="s">
        <v>417</v>
      </c>
      <c r="D429" s="88">
        <v>15000</v>
      </c>
      <c r="E429" s="94"/>
      <c r="F429" s="94"/>
      <c r="G429" s="93"/>
      <c r="H429" s="93"/>
    </row>
    <row r="430" spans="1:8">
      <c r="A430" s="91"/>
      <c r="B430" s="122">
        <v>42510</v>
      </c>
      <c r="C430" s="89" t="s">
        <v>417</v>
      </c>
      <c r="D430" s="88">
        <v>10000</v>
      </c>
      <c r="E430" s="94"/>
      <c r="F430" s="94"/>
      <c r="G430" s="93"/>
      <c r="H430" s="93"/>
    </row>
    <row r="431" spans="1:8">
      <c r="A431" s="91"/>
      <c r="B431" s="117">
        <v>42510</v>
      </c>
      <c r="C431" s="87" t="s">
        <v>496</v>
      </c>
      <c r="D431" s="88">
        <v>1295000</v>
      </c>
      <c r="E431" s="94"/>
      <c r="F431" s="94"/>
      <c r="G431" s="93"/>
      <c r="H431" s="93"/>
    </row>
    <row r="432" spans="1:8">
      <c r="A432" s="91"/>
      <c r="B432" s="117">
        <v>42510</v>
      </c>
      <c r="C432" s="87" t="s">
        <v>517</v>
      </c>
      <c r="D432" s="88">
        <v>587900</v>
      </c>
      <c r="E432" s="94"/>
      <c r="F432" s="94"/>
      <c r="G432" s="93"/>
      <c r="H432" s="93"/>
    </row>
    <row r="433" spans="1:8">
      <c r="A433" s="91"/>
      <c r="B433" s="117">
        <v>42510</v>
      </c>
      <c r="C433" s="87" t="s">
        <v>492</v>
      </c>
      <c r="D433" s="88">
        <v>1067000</v>
      </c>
      <c r="E433" s="94"/>
      <c r="F433" s="94"/>
      <c r="G433" s="93"/>
      <c r="H433" s="93"/>
    </row>
    <row r="434" spans="1:8">
      <c r="A434" s="91"/>
      <c r="B434" s="117">
        <v>42510</v>
      </c>
      <c r="C434" s="92" t="s">
        <v>553</v>
      </c>
      <c r="D434" s="88">
        <v>73000</v>
      </c>
      <c r="E434" s="94"/>
      <c r="F434" s="94"/>
      <c r="G434" s="93"/>
      <c r="H434" s="93"/>
    </row>
    <row r="435" spans="1:8">
      <c r="A435" s="91"/>
      <c r="B435" s="122">
        <v>42511</v>
      </c>
      <c r="C435" s="89" t="s">
        <v>417</v>
      </c>
      <c r="D435" s="88">
        <v>15000</v>
      </c>
      <c r="E435" s="94"/>
      <c r="F435" s="94"/>
      <c r="G435" s="93"/>
      <c r="H435" s="93"/>
    </row>
    <row r="436" spans="1:8">
      <c r="A436" s="91"/>
      <c r="B436" s="122">
        <v>42511</v>
      </c>
      <c r="C436" s="89" t="s">
        <v>417</v>
      </c>
      <c r="D436" s="88">
        <v>10000</v>
      </c>
      <c r="E436" s="94"/>
      <c r="F436" s="94"/>
      <c r="G436" s="93"/>
      <c r="H436" s="93"/>
    </row>
    <row r="437" spans="1:8">
      <c r="A437" s="91"/>
      <c r="B437" s="122">
        <v>42511</v>
      </c>
      <c r="C437" s="3" t="s">
        <v>448</v>
      </c>
      <c r="D437" s="88">
        <v>21000</v>
      </c>
      <c r="E437" s="94"/>
      <c r="F437" s="94"/>
      <c r="G437" s="93"/>
      <c r="H437" s="93"/>
    </row>
    <row r="438" spans="1:8">
      <c r="A438" s="91"/>
      <c r="B438" s="117">
        <v>42511</v>
      </c>
      <c r="C438" s="87" t="s">
        <v>554</v>
      </c>
      <c r="D438" s="88">
        <v>406060</v>
      </c>
      <c r="E438" s="94"/>
      <c r="F438" s="94"/>
      <c r="G438" s="93"/>
      <c r="H438" s="93"/>
    </row>
    <row r="439" spans="1:8">
      <c r="A439" s="91"/>
      <c r="B439" s="117">
        <v>42511</v>
      </c>
      <c r="C439" s="87" t="s">
        <v>515</v>
      </c>
      <c r="D439" s="88">
        <v>682500</v>
      </c>
      <c r="E439" s="94"/>
      <c r="F439" s="94"/>
      <c r="G439" s="93"/>
      <c r="H439" s="93"/>
    </row>
    <row r="440" spans="1:8">
      <c r="A440" s="91"/>
      <c r="B440" s="122">
        <v>42513</v>
      </c>
      <c r="C440" s="121" t="s">
        <v>463</v>
      </c>
      <c r="D440" s="88">
        <v>655400</v>
      </c>
      <c r="E440" s="94"/>
      <c r="F440" s="94"/>
      <c r="G440" s="93"/>
      <c r="H440" s="93"/>
    </row>
    <row r="441" spans="1:8">
      <c r="A441" s="91"/>
      <c r="B441" s="117">
        <v>42513</v>
      </c>
      <c r="C441" s="87" t="s">
        <v>555</v>
      </c>
      <c r="D441" s="88">
        <v>4396400</v>
      </c>
      <c r="E441" s="94"/>
      <c r="F441" s="94"/>
      <c r="G441" s="93"/>
      <c r="H441" s="93"/>
    </row>
    <row r="442" spans="1:8">
      <c r="A442" s="91"/>
      <c r="B442" s="122">
        <v>42514</v>
      </c>
      <c r="C442" s="89" t="s">
        <v>464</v>
      </c>
      <c r="D442" s="88">
        <v>40000</v>
      </c>
      <c r="E442" s="94"/>
      <c r="F442" s="94"/>
      <c r="G442" s="93"/>
      <c r="H442" s="93"/>
    </row>
    <row r="443" spans="1:8">
      <c r="A443" s="91"/>
      <c r="B443" s="122">
        <v>42514</v>
      </c>
      <c r="C443" s="89" t="s">
        <v>417</v>
      </c>
      <c r="D443" s="88">
        <v>5000</v>
      </c>
      <c r="E443" s="94"/>
      <c r="F443" s="94"/>
      <c r="G443" s="93"/>
      <c r="H443" s="93"/>
    </row>
    <row r="444" spans="1:8">
      <c r="A444" s="91"/>
      <c r="B444" s="117">
        <v>42514</v>
      </c>
      <c r="C444" s="87" t="s">
        <v>555</v>
      </c>
      <c r="D444" s="88">
        <v>4090000</v>
      </c>
      <c r="E444" s="94"/>
      <c r="F444" s="94"/>
      <c r="G444" s="93"/>
      <c r="H444" s="93"/>
    </row>
    <row r="445" spans="1:8">
      <c r="A445" s="91"/>
      <c r="B445" s="117">
        <v>42514</v>
      </c>
      <c r="C445" s="87" t="s">
        <v>496</v>
      </c>
      <c r="D445" s="88">
        <v>678000</v>
      </c>
      <c r="E445" s="94"/>
      <c r="F445" s="94"/>
      <c r="G445" s="93"/>
      <c r="H445" s="93"/>
    </row>
    <row r="446" spans="1:8">
      <c r="A446" s="91"/>
      <c r="B446" s="117">
        <v>42514</v>
      </c>
      <c r="C446" s="94" t="s">
        <v>518</v>
      </c>
      <c r="D446" s="88">
        <v>24000</v>
      </c>
      <c r="E446" s="94"/>
      <c r="F446" s="94"/>
      <c r="G446" s="93"/>
      <c r="H446" s="93"/>
    </row>
    <row r="447" spans="1:8">
      <c r="A447" s="91"/>
      <c r="B447" s="122">
        <v>42515</v>
      </c>
      <c r="C447" s="3" t="s">
        <v>448</v>
      </c>
      <c r="D447" s="88">
        <v>21000</v>
      </c>
      <c r="E447" s="94"/>
      <c r="F447" s="94"/>
      <c r="G447" s="93"/>
      <c r="H447" s="93"/>
    </row>
    <row r="448" spans="1:8">
      <c r="A448" s="91"/>
      <c r="B448" s="117">
        <v>42515</v>
      </c>
      <c r="C448" s="87" t="s">
        <v>515</v>
      </c>
      <c r="D448" s="88">
        <v>274500</v>
      </c>
      <c r="E448" s="94"/>
      <c r="F448" s="94"/>
      <c r="G448" s="93"/>
      <c r="H448" s="93"/>
    </row>
    <row r="449" spans="1:8">
      <c r="A449" s="91"/>
      <c r="B449" s="117">
        <v>42515</v>
      </c>
      <c r="C449" s="92" t="s">
        <v>556</v>
      </c>
      <c r="D449" s="88">
        <v>1006000</v>
      </c>
      <c r="E449" s="94"/>
      <c r="F449" s="94"/>
      <c r="G449" s="93"/>
      <c r="H449" s="93"/>
    </row>
    <row r="450" spans="1:8">
      <c r="A450" s="91"/>
      <c r="B450" s="117">
        <v>42516</v>
      </c>
      <c r="C450" s="87" t="s">
        <v>511</v>
      </c>
      <c r="D450" s="88">
        <v>198000</v>
      </c>
      <c r="E450" s="94"/>
      <c r="F450" s="94"/>
      <c r="G450" s="93"/>
      <c r="H450" s="93"/>
    </row>
    <row r="451" spans="1:8">
      <c r="A451" s="91"/>
      <c r="B451" s="122">
        <v>42517</v>
      </c>
      <c r="C451" s="89" t="s">
        <v>417</v>
      </c>
      <c r="D451" s="88">
        <v>10000</v>
      </c>
      <c r="E451" s="94"/>
      <c r="F451" s="94"/>
      <c r="G451" s="93"/>
      <c r="H451" s="93"/>
    </row>
    <row r="452" spans="1:8">
      <c r="A452" s="91"/>
      <c r="B452" s="117">
        <v>42517</v>
      </c>
      <c r="C452" s="94" t="s">
        <v>551</v>
      </c>
      <c r="D452" s="88">
        <v>99000</v>
      </c>
      <c r="E452" s="94"/>
      <c r="F452" s="94"/>
      <c r="G452" s="93"/>
      <c r="H452" s="93"/>
    </row>
    <row r="453" spans="1:8">
      <c r="A453" s="91"/>
      <c r="B453" s="117">
        <v>42517</v>
      </c>
      <c r="C453" s="87" t="s">
        <v>551</v>
      </c>
      <c r="D453" s="88">
        <v>99000</v>
      </c>
      <c r="E453" s="94"/>
      <c r="F453" s="94"/>
      <c r="G453" s="93"/>
      <c r="H453" s="93"/>
    </row>
    <row r="454" spans="1:8">
      <c r="A454" s="91"/>
      <c r="B454" s="117">
        <v>42517</v>
      </c>
      <c r="C454" s="87" t="s">
        <v>496</v>
      </c>
      <c r="D454" s="88">
        <v>1338600</v>
      </c>
      <c r="E454" s="94"/>
      <c r="F454" s="94"/>
      <c r="G454" s="93"/>
      <c r="H454" s="93"/>
    </row>
    <row r="455" spans="1:8">
      <c r="A455" s="91"/>
      <c r="B455" s="117">
        <v>42517</v>
      </c>
      <c r="C455" s="87" t="s">
        <v>511</v>
      </c>
      <c r="D455" s="88">
        <v>160000</v>
      </c>
      <c r="E455" s="94"/>
      <c r="F455" s="94"/>
      <c r="G455" s="93"/>
      <c r="H455" s="93"/>
    </row>
    <row r="456" spans="1:8">
      <c r="A456" s="91"/>
      <c r="B456" s="117">
        <v>42518</v>
      </c>
      <c r="C456" s="92" t="s">
        <v>553</v>
      </c>
      <c r="D456" s="88">
        <v>73000</v>
      </c>
      <c r="E456" s="94"/>
      <c r="F456" s="94"/>
      <c r="G456" s="93"/>
      <c r="H456" s="93"/>
    </row>
    <row r="457" spans="1:8">
      <c r="A457" s="91"/>
      <c r="B457" s="122">
        <v>42520</v>
      </c>
      <c r="C457" s="89" t="s">
        <v>417</v>
      </c>
      <c r="D457" s="88">
        <v>20000</v>
      </c>
      <c r="E457" s="94"/>
      <c r="F457" s="94"/>
      <c r="G457" s="93"/>
      <c r="H457" s="93"/>
    </row>
    <row r="458" spans="1:8">
      <c r="A458" s="91"/>
      <c r="B458" s="117">
        <v>42520</v>
      </c>
      <c r="C458" s="87" t="s">
        <v>496</v>
      </c>
      <c r="D458" s="88">
        <v>9735000</v>
      </c>
      <c r="E458" s="94"/>
      <c r="F458" s="94"/>
      <c r="G458" s="93"/>
      <c r="H458" s="93"/>
    </row>
    <row r="459" spans="1:8">
      <c r="A459" s="91"/>
      <c r="B459" s="117">
        <v>42520</v>
      </c>
      <c r="C459" s="87" t="s">
        <v>496</v>
      </c>
      <c r="D459" s="88">
        <v>20000</v>
      </c>
      <c r="E459" s="94"/>
      <c r="F459" s="94"/>
      <c r="G459" s="93"/>
      <c r="H459" s="93"/>
    </row>
    <row r="460" spans="1:8">
      <c r="A460" s="91"/>
      <c r="B460" s="117">
        <v>42520</v>
      </c>
      <c r="C460" s="87" t="s">
        <v>496</v>
      </c>
      <c r="D460" s="88">
        <v>541000</v>
      </c>
      <c r="E460" s="94"/>
      <c r="F460" s="94"/>
      <c r="G460" s="93"/>
      <c r="H460" s="93"/>
    </row>
    <row r="461" spans="1:8">
      <c r="A461" s="91"/>
      <c r="B461" s="117">
        <v>42520</v>
      </c>
      <c r="C461" s="87" t="s">
        <v>492</v>
      </c>
      <c r="D461" s="88">
        <v>1020000</v>
      </c>
      <c r="E461" s="94"/>
      <c r="F461" s="94"/>
      <c r="G461" s="93"/>
      <c r="H461" s="93"/>
    </row>
    <row r="462" spans="1:8">
      <c r="A462" s="91"/>
      <c r="B462" s="122">
        <v>42521</v>
      </c>
      <c r="C462" s="89" t="s">
        <v>465</v>
      </c>
      <c r="D462" s="88">
        <v>1700000</v>
      </c>
      <c r="E462" s="94"/>
      <c r="F462" s="94"/>
      <c r="G462" s="93"/>
      <c r="H462" s="93"/>
    </row>
    <row r="463" spans="1:8">
      <c r="A463" s="91"/>
      <c r="B463" s="122">
        <v>42521</v>
      </c>
      <c r="C463" s="89" t="s">
        <v>466</v>
      </c>
      <c r="D463" s="88">
        <v>300000</v>
      </c>
      <c r="E463" s="94"/>
      <c r="F463" s="94"/>
      <c r="G463" s="93"/>
      <c r="H463" s="93"/>
    </row>
    <row r="464" spans="1:8">
      <c r="A464" s="91"/>
      <c r="B464" s="122">
        <v>42521</v>
      </c>
      <c r="C464" s="89" t="s">
        <v>417</v>
      </c>
      <c r="D464" s="88">
        <v>10000</v>
      </c>
      <c r="E464" s="94"/>
      <c r="F464" s="94"/>
      <c r="G464" s="93"/>
      <c r="H464" s="93"/>
    </row>
    <row r="465" spans="1:9">
      <c r="A465" s="91"/>
      <c r="B465" s="122">
        <v>42521</v>
      </c>
      <c r="C465" s="89" t="s">
        <v>417</v>
      </c>
      <c r="D465" s="88">
        <v>10000</v>
      </c>
      <c r="E465" s="94"/>
      <c r="F465" s="94"/>
      <c r="G465" s="93"/>
      <c r="H465" s="93"/>
    </row>
    <row r="466" spans="1:9">
      <c r="A466" s="91"/>
      <c r="B466" s="117">
        <v>42521</v>
      </c>
      <c r="C466" s="87" t="s">
        <v>557</v>
      </c>
      <c r="D466" s="88">
        <v>1800000</v>
      </c>
      <c r="E466" s="94"/>
      <c r="F466" s="94"/>
      <c r="G466" s="93"/>
      <c r="H466" s="93"/>
    </row>
    <row r="467" spans="1:9">
      <c r="A467" s="91"/>
      <c r="B467" s="117">
        <v>42521</v>
      </c>
      <c r="C467" s="87" t="s">
        <v>558</v>
      </c>
      <c r="D467" s="88">
        <v>3175000</v>
      </c>
      <c r="E467" s="94"/>
      <c r="F467" s="94"/>
      <c r="G467" s="93"/>
      <c r="H467" s="93"/>
    </row>
    <row r="468" spans="1:9">
      <c r="A468" s="91"/>
      <c r="B468" s="117">
        <v>42521</v>
      </c>
      <c r="C468" s="87" t="s">
        <v>559</v>
      </c>
      <c r="D468" s="88">
        <v>3175000</v>
      </c>
      <c r="E468" s="94"/>
      <c r="F468" s="94"/>
      <c r="G468" s="93"/>
      <c r="H468" s="93"/>
    </row>
    <row r="469" spans="1:9">
      <c r="A469" s="91"/>
      <c r="B469" s="117">
        <v>42521</v>
      </c>
      <c r="C469" s="87" t="s">
        <v>560</v>
      </c>
      <c r="D469" s="88">
        <v>2200000</v>
      </c>
      <c r="E469" s="94"/>
      <c r="F469" s="94"/>
      <c r="G469" s="93"/>
      <c r="H469" s="93"/>
    </row>
    <row r="470" spans="1:9">
      <c r="A470" s="91"/>
      <c r="B470" s="117">
        <v>42521</v>
      </c>
      <c r="C470" s="87" t="s">
        <v>561</v>
      </c>
      <c r="D470" s="88">
        <v>3175000</v>
      </c>
      <c r="E470" s="94"/>
      <c r="F470" s="94"/>
      <c r="G470" s="93"/>
      <c r="H470" s="93"/>
    </row>
    <row r="471" spans="1:9">
      <c r="A471" s="91"/>
      <c r="B471" s="117">
        <v>42521</v>
      </c>
      <c r="C471" s="87" t="s">
        <v>562</v>
      </c>
      <c r="D471" s="88">
        <v>3175000</v>
      </c>
      <c r="E471" s="94"/>
      <c r="F471" s="94"/>
      <c r="G471" s="93"/>
      <c r="H471" s="93"/>
    </row>
    <row r="472" spans="1:9">
      <c r="A472" s="91"/>
      <c r="B472" s="117">
        <v>42521</v>
      </c>
      <c r="C472" s="87" t="s">
        <v>496</v>
      </c>
      <c r="D472" s="88">
        <v>712500</v>
      </c>
      <c r="E472" s="94"/>
      <c r="F472" s="94"/>
      <c r="G472" s="93"/>
      <c r="H472" s="93"/>
    </row>
    <row r="473" spans="1:9">
      <c r="A473" s="91"/>
      <c r="B473" s="117">
        <v>42521</v>
      </c>
      <c r="C473" s="87" t="s">
        <v>496</v>
      </c>
      <c r="D473" s="88">
        <v>10000</v>
      </c>
      <c r="E473" s="94"/>
      <c r="F473" s="94"/>
      <c r="G473" s="93"/>
      <c r="H473" s="93"/>
    </row>
    <row r="474" spans="1:9">
      <c r="A474" s="91"/>
      <c r="B474" s="117">
        <v>42521</v>
      </c>
      <c r="C474" s="87" t="s">
        <v>515</v>
      </c>
      <c r="D474" s="88">
        <v>1002000</v>
      </c>
      <c r="E474" s="94"/>
      <c r="F474" s="94"/>
      <c r="G474" s="93"/>
      <c r="H474" s="93"/>
    </row>
    <row r="475" spans="1:9">
      <c r="A475" s="91"/>
      <c r="B475" s="117">
        <v>42521</v>
      </c>
      <c r="C475" s="87" t="s">
        <v>511</v>
      </c>
      <c r="D475" s="88">
        <v>1090500</v>
      </c>
      <c r="E475" s="94"/>
      <c r="F475" s="94"/>
      <c r="G475" s="93"/>
      <c r="H475" s="93"/>
    </row>
    <row r="476" spans="1:9">
      <c r="A476" s="95"/>
      <c r="B476" s="118">
        <v>42521</v>
      </c>
      <c r="C476" s="120" t="s">
        <v>511</v>
      </c>
      <c r="D476" s="86">
        <v>206000</v>
      </c>
      <c r="E476" s="97"/>
      <c r="F476" s="94"/>
      <c r="G476" s="93"/>
      <c r="H476" s="93"/>
    </row>
    <row r="477" spans="1:9">
      <c r="A477" s="109">
        <v>7</v>
      </c>
      <c r="B477" s="109"/>
      <c r="C477" s="112" t="s">
        <v>325</v>
      </c>
      <c r="D477" s="88">
        <v>77470000</v>
      </c>
      <c r="E477" s="88"/>
      <c r="F477" s="88"/>
      <c r="G477" s="110"/>
      <c r="H477" s="110"/>
      <c r="I477" s="111"/>
    </row>
    <row r="478" spans="1:9">
      <c r="A478" s="109"/>
      <c r="B478" s="109"/>
      <c r="C478" s="112" t="s">
        <v>326</v>
      </c>
      <c r="D478" s="88"/>
      <c r="E478" s="88">
        <v>21900000</v>
      </c>
      <c r="F478" s="88"/>
    </row>
    <row r="479" spans="1:9">
      <c r="A479" s="109"/>
      <c r="B479" s="109"/>
      <c r="C479" s="112" t="s">
        <v>327</v>
      </c>
      <c r="D479" s="88"/>
      <c r="E479" s="88">
        <f>'[1]Pinjaman 2016'!$O$235</f>
        <v>76691666.670000002</v>
      </c>
      <c r="F479" s="88"/>
    </row>
    <row r="480" spans="1:9">
      <c r="A480" s="109"/>
      <c r="B480" s="109"/>
      <c r="C480" s="112" t="s">
        <v>328</v>
      </c>
      <c r="D480" s="88"/>
      <c r="E480" s="88">
        <f>'[1]Pinjaman 2016'!$P$235</f>
        <v>4623208.33</v>
      </c>
      <c r="F480" s="88"/>
    </row>
    <row r="481" spans="1:7">
      <c r="A481" s="109"/>
      <c r="B481" s="109"/>
      <c r="C481" s="112" t="s">
        <v>628</v>
      </c>
      <c r="D481" s="88"/>
      <c r="E481" s="88">
        <f>'[2]Electronic 2016'!$O$203</f>
        <v>6973499.9999999991</v>
      </c>
      <c r="F481" s="88"/>
    </row>
    <row r="482" spans="1:7">
      <c r="A482" s="109"/>
      <c r="B482" s="109"/>
      <c r="C482" s="112" t="s">
        <v>629</v>
      </c>
      <c r="D482" s="88"/>
      <c r="E482" s="88">
        <f>'[2]Electronic 2016'!$P$203</f>
        <v>624115</v>
      </c>
      <c r="F482" s="88"/>
    </row>
    <row r="483" spans="1:7">
      <c r="A483" s="109"/>
      <c r="B483" s="109"/>
      <c r="C483" s="112" t="s">
        <v>656</v>
      </c>
      <c r="D483" s="88"/>
      <c r="E483" s="124">
        <v>44767829</v>
      </c>
      <c r="F483" s="88"/>
    </row>
    <row r="484" spans="1:7">
      <c r="A484" s="109"/>
      <c r="B484" s="109"/>
      <c r="C484" s="112" t="s">
        <v>329</v>
      </c>
      <c r="D484" s="88"/>
      <c r="E484" s="88">
        <f>'[3]Summary keuntungan'!$B$4</f>
        <v>6084071</v>
      </c>
      <c r="F484" s="88"/>
      <c r="G484" s="12">
        <f>E483+E484</f>
        <v>50851900</v>
      </c>
    </row>
    <row r="485" spans="1:7" ht="15">
      <c r="A485" s="109"/>
      <c r="B485" s="109"/>
      <c r="C485" s="126" t="s">
        <v>661</v>
      </c>
      <c r="D485" s="88"/>
      <c r="E485" s="88">
        <f>Pendapatan!D24</f>
        <v>700000</v>
      </c>
      <c r="F485" s="88"/>
    </row>
    <row r="486" spans="1:7" s="5" customFormat="1">
      <c r="A486" s="85"/>
      <c r="B486" s="122">
        <v>42522</v>
      </c>
      <c r="C486" s="89" t="s">
        <v>458</v>
      </c>
      <c r="D486" s="88">
        <v>60000</v>
      </c>
      <c r="E486" s="89"/>
      <c r="F486" s="89"/>
    </row>
    <row r="487" spans="1:7" s="5" customFormat="1">
      <c r="A487" s="85"/>
      <c r="B487" s="122">
        <v>42522</v>
      </c>
      <c r="C487" s="3" t="s">
        <v>448</v>
      </c>
      <c r="D487" s="88">
        <v>21000</v>
      </c>
      <c r="E487" s="89"/>
      <c r="F487" s="89"/>
    </row>
    <row r="488" spans="1:7" s="5" customFormat="1">
      <c r="A488" s="85"/>
      <c r="B488" s="117">
        <v>42522</v>
      </c>
      <c r="C488" s="94" t="s">
        <v>537</v>
      </c>
      <c r="D488" s="88">
        <v>16145000</v>
      </c>
      <c r="E488" s="89"/>
      <c r="F488" s="89"/>
    </row>
    <row r="489" spans="1:7" s="5" customFormat="1">
      <c r="A489" s="85"/>
      <c r="B489" s="117">
        <v>42524</v>
      </c>
      <c r="C489" s="94" t="s">
        <v>551</v>
      </c>
      <c r="D489" s="88">
        <v>252000</v>
      </c>
      <c r="E489" s="89"/>
      <c r="F489" s="89"/>
    </row>
    <row r="490" spans="1:7" s="5" customFormat="1">
      <c r="A490" s="85"/>
      <c r="B490" s="117">
        <v>42524</v>
      </c>
      <c r="C490" s="94" t="s">
        <v>563</v>
      </c>
      <c r="D490" s="88">
        <v>210000</v>
      </c>
      <c r="E490" s="89"/>
      <c r="F490" s="89"/>
    </row>
    <row r="491" spans="1:7" s="5" customFormat="1">
      <c r="A491" s="85"/>
      <c r="B491" s="122">
        <v>42525</v>
      </c>
      <c r="C491" s="3" t="s">
        <v>460</v>
      </c>
      <c r="D491" s="88">
        <v>76000</v>
      </c>
      <c r="E491" s="89"/>
      <c r="F491" s="89"/>
    </row>
    <row r="492" spans="1:7" s="5" customFormat="1">
      <c r="A492" s="85"/>
      <c r="B492" s="117">
        <v>42525</v>
      </c>
      <c r="C492" s="87" t="s">
        <v>515</v>
      </c>
      <c r="D492" s="88">
        <v>431500</v>
      </c>
      <c r="E492" s="89"/>
      <c r="F492" s="89"/>
    </row>
    <row r="493" spans="1:7" s="5" customFormat="1">
      <c r="A493" s="85"/>
      <c r="B493" s="117">
        <v>42526</v>
      </c>
      <c r="C493" s="87" t="s">
        <v>493</v>
      </c>
      <c r="D493" s="88">
        <v>254000</v>
      </c>
      <c r="E493" s="89"/>
      <c r="F493" s="89"/>
    </row>
    <row r="494" spans="1:7" s="5" customFormat="1">
      <c r="A494" s="85"/>
      <c r="B494" s="117">
        <v>42526</v>
      </c>
      <c r="C494" s="87" t="s">
        <v>493</v>
      </c>
      <c r="D494" s="88">
        <v>122000</v>
      </c>
      <c r="E494" s="89"/>
      <c r="F494" s="89"/>
    </row>
    <row r="495" spans="1:7" s="5" customFormat="1">
      <c r="A495" s="85"/>
      <c r="B495" s="122">
        <v>42527</v>
      </c>
      <c r="C495" s="89" t="s">
        <v>417</v>
      </c>
      <c r="D495" s="88">
        <v>10000</v>
      </c>
      <c r="E495" s="89"/>
      <c r="F495" s="89"/>
    </row>
    <row r="496" spans="1:7" s="5" customFormat="1">
      <c r="A496" s="85"/>
      <c r="B496" s="122">
        <v>42527</v>
      </c>
      <c r="C496" s="89" t="s">
        <v>417</v>
      </c>
      <c r="D496" s="88">
        <v>10000</v>
      </c>
      <c r="E496" s="89"/>
      <c r="F496" s="89"/>
    </row>
    <row r="497" spans="1:6" s="5" customFormat="1">
      <c r="A497" s="85"/>
      <c r="B497" s="117">
        <v>42527</v>
      </c>
      <c r="C497" s="87" t="s">
        <v>496</v>
      </c>
      <c r="D497" s="88">
        <v>834150</v>
      </c>
      <c r="E497" s="89"/>
      <c r="F497" s="89"/>
    </row>
    <row r="498" spans="1:6" s="5" customFormat="1">
      <c r="A498" s="85"/>
      <c r="B498" s="117">
        <v>42528</v>
      </c>
      <c r="C498" s="87" t="s">
        <v>492</v>
      </c>
      <c r="D498" s="88">
        <v>1810000</v>
      </c>
      <c r="E498" s="89"/>
      <c r="F498" s="89"/>
    </row>
    <row r="499" spans="1:6" s="5" customFormat="1">
      <c r="A499" s="85"/>
      <c r="B499" s="117">
        <v>42529</v>
      </c>
      <c r="C499" s="92" t="s">
        <v>564</v>
      </c>
      <c r="D499" s="88">
        <v>1020500</v>
      </c>
      <c r="E499" s="89"/>
      <c r="F499" s="89"/>
    </row>
    <row r="500" spans="1:6" s="5" customFormat="1">
      <c r="A500" s="85"/>
      <c r="B500" s="122">
        <v>42530</v>
      </c>
      <c r="C500" s="89" t="s">
        <v>417</v>
      </c>
      <c r="D500" s="88">
        <v>5000</v>
      </c>
      <c r="E500" s="89"/>
      <c r="F500" s="89"/>
    </row>
    <row r="501" spans="1:6" s="5" customFormat="1">
      <c r="A501" s="85"/>
      <c r="B501" s="122">
        <v>42530</v>
      </c>
      <c r="C501" s="89" t="s">
        <v>417</v>
      </c>
      <c r="D501" s="88">
        <v>5000</v>
      </c>
      <c r="E501" s="89"/>
      <c r="F501" s="89"/>
    </row>
    <row r="502" spans="1:6" s="5" customFormat="1">
      <c r="A502" s="85"/>
      <c r="B502" s="117">
        <v>42530</v>
      </c>
      <c r="C502" s="87" t="s">
        <v>493</v>
      </c>
      <c r="D502" s="88">
        <v>578000</v>
      </c>
      <c r="E502" s="89"/>
      <c r="F502" s="89"/>
    </row>
    <row r="503" spans="1:6" s="5" customFormat="1">
      <c r="A503" s="85"/>
      <c r="B503" s="117">
        <v>42530</v>
      </c>
      <c r="C503" s="87" t="s">
        <v>515</v>
      </c>
      <c r="D503" s="88">
        <v>457000</v>
      </c>
      <c r="E503" s="89"/>
      <c r="F503" s="89"/>
    </row>
    <row r="504" spans="1:6" s="5" customFormat="1">
      <c r="A504" s="85"/>
      <c r="B504" s="122">
        <v>42531</v>
      </c>
      <c r="C504" s="89" t="s">
        <v>417</v>
      </c>
      <c r="D504" s="88">
        <v>15000</v>
      </c>
      <c r="E504" s="89"/>
      <c r="F504" s="89"/>
    </row>
    <row r="505" spans="1:6" s="5" customFormat="1">
      <c r="A505" s="85"/>
      <c r="B505" s="122">
        <v>42531</v>
      </c>
      <c r="C505" s="3" t="s">
        <v>448</v>
      </c>
      <c r="D505" s="88">
        <v>12000</v>
      </c>
      <c r="E505" s="89"/>
      <c r="F505" s="89"/>
    </row>
    <row r="506" spans="1:6" s="5" customFormat="1">
      <c r="A506" s="85"/>
      <c r="B506" s="122">
        <v>42531</v>
      </c>
      <c r="C506" s="3" t="s">
        <v>448</v>
      </c>
      <c r="D506" s="88">
        <v>21000</v>
      </c>
      <c r="E506" s="89"/>
      <c r="F506" s="89"/>
    </row>
    <row r="507" spans="1:6" s="5" customFormat="1">
      <c r="A507" s="85"/>
      <c r="B507" s="122">
        <v>42531</v>
      </c>
      <c r="C507" s="3" t="s">
        <v>460</v>
      </c>
      <c r="D507" s="88">
        <v>52000</v>
      </c>
      <c r="E507" s="89"/>
      <c r="F507" s="89"/>
    </row>
    <row r="508" spans="1:6" s="5" customFormat="1">
      <c r="A508" s="85"/>
      <c r="B508" s="122">
        <v>42531</v>
      </c>
      <c r="C508" s="3" t="s">
        <v>420</v>
      </c>
      <c r="D508" s="88">
        <v>19000</v>
      </c>
      <c r="E508" s="89"/>
      <c r="F508" s="89"/>
    </row>
    <row r="509" spans="1:6" s="5" customFormat="1">
      <c r="A509" s="85"/>
      <c r="B509" s="117">
        <v>42531</v>
      </c>
      <c r="C509" s="87" t="s">
        <v>496</v>
      </c>
      <c r="D509" s="88">
        <v>371000</v>
      </c>
      <c r="E509" s="89"/>
      <c r="F509" s="89"/>
    </row>
    <row r="510" spans="1:6" s="5" customFormat="1">
      <c r="A510" s="85"/>
      <c r="B510" s="117">
        <v>42531</v>
      </c>
      <c r="C510" s="87" t="s">
        <v>511</v>
      </c>
      <c r="D510" s="88">
        <v>109000</v>
      </c>
      <c r="E510" s="89"/>
      <c r="F510" s="89"/>
    </row>
    <row r="511" spans="1:6" s="5" customFormat="1">
      <c r="A511" s="85"/>
      <c r="B511" s="117">
        <v>42531</v>
      </c>
      <c r="C511" s="87" t="s">
        <v>496</v>
      </c>
      <c r="D511" s="88">
        <v>1378050</v>
      </c>
      <c r="E511" s="89"/>
      <c r="F511" s="89"/>
    </row>
    <row r="512" spans="1:6" s="5" customFormat="1">
      <c r="A512" s="85"/>
      <c r="B512" s="117">
        <v>42532</v>
      </c>
      <c r="C512" s="92" t="s">
        <v>565</v>
      </c>
      <c r="D512" s="88">
        <v>15000</v>
      </c>
      <c r="E512" s="89"/>
      <c r="F512" s="89"/>
    </row>
    <row r="513" spans="1:8" s="5" customFormat="1">
      <c r="A513" s="85"/>
      <c r="B513" s="122">
        <v>42533</v>
      </c>
      <c r="C513" s="89" t="s">
        <v>417</v>
      </c>
      <c r="D513" s="88">
        <v>10000</v>
      </c>
      <c r="E513" s="89"/>
      <c r="F513" s="89"/>
    </row>
    <row r="514" spans="1:8" s="5" customFormat="1">
      <c r="A514" s="85"/>
      <c r="B514" s="117">
        <v>42533</v>
      </c>
      <c r="C514" s="87" t="s">
        <v>515</v>
      </c>
      <c r="D514" s="88">
        <v>867000</v>
      </c>
      <c r="E514" s="89"/>
      <c r="F514" s="89"/>
    </row>
    <row r="515" spans="1:8" s="5" customFormat="1">
      <c r="A515" s="85"/>
      <c r="B515" s="117">
        <v>42536</v>
      </c>
      <c r="C515" s="87" t="s">
        <v>492</v>
      </c>
      <c r="D515" s="88">
        <v>1209000</v>
      </c>
      <c r="E515" s="89"/>
      <c r="F515" s="89"/>
    </row>
    <row r="516" spans="1:8" s="5" customFormat="1">
      <c r="A516" s="85"/>
      <c r="B516" s="122">
        <v>42538</v>
      </c>
      <c r="C516" s="89" t="s">
        <v>417</v>
      </c>
      <c r="D516" s="88">
        <v>20000</v>
      </c>
      <c r="E516" s="89"/>
      <c r="F516" s="89"/>
    </row>
    <row r="517" spans="1:8" s="5" customFormat="1">
      <c r="A517" s="85"/>
      <c r="B517" s="117">
        <v>42538</v>
      </c>
      <c r="C517" s="87" t="s">
        <v>496</v>
      </c>
      <c r="D517" s="88">
        <v>778000</v>
      </c>
      <c r="E517" s="89"/>
      <c r="F517" s="89"/>
    </row>
    <row r="518" spans="1:8" s="5" customFormat="1">
      <c r="A518" s="85"/>
      <c r="B518" s="117">
        <v>42538</v>
      </c>
      <c r="C518" s="87" t="s">
        <v>511</v>
      </c>
      <c r="D518" s="88">
        <v>950500</v>
      </c>
      <c r="E518" s="89"/>
      <c r="F518" s="89"/>
    </row>
    <row r="519" spans="1:8">
      <c r="A519" s="91"/>
      <c r="B519" s="117">
        <v>42538</v>
      </c>
      <c r="C519" s="87" t="s">
        <v>496</v>
      </c>
      <c r="D519" s="88">
        <v>7693000</v>
      </c>
      <c r="E519" s="94"/>
      <c r="F519" s="94"/>
      <c r="G519" s="93"/>
      <c r="H519" s="93"/>
    </row>
    <row r="520" spans="1:8">
      <c r="A520" s="91"/>
      <c r="B520" s="122">
        <v>42539</v>
      </c>
      <c r="C520" s="89" t="s">
        <v>417</v>
      </c>
      <c r="D520" s="88">
        <v>10000</v>
      </c>
      <c r="E520" s="94"/>
      <c r="F520" s="94"/>
      <c r="G520" s="93"/>
      <c r="H520" s="93"/>
    </row>
    <row r="521" spans="1:8">
      <c r="A521" s="91"/>
      <c r="B521" s="122">
        <v>42539</v>
      </c>
      <c r="C521" s="89" t="s">
        <v>417</v>
      </c>
      <c r="D521" s="88">
        <v>20000</v>
      </c>
      <c r="E521" s="94"/>
      <c r="F521" s="94"/>
      <c r="G521" s="93"/>
      <c r="H521" s="93"/>
    </row>
    <row r="522" spans="1:8">
      <c r="A522" s="91"/>
      <c r="B522" s="117">
        <v>42539</v>
      </c>
      <c r="C522" s="87" t="s">
        <v>496</v>
      </c>
      <c r="D522" s="88">
        <v>973500</v>
      </c>
      <c r="E522" s="94"/>
      <c r="F522" s="94"/>
      <c r="G522" s="93"/>
      <c r="H522" s="93"/>
    </row>
    <row r="523" spans="1:8">
      <c r="A523" s="91"/>
      <c r="B523" s="117">
        <v>42539</v>
      </c>
      <c r="C523" s="87" t="s">
        <v>554</v>
      </c>
      <c r="D523" s="88">
        <v>906910</v>
      </c>
      <c r="E523" s="94"/>
      <c r="F523" s="94"/>
      <c r="G523" s="93"/>
      <c r="H523" s="93"/>
    </row>
    <row r="524" spans="1:8">
      <c r="A524" s="91"/>
      <c r="B524" s="122">
        <v>42540</v>
      </c>
      <c r="C524" s="89" t="s">
        <v>417</v>
      </c>
      <c r="D524" s="88">
        <v>5000</v>
      </c>
      <c r="E524" s="94"/>
      <c r="F524" s="94"/>
      <c r="G524" s="93"/>
      <c r="H524" s="93"/>
    </row>
    <row r="525" spans="1:8">
      <c r="A525" s="91"/>
      <c r="B525" s="122">
        <v>42540</v>
      </c>
      <c r="C525" s="89" t="s">
        <v>417</v>
      </c>
      <c r="D525" s="88">
        <v>20000</v>
      </c>
      <c r="E525" s="94"/>
      <c r="F525" s="94"/>
      <c r="G525" s="93"/>
      <c r="H525" s="93"/>
    </row>
    <row r="526" spans="1:8">
      <c r="A526" s="91"/>
      <c r="B526" s="122">
        <v>42540</v>
      </c>
      <c r="C526" s="89" t="s">
        <v>417</v>
      </c>
      <c r="D526" s="88">
        <v>5000</v>
      </c>
      <c r="E526" s="94"/>
      <c r="F526" s="94"/>
      <c r="G526" s="93"/>
      <c r="H526" s="93"/>
    </row>
    <row r="527" spans="1:8">
      <c r="A527" s="91"/>
      <c r="B527" s="122">
        <v>42540</v>
      </c>
      <c r="C527" s="3" t="s">
        <v>448</v>
      </c>
      <c r="D527" s="88">
        <v>21000</v>
      </c>
      <c r="E527" s="94"/>
      <c r="F527" s="94"/>
      <c r="G527" s="93"/>
      <c r="H527" s="93"/>
    </row>
    <row r="528" spans="1:8">
      <c r="A528" s="91"/>
      <c r="B528" s="117">
        <v>42540</v>
      </c>
      <c r="C528" s="87" t="s">
        <v>515</v>
      </c>
      <c r="D528" s="88">
        <v>632000</v>
      </c>
      <c r="E528" s="94"/>
      <c r="F528" s="94"/>
      <c r="G528" s="93"/>
      <c r="H528" s="93"/>
    </row>
    <row r="529" spans="1:8">
      <c r="A529" s="91"/>
      <c r="B529" s="117">
        <v>42540</v>
      </c>
      <c r="C529" s="87" t="s">
        <v>496</v>
      </c>
      <c r="D529" s="88">
        <v>1311800</v>
      </c>
      <c r="E529" s="94"/>
      <c r="F529" s="94"/>
      <c r="G529" s="93"/>
      <c r="H529" s="93"/>
    </row>
    <row r="530" spans="1:8">
      <c r="A530" s="91"/>
      <c r="B530" s="117">
        <v>42540</v>
      </c>
      <c r="C530" s="87" t="s">
        <v>494</v>
      </c>
      <c r="D530" s="88">
        <v>403000</v>
      </c>
      <c r="E530" s="94"/>
      <c r="F530" s="94"/>
      <c r="G530" s="93"/>
      <c r="H530" s="93"/>
    </row>
    <row r="531" spans="1:8">
      <c r="A531" s="91"/>
      <c r="B531" s="122">
        <v>42541</v>
      </c>
      <c r="C531" s="3" t="s">
        <v>448</v>
      </c>
      <c r="D531" s="88">
        <v>21000</v>
      </c>
      <c r="E531" s="94"/>
      <c r="F531" s="94"/>
      <c r="G531" s="93"/>
      <c r="H531" s="93"/>
    </row>
    <row r="532" spans="1:8">
      <c r="A532" s="91"/>
      <c r="B532" s="117">
        <v>42541</v>
      </c>
      <c r="C532" s="87" t="s">
        <v>496</v>
      </c>
      <c r="D532" s="88">
        <v>318100</v>
      </c>
      <c r="E532" s="94"/>
      <c r="F532" s="94"/>
      <c r="G532" s="93"/>
      <c r="H532" s="93"/>
    </row>
    <row r="533" spans="1:8">
      <c r="A533" s="91"/>
      <c r="B533" s="117">
        <v>42541</v>
      </c>
      <c r="C533" s="87" t="s">
        <v>492</v>
      </c>
      <c r="D533" s="88">
        <v>1347000</v>
      </c>
      <c r="E533" s="94"/>
      <c r="F533" s="94"/>
      <c r="G533" s="93"/>
      <c r="H533" s="93"/>
    </row>
    <row r="534" spans="1:8">
      <c r="A534" s="91"/>
      <c r="B534" s="122">
        <v>42542</v>
      </c>
      <c r="C534" s="89" t="s">
        <v>417</v>
      </c>
      <c r="D534" s="88">
        <v>25000</v>
      </c>
      <c r="E534" s="94"/>
      <c r="F534" s="94"/>
      <c r="G534" s="93"/>
      <c r="H534" s="93"/>
    </row>
    <row r="535" spans="1:8">
      <c r="A535" s="91"/>
      <c r="B535" s="117">
        <v>42542</v>
      </c>
      <c r="C535" s="87" t="s">
        <v>496</v>
      </c>
      <c r="D535" s="88">
        <v>8562000</v>
      </c>
      <c r="E535" s="94"/>
      <c r="F535" s="94"/>
      <c r="G535" s="93"/>
      <c r="H535" s="93"/>
    </row>
    <row r="536" spans="1:8">
      <c r="A536" s="91"/>
      <c r="B536" s="117">
        <v>42542</v>
      </c>
      <c r="C536" s="92" t="s">
        <v>504</v>
      </c>
      <c r="D536" s="88">
        <v>37500</v>
      </c>
      <c r="E536" s="94"/>
      <c r="F536" s="94"/>
      <c r="G536" s="93"/>
      <c r="H536" s="93"/>
    </row>
    <row r="537" spans="1:8">
      <c r="A537" s="91"/>
      <c r="B537" s="122">
        <v>42543</v>
      </c>
      <c r="C537" s="89" t="s">
        <v>417</v>
      </c>
      <c r="D537" s="88">
        <v>10000</v>
      </c>
      <c r="E537" s="94"/>
      <c r="F537" s="94"/>
      <c r="G537" s="93"/>
      <c r="H537" s="93"/>
    </row>
    <row r="538" spans="1:8">
      <c r="A538" s="91"/>
      <c r="B538" s="117">
        <v>42543</v>
      </c>
      <c r="C538" s="87" t="s">
        <v>496</v>
      </c>
      <c r="D538" s="88">
        <v>1237000</v>
      </c>
      <c r="E538" s="94"/>
      <c r="F538" s="94"/>
      <c r="G538" s="93"/>
      <c r="H538" s="93"/>
    </row>
    <row r="539" spans="1:8">
      <c r="A539" s="91"/>
      <c r="B539" s="122">
        <v>42544</v>
      </c>
      <c r="C539" s="3" t="s">
        <v>460</v>
      </c>
      <c r="D539" s="88">
        <v>32000</v>
      </c>
      <c r="E539" s="94"/>
      <c r="F539" s="94"/>
      <c r="G539" s="93"/>
      <c r="H539" s="93"/>
    </row>
    <row r="540" spans="1:8">
      <c r="A540" s="91"/>
      <c r="B540" s="117">
        <v>42545</v>
      </c>
      <c r="C540" s="87" t="s">
        <v>492</v>
      </c>
      <c r="D540" s="88">
        <v>984000</v>
      </c>
      <c r="E540" s="94"/>
      <c r="F540" s="94"/>
      <c r="G540" s="93"/>
      <c r="H540" s="93"/>
    </row>
    <row r="541" spans="1:8">
      <c r="A541" s="91"/>
      <c r="B541" s="122">
        <v>42547</v>
      </c>
      <c r="C541" s="89" t="s">
        <v>417</v>
      </c>
      <c r="D541" s="88">
        <v>10000</v>
      </c>
      <c r="E541" s="94"/>
      <c r="F541" s="94"/>
      <c r="G541" s="93"/>
      <c r="H541" s="93"/>
    </row>
    <row r="542" spans="1:8">
      <c r="A542" s="91"/>
      <c r="B542" s="117">
        <v>42547</v>
      </c>
      <c r="C542" s="87" t="s">
        <v>494</v>
      </c>
      <c r="D542" s="88">
        <v>240000</v>
      </c>
      <c r="E542" s="94"/>
      <c r="F542" s="94"/>
      <c r="G542" s="93"/>
      <c r="H542" s="93"/>
    </row>
    <row r="543" spans="1:8">
      <c r="A543" s="91"/>
      <c r="B543" s="117">
        <v>42548</v>
      </c>
      <c r="C543" s="87" t="s">
        <v>492</v>
      </c>
      <c r="D543" s="88">
        <v>1242000</v>
      </c>
      <c r="E543" s="94"/>
      <c r="F543" s="94"/>
      <c r="G543" s="93"/>
      <c r="H543" s="93"/>
    </row>
    <row r="544" spans="1:8">
      <c r="A544" s="91"/>
      <c r="B544" s="117">
        <v>42549</v>
      </c>
      <c r="C544" s="87" t="s">
        <v>511</v>
      </c>
      <c r="D544" s="88">
        <v>722000</v>
      </c>
      <c r="E544" s="94"/>
      <c r="F544" s="94"/>
      <c r="G544" s="93"/>
      <c r="H544" s="93"/>
    </row>
    <row r="545" spans="1:9">
      <c r="A545" s="91"/>
      <c r="B545" s="122">
        <v>42550</v>
      </c>
      <c r="C545" s="89" t="s">
        <v>417</v>
      </c>
      <c r="D545" s="88">
        <v>5000</v>
      </c>
      <c r="E545" s="94"/>
      <c r="F545" s="94"/>
      <c r="G545" s="93"/>
      <c r="H545" s="93"/>
    </row>
    <row r="546" spans="1:9">
      <c r="A546" s="91"/>
      <c r="B546" s="122">
        <v>42550</v>
      </c>
      <c r="C546" s="89" t="s">
        <v>417</v>
      </c>
      <c r="D546" s="88">
        <v>10000</v>
      </c>
      <c r="E546" s="94"/>
      <c r="F546" s="94"/>
      <c r="G546" s="93"/>
      <c r="H546" s="93"/>
    </row>
    <row r="547" spans="1:9">
      <c r="A547" s="91"/>
      <c r="B547" s="122">
        <v>42550</v>
      </c>
      <c r="C547" s="3" t="s">
        <v>460</v>
      </c>
      <c r="D547" s="88">
        <v>52000</v>
      </c>
      <c r="E547" s="94"/>
      <c r="F547" s="94"/>
      <c r="G547" s="93"/>
      <c r="H547" s="93"/>
    </row>
    <row r="548" spans="1:9">
      <c r="A548" s="91"/>
      <c r="B548" s="117">
        <v>42550</v>
      </c>
      <c r="C548" s="94" t="s">
        <v>507</v>
      </c>
      <c r="D548" s="88">
        <v>60000</v>
      </c>
      <c r="E548" s="94"/>
      <c r="F548" s="94"/>
      <c r="G548" s="93"/>
      <c r="H548" s="93"/>
    </row>
    <row r="549" spans="1:9">
      <c r="A549" s="91"/>
      <c r="B549" s="117">
        <v>42550</v>
      </c>
      <c r="C549" s="87" t="s">
        <v>515</v>
      </c>
      <c r="D549" s="88">
        <v>862000</v>
      </c>
      <c r="E549" s="94"/>
      <c r="F549" s="94"/>
      <c r="G549" s="93"/>
      <c r="H549" s="93"/>
    </row>
    <row r="550" spans="1:9">
      <c r="A550" s="91"/>
      <c r="B550" s="117">
        <v>42550</v>
      </c>
      <c r="C550" s="87" t="s">
        <v>492</v>
      </c>
      <c r="D550" s="88">
        <v>63000</v>
      </c>
      <c r="E550" s="94"/>
      <c r="F550" s="94"/>
      <c r="G550" s="93"/>
      <c r="H550" s="93"/>
    </row>
    <row r="551" spans="1:9">
      <c r="A551" s="91"/>
      <c r="B551" s="117">
        <v>42550</v>
      </c>
      <c r="C551" s="87" t="s">
        <v>496</v>
      </c>
      <c r="D551" s="88">
        <v>791000</v>
      </c>
      <c r="E551" s="94"/>
      <c r="F551" s="94"/>
      <c r="G551" s="93"/>
      <c r="H551" s="93"/>
    </row>
    <row r="552" spans="1:9">
      <c r="A552" s="91"/>
      <c r="B552" s="122">
        <v>42551</v>
      </c>
      <c r="C552" s="89" t="s">
        <v>467</v>
      </c>
      <c r="D552" s="88">
        <v>3105000</v>
      </c>
      <c r="E552" s="94"/>
      <c r="F552" s="94"/>
      <c r="G552" s="93"/>
      <c r="H552" s="93"/>
    </row>
    <row r="553" spans="1:9">
      <c r="A553" s="91"/>
      <c r="B553" s="122">
        <v>42551</v>
      </c>
      <c r="C553" s="89" t="s">
        <v>468</v>
      </c>
      <c r="D553" s="88">
        <v>300000</v>
      </c>
      <c r="E553" s="94"/>
      <c r="F553" s="94"/>
      <c r="G553" s="93"/>
      <c r="H553" s="93"/>
    </row>
    <row r="554" spans="1:9">
      <c r="A554" s="91"/>
      <c r="B554" s="122">
        <v>42551</v>
      </c>
      <c r="C554" s="89" t="s">
        <v>455</v>
      </c>
      <c r="D554" s="88">
        <v>148000</v>
      </c>
      <c r="E554" s="94"/>
      <c r="F554" s="94"/>
      <c r="G554" s="93"/>
      <c r="H554" s="93"/>
    </row>
    <row r="555" spans="1:9">
      <c r="A555" s="91"/>
      <c r="B555" s="122">
        <v>42551</v>
      </c>
      <c r="C555" s="3" t="s">
        <v>448</v>
      </c>
      <c r="D555" s="88">
        <v>21000</v>
      </c>
      <c r="E555" s="94"/>
      <c r="F555" s="94"/>
      <c r="G555" s="93"/>
      <c r="H555" s="93"/>
    </row>
    <row r="556" spans="1:9">
      <c r="A556" s="91"/>
      <c r="B556" s="122">
        <v>42551</v>
      </c>
      <c r="C556" s="3" t="s">
        <v>448</v>
      </c>
      <c r="D556" s="88">
        <v>18000</v>
      </c>
      <c r="E556" s="94"/>
      <c r="F556" s="94"/>
      <c r="G556" s="93"/>
      <c r="H556" s="93"/>
    </row>
    <row r="557" spans="1:9">
      <c r="A557" s="91"/>
      <c r="B557" s="117">
        <v>42551</v>
      </c>
      <c r="C557" s="87" t="s">
        <v>566</v>
      </c>
      <c r="D557" s="88">
        <v>500000</v>
      </c>
      <c r="E557" s="94"/>
      <c r="F557" s="94"/>
      <c r="G557" s="93"/>
      <c r="H557" s="93"/>
    </row>
    <row r="558" spans="1:9">
      <c r="A558" s="95"/>
      <c r="B558" s="118">
        <v>42551</v>
      </c>
      <c r="C558" s="120" t="s">
        <v>567</v>
      </c>
      <c r="D558" s="86">
        <v>3275000</v>
      </c>
      <c r="E558" s="97"/>
      <c r="F558" s="94"/>
      <c r="G558" s="93"/>
      <c r="H558" s="93"/>
    </row>
    <row r="559" spans="1:9">
      <c r="A559" s="109">
        <v>8</v>
      </c>
      <c r="B559" s="109"/>
      <c r="C559" s="112" t="s">
        <v>330</v>
      </c>
      <c r="D559" s="88">
        <v>90970000</v>
      </c>
      <c r="E559" s="88"/>
      <c r="F559" s="88"/>
      <c r="G559" s="110"/>
      <c r="H559" s="110"/>
      <c r="I559" s="111"/>
    </row>
    <row r="560" spans="1:9">
      <c r="A560" s="109"/>
      <c r="B560" s="109"/>
      <c r="C560" s="112" t="s">
        <v>331</v>
      </c>
      <c r="D560" s="88"/>
      <c r="E560" s="88">
        <v>21500000</v>
      </c>
      <c r="F560" s="88"/>
    </row>
    <row r="561" spans="1:7">
      <c r="A561" s="109"/>
      <c r="B561" s="109"/>
      <c r="C561" s="112" t="s">
        <v>332</v>
      </c>
      <c r="D561" s="88"/>
      <c r="E561" s="88">
        <f>'[1]Pinjaman 2016'!$Q$235</f>
        <v>75866666.670000002</v>
      </c>
      <c r="F561" s="88"/>
    </row>
    <row r="562" spans="1:7">
      <c r="A562" s="109"/>
      <c r="B562" s="109"/>
      <c r="C562" s="112" t="s">
        <v>333</v>
      </c>
      <c r="D562" s="88"/>
      <c r="E562" s="88">
        <f>'[1]Pinjaman 2016'!$R$235</f>
        <v>4598833.33</v>
      </c>
      <c r="F562" s="88"/>
    </row>
    <row r="563" spans="1:7">
      <c r="A563" s="109"/>
      <c r="B563" s="109"/>
      <c r="C563" s="112" t="s">
        <v>630</v>
      </c>
      <c r="D563" s="88"/>
      <c r="E563" s="88">
        <f>'[2]Electronic 2016'!$Q$203</f>
        <v>8806833.3333333321</v>
      </c>
      <c r="F563" s="88"/>
    </row>
    <row r="564" spans="1:7">
      <c r="A564" s="109"/>
      <c r="B564" s="109"/>
      <c r="C564" s="112" t="s">
        <v>631</v>
      </c>
      <c r="D564" s="88"/>
      <c r="E564" s="88">
        <f>'[2]Electronic 2016'!$R$203</f>
        <v>721615</v>
      </c>
      <c r="F564" s="88"/>
    </row>
    <row r="565" spans="1:7">
      <c r="A565" s="109"/>
      <c r="B565" s="109"/>
      <c r="C565" s="112" t="s">
        <v>673</v>
      </c>
      <c r="D565" s="88"/>
      <c r="E565" s="124">
        <v>36706122</v>
      </c>
      <c r="F565" s="88"/>
    </row>
    <row r="566" spans="1:7">
      <c r="A566" s="109"/>
      <c r="B566" s="109"/>
      <c r="C566" s="112" t="s">
        <v>334</v>
      </c>
      <c r="D566" s="88"/>
      <c r="E566" s="88">
        <f>'[3]Summary keuntungan'!$B$5</f>
        <v>5054528</v>
      </c>
      <c r="F566" s="88"/>
      <c r="G566" s="12">
        <f>E565+E566</f>
        <v>41760650</v>
      </c>
    </row>
    <row r="567" spans="1:7" s="5" customFormat="1">
      <c r="A567" s="85"/>
      <c r="B567" s="122">
        <v>42552</v>
      </c>
      <c r="C567" s="89" t="s">
        <v>458</v>
      </c>
      <c r="D567" s="88">
        <v>60000</v>
      </c>
      <c r="E567" s="89"/>
      <c r="F567" s="89"/>
    </row>
    <row r="568" spans="1:7" s="5" customFormat="1">
      <c r="A568" s="85"/>
      <c r="B568" s="117">
        <v>42552</v>
      </c>
      <c r="C568" s="94" t="s">
        <v>568</v>
      </c>
      <c r="D568" s="88">
        <v>1290000</v>
      </c>
      <c r="E568" s="89"/>
      <c r="F568" s="89"/>
    </row>
    <row r="569" spans="1:7" s="5" customFormat="1">
      <c r="A569" s="85"/>
      <c r="B569" s="117">
        <v>42552</v>
      </c>
      <c r="C569" s="94" t="s">
        <v>537</v>
      </c>
      <c r="D569" s="88">
        <v>6000000</v>
      </c>
      <c r="E569" s="89"/>
      <c r="F569" s="89"/>
    </row>
    <row r="570" spans="1:7" s="5" customFormat="1">
      <c r="A570" s="85"/>
      <c r="B570" s="117">
        <v>42552</v>
      </c>
      <c r="C570" s="87" t="s">
        <v>554</v>
      </c>
      <c r="D570" s="88">
        <v>111925</v>
      </c>
      <c r="E570" s="89"/>
      <c r="F570" s="89"/>
    </row>
    <row r="571" spans="1:7" s="5" customFormat="1">
      <c r="A571" s="85"/>
      <c r="B571" s="122">
        <v>42555</v>
      </c>
      <c r="C571" s="89" t="s">
        <v>417</v>
      </c>
      <c r="D571" s="88">
        <v>10000</v>
      </c>
      <c r="E571" s="89"/>
      <c r="F571" s="89"/>
    </row>
    <row r="572" spans="1:7" s="5" customFormat="1">
      <c r="A572" s="85"/>
      <c r="B572" s="117">
        <v>42555</v>
      </c>
      <c r="C572" s="94" t="s">
        <v>569</v>
      </c>
      <c r="D572" s="88">
        <v>28230000</v>
      </c>
      <c r="E572" s="89"/>
      <c r="F572" s="89"/>
    </row>
    <row r="573" spans="1:7" s="5" customFormat="1">
      <c r="A573" s="85"/>
      <c r="B573" s="117">
        <v>42555</v>
      </c>
      <c r="C573" s="87" t="s">
        <v>570</v>
      </c>
      <c r="D573" s="88">
        <v>134300</v>
      </c>
      <c r="E573" s="89"/>
      <c r="F573" s="89"/>
    </row>
    <row r="574" spans="1:7" s="5" customFormat="1">
      <c r="A574" s="85"/>
      <c r="B574" s="117">
        <v>42555</v>
      </c>
      <c r="C574" s="87" t="s">
        <v>496</v>
      </c>
      <c r="D574" s="88">
        <v>1799750</v>
      </c>
      <c r="E574" s="89"/>
      <c r="F574" s="89"/>
    </row>
    <row r="575" spans="1:7" s="5" customFormat="1">
      <c r="A575" s="85"/>
      <c r="B575" s="117">
        <v>42555</v>
      </c>
      <c r="C575" s="87" t="s">
        <v>492</v>
      </c>
      <c r="D575" s="88">
        <v>1242000</v>
      </c>
      <c r="E575" s="89"/>
      <c r="F575" s="89"/>
    </row>
    <row r="576" spans="1:7" s="5" customFormat="1">
      <c r="A576" s="85"/>
      <c r="B576" s="122">
        <v>42558</v>
      </c>
      <c r="C576" s="89" t="s">
        <v>417</v>
      </c>
      <c r="D576" s="88">
        <v>10000</v>
      </c>
      <c r="E576" s="89"/>
      <c r="F576" s="89"/>
    </row>
    <row r="577" spans="1:8" s="5" customFormat="1">
      <c r="A577" s="85"/>
      <c r="B577" s="117">
        <v>42558</v>
      </c>
      <c r="C577" s="87" t="s">
        <v>515</v>
      </c>
      <c r="D577" s="88">
        <v>1083500</v>
      </c>
      <c r="E577" s="89"/>
      <c r="F577" s="89"/>
    </row>
    <row r="578" spans="1:8" s="5" customFormat="1">
      <c r="A578" s="85"/>
      <c r="B578" s="122">
        <v>42560</v>
      </c>
      <c r="C578" s="89" t="s">
        <v>417</v>
      </c>
      <c r="D578" s="88">
        <v>5000</v>
      </c>
      <c r="E578" s="89"/>
      <c r="F578" s="89"/>
    </row>
    <row r="579" spans="1:8" s="5" customFormat="1">
      <c r="A579" s="85"/>
      <c r="B579" s="117">
        <v>42560</v>
      </c>
      <c r="C579" s="87" t="s">
        <v>506</v>
      </c>
      <c r="D579" s="88">
        <v>245000</v>
      </c>
      <c r="E579" s="89"/>
      <c r="F579" s="89"/>
    </row>
    <row r="580" spans="1:8" s="5" customFormat="1">
      <c r="A580" s="85"/>
      <c r="B580" s="117">
        <v>42564</v>
      </c>
      <c r="C580" s="92" t="s">
        <v>571</v>
      </c>
      <c r="D580" s="88">
        <v>619000</v>
      </c>
      <c r="E580" s="89"/>
      <c r="F580" s="89"/>
    </row>
    <row r="581" spans="1:8" s="5" customFormat="1">
      <c r="A581" s="85"/>
      <c r="B581" s="122">
        <v>42565</v>
      </c>
      <c r="C581" s="3" t="s">
        <v>460</v>
      </c>
      <c r="D581" s="88">
        <v>83000</v>
      </c>
      <c r="E581" s="89"/>
      <c r="F581" s="89"/>
    </row>
    <row r="582" spans="1:8" s="5" customFormat="1">
      <c r="A582" s="85"/>
      <c r="B582" s="117">
        <v>42566</v>
      </c>
      <c r="C582" s="87" t="s">
        <v>492</v>
      </c>
      <c r="D582" s="88">
        <v>1032000</v>
      </c>
      <c r="E582" s="89"/>
      <c r="F582" s="89"/>
    </row>
    <row r="583" spans="1:8" s="5" customFormat="1">
      <c r="A583" s="85"/>
      <c r="B583" s="117">
        <v>42566</v>
      </c>
      <c r="C583" s="92" t="s">
        <v>572</v>
      </c>
      <c r="D583" s="88">
        <v>535500</v>
      </c>
      <c r="E583" s="89"/>
      <c r="F583" s="89"/>
    </row>
    <row r="584" spans="1:8" s="5" customFormat="1">
      <c r="A584" s="85"/>
      <c r="B584" s="122">
        <v>42569</v>
      </c>
      <c r="C584" s="89" t="s">
        <v>417</v>
      </c>
      <c r="D584" s="88">
        <v>25000</v>
      </c>
      <c r="E584" s="89"/>
      <c r="F584" s="89"/>
    </row>
    <row r="585" spans="1:8">
      <c r="A585" s="91"/>
      <c r="B585" s="122">
        <v>42569</v>
      </c>
      <c r="C585" s="3" t="s">
        <v>420</v>
      </c>
      <c r="D585" s="88">
        <v>19000</v>
      </c>
      <c r="E585" s="94"/>
      <c r="F585" s="94"/>
      <c r="G585" s="93"/>
      <c r="H585" s="93"/>
    </row>
    <row r="586" spans="1:8">
      <c r="A586" s="91"/>
      <c r="B586" s="117">
        <v>42569</v>
      </c>
      <c r="C586" s="87" t="s">
        <v>496</v>
      </c>
      <c r="D586" s="88">
        <v>9322500</v>
      </c>
      <c r="E586" s="94"/>
      <c r="F586" s="94"/>
      <c r="G586" s="93"/>
      <c r="H586" s="93"/>
    </row>
    <row r="587" spans="1:8">
      <c r="A587" s="91"/>
      <c r="B587" s="117">
        <v>42569</v>
      </c>
      <c r="C587" s="87" t="s">
        <v>511</v>
      </c>
      <c r="D587" s="88">
        <v>900500</v>
      </c>
      <c r="E587" s="94"/>
      <c r="F587" s="94"/>
      <c r="G587" s="93"/>
      <c r="H587" s="93"/>
    </row>
    <row r="588" spans="1:8">
      <c r="A588" s="91"/>
      <c r="B588" s="117">
        <v>42570</v>
      </c>
      <c r="C588" s="87" t="s">
        <v>506</v>
      </c>
      <c r="D588" s="88">
        <v>123000</v>
      </c>
      <c r="E588" s="94"/>
      <c r="F588" s="94"/>
      <c r="G588" s="93"/>
      <c r="H588" s="93"/>
    </row>
    <row r="589" spans="1:8">
      <c r="A589" s="91"/>
      <c r="B589" s="122">
        <v>42571</v>
      </c>
      <c r="C589" s="89" t="s">
        <v>417</v>
      </c>
      <c r="D589" s="88">
        <v>10000</v>
      </c>
      <c r="E589" s="94"/>
      <c r="F589" s="94"/>
      <c r="G589" s="93"/>
      <c r="H589" s="93"/>
    </row>
    <row r="590" spans="1:8">
      <c r="A590" s="91"/>
      <c r="B590" s="117">
        <v>42571</v>
      </c>
      <c r="C590" s="87" t="s">
        <v>517</v>
      </c>
      <c r="D590" s="88">
        <v>653400</v>
      </c>
      <c r="E590" s="94"/>
      <c r="F590" s="94"/>
      <c r="G590" s="93"/>
      <c r="H590" s="93"/>
    </row>
    <row r="591" spans="1:8">
      <c r="A591" s="91"/>
      <c r="B591" s="122">
        <v>42572</v>
      </c>
      <c r="C591" s="89" t="s">
        <v>417</v>
      </c>
      <c r="D591" s="88">
        <v>15000</v>
      </c>
      <c r="E591" s="94"/>
      <c r="F591" s="94"/>
      <c r="G591" s="93"/>
      <c r="H591" s="93"/>
    </row>
    <row r="592" spans="1:8">
      <c r="A592" s="91"/>
      <c r="B592" s="117">
        <v>42572</v>
      </c>
      <c r="C592" s="87" t="s">
        <v>496</v>
      </c>
      <c r="D592" s="88">
        <v>1361550</v>
      </c>
      <c r="E592" s="94"/>
      <c r="F592" s="94"/>
      <c r="G592" s="93"/>
      <c r="H592" s="93"/>
    </row>
    <row r="593" spans="1:8">
      <c r="A593" s="91"/>
      <c r="B593" s="117">
        <v>42572</v>
      </c>
      <c r="C593" s="87" t="s">
        <v>492</v>
      </c>
      <c r="D593" s="88">
        <v>1347000</v>
      </c>
      <c r="E593" s="94"/>
      <c r="F593" s="94"/>
      <c r="G593" s="93"/>
      <c r="H593" s="93"/>
    </row>
    <row r="594" spans="1:8">
      <c r="A594" s="91"/>
      <c r="B594" s="117">
        <v>42572</v>
      </c>
      <c r="C594" s="92" t="s">
        <v>504</v>
      </c>
      <c r="D594" s="88">
        <v>37500</v>
      </c>
      <c r="E594" s="94"/>
      <c r="F594" s="94"/>
      <c r="G594" s="93"/>
      <c r="H594" s="93"/>
    </row>
    <row r="595" spans="1:8">
      <c r="A595" s="91"/>
      <c r="B595" s="117">
        <v>42573</v>
      </c>
      <c r="C595" s="87" t="s">
        <v>511</v>
      </c>
      <c r="D595" s="88">
        <v>285000</v>
      </c>
      <c r="E595" s="94"/>
      <c r="F595" s="94"/>
      <c r="G595" s="93"/>
      <c r="H595" s="93"/>
    </row>
    <row r="596" spans="1:8">
      <c r="A596" s="91"/>
      <c r="B596" s="117">
        <v>42573</v>
      </c>
      <c r="C596" s="92" t="s">
        <v>573</v>
      </c>
      <c r="D596" s="88">
        <v>41100</v>
      </c>
      <c r="E596" s="94"/>
      <c r="F596" s="94"/>
      <c r="G596" s="93"/>
      <c r="H596" s="93"/>
    </row>
    <row r="597" spans="1:8">
      <c r="A597" s="91"/>
      <c r="B597" s="117">
        <v>42574</v>
      </c>
      <c r="C597" s="87" t="s">
        <v>506</v>
      </c>
      <c r="D597" s="88">
        <v>371800</v>
      </c>
      <c r="E597" s="94"/>
      <c r="F597" s="94"/>
      <c r="G597" s="93"/>
      <c r="H597" s="93"/>
    </row>
    <row r="598" spans="1:8">
      <c r="A598" s="91"/>
      <c r="B598" s="117">
        <v>42576</v>
      </c>
      <c r="C598" s="94" t="s">
        <v>574</v>
      </c>
      <c r="D598" s="88">
        <v>125000</v>
      </c>
      <c r="E598" s="94"/>
      <c r="F598" s="94"/>
      <c r="G598" s="93"/>
      <c r="H598" s="93"/>
    </row>
    <row r="599" spans="1:8">
      <c r="A599" s="91"/>
      <c r="B599" s="122">
        <v>42577</v>
      </c>
      <c r="C599" s="89" t="s">
        <v>417</v>
      </c>
      <c r="D599" s="88">
        <v>15000</v>
      </c>
      <c r="E599" s="94"/>
      <c r="F599" s="94"/>
      <c r="G599" s="93"/>
      <c r="H599" s="93"/>
    </row>
    <row r="600" spans="1:8">
      <c r="A600" s="91"/>
      <c r="B600" s="122">
        <v>42577</v>
      </c>
      <c r="C600" s="3" t="s">
        <v>448</v>
      </c>
      <c r="D600" s="88">
        <v>17000</v>
      </c>
      <c r="E600" s="94"/>
      <c r="F600" s="94"/>
      <c r="G600" s="93"/>
      <c r="H600" s="93"/>
    </row>
    <row r="601" spans="1:8">
      <c r="A601" s="91"/>
      <c r="B601" s="122">
        <v>42577</v>
      </c>
      <c r="C601" s="3" t="s">
        <v>448</v>
      </c>
      <c r="D601" s="88">
        <v>21000</v>
      </c>
      <c r="E601" s="94"/>
      <c r="F601" s="94"/>
      <c r="G601" s="93"/>
      <c r="H601" s="93"/>
    </row>
    <row r="602" spans="1:8">
      <c r="A602" s="91"/>
      <c r="B602" s="117">
        <v>42577</v>
      </c>
      <c r="C602" s="87" t="s">
        <v>506</v>
      </c>
      <c r="D602" s="88">
        <v>658100</v>
      </c>
      <c r="E602" s="94"/>
      <c r="F602" s="94"/>
      <c r="G602" s="93"/>
      <c r="H602" s="93"/>
    </row>
    <row r="603" spans="1:8">
      <c r="A603" s="91"/>
      <c r="B603" s="122">
        <v>42578</v>
      </c>
      <c r="C603" s="89" t="s">
        <v>417</v>
      </c>
      <c r="D603" s="88">
        <v>20000</v>
      </c>
      <c r="E603" s="94"/>
      <c r="F603" s="94"/>
      <c r="G603" s="93"/>
      <c r="H603" s="93"/>
    </row>
    <row r="604" spans="1:8">
      <c r="A604" s="91"/>
      <c r="B604" s="122">
        <v>42578</v>
      </c>
      <c r="C604" s="89" t="s">
        <v>417</v>
      </c>
      <c r="D604" s="88">
        <v>10000</v>
      </c>
      <c r="E604" s="94"/>
      <c r="F604" s="94"/>
      <c r="G604" s="93"/>
      <c r="H604" s="93"/>
    </row>
    <row r="605" spans="1:8">
      <c r="A605" s="91"/>
      <c r="B605" s="117">
        <v>42578</v>
      </c>
      <c r="C605" s="87" t="s">
        <v>496</v>
      </c>
      <c r="D605" s="88">
        <v>4821500</v>
      </c>
      <c r="E605" s="94"/>
      <c r="F605" s="94"/>
      <c r="G605" s="93"/>
      <c r="H605" s="93"/>
    </row>
    <row r="606" spans="1:8">
      <c r="A606" s="91"/>
      <c r="B606" s="117">
        <v>42578</v>
      </c>
      <c r="C606" s="87" t="s">
        <v>515</v>
      </c>
      <c r="D606" s="88">
        <v>606500</v>
      </c>
      <c r="E606" s="94"/>
      <c r="F606" s="94"/>
      <c r="G606" s="93"/>
      <c r="H606" s="93"/>
    </row>
    <row r="607" spans="1:8">
      <c r="A607" s="91"/>
      <c r="B607" s="117">
        <v>42578</v>
      </c>
      <c r="C607" s="87" t="s">
        <v>492</v>
      </c>
      <c r="D607" s="88">
        <v>1292000</v>
      </c>
      <c r="E607" s="94"/>
      <c r="F607" s="94"/>
      <c r="G607" s="93"/>
      <c r="H607" s="93"/>
    </row>
    <row r="608" spans="1:8">
      <c r="A608" s="91"/>
      <c r="B608" s="117">
        <v>42578</v>
      </c>
      <c r="C608" s="94" t="s">
        <v>575</v>
      </c>
      <c r="D608" s="88">
        <v>120000</v>
      </c>
      <c r="E608" s="94"/>
      <c r="F608" s="94"/>
      <c r="G608" s="93"/>
      <c r="H608" s="93"/>
    </row>
    <row r="609" spans="1:9">
      <c r="A609" s="91"/>
      <c r="B609" s="122">
        <v>42579</v>
      </c>
      <c r="C609" s="89" t="s">
        <v>417</v>
      </c>
      <c r="D609" s="88">
        <v>10000</v>
      </c>
      <c r="E609" s="94"/>
      <c r="F609" s="94"/>
      <c r="G609" s="93"/>
      <c r="H609" s="93"/>
    </row>
    <row r="610" spans="1:9">
      <c r="A610" s="91"/>
      <c r="B610" s="117">
        <v>42579</v>
      </c>
      <c r="C610" s="87" t="s">
        <v>493</v>
      </c>
      <c r="D610" s="88">
        <v>901500</v>
      </c>
      <c r="E610" s="94"/>
      <c r="F610" s="94"/>
      <c r="G610" s="93"/>
      <c r="H610" s="93"/>
    </row>
    <row r="611" spans="1:9">
      <c r="A611" s="91"/>
      <c r="B611" s="117">
        <v>42579</v>
      </c>
      <c r="C611" s="92" t="s">
        <v>504</v>
      </c>
      <c r="D611" s="88">
        <v>37500</v>
      </c>
      <c r="E611" s="94"/>
      <c r="F611" s="94"/>
      <c r="G611" s="93"/>
      <c r="H611" s="93"/>
    </row>
    <row r="612" spans="1:9">
      <c r="A612" s="91"/>
      <c r="B612" s="122">
        <v>42580</v>
      </c>
      <c r="C612" s="89" t="s">
        <v>417</v>
      </c>
      <c r="D612" s="88">
        <v>20000</v>
      </c>
      <c r="E612" s="94"/>
      <c r="F612" s="94"/>
      <c r="G612" s="93"/>
      <c r="H612" s="93"/>
    </row>
    <row r="613" spans="1:9">
      <c r="A613" s="91"/>
      <c r="B613" s="117">
        <v>42580</v>
      </c>
      <c r="C613" s="87" t="s">
        <v>496</v>
      </c>
      <c r="D613" s="88">
        <v>1906700</v>
      </c>
      <c r="E613" s="94"/>
      <c r="F613" s="94"/>
      <c r="G613" s="93"/>
      <c r="H613" s="93"/>
    </row>
    <row r="614" spans="1:9">
      <c r="A614" s="91"/>
      <c r="B614" s="117">
        <v>42580</v>
      </c>
      <c r="C614" s="87" t="s">
        <v>511</v>
      </c>
      <c r="D614" s="88">
        <v>557000</v>
      </c>
      <c r="E614" s="94"/>
      <c r="F614" s="94"/>
      <c r="G614" s="93"/>
      <c r="H614" s="93"/>
    </row>
    <row r="615" spans="1:9">
      <c r="A615" s="91"/>
      <c r="B615" s="117">
        <v>42580</v>
      </c>
      <c r="C615" s="92" t="s">
        <v>576</v>
      </c>
      <c r="D615" s="88">
        <v>878000</v>
      </c>
      <c r="E615" s="94"/>
      <c r="F615" s="94"/>
      <c r="G615" s="93"/>
      <c r="H615" s="93"/>
    </row>
    <row r="616" spans="1:9">
      <c r="A616" s="91"/>
      <c r="B616" s="117">
        <v>42581</v>
      </c>
      <c r="C616" s="87" t="s">
        <v>577</v>
      </c>
      <c r="D616" s="88">
        <v>503000</v>
      </c>
      <c r="E616" s="94"/>
      <c r="F616" s="94"/>
      <c r="G616" s="93"/>
      <c r="H616" s="93"/>
    </row>
    <row r="617" spans="1:9">
      <c r="A617" s="91"/>
      <c r="B617" s="122">
        <v>42582</v>
      </c>
      <c r="C617" s="89" t="s">
        <v>469</v>
      </c>
      <c r="D617" s="88">
        <v>1700000</v>
      </c>
      <c r="E617" s="94"/>
      <c r="F617" s="94"/>
      <c r="G617" s="93"/>
      <c r="H617" s="93"/>
    </row>
    <row r="618" spans="1:9">
      <c r="A618" s="91"/>
      <c r="B618" s="122">
        <v>42582</v>
      </c>
      <c r="C618" s="89" t="s">
        <v>470</v>
      </c>
      <c r="D618" s="88">
        <v>300000</v>
      </c>
      <c r="E618" s="94"/>
      <c r="F618" s="94"/>
      <c r="G618" s="93"/>
      <c r="H618" s="93"/>
    </row>
    <row r="619" spans="1:9">
      <c r="A619" s="91"/>
      <c r="B619" s="117">
        <v>42582</v>
      </c>
      <c r="C619" s="87" t="s">
        <v>578</v>
      </c>
      <c r="D619" s="88">
        <v>700000</v>
      </c>
      <c r="E619" s="94"/>
      <c r="F619" s="94"/>
      <c r="G619" s="93"/>
      <c r="H619" s="93"/>
    </row>
    <row r="620" spans="1:9">
      <c r="A620" s="95"/>
      <c r="B620" s="118">
        <v>42582</v>
      </c>
      <c r="C620" s="120" t="s">
        <v>579</v>
      </c>
      <c r="D620" s="86">
        <v>500000</v>
      </c>
      <c r="E620" s="97"/>
      <c r="F620" s="94"/>
      <c r="G620" s="93"/>
      <c r="H620" s="93"/>
    </row>
    <row r="621" spans="1:9">
      <c r="A621" s="109">
        <v>9</v>
      </c>
      <c r="B621" s="109"/>
      <c r="C621" s="112" t="s">
        <v>335</v>
      </c>
      <c r="D621" s="88">
        <v>89500000</v>
      </c>
      <c r="E621" s="88"/>
      <c r="F621" s="88"/>
      <c r="G621" s="110"/>
      <c r="H621" s="110"/>
      <c r="I621" s="111"/>
    </row>
    <row r="622" spans="1:9">
      <c r="A622" s="109"/>
      <c r="B622" s="109"/>
      <c r="C622" s="112" t="s">
        <v>336</v>
      </c>
      <c r="D622" s="88"/>
      <c r="E622" s="88">
        <v>21400000</v>
      </c>
      <c r="F622" s="88"/>
    </row>
    <row r="623" spans="1:9">
      <c r="A623" s="109"/>
      <c r="B623" s="109"/>
      <c r="C623" s="112" t="s">
        <v>337</v>
      </c>
      <c r="D623" s="88"/>
      <c r="E623" s="88">
        <f>'[1]Pinjaman 2016'!$S$235</f>
        <v>81366666.670000002</v>
      </c>
      <c r="F623" s="88"/>
    </row>
    <row r="624" spans="1:9">
      <c r="A624" s="109"/>
      <c r="B624" s="109"/>
      <c r="C624" s="112" t="s">
        <v>338</v>
      </c>
      <c r="D624" s="88"/>
      <c r="E624" s="88">
        <f>'[1]Pinjaman 2016'!$T$235</f>
        <v>4938083.33</v>
      </c>
      <c r="F624" s="88"/>
    </row>
    <row r="625" spans="1:7">
      <c r="A625" s="109"/>
      <c r="B625" s="109"/>
      <c r="C625" s="112" t="s">
        <v>632</v>
      </c>
      <c r="D625" s="88"/>
      <c r="E625" s="88">
        <f>'[2]Electronic 2016'!$S$203</f>
        <v>10498500</v>
      </c>
      <c r="F625" s="88"/>
    </row>
    <row r="626" spans="1:7">
      <c r="A626" s="109"/>
      <c r="B626" s="109"/>
      <c r="C626" s="112" t="s">
        <v>633</v>
      </c>
      <c r="D626" s="88"/>
      <c r="E626" s="88">
        <f>'[2]Electronic 2016'!$T$203</f>
        <v>898414.99999999988</v>
      </c>
      <c r="F626" s="88"/>
    </row>
    <row r="627" spans="1:7">
      <c r="A627" s="109"/>
      <c r="B627" s="109"/>
      <c r="C627" s="112" t="s">
        <v>674</v>
      </c>
      <c r="D627" s="88"/>
      <c r="E627" s="124">
        <v>50914855</v>
      </c>
      <c r="F627" s="88"/>
    </row>
    <row r="628" spans="1:7">
      <c r="A628" s="109"/>
      <c r="B628" s="109"/>
      <c r="C628" s="112" t="s">
        <v>339</v>
      </c>
      <c r="D628" s="88"/>
      <c r="E628" s="88">
        <f>'[3]Summary keuntungan'!$B$6</f>
        <v>7044895</v>
      </c>
      <c r="F628" s="88"/>
      <c r="G628" s="12">
        <f>E627+E628</f>
        <v>57959750</v>
      </c>
    </row>
    <row r="629" spans="1:7" s="5" customFormat="1">
      <c r="A629" s="85"/>
      <c r="B629" s="122">
        <v>42583</v>
      </c>
      <c r="C629" s="89" t="s">
        <v>458</v>
      </c>
      <c r="D629" s="88">
        <v>15000</v>
      </c>
      <c r="E629" s="89"/>
      <c r="F629" s="89"/>
    </row>
    <row r="630" spans="1:7" s="5" customFormat="1">
      <c r="A630" s="85"/>
      <c r="B630" s="117">
        <v>42583</v>
      </c>
      <c r="C630" s="94" t="s">
        <v>537</v>
      </c>
      <c r="D630" s="88">
        <v>11000000</v>
      </c>
      <c r="E630" s="89"/>
      <c r="F630" s="89"/>
    </row>
    <row r="631" spans="1:7" s="5" customFormat="1">
      <c r="A631" s="85"/>
      <c r="B631" s="122">
        <v>42584</v>
      </c>
      <c r="C631" s="89" t="s">
        <v>417</v>
      </c>
      <c r="D631" s="88">
        <v>5000</v>
      </c>
      <c r="E631" s="89"/>
      <c r="F631" s="89"/>
    </row>
    <row r="632" spans="1:7" s="5" customFormat="1">
      <c r="A632" s="85"/>
      <c r="B632" s="117">
        <v>42584</v>
      </c>
      <c r="C632" s="87" t="s">
        <v>506</v>
      </c>
      <c r="D632" s="88">
        <v>245800</v>
      </c>
      <c r="E632" s="89"/>
      <c r="F632" s="89"/>
    </row>
    <row r="633" spans="1:7" s="5" customFormat="1">
      <c r="A633" s="85"/>
      <c r="B633" s="117">
        <v>42584</v>
      </c>
      <c r="C633" s="87" t="s">
        <v>493</v>
      </c>
      <c r="D633" s="88">
        <v>366000</v>
      </c>
      <c r="E633" s="89"/>
      <c r="F633" s="89"/>
    </row>
    <row r="634" spans="1:7" s="5" customFormat="1">
      <c r="A634" s="85"/>
      <c r="B634" s="117">
        <v>42584</v>
      </c>
      <c r="C634" s="92" t="s">
        <v>580</v>
      </c>
      <c r="D634" s="88">
        <v>936500</v>
      </c>
      <c r="E634" s="89"/>
      <c r="F634" s="89"/>
    </row>
    <row r="635" spans="1:7" s="5" customFormat="1">
      <c r="A635" s="85"/>
      <c r="B635" s="122">
        <v>42586</v>
      </c>
      <c r="C635" s="3" t="s">
        <v>448</v>
      </c>
      <c r="D635" s="88">
        <v>21000</v>
      </c>
      <c r="E635" s="89"/>
      <c r="F635" s="89"/>
    </row>
    <row r="636" spans="1:7" s="5" customFormat="1">
      <c r="A636" s="85"/>
      <c r="B636" s="117">
        <v>42586</v>
      </c>
      <c r="C636" s="87" t="s">
        <v>506</v>
      </c>
      <c r="D636" s="88">
        <v>167000</v>
      </c>
      <c r="E636" s="89"/>
      <c r="F636" s="89"/>
    </row>
    <row r="637" spans="1:7" s="5" customFormat="1">
      <c r="A637" s="85"/>
      <c r="B637" s="117">
        <v>42586</v>
      </c>
      <c r="C637" s="87" t="s">
        <v>493</v>
      </c>
      <c r="D637" s="88">
        <v>649500</v>
      </c>
      <c r="E637" s="89"/>
      <c r="F637" s="89"/>
    </row>
    <row r="638" spans="1:7" s="5" customFormat="1">
      <c r="A638" s="85"/>
      <c r="B638" s="117">
        <v>42586</v>
      </c>
      <c r="C638" s="87" t="s">
        <v>492</v>
      </c>
      <c r="D638" s="88">
        <v>984000</v>
      </c>
      <c r="E638" s="89"/>
      <c r="F638" s="89"/>
    </row>
    <row r="639" spans="1:7" s="5" customFormat="1">
      <c r="A639" s="85"/>
      <c r="B639" s="122">
        <v>42587</v>
      </c>
      <c r="C639" s="89" t="s">
        <v>417</v>
      </c>
      <c r="D639" s="88">
        <v>15000</v>
      </c>
      <c r="E639" s="89"/>
      <c r="F639" s="89"/>
    </row>
    <row r="640" spans="1:7" s="5" customFormat="1">
      <c r="A640" s="85"/>
      <c r="B640" s="122">
        <v>42587</v>
      </c>
      <c r="C640" s="89" t="s">
        <v>417</v>
      </c>
      <c r="D640" s="88">
        <v>5000</v>
      </c>
      <c r="E640" s="89"/>
      <c r="F640" s="89"/>
    </row>
    <row r="641" spans="1:6" s="5" customFormat="1">
      <c r="A641" s="85"/>
      <c r="B641" s="122">
        <v>42587</v>
      </c>
      <c r="C641" s="3" t="s">
        <v>420</v>
      </c>
      <c r="D641" s="88">
        <v>38000</v>
      </c>
      <c r="E641" s="89"/>
      <c r="F641" s="89"/>
    </row>
    <row r="642" spans="1:6" s="5" customFormat="1">
      <c r="A642" s="85"/>
      <c r="B642" s="117">
        <v>42587</v>
      </c>
      <c r="C642" s="87" t="s">
        <v>511</v>
      </c>
      <c r="D642" s="88">
        <v>216000</v>
      </c>
      <c r="E642" s="89"/>
      <c r="F642" s="89"/>
    </row>
    <row r="643" spans="1:6" s="5" customFormat="1">
      <c r="A643" s="85"/>
      <c r="B643" s="117">
        <v>42587</v>
      </c>
      <c r="C643" s="87" t="s">
        <v>493</v>
      </c>
      <c r="D643" s="88">
        <v>306000</v>
      </c>
      <c r="E643" s="89"/>
      <c r="F643" s="89"/>
    </row>
    <row r="644" spans="1:6" s="5" customFormat="1">
      <c r="A644" s="85"/>
      <c r="B644" s="122">
        <v>42588</v>
      </c>
      <c r="C644" s="89" t="s">
        <v>471</v>
      </c>
      <c r="D644" s="88">
        <v>107000</v>
      </c>
      <c r="E644" s="89"/>
      <c r="F644" s="89"/>
    </row>
    <row r="645" spans="1:6" s="5" customFormat="1">
      <c r="A645" s="85"/>
      <c r="B645" s="122">
        <v>42590</v>
      </c>
      <c r="C645" s="89" t="s">
        <v>417</v>
      </c>
      <c r="D645" s="88">
        <v>25000</v>
      </c>
      <c r="E645" s="89"/>
      <c r="F645" s="89"/>
    </row>
    <row r="646" spans="1:6" s="5" customFormat="1">
      <c r="A646" s="85"/>
      <c r="B646" s="117">
        <v>42590</v>
      </c>
      <c r="C646" s="94" t="s">
        <v>551</v>
      </c>
      <c r="D646" s="88">
        <v>252000</v>
      </c>
      <c r="E646" s="89"/>
      <c r="F646" s="89"/>
    </row>
    <row r="647" spans="1:6" s="5" customFormat="1">
      <c r="A647" s="85"/>
      <c r="B647" s="117">
        <v>42590</v>
      </c>
      <c r="C647" s="87" t="s">
        <v>496</v>
      </c>
      <c r="D647" s="88">
        <v>8281850</v>
      </c>
      <c r="E647" s="89"/>
      <c r="F647" s="89"/>
    </row>
    <row r="648" spans="1:6" s="5" customFormat="1">
      <c r="A648" s="85"/>
      <c r="B648" s="122">
        <v>42591</v>
      </c>
      <c r="C648" s="89" t="s">
        <v>472</v>
      </c>
      <c r="D648" s="88">
        <v>400000</v>
      </c>
      <c r="E648" s="89"/>
      <c r="F648" s="89"/>
    </row>
    <row r="649" spans="1:6" s="5" customFormat="1">
      <c r="A649" s="85"/>
      <c r="B649" s="122">
        <v>42592</v>
      </c>
      <c r="C649" s="89" t="s">
        <v>417</v>
      </c>
      <c r="D649" s="88">
        <v>5000</v>
      </c>
      <c r="E649" s="89"/>
      <c r="F649" s="89"/>
    </row>
    <row r="650" spans="1:6" s="5" customFormat="1">
      <c r="A650" s="85"/>
      <c r="B650" s="122">
        <v>42592</v>
      </c>
      <c r="C650" s="3" t="s">
        <v>460</v>
      </c>
      <c r="D650" s="88">
        <v>78000</v>
      </c>
      <c r="E650" s="89"/>
      <c r="F650" s="89"/>
    </row>
    <row r="651" spans="1:6" s="5" customFormat="1">
      <c r="A651" s="85"/>
      <c r="B651" s="117">
        <v>42592</v>
      </c>
      <c r="C651" s="87" t="s">
        <v>493</v>
      </c>
      <c r="D651" s="88">
        <v>240000</v>
      </c>
      <c r="E651" s="89"/>
      <c r="F651" s="89"/>
    </row>
    <row r="652" spans="1:6" s="5" customFormat="1">
      <c r="A652" s="85"/>
      <c r="B652" s="117">
        <v>42592</v>
      </c>
      <c r="C652" s="87" t="s">
        <v>515</v>
      </c>
      <c r="D652" s="88">
        <v>348000</v>
      </c>
      <c r="E652" s="89"/>
      <c r="F652" s="89"/>
    </row>
    <row r="653" spans="1:6" s="5" customFormat="1">
      <c r="A653" s="85"/>
      <c r="B653" s="117">
        <v>42592</v>
      </c>
      <c r="C653" s="87" t="s">
        <v>492</v>
      </c>
      <c r="D653" s="88">
        <v>1032000</v>
      </c>
      <c r="E653" s="89"/>
      <c r="F653" s="89"/>
    </row>
    <row r="654" spans="1:6" s="5" customFormat="1">
      <c r="A654" s="85"/>
      <c r="B654" s="117">
        <v>42592</v>
      </c>
      <c r="C654" s="92" t="s">
        <v>581</v>
      </c>
      <c r="D654" s="88">
        <v>373200</v>
      </c>
      <c r="E654" s="89"/>
      <c r="F654" s="89"/>
    </row>
    <row r="655" spans="1:6" s="5" customFormat="1">
      <c r="A655" s="85"/>
      <c r="B655" s="117">
        <v>42593</v>
      </c>
      <c r="C655" s="92" t="s">
        <v>504</v>
      </c>
      <c r="D655" s="88">
        <v>37500</v>
      </c>
      <c r="E655" s="89"/>
      <c r="F655" s="89"/>
    </row>
    <row r="656" spans="1:6" s="5" customFormat="1">
      <c r="A656" s="85"/>
      <c r="B656" s="117">
        <v>42593</v>
      </c>
      <c r="C656" s="94" t="s">
        <v>518</v>
      </c>
      <c r="D656" s="88">
        <v>24000</v>
      </c>
      <c r="E656" s="89"/>
      <c r="F656" s="89"/>
    </row>
    <row r="657" spans="1:8" s="5" customFormat="1">
      <c r="A657" s="85"/>
      <c r="B657" s="122">
        <v>42594</v>
      </c>
      <c r="C657" s="89" t="s">
        <v>417</v>
      </c>
      <c r="D657" s="88">
        <v>15000</v>
      </c>
      <c r="E657" s="89"/>
      <c r="F657" s="89"/>
    </row>
    <row r="658" spans="1:8">
      <c r="A658" s="91"/>
      <c r="B658" s="122">
        <v>42594</v>
      </c>
      <c r="C658" s="89" t="s">
        <v>417</v>
      </c>
      <c r="D658" s="88">
        <v>5000</v>
      </c>
      <c r="E658" s="94"/>
      <c r="F658" s="94"/>
      <c r="G658" s="93"/>
      <c r="H658" s="93"/>
    </row>
    <row r="659" spans="1:8">
      <c r="A659" s="91"/>
      <c r="B659" s="117">
        <v>42594</v>
      </c>
      <c r="C659" s="87" t="s">
        <v>496</v>
      </c>
      <c r="D659" s="88">
        <v>623650</v>
      </c>
      <c r="E659" s="94"/>
      <c r="F659" s="94"/>
      <c r="G659" s="93"/>
      <c r="H659" s="93"/>
    </row>
    <row r="660" spans="1:8">
      <c r="A660" s="91"/>
      <c r="B660" s="117">
        <v>42594</v>
      </c>
      <c r="C660" s="87" t="s">
        <v>493</v>
      </c>
      <c r="D660" s="88">
        <v>494000</v>
      </c>
      <c r="E660" s="94"/>
      <c r="F660" s="94"/>
      <c r="G660" s="93"/>
      <c r="H660" s="93"/>
    </row>
    <row r="661" spans="1:8">
      <c r="A661" s="91"/>
      <c r="B661" s="122">
        <v>42595</v>
      </c>
      <c r="C661" s="89" t="s">
        <v>417</v>
      </c>
      <c r="D661" s="88">
        <v>5000</v>
      </c>
      <c r="E661" s="94"/>
      <c r="F661" s="94"/>
      <c r="G661" s="93"/>
      <c r="H661" s="93"/>
    </row>
    <row r="662" spans="1:8">
      <c r="A662" s="91"/>
      <c r="B662" s="122">
        <v>42595</v>
      </c>
      <c r="C662" s="89" t="s">
        <v>417</v>
      </c>
      <c r="D662" s="88">
        <v>33000</v>
      </c>
      <c r="E662" s="94"/>
      <c r="F662" s="94"/>
      <c r="G662" s="93"/>
      <c r="H662" s="93"/>
    </row>
    <row r="663" spans="1:8">
      <c r="A663" s="91"/>
      <c r="B663" s="122">
        <v>42595</v>
      </c>
      <c r="C663" s="3" t="s">
        <v>473</v>
      </c>
      <c r="D663" s="88">
        <v>38000</v>
      </c>
      <c r="E663" s="94"/>
      <c r="F663" s="94"/>
      <c r="G663" s="93"/>
      <c r="H663" s="93"/>
    </row>
    <row r="664" spans="1:8">
      <c r="A664" s="91"/>
      <c r="B664" s="117">
        <v>42595</v>
      </c>
      <c r="C664" s="87" t="s">
        <v>493</v>
      </c>
      <c r="D664" s="88">
        <v>256500</v>
      </c>
      <c r="E664" s="94"/>
      <c r="F664" s="94"/>
      <c r="G664" s="93"/>
      <c r="H664" s="93"/>
    </row>
    <row r="665" spans="1:8">
      <c r="A665" s="91"/>
      <c r="B665" s="117">
        <v>42595</v>
      </c>
      <c r="C665" s="87" t="s">
        <v>506</v>
      </c>
      <c r="D665" s="88">
        <v>155600</v>
      </c>
      <c r="E665" s="94"/>
      <c r="F665" s="94"/>
      <c r="G665" s="93"/>
      <c r="H665" s="93"/>
    </row>
    <row r="666" spans="1:8">
      <c r="A666" s="91"/>
      <c r="B666" s="117">
        <v>42595</v>
      </c>
      <c r="C666" s="87" t="s">
        <v>511</v>
      </c>
      <c r="D666" s="88">
        <v>186000</v>
      </c>
      <c r="E666" s="94"/>
      <c r="F666" s="94"/>
      <c r="G666" s="93"/>
      <c r="H666" s="93"/>
    </row>
    <row r="667" spans="1:8">
      <c r="A667" s="91"/>
      <c r="B667" s="117">
        <v>42595</v>
      </c>
      <c r="C667" s="87" t="s">
        <v>554</v>
      </c>
      <c r="D667" s="88">
        <v>794335</v>
      </c>
      <c r="E667" s="94"/>
      <c r="F667" s="94"/>
      <c r="G667" s="93"/>
      <c r="H667" s="93"/>
    </row>
    <row r="668" spans="1:8">
      <c r="A668" s="91"/>
      <c r="B668" s="122">
        <v>42598</v>
      </c>
      <c r="C668" s="89" t="s">
        <v>417</v>
      </c>
      <c r="D668" s="88">
        <v>15000</v>
      </c>
      <c r="E668" s="94"/>
      <c r="F668" s="94"/>
      <c r="G668" s="93"/>
      <c r="H668" s="93"/>
    </row>
    <row r="669" spans="1:8">
      <c r="A669" s="91"/>
      <c r="B669" s="117">
        <v>42598</v>
      </c>
      <c r="C669" s="87" t="s">
        <v>582</v>
      </c>
      <c r="D669" s="88">
        <v>490002</v>
      </c>
      <c r="E669" s="94"/>
      <c r="F669" s="94"/>
      <c r="G669" s="93"/>
      <c r="H669" s="93"/>
    </row>
    <row r="670" spans="1:8">
      <c r="A670" s="91"/>
      <c r="B670" s="117">
        <v>42598</v>
      </c>
      <c r="C670" s="87" t="s">
        <v>492</v>
      </c>
      <c r="D670" s="88">
        <v>984000</v>
      </c>
      <c r="E670" s="94"/>
      <c r="F670" s="94"/>
      <c r="G670" s="93"/>
      <c r="H670" s="93"/>
    </row>
    <row r="671" spans="1:8">
      <c r="A671" s="91"/>
      <c r="B671" s="122">
        <v>42600</v>
      </c>
      <c r="C671" s="89" t="s">
        <v>417</v>
      </c>
      <c r="D671" s="88">
        <v>5000</v>
      </c>
      <c r="E671" s="94"/>
      <c r="F671" s="94"/>
      <c r="G671" s="93"/>
      <c r="H671" s="93"/>
    </row>
    <row r="672" spans="1:8">
      <c r="A672" s="91"/>
      <c r="B672" s="117">
        <v>42600</v>
      </c>
      <c r="C672" s="87" t="s">
        <v>496</v>
      </c>
      <c r="D672" s="88">
        <v>609000</v>
      </c>
      <c r="E672" s="94"/>
      <c r="F672" s="94"/>
      <c r="G672" s="93"/>
      <c r="H672" s="93"/>
    </row>
    <row r="673" spans="1:8">
      <c r="A673" s="91"/>
      <c r="B673" s="117">
        <v>42601</v>
      </c>
      <c r="C673" s="87" t="s">
        <v>492</v>
      </c>
      <c r="D673" s="88">
        <v>1290000</v>
      </c>
      <c r="E673" s="94"/>
      <c r="F673" s="94"/>
      <c r="G673" s="93"/>
      <c r="H673" s="93"/>
    </row>
    <row r="674" spans="1:8">
      <c r="A674" s="91"/>
      <c r="B674" s="117">
        <v>42601</v>
      </c>
      <c r="C674" s="92" t="s">
        <v>583</v>
      </c>
      <c r="D674" s="88">
        <v>584000</v>
      </c>
      <c r="E674" s="94"/>
      <c r="F674" s="94"/>
      <c r="G674" s="93"/>
      <c r="H674" s="93"/>
    </row>
    <row r="675" spans="1:8">
      <c r="A675" s="91"/>
      <c r="B675" s="122">
        <v>42602</v>
      </c>
      <c r="C675" s="89" t="s">
        <v>417</v>
      </c>
      <c r="D675" s="88">
        <v>15000</v>
      </c>
      <c r="E675" s="94"/>
      <c r="F675" s="94"/>
      <c r="G675" s="93"/>
      <c r="H675" s="93"/>
    </row>
    <row r="676" spans="1:8">
      <c r="A676" s="91"/>
      <c r="B676" s="117">
        <v>42602</v>
      </c>
      <c r="C676" s="87" t="s">
        <v>493</v>
      </c>
      <c r="D676" s="88">
        <v>1543000</v>
      </c>
      <c r="E676" s="94"/>
      <c r="F676" s="94"/>
      <c r="G676" s="93"/>
      <c r="H676" s="93"/>
    </row>
    <row r="677" spans="1:8">
      <c r="A677" s="91"/>
      <c r="B677" s="117">
        <v>42602</v>
      </c>
      <c r="C677" s="87" t="s">
        <v>506</v>
      </c>
      <c r="D677" s="88">
        <v>250800</v>
      </c>
      <c r="E677" s="94"/>
      <c r="F677" s="94"/>
      <c r="G677" s="93"/>
      <c r="H677" s="93"/>
    </row>
    <row r="678" spans="1:8">
      <c r="A678" s="91"/>
      <c r="B678" s="122">
        <v>42604</v>
      </c>
      <c r="C678" s="89" t="s">
        <v>417</v>
      </c>
      <c r="D678" s="88">
        <v>20000</v>
      </c>
      <c r="E678" s="94"/>
      <c r="F678" s="94"/>
      <c r="G678" s="93"/>
      <c r="H678" s="93"/>
    </row>
    <row r="679" spans="1:8">
      <c r="A679" s="91"/>
      <c r="B679" s="117">
        <v>42604</v>
      </c>
      <c r="C679" s="87" t="s">
        <v>511</v>
      </c>
      <c r="D679" s="88">
        <v>605000</v>
      </c>
      <c r="E679" s="94"/>
      <c r="F679" s="94"/>
      <c r="G679" s="93"/>
      <c r="H679" s="93"/>
    </row>
    <row r="680" spans="1:8">
      <c r="A680" s="91"/>
      <c r="B680" s="117">
        <v>42604</v>
      </c>
      <c r="C680" s="87" t="s">
        <v>496</v>
      </c>
      <c r="D680" s="88">
        <v>2785750</v>
      </c>
      <c r="E680" s="94"/>
      <c r="F680" s="94"/>
      <c r="G680" s="93"/>
      <c r="H680" s="93"/>
    </row>
    <row r="681" spans="1:8">
      <c r="A681" s="91"/>
      <c r="B681" s="122">
        <v>42605</v>
      </c>
      <c r="C681" s="89" t="s">
        <v>417</v>
      </c>
      <c r="D681" s="88">
        <v>20000</v>
      </c>
      <c r="E681" s="94"/>
      <c r="F681" s="94"/>
      <c r="G681" s="93"/>
      <c r="H681" s="93"/>
    </row>
    <row r="682" spans="1:8">
      <c r="A682" s="91"/>
      <c r="B682" s="117">
        <v>42605</v>
      </c>
      <c r="C682" s="87" t="s">
        <v>496</v>
      </c>
      <c r="D682" s="88">
        <v>9203000</v>
      </c>
      <c r="E682" s="94"/>
      <c r="F682" s="94"/>
      <c r="G682" s="93"/>
      <c r="H682" s="93"/>
    </row>
    <row r="683" spans="1:8">
      <c r="A683" s="91"/>
      <c r="B683" s="122">
        <v>42606</v>
      </c>
      <c r="C683" s="3" t="s">
        <v>474</v>
      </c>
      <c r="D683" s="88">
        <v>6000</v>
      </c>
      <c r="E683" s="94"/>
      <c r="F683" s="94"/>
      <c r="G683" s="93"/>
      <c r="H683" s="93"/>
    </row>
    <row r="684" spans="1:8">
      <c r="A684" s="91"/>
      <c r="B684" s="117">
        <v>42606</v>
      </c>
      <c r="C684" s="94" t="s">
        <v>584</v>
      </c>
      <c r="D684" s="88">
        <v>44000</v>
      </c>
      <c r="E684" s="94"/>
      <c r="F684" s="94"/>
      <c r="G684" s="93"/>
      <c r="H684" s="93"/>
    </row>
    <row r="685" spans="1:8">
      <c r="A685" s="91"/>
      <c r="B685" s="117">
        <v>42606</v>
      </c>
      <c r="C685" s="87" t="s">
        <v>492</v>
      </c>
      <c r="D685" s="88">
        <v>1452000</v>
      </c>
      <c r="E685" s="94"/>
      <c r="F685" s="94"/>
      <c r="G685" s="93"/>
      <c r="H685" s="93"/>
    </row>
    <row r="686" spans="1:8">
      <c r="A686" s="91"/>
      <c r="B686" s="117">
        <v>42606</v>
      </c>
      <c r="C686" s="92" t="s">
        <v>581</v>
      </c>
      <c r="D686" s="88">
        <v>794700</v>
      </c>
      <c r="E686" s="94"/>
      <c r="F686" s="94"/>
      <c r="G686" s="93"/>
      <c r="H686" s="93"/>
    </row>
    <row r="687" spans="1:8">
      <c r="A687" s="91"/>
      <c r="B687" s="122">
        <v>42608</v>
      </c>
      <c r="C687" s="89" t="s">
        <v>417</v>
      </c>
      <c r="D687" s="88">
        <v>15000</v>
      </c>
      <c r="E687" s="94"/>
      <c r="F687" s="94"/>
      <c r="G687" s="93"/>
      <c r="H687" s="93"/>
    </row>
    <row r="688" spans="1:8">
      <c r="A688" s="91"/>
      <c r="B688" s="117">
        <v>42608</v>
      </c>
      <c r="C688" s="87" t="s">
        <v>493</v>
      </c>
      <c r="D688" s="88">
        <v>1204500</v>
      </c>
      <c r="E688" s="94"/>
      <c r="F688" s="94"/>
      <c r="G688" s="93"/>
      <c r="H688" s="93"/>
    </row>
    <row r="689" spans="1:8">
      <c r="A689" s="91"/>
      <c r="B689" s="117">
        <v>42608</v>
      </c>
      <c r="C689" s="92" t="s">
        <v>585</v>
      </c>
      <c r="D689" s="88">
        <v>394500</v>
      </c>
      <c r="E689" s="94"/>
      <c r="F689" s="94"/>
      <c r="G689" s="93"/>
      <c r="H689" s="93"/>
    </row>
    <row r="690" spans="1:8">
      <c r="A690" s="91"/>
      <c r="B690" s="117">
        <v>42608</v>
      </c>
      <c r="C690" s="92" t="s">
        <v>504</v>
      </c>
      <c r="D690" s="88">
        <v>37500</v>
      </c>
      <c r="E690" s="94"/>
      <c r="F690" s="94"/>
      <c r="G690" s="93"/>
      <c r="H690" s="93"/>
    </row>
    <row r="691" spans="1:8">
      <c r="A691" s="91"/>
      <c r="B691" s="122">
        <v>42609</v>
      </c>
      <c r="C691" s="89" t="s">
        <v>417</v>
      </c>
      <c r="D691" s="88">
        <v>20000</v>
      </c>
      <c r="E691" s="94"/>
      <c r="F691" s="94"/>
      <c r="G691" s="93"/>
      <c r="H691" s="93"/>
    </row>
    <row r="692" spans="1:8">
      <c r="A692" s="91"/>
      <c r="B692" s="122">
        <v>42609</v>
      </c>
      <c r="C692" s="3" t="s">
        <v>474</v>
      </c>
      <c r="D692" s="88">
        <v>6000</v>
      </c>
      <c r="E692" s="94"/>
      <c r="F692" s="94"/>
      <c r="G692" s="93"/>
      <c r="H692" s="93"/>
    </row>
    <row r="693" spans="1:8">
      <c r="A693" s="91"/>
      <c r="B693" s="117">
        <v>42609</v>
      </c>
      <c r="C693" s="87" t="s">
        <v>496</v>
      </c>
      <c r="D693" s="88">
        <v>3637000</v>
      </c>
      <c r="E693" s="94"/>
      <c r="F693" s="94"/>
      <c r="G693" s="93"/>
      <c r="H693" s="93"/>
    </row>
    <row r="694" spans="1:8">
      <c r="A694" s="91"/>
      <c r="B694" s="117">
        <v>42609</v>
      </c>
      <c r="C694" s="94" t="s">
        <v>518</v>
      </c>
      <c r="D694" s="88">
        <v>20000</v>
      </c>
      <c r="E694" s="94"/>
      <c r="F694" s="94"/>
      <c r="G694" s="93"/>
      <c r="H694" s="93"/>
    </row>
    <row r="695" spans="1:8">
      <c r="A695" s="91"/>
      <c r="B695" s="122">
        <v>42611</v>
      </c>
      <c r="C695" s="3" t="s">
        <v>473</v>
      </c>
      <c r="D695" s="88">
        <v>36000</v>
      </c>
      <c r="E695" s="94"/>
      <c r="F695" s="94"/>
      <c r="G695" s="93"/>
      <c r="H695" s="93"/>
    </row>
    <row r="696" spans="1:8">
      <c r="A696" s="91"/>
      <c r="B696" s="117">
        <v>42611</v>
      </c>
      <c r="C696" s="87" t="s">
        <v>511</v>
      </c>
      <c r="D696" s="88">
        <v>691000</v>
      </c>
      <c r="E696" s="94"/>
      <c r="F696" s="94"/>
      <c r="G696" s="93"/>
      <c r="H696" s="93"/>
    </row>
    <row r="697" spans="1:8">
      <c r="A697" s="91"/>
      <c r="B697" s="117">
        <v>42612</v>
      </c>
      <c r="C697" s="87" t="s">
        <v>511</v>
      </c>
      <c r="D697" s="88">
        <v>666500</v>
      </c>
      <c r="E697" s="94"/>
      <c r="F697" s="94"/>
      <c r="G697" s="93"/>
      <c r="H697" s="93"/>
    </row>
    <row r="698" spans="1:8">
      <c r="A698" s="91"/>
      <c r="B698" s="122">
        <v>42613</v>
      </c>
      <c r="C698" s="89" t="s">
        <v>475</v>
      </c>
      <c r="D698" s="88">
        <v>1700000</v>
      </c>
      <c r="E698" s="94"/>
      <c r="F698" s="94"/>
      <c r="G698" s="93"/>
      <c r="H698" s="93"/>
    </row>
    <row r="699" spans="1:8">
      <c r="A699" s="91"/>
      <c r="B699" s="122">
        <v>42613</v>
      </c>
      <c r="C699" s="89" t="s">
        <v>476</v>
      </c>
      <c r="D699" s="88">
        <v>300000</v>
      </c>
      <c r="E699" s="94"/>
      <c r="F699" s="94"/>
      <c r="G699" s="93"/>
      <c r="H699" s="93"/>
    </row>
    <row r="700" spans="1:8">
      <c r="A700" s="91"/>
      <c r="B700" s="122">
        <v>42613</v>
      </c>
      <c r="C700" s="89" t="s">
        <v>417</v>
      </c>
      <c r="D700" s="88">
        <v>15000</v>
      </c>
      <c r="E700" s="94"/>
      <c r="F700" s="94"/>
      <c r="G700" s="93"/>
      <c r="H700" s="93"/>
    </row>
    <row r="701" spans="1:8">
      <c r="A701" s="91"/>
      <c r="B701" s="117">
        <v>42613</v>
      </c>
      <c r="C701" s="87" t="s">
        <v>586</v>
      </c>
      <c r="D701" s="88">
        <v>2600000</v>
      </c>
      <c r="E701" s="94"/>
      <c r="F701" s="94"/>
      <c r="G701" s="93"/>
      <c r="H701" s="93"/>
    </row>
    <row r="702" spans="1:8">
      <c r="A702" s="91"/>
      <c r="B702" s="117">
        <v>42613</v>
      </c>
      <c r="C702" s="87" t="s">
        <v>587</v>
      </c>
      <c r="D702" s="88">
        <v>2300000</v>
      </c>
      <c r="E702" s="94"/>
      <c r="F702" s="94"/>
      <c r="G702" s="93"/>
      <c r="H702" s="93"/>
    </row>
    <row r="703" spans="1:8">
      <c r="A703" s="91"/>
      <c r="B703" s="117">
        <v>42613</v>
      </c>
      <c r="C703" s="87" t="s">
        <v>588</v>
      </c>
      <c r="D703" s="88">
        <v>700000</v>
      </c>
      <c r="E703" s="94"/>
      <c r="F703" s="94"/>
      <c r="G703" s="93"/>
      <c r="H703" s="93"/>
    </row>
    <row r="704" spans="1:8">
      <c r="A704" s="91"/>
      <c r="B704" s="117">
        <v>42613</v>
      </c>
      <c r="C704" s="87" t="s">
        <v>589</v>
      </c>
      <c r="D704" s="88">
        <v>3475000</v>
      </c>
      <c r="E704" s="94"/>
      <c r="F704" s="94"/>
      <c r="G704" s="93"/>
      <c r="H704" s="93"/>
    </row>
    <row r="705" spans="1:9">
      <c r="A705" s="91"/>
      <c r="B705" s="117">
        <v>42613</v>
      </c>
      <c r="C705" s="87" t="s">
        <v>590</v>
      </c>
      <c r="D705" s="88">
        <v>3475000</v>
      </c>
      <c r="E705" s="94"/>
      <c r="F705" s="94"/>
      <c r="G705" s="93"/>
      <c r="H705" s="93"/>
    </row>
    <row r="706" spans="1:9">
      <c r="A706" s="91"/>
      <c r="B706" s="117">
        <v>42613</v>
      </c>
      <c r="C706" s="87" t="s">
        <v>591</v>
      </c>
      <c r="D706" s="88">
        <v>3350000</v>
      </c>
      <c r="E706" s="94"/>
      <c r="F706" s="94"/>
      <c r="G706" s="93"/>
      <c r="H706" s="93"/>
    </row>
    <row r="707" spans="1:9">
      <c r="A707" s="91"/>
      <c r="B707" s="117">
        <v>42613</v>
      </c>
      <c r="C707" s="87" t="s">
        <v>592</v>
      </c>
      <c r="D707" s="88">
        <v>1700000</v>
      </c>
      <c r="E707" s="94"/>
      <c r="F707" s="94"/>
      <c r="G707" s="93"/>
      <c r="H707" s="93"/>
    </row>
    <row r="708" spans="1:9">
      <c r="A708" s="95"/>
      <c r="B708" s="118">
        <v>42613</v>
      </c>
      <c r="C708" s="120" t="s">
        <v>496</v>
      </c>
      <c r="D708" s="86">
        <v>1790000</v>
      </c>
      <c r="E708" s="97"/>
      <c r="F708" s="94"/>
      <c r="G708" s="93"/>
      <c r="H708" s="93"/>
    </row>
    <row r="709" spans="1:9">
      <c r="A709" s="109">
        <v>10</v>
      </c>
      <c r="B709" s="109"/>
      <c r="C709" s="112" t="s">
        <v>340</v>
      </c>
      <c r="D709" s="88">
        <v>91551500</v>
      </c>
      <c r="E709" s="88"/>
      <c r="F709" s="88"/>
      <c r="G709" s="110"/>
      <c r="H709" s="110"/>
      <c r="I709" s="111"/>
    </row>
    <row r="710" spans="1:9">
      <c r="A710" s="109"/>
      <c r="B710" s="109"/>
      <c r="C710" s="112" t="s">
        <v>341</v>
      </c>
      <c r="D710" s="88"/>
      <c r="E710" s="88">
        <v>20600000</v>
      </c>
      <c r="F710" s="88"/>
    </row>
    <row r="711" spans="1:9">
      <c r="A711" s="109"/>
      <c r="B711" s="109"/>
      <c r="C711" s="112" t="s">
        <v>342</v>
      </c>
      <c r="D711" s="88"/>
      <c r="E711" s="88">
        <f>'[1]Pinjaman 2016'!$U$235</f>
        <v>85366666.670000002</v>
      </c>
      <c r="F711" s="88"/>
    </row>
    <row r="712" spans="1:9">
      <c r="A712" s="109"/>
      <c r="B712" s="109"/>
      <c r="C712" s="112" t="s">
        <v>343</v>
      </c>
      <c r="D712" s="88"/>
      <c r="E712" s="88">
        <f>'[1]Pinjaman 2016'!$V$235</f>
        <v>5181333.33</v>
      </c>
      <c r="F712" s="88"/>
    </row>
    <row r="713" spans="1:9">
      <c r="A713" s="109"/>
      <c r="B713" s="109"/>
      <c r="C713" s="112" t="s">
        <v>634</v>
      </c>
      <c r="D713" s="88"/>
      <c r="E713" s="88">
        <f>'[2]Electronic 2016'!$U$203</f>
        <v>12143166.666666668</v>
      </c>
      <c r="F713" s="88"/>
    </row>
    <row r="714" spans="1:9">
      <c r="A714" s="109"/>
      <c r="B714" s="109"/>
      <c r="C714" s="112" t="s">
        <v>635</v>
      </c>
      <c r="D714" s="88"/>
      <c r="E714" s="88">
        <f>'[2]Electronic 2016'!$V$203</f>
        <v>1049968.3333333333</v>
      </c>
      <c r="F714" s="88"/>
    </row>
    <row r="715" spans="1:9">
      <c r="A715" s="109"/>
      <c r="B715" s="109"/>
      <c r="C715" s="112" t="s">
        <v>657</v>
      </c>
      <c r="D715" s="88"/>
      <c r="E715" s="124">
        <v>49338169</v>
      </c>
      <c r="F715" s="88"/>
    </row>
    <row r="716" spans="1:9">
      <c r="A716" s="109"/>
      <c r="B716" s="109"/>
      <c r="C716" s="112" t="s">
        <v>344</v>
      </c>
      <c r="D716" s="88"/>
      <c r="E716" s="88">
        <f>'[3]Summary keuntungan'!$B$7</f>
        <v>6582181</v>
      </c>
      <c r="F716" s="88"/>
      <c r="G716" s="12">
        <f>E715+E716</f>
        <v>55920350</v>
      </c>
    </row>
    <row r="717" spans="1:9" s="5" customFormat="1">
      <c r="A717" s="85"/>
      <c r="B717" s="122">
        <v>42614</v>
      </c>
      <c r="C717" s="89" t="s">
        <v>458</v>
      </c>
      <c r="D717" s="88">
        <v>60000</v>
      </c>
      <c r="E717" s="89"/>
      <c r="F717" s="89"/>
    </row>
    <row r="718" spans="1:9" s="5" customFormat="1">
      <c r="A718" s="85"/>
      <c r="B718" s="117">
        <v>42614</v>
      </c>
      <c r="C718" s="94" t="s">
        <v>537</v>
      </c>
      <c r="D718" s="88">
        <v>14800000</v>
      </c>
      <c r="E718" s="89"/>
      <c r="F718" s="89"/>
    </row>
    <row r="719" spans="1:9" s="5" customFormat="1">
      <c r="A719" s="85"/>
      <c r="B719" s="117">
        <v>42614</v>
      </c>
      <c r="C719" s="87" t="s">
        <v>515</v>
      </c>
      <c r="D719" s="88">
        <v>520000</v>
      </c>
      <c r="E719" s="89"/>
      <c r="F719" s="89"/>
    </row>
    <row r="720" spans="1:9" s="5" customFormat="1">
      <c r="A720" s="85"/>
      <c r="B720" s="117">
        <v>42614</v>
      </c>
      <c r="C720" s="87" t="s">
        <v>492</v>
      </c>
      <c r="D720" s="88">
        <v>83000</v>
      </c>
      <c r="E720" s="89"/>
      <c r="F720" s="89"/>
    </row>
    <row r="721" spans="1:6" s="5" customFormat="1">
      <c r="A721" s="85"/>
      <c r="B721" s="122">
        <v>42615</v>
      </c>
      <c r="C721" s="3" t="s">
        <v>474</v>
      </c>
      <c r="D721" s="88">
        <v>6000</v>
      </c>
      <c r="E721" s="89"/>
      <c r="F721" s="89"/>
    </row>
    <row r="722" spans="1:6" s="5" customFormat="1">
      <c r="A722" s="85"/>
      <c r="B722" s="117">
        <v>42615</v>
      </c>
      <c r="C722" s="87" t="s">
        <v>496</v>
      </c>
      <c r="D722" s="88">
        <v>10546500</v>
      </c>
      <c r="E722" s="89"/>
      <c r="F722" s="89"/>
    </row>
    <row r="723" spans="1:6" s="5" customFormat="1">
      <c r="A723" s="85"/>
      <c r="B723" s="117">
        <v>42616</v>
      </c>
      <c r="C723" s="87" t="s">
        <v>492</v>
      </c>
      <c r="D723" s="88">
        <v>984000</v>
      </c>
      <c r="E723" s="89"/>
      <c r="F723" s="89"/>
    </row>
    <row r="724" spans="1:6" s="5" customFormat="1">
      <c r="A724" s="85"/>
      <c r="B724" s="117">
        <v>42616</v>
      </c>
      <c r="C724" s="87" t="s">
        <v>496</v>
      </c>
      <c r="D724" s="88">
        <v>1133050</v>
      </c>
      <c r="E724" s="89"/>
      <c r="F724" s="89"/>
    </row>
    <row r="725" spans="1:6" s="5" customFormat="1">
      <c r="A725" s="85"/>
      <c r="B725" s="117">
        <v>42616</v>
      </c>
      <c r="C725" s="87" t="s">
        <v>511</v>
      </c>
      <c r="D725" s="88">
        <v>413000</v>
      </c>
      <c r="E725" s="89"/>
      <c r="F725" s="89"/>
    </row>
    <row r="726" spans="1:6" s="5" customFormat="1">
      <c r="A726" s="85"/>
      <c r="B726" s="117">
        <v>42616</v>
      </c>
      <c r="C726" s="87" t="s">
        <v>554</v>
      </c>
      <c r="D726" s="88">
        <v>1333855</v>
      </c>
      <c r="E726" s="89"/>
      <c r="F726" s="89"/>
    </row>
    <row r="727" spans="1:6" s="5" customFormat="1">
      <c r="A727" s="85"/>
      <c r="B727" s="117">
        <v>42618</v>
      </c>
      <c r="C727" s="92" t="s">
        <v>504</v>
      </c>
      <c r="D727" s="88">
        <v>37500</v>
      </c>
      <c r="E727" s="89"/>
      <c r="F727" s="89"/>
    </row>
    <row r="728" spans="1:6" s="5" customFormat="1">
      <c r="A728" s="85"/>
      <c r="B728" s="122">
        <v>42619</v>
      </c>
      <c r="C728" s="3" t="s">
        <v>474</v>
      </c>
      <c r="D728" s="88">
        <v>6000</v>
      </c>
      <c r="E728" s="89"/>
      <c r="F728" s="89"/>
    </row>
    <row r="729" spans="1:6" s="5" customFormat="1">
      <c r="A729" s="85"/>
      <c r="B729" s="122">
        <v>42620</v>
      </c>
      <c r="C729" s="89" t="s">
        <v>417</v>
      </c>
      <c r="D729" s="88">
        <v>10000</v>
      </c>
      <c r="E729" s="89"/>
      <c r="F729" s="89"/>
    </row>
    <row r="730" spans="1:6" s="5" customFormat="1">
      <c r="A730" s="85"/>
      <c r="B730" s="117">
        <v>42620</v>
      </c>
      <c r="C730" s="87" t="s">
        <v>515</v>
      </c>
      <c r="D730" s="88">
        <v>392000</v>
      </c>
      <c r="E730" s="89"/>
      <c r="F730" s="89"/>
    </row>
    <row r="731" spans="1:6" s="5" customFormat="1">
      <c r="A731" s="85"/>
      <c r="B731" s="117">
        <v>42620</v>
      </c>
      <c r="C731" s="92" t="s">
        <v>593</v>
      </c>
      <c r="D731" s="88">
        <v>666000</v>
      </c>
      <c r="E731" s="89"/>
      <c r="F731" s="89"/>
    </row>
    <row r="732" spans="1:6" s="5" customFormat="1">
      <c r="A732" s="85"/>
      <c r="B732" s="117">
        <v>42622</v>
      </c>
      <c r="C732" s="92" t="s">
        <v>583</v>
      </c>
      <c r="D732" s="88">
        <v>593000</v>
      </c>
      <c r="E732" s="89"/>
      <c r="F732" s="89"/>
    </row>
    <row r="733" spans="1:6" s="5" customFormat="1">
      <c r="A733" s="85"/>
      <c r="B733" s="117">
        <v>42624</v>
      </c>
      <c r="C733" s="87" t="s">
        <v>506</v>
      </c>
      <c r="D733" s="88">
        <v>122600</v>
      </c>
      <c r="E733" s="89"/>
      <c r="F733" s="89"/>
    </row>
    <row r="734" spans="1:6" s="5" customFormat="1">
      <c r="A734" s="85"/>
      <c r="B734" s="117">
        <v>42624</v>
      </c>
      <c r="C734" s="87" t="s">
        <v>492</v>
      </c>
      <c r="D734" s="88">
        <v>1452000</v>
      </c>
      <c r="E734" s="89"/>
      <c r="F734" s="89"/>
    </row>
    <row r="735" spans="1:6" s="5" customFormat="1">
      <c r="A735" s="85"/>
      <c r="B735" s="117">
        <v>42624</v>
      </c>
      <c r="C735" s="87" t="s">
        <v>506</v>
      </c>
      <c r="D735" s="88">
        <v>267600</v>
      </c>
      <c r="E735" s="89"/>
      <c r="F735" s="89"/>
    </row>
    <row r="736" spans="1:6" s="5" customFormat="1">
      <c r="A736" s="85"/>
      <c r="B736" s="122">
        <v>42625</v>
      </c>
      <c r="C736" s="89" t="s">
        <v>417</v>
      </c>
      <c r="D736" s="88">
        <v>10000</v>
      </c>
      <c r="E736" s="89"/>
      <c r="F736" s="89"/>
    </row>
    <row r="737" spans="1:8" s="5" customFormat="1">
      <c r="A737" s="85"/>
      <c r="B737" s="117">
        <v>42625</v>
      </c>
      <c r="C737" s="87" t="s">
        <v>515</v>
      </c>
      <c r="D737" s="88">
        <v>379000</v>
      </c>
      <c r="E737" s="89"/>
      <c r="F737" s="89"/>
    </row>
    <row r="738" spans="1:8" s="5" customFormat="1">
      <c r="A738" s="85"/>
      <c r="B738" s="122">
        <v>42626</v>
      </c>
      <c r="C738" s="89" t="s">
        <v>417</v>
      </c>
      <c r="D738" s="88">
        <v>10000</v>
      </c>
      <c r="E738" s="89"/>
      <c r="F738" s="89"/>
    </row>
    <row r="739" spans="1:8" s="5" customFormat="1">
      <c r="A739" s="85"/>
      <c r="B739" s="122">
        <v>42626</v>
      </c>
      <c r="C739" s="3" t="s">
        <v>474</v>
      </c>
      <c r="D739" s="88">
        <v>6000</v>
      </c>
      <c r="E739" s="89"/>
      <c r="F739" s="89"/>
    </row>
    <row r="740" spans="1:8" s="5" customFormat="1">
      <c r="A740" s="85"/>
      <c r="B740" s="117">
        <v>42626</v>
      </c>
      <c r="C740" s="87" t="s">
        <v>493</v>
      </c>
      <c r="D740" s="88">
        <v>554000</v>
      </c>
      <c r="E740" s="89"/>
      <c r="F740" s="89"/>
    </row>
    <row r="741" spans="1:8">
      <c r="A741" s="91"/>
      <c r="B741" s="122">
        <v>42627</v>
      </c>
      <c r="C741" s="89" t="s">
        <v>417</v>
      </c>
      <c r="D741" s="88">
        <v>10000</v>
      </c>
      <c r="E741" s="94"/>
      <c r="F741" s="94"/>
      <c r="G741" s="93"/>
      <c r="H741" s="93"/>
    </row>
    <row r="742" spans="1:8">
      <c r="A742" s="91"/>
      <c r="B742" s="117">
        <v>42627</v>
      </c>
      <c r="C742" s="87" t="s">
        <v>493</v>
      </c>
      <c r="D742" s="88">
        <v>400000</v>
      </c>
      <c r="E742" s="94"/>
      <c r="F742" s="94"/>
      <c r="G742" s="93"/>
      <c r="H742" s="93"/>
    </row>
    <row r="743" spans="1:8">
      <c r="A743" s="91"/>
      <c r="B743" s="117">
        <v>42627</v>
      </c>
      <c r="C743" s="92" t="s">
        <v>504</v>
      </c>
      <c r="D743" s="88">
        <v>37500</v>
      </c>
      <c r="E743" s="94"/>
      <c r="F743" s="94"/>
      <c r="G743" s="93"/>
      <c r="H743" s="93"/>
    </row>
    <row r="744" spans="1:8">
      <c r="A744" s="91"/>
      <c r="B744" s="122">
        <v>42628</v>
      </c>
      <c r="C744" s="89" t="s">
        <v>477</v>
      </c>
      <c r="D744" s="88">
        <v>30000</v>
      </c>
      <c r="E744" s="94"/>
      <c r="F744" s="94"/>
      <c r="G744" s="93"/>
      <c r="H744" s="93"/>
    </row>
    <row r="745" spans="1:8">
      <c r="A745" s="91"/>
      <c r="B745" s="117">
        <v>42628</v>
      </c>
      <c r="C745" s="87" t="s">
        <v>492</v>
      </c>
      <c r="D745" s="88">
        <v>1553000</v>
      </c>
      <c r="E745" s="94"/>
      <c r="F745" s="94"/>
      <c r="G745" s="93"/>
      <c r="H745" s="93"/>
    </row>
    <row r="746" spans="1:8">
      <c r="A746" s="91"/>
      <c r="B746" s="117">
        <v>42628</v>
      </c>
      <c r="C746" s="92" t="s">
        <v>594</v>
      </c>
      <c r="D746" s="88">
        <v>360000</v>
      </c>
      <c r="E746" s="94"/>
      <c r="F746" s="94"/>
      <c r="G746" s="93"/>
      <c r="H746" s="93"/>
    </row>
    <row r="747" spans="1:8">
      <c r="A747" s="91"/>
      <c r="B747" s="122">
        <v>42629</v>
      </c>
      <c r="C747" s="89" t="s">
        <v>417</v>
      </c>
      <c r="D747" s="88">
        <v>15000</v>
      </c>
      <c r="E747" s="94"/>
      <c r="F747" s="94"/>
      <c r="G747" s="93"/>
      <c r="H747" s="93"/>
    </row>
    <row r="748" spans="1:8">
      <c r="A748" s="91"/>
      <c r="B748" s="122">
        <v>42629</v>
      </c>
      <c r="C748" s="3" t="s">
        <v>420</v>
      </c>
      <c r="D748" s="88">
        <v>19000</v>
      </c>
      <c r="E748" s="94"/>
      <c r="F748" s="94"/>
      <c r="G748" s="93"/>
      <c r="H748" s="93"/>
    </row>
    <row r="749" spans="1:8">
      <c r="A749" s="91"/>
      <c r="B749" s="117">
        <v>42629</v>
      </c>
      <c r="C749" s="87" t="s">
        <v>496</v>
      </c>
      <c r="D749" s="88">
        <v>3105000</v>
      </c>
      <c r="E749" s="94"/>
      <c r="F749" s="94"/>
      <c r="G749" s="93"/>
      <c r="H749" s="93"/>
    </row>
    <row r="750" spans="1:8">
      <c r="A750" s="91"/>
      <c r="B750" s="117">
        <v>42629</v>
      </c>
      <c r="C750" s="87" t="s">
        <v>492</v>
      </c>
      <c r="D750" s="88">
        <v>1089000</v>
      </c>
      <c r="E750" s="94"/>
      <c r="F750" s="94"/>
      <c r="G750" s="93"/>
      <c r="H750" s="93"/>
    </row>
    <row r="751" spans="1:8">
      <c r="A751" s="91"/>
      <c r="B751" s="117">
        <v>42629</v>
      </c>
      <c r="C751" s="87" t="s">
        <v>511</v>
      </c>
      <c r="D751" s="88">
        <v>749000</v>
      </c>
      <c r="E751" s="94"/>
      <c r="F751" s="94"/>
      <c r="G751" s="93"/>
      <c r="H751" s="93"/>
    </row>
    <row r="752" spans="1:8">
      <c r="A752" s="91"/>
      <c r="B752" s="117">
        <v>42629</v>
      </c>
      <c r="C752" s="87" t="s">
        <v>496</v>
      </c>
      <c r="D752" s="88">
        <v>304500</v>
      </c>
      <c r="E752" s="94"/>
      <c r="F752" s="94"/>
      <c r="G752" s="93"/>
      <c r="H752" s="93"/>
    </row>
    <row r="753" spans="1:8">
      <c r="A753" s="91"/>
      <c r="B753" s="122">
        <v>42630</v>
      </c>
      <c r="C753" s="89" t="s">
        <v>417</v>
      </c>
      <c r="D753" s="88">
        <v>20000</v>
      </c>
      <c r="E753" s="94"/>
      <c r="F753" s="94"/>
      <c r="G753" s="93"/>
      <c r="H753" s="93"/>
    </row>
    <row r="754" spans="1:8">
      <c r="A754" s="91"/>
      <c r="B754" s="122">
        <v>42630</v>
      </c>
      <c r="C754" s="89" t="s">
        <v>417</v>
      </c>
      <c r="D754" s="88">
        <v>25000</v>
      </c>
      <c r="E754" s="94"/>
      <c r="F754" s="94"/>
      <c r="G754" s="93"/>
      <c r="H754" s="93"/>
    </row>
    <row r="755" spans="1:8">
      <c r="A755" s="91"/>
      <c r="B755" s="117">
        <v>42630</v>
      </c>
      <c r="C755" s="87" t="s">
        <v>515</v>
      </c>
      <c r="D755" s="88">
        <v>171500</v>
      </c>
      <c r="E755" s="94"/>
      <c r="F755" s="94"/>
      <c r="G755" s="93"/>
      <c r="H755" s="93"/>
    </row>
    <row r="756" spans="1:8">
      <c r="A756" s="91"/>
      <c r="B756" s="117">
        <v>42630</v>
      </c>
      <c r="C756" s="87" t="s">
        <v>554</v>
      </c>
      <c r="D756" s="88">
        <v>1063305</v>
      </c>
      <c r="E756" s="94"/>
      <c r="F756" s="94"/>
      <c r="G756" s="93"/>
      <c r="H756" s="93"/>
    </row>
    <row r="757" spans="1:8">
      <c r="A757" s="91"/>
      <c r="B757" s="122">
        <v>42632</v>
      </c>
      <c r="C757" s="89" t="s">
        <v>417</v>
      </c>
      <c r="D757" s="88">
        <v>15000</v>
      </c>
      <c r="E757" s="94"/>
      <c r="F757" s="94"/>
      <c r="G757" s="93"/>
      <c r="H757" s="93"/>
    </row>
    <row r="758" spans="1:8">
      <c r="A758" s="91"/>
      <c r="B758" s="117">
        <v>42632</v>
      </c>
      <c r="C758" s="87" t="s">
        <v>496</v>
      </c>
      <c r="D758" s="88">
        <v>7595000</v>
      </c>
      <c r="E758" s="94"/>
      <c r="F758" s="94"/>
      <c r="G758" s="93"/>
      <c r="H758" s="93"/>
    </row>
    <row r="759" spans="1:8">
      <c r="A759" s="91"/>
      <c r="B759" s="122">
        <v>42633</v>
      </c>
      <c r="C759" s="89" t="s">
        <v>417</v>
      </c>
      <c r="D759" s="88">
        <v>20000</v>
      </c>
      <c r="E759" s="94"/>
      <c r="F759" s="94"/>
      <c r="G759" s="93"/>
      <c r="H759" s="93"/>
    </row>
    <row r="760" spans="1:8">
      <c r="A760" s="91"/>
      <c r="B760" s="122">
        <v>42633</v>
      </c>
      <c r="C760" s="89" t="s">
        <v>417</v>
      </c>
      <c r="D760" s="88">
        <v>5000</v>
      </c>
      <c r="E760" s="94"/>
      <c r="F760" s="94"/>
      <c r="G760" s="93"/>
      <c r="H760" s="93"/>
    </row>
    <row r="761" spans="1:8">
      <c r="A761" s="91"/>
      <c r="B761" s="117">
        <v>42633</v>
      </c>
      <c r="C761" s="87" t="s">
        <v>515</v>
      </c>
      <c r="D761" s="88">
        <v>142000</v>
      </c>
      <c r="E761" s="94"/>
      <c r="F761" s="94"/>
      <c r="G761" s="93"/>
      <c r="H761" s="93"/>
    </row>
    <row r="762" spans="1:8">
      <c r="A762" s="91"/>
      <c r="B762" s="117">
        <v>42633</v>
      </c>
      <c r="C762" s="87" t="s">
        <v>496</v>
      </c>
      <c r="D762" s="88">
        <v>2985550</v>
      </c>
      <c r="E762" s="94"/>
      <c r="F762" s="94"/>
      <c r="G762" s="93"/>
      <c r="H762" s="93"/>
    </row>
    <row r="763" spans="1:8">
      <c r="A763" s="91"/>
      <c r="B763" s="117">
        <v>42633</v>
      </c>
      <c r="C763" s="87" t="s">
        <v>515</v>
      </c>
      <c r="D763" s="88">
        <v>280000</v>
      </c>
      <c r="E763" s="94"/>
      <c r="F763" s="94"/>
      <c r="G763" s="93"/>
      <c r="H763" s="93"/>
    </row>
    <row r="764" spans="1:8">
      <c r="A764" s="91"/>
      <c r="B764" s="117">
        <v>42634</v>
      </c>
      <c r="C764" s="92" t="s">
        <v>593</v>
      </c>
      <c r="D764" s="88">
        <v>1053000</v>
      </c>
      <c r="E764" s="94"/>
      <c r="F764" s="94"/>
      <c r="G764" s="93"/>
      <c r="H764" s="93"/>
    </row>
    <row r="765" spans="1:8">
      <c r="A765" s="91"/>
      <c r="B765" s="117">
        <v>42635</v>
      </c>
      <c r="C765" s="87" t="s">
        <v>492</v>
      </c>
      <c r="D765" s="88">
        <v>726000</v>
      </c>
      <c r="E765" s="94"/>
      <c r="F765" s="94"/>
      <c r="G765" s="93"/>
      <c r="H765" s="93"/>
    </row>
    <row r="766" spans="1:8">
      <c r="A766" s="91"/>
      <c r="B766" s="117">
        <v>42635</v>
      </c>
      <c r="C766" s="94" t="s">
        <v>575</v>
      </c>
      <c r="D766" s="88">
        <v>120000</v>
      </c>
      <c r="E766" s="94"/>
      <c r="F766" s="94"/>
      <c r="G766" s="93"/>
      <c r="H766" s="93"/>
    </row>
    <row r="767" spans="1:8">
      <c r="A767" s="91"/>
      <c r="B767" s="122">
        <v>42636</v>
      </c>
      <c r="C767" s="3" t="s">
        <v>460</v>
      </c>
      <c r="D767" s="88">
        <v>51000</v>
      </c>
      <c r="E767" s="94"/>
      <c r="F767" s="94"/>
      <c r="G767" s="93"/>
      <c r="H767" s="93"/>
    </row>
    <row r="768" spans="1:8">
      <c r="A768" s="91"/>
      <c r="B768" s="117">
        <v>42636</v>
      </c>
      <c r="C768" s="92" t="s">
        <v>583</v>
      </c>
      <c r="D768" s="88">
        <v>1023000</v>
      </c>
      <c r="E768" s="94"/>
      <c r="F768" s="94"/>
      <c r="G768" s="93"/>
      <c r="H768" s="93"/>
    </row>
    <row r="769" spans="1:8">
      <c r="A769" s="91"/>
      <c r="B769" s="122">
        <v>42637</v>
      </c>
      <c r="C769" s="3" t="s">
        <v>474</v>
      </c>
      <c r="D769" s="88">
        <v>6000</v>
      </c>
      <c r="E769" s="94"/>
      <c r="F769" s="94"/>
      <c r="G769" s="93"/>
      <c r="H769" s="93"/>
    </row>
    <row r="770" spans="1:8">
      <c r="A770" s="91"/>
      <c r="B770" s="117">
        <v>42637</v>
      </c>
      <c r="C770" s="87" t="s">
        <v>506</v>
      </c>
      <c r="D770" s="88">
        <v>74600</v>
      </c>
      <c r="E770" s="94"/>
      <c r="F770" s="94"/>
      <c r="G770" s="93"/>
      <c r="H770" s="93"/>
    </row>
    <row r="771" spans="1:8">
      <c r="A771" s="91"/>
      <c r="B771" s="122">
        <v>42639</v>
      </c>
      <c r="C771" s="89" t="s">
        <v>417</v>
      </c>
      <c r="D771" s="88">
        <v>10000</v>
      </c>
      <c r="E771" s="94"/>
      <c r="F771" s="94"/>
      <c r="G771" s="93"/>
      <c r="H771" s="93"/>
    </row>
    <row r="772" spans="1:8">
      <c r="A772" s="91"/>
      <c r="B772" s="122">
        <v>42639</v>
      </c>
      <c r="C772" s="3" t="s">
        <v>448</v>
      </c>
      <c r="D772" s="88">
        <v>17000</v>
      </c>
      <c r="E772" s="94"/>
      <c r="F772" s="94"/>
      <c r="G772" s="93"/>
      <c r="H772" s="93"/>
    </row>
    <row r="773" spans="1:8">
      <c r="A773" s="91"/>
      <c r="B773" s="117">
        <v>42639</v>
      </c>
      <c r="C773" s="87" t="s">
        <v>511</v>
      </c>
      <c r="D773" s="88">
        <v>473000</v>
      </c>
      <c r="E773" s="94"/>
      <c r="F773" s="94"/>
      <c r="G773" s="93"/>
      <c r="H773" s="93"/>
    </row>
    <row r="774" spans="1:8">
      <c r="A774" s="91"/>
      <c r="B774" s="117">
        <v>42639</v>
      </c>
      <c r="C774" s="87" t="s">
        <v>496</v>
      </c>
      <c r="D774" s="88">
        <v>600500</v>
      </c>
      <c r="E774" s="94"/>
      <c r="F774" s="94"/>
      <c r="G774" s="93"/>
      <c r="H774" s="93"/>
    </row>
    <row r="775" spans="1:8">
      <c r="A775" s="91"/>
      <c r="B775" s="117">
        <v>42639</v>
      </c>
      <c r="C775" s="87" t="s">
        <v>506</v>
      </c>
      <c r="D775" s="88">
        <v>111400</v>
      </c>
      <c r="E775" s="94"/>
      <c r="F775" s="94"/>
      <c r="G775" s="93"/>
      <c r="H775" s="93"/>
    </row>
    <row r="776" spans="1:8">
      <c r="A776" s="91"/>
      <c r="B776" s="117">
        <v>42639</v>
      </c>
      <c r="C776" s="94" t="s">
        <v>595</v>
      </c>
      <c r="D776" s="88">
        <v>1870500</v>
      </c>
      <c r="E776" s="94"/>
      <c r="F776" s="94"/>
      <c r="G776" s="93"/>
      <c r="H776" s="93"/>
    </row>
    <row r="777" spans="1:8">
      <c r="A777" s="91"/>
      <c r="B777" s="117">
        <v>42639</v>
      </c>
      <c r="C777" s="92" t="s">
        <v>553</v>
      </c>
      <c r="D777" s="88">
        <v>73000</v>
      </c>
      <c r="E777" s="94"/>
      <c r="F777" s="94"/>
      <c r="G777" s="93"/>
      <c r="H777" s="93"/>
    </row>
    <row r="778" spans="1:8">
      <c r="A778" s="91"/>
      <c r="B778" s="117">
        <v>42640</v>
      </c>
      <c r="C778" s="94" t="s">
        <v>518</v>
      </c>
      <c r="D778" s="88">
        <v>46400</v>
      </c>
      <c r="E778" s="94"/>
      <c r="F778" s="94"/>
      <c r="G778" s="93"/>
      <c r="H778" s="93"/>
    </row>
    <row r="779" spans="1:8">
      <c r="A779" s="91"/>
      <c r="B779" s="122">
        <v>42641</v>
      </c>
      <c r="C779" s="89" t="s">
        <v>417</v>
      </c>
      <c r="D779" s="88">
        <v>10000</v>
      </c>
      <c r="E779" s="94"/>
      <c r="F779" s="94"/>
      <c r="G779" s="93"/>
      <c r="H779" s="93"/>
    </row>
    <row r="780" spans="1:8">
      <c r="A780" s="91"/>
      <c r="B780" s="122">
        <v>42641</v>
      </c>
      <c r="C780" s="3" t="s">
        <v>474</v>
      </c>
      <c r="D780" s="88">
        <v>6000</v>
      </c>
      <c r="E780" s="94"/>
      <c r="F780" s="94"/>
      <c r="G780" s="93"/>
      <c r="H780" s="93"/>
    </row>
    <row r="781" spans="1:8">
      <c r="A781" s="91"/>
      <c r="B781" s="117">
        <v>42641</v>
      </c>
      <c r="C781" s="87" t="s">
        <v>515</v>
      </c>
      <c r="D781" s="88">
        <v>755000</v>
      </c>
      <c r="E781" s="94"/>
      <c r="F781" s="94"/>
      <c r="G781" s="93"/>
      <c r="H781" s="93"/>
    </row>
    <row r="782" spans="1:8">
      <c r="A782" s="91"/>
      <c r="B782" s="117">
        <v>42641</v>
      </c>
      <c r="C782" s="92" t="s">
        <v>593</v>
      </c>
      <c r="D782" s="88">
        <v>755500</v>
      </c>
      <c r="E782" s="94"/>
      <c r="F782" s="94"/>
      <c r="G782" s="93"/>
      <c r="H782" s="93"/>
    </row>
    <row r="783" spans="1:8">
      <c r="A783" s="91"/>
      <c r="B783" s="117">
        <v>42642</v>
      </c>
      <c r="C783" s="87" t="s">
        <v>492</v>
      </c>
      <c r="D783" s="88">
        <v>1089000</v>
      </c>
      <c r="E783" s="94"/>
      <c r="F783" s="94"/>
      <c r="G783" s="93"/>
      <c r="H783" s="93"/>
    </row>
    <row r="784" spans="1:8">
      <c r="A784" s="91"/>
      <c r="B784" s="122">
        <v>42643</v>
      </c>
      <c r="C784" s="89" t="s">
        <v>478</v>
      </c>
      <c r="D784" s="88">
        <v>1700000</v>
      </c>
      <c r="E784" s="94"/>
      <c r="F784" s="94"/>
      <c r="G784" s="93"/>
      <c r="H784" s="93"/>
    </row>
    <row r="785" spans="1:9">
      <c r="A785" s="91"/>
      <c r="B785" s="122">
        <v>42643</v>
      </c>
      <c r="C785" s="89" t="s">
        <v>479</v>
      </c>
      <c r="D785" s="88">
        <v>300000</v>
      </c>
      <c r="E785" s="94"/>
      <c r="F785" s="94"/>
      <c r="G785" s="93"/>
      <c r="H785" s="93"/>
    </row>
    <row r="786" spans="1:9">
      <c r="A786" s="91"/>
      <c r="B786" s="117">
        <v>42643</v>
      </c>
      <c r="C786" s="87" t="s">
        <v>596</v>
      </c>
      <c r="D786" s="88">
        <v>1300000</v>
      </c>
      <c r="E786" s="94"/>
      <c r="F786" s="94"/>
      <c r="G786" s="93"/>
      <c r="H786" s="93"/>
    </row>
    <row r="787" spans="1:9">
      <c r="A787" s="91"/>
      <c r="B787" s="117">
        <v>42643</v>
      </c>
      <c r="C787" s="87" t="s">
        <v>597</v>
      </c>
      <c r="D787" s="88">
        <v>3575000</v>
      </c>
      <c r="E787" s="94"/>
      <c r="F787" s="94"/>
      <c r="G787" s="93"/>
      <c r="H787" s="93"/>
    </row>
    <row r="788" spans="1:9">
      <c r="A788" s="91"/>
      <c r="B788" s="117">
        <v>42643</v>
      </c>
      <c r="C788" s="87" t="s">
        <v>598</v>
      </c>
      <c r="D788" s="88">
        <v>3575000</v>
      </c>
      <c r="E788" s="94"/>
      <c r="F788" s="94"/>
      <c r="G788" s="93"/>
      <c r="H788" s="93"/>
    </row>
    <row r="789" spans="1:9">
      <c r="A789" s="91"/>
      <c r="B789" s="117">
        <v>42643</v>
      </c>
      <c r="C789" s="87" t="s">
        <v>599</v>
      </c>
      <c r="D789" s="88">
        <v>3575000</v>
      </c>
      <c r="E789" s="94"/>
      <c r="F789" s="94"/>
      <c r="G789" s="93"/>
      <c r="H789" s="93"/>
    </row>
    <row r="790" spans="1:9">
      <c r="A790" s="91"/>
      <c r="B790" s="117">
        <v>42643</v>
      </c>
      <c r="C790" s="87" t="s">
        <v>600</v>
      </c>
      <c r="D790" s="88">
        <v>3575000</v>
      </c>
      <c r="E790" s="94"/>
      <c r="F790" s="94"/>
      <c r="G790" s="93"/>
      <c r="H790" s="93"/>
    </row>
    <row r="791" spans="1:9">
      <c r="A791" s="95"/>
      <c r="B791" s="118">
        <v>42643</v>
      </c>
      <c r="C791" s="96" t="s">
        <v>583</v>
      </c>
      <c r="D791" s="86">
        <v>666000</v>
      </c>
      <c r="E791" s="97"/>
      <c r="F791" s="94"/>
      <c r="G791" s="93"/>
      <c r="H791" s="93"/>
    </row>
    <row r="792" spans="1:9">
      <c r="A792" s="109">
        <v>11</v>
      </c>
      <c r="B792" s="109"/>
      <c r="C792" s="112" t="s">
        <v>345</v>
      </c>
      <c r="D792" s="88">
        <v>69380000</v>
      </c>
      <c r="E792" s="88"/>
      <c r="F792" s="88"/>
      <c r="G792" s="110"/>
      <c r="H792" s="110"/>
      <c r="I792" s="111"/>
    </row>
    <row r="793" spans="1:9">
      <c r="A793" s="109"/>
      <c r="B793" s="109"/>
      <c r="C793" s="112" t="s">
        <v>346</v>
      </c>
      <c r="D793" s="88"/>
      <c r="E793" s="88">
        <v>20600000</v>
      </c>
      <c r="F793" s="88"/>
    </row>
    <row r="794" spans="1:9">
      <c r="A794" s="109"/>
      <c r="B794" s="109"/>
      <c r="C794" s="112" t="s">
        <v>347</v>
      </c>
      <c r="D794" s="88"/>
      <c r="E794" s="88">
        <f>'[1]Pinjaman 2016'!$W$235</f>
        <v>85050000</v>
      </c>
      <c r="F794" s="88"/>
    </row>
    <row r="795" spans="1:9">
      <c r="A795" s="109"/>
      <c r="B795" s="109"/>
      <c r="C795" s="112" t="s">
        <v>348</v>
      </c>
      <c r="D795" s="88"/>
      <c r="E795" s="88">
        <f>'[1]Pinjaman 2016'!$X$235</f>
        <v>5158625</v>
      </c>
      <c r="F795" s="88"/>
    </row>
    <row r="796" spans="1:9">
      <c r="A796" s="109"/>
      <c r="B796" s="109"/>
      <c r="C796" s="112" t="s">
        <v>636</v>
      </c>
      <c r="D796" s="88"/>
      <c r="E796" s="88">
        <f>'[2]Electronic 2016'!$W$203</f>
        <v>13007333.333333334</v>
      </c>
      <c r="F796" s="88"/>
    </row>
    <row r="797" spans="1:9">
      <c r="A797" s="109"/>
      <c r="B797" s="109"/>
      <c r="C797" s="112" t="s">
        <v>637</v>
      </c>
      <c r="D797" s="88"/>
      <c r="E797" s="88">
        <f>'[2]Electronic 2016'!$X$203</f>
        <v>1097209.6666666667</v>
      </c>
      <c r="F797" s="88"/>
    </row>
    <row r="798" spans="1:9">
      <c r="A798" s="109"/>
      <c r="B798" s="109"/>
      <c r="C798" s="112" t="s">
        <v>675</v>
      </c>
      <c r="D798" s="88"/>
      <c r="E798" s="124">
        <v>48699956</v>
      </c>
      <c r="F798" s="88"/>
    </row>
    <row r="799" spans="1:9">
      <c r="A799" s="109"/>
      <c r="B799" s="109"/>
      <c r="C799" s="112" t="s">
        <v>349</v>
      </c>
      <c r="D799" s="88"/>
      <c r="E799" s="88">
        <f>'[3]Summary keuntungan'!$B$8</f>
        <v>6486944</v>
      </c>
      <c r="F799" s="88"/>
      <c r="G799" s="12">
        <f>E798+E799</f>
        <v>55186900</v>
      </c>
    </row>
    <row r="800" spans="1:9" s="5" customFormat="1">
      <c r="A800" s="85"/>
      <c r="B800" s="122">
        <v>42644</v>
      </c>
      <c r="C800" s="89" t="s">
        <v>458</v>
      </c>
      <c r="D800" s="88">
        <v>45000</v>
      </c>
      <c r="E800" s="89"/>
      <c r="F800" s="89"/>
    </row>
    <row r="801" spans="1:6" s="5" customFormat="1">
      <c r="A801" s="85"/>
      <c r="B801" s="117">
        <v>42644</v>
      </c>
      <c r="C801" s="94" t="s">
        <v>537</v>
      </c>
      <c r="D801" s="88">
        <v>14315000</v>
      </c>
      <c r="E801" s="89"/>
      <c r="F801" s="89"/>
    </row>
    <row r="802" spans="1:6" s="5" customFormat="1">
      <c r="A802" s="85"/>
      <c r="B802" s="117">
        <v>42644</v>
      </c>
      <c r="C802" s="87" t="s">
        <v>506</v>
      </c>
      <c r="D802" s="88">
        <v>90400</v>
      </c>
      <c r="E802" s="89"/>
      <c r="F802" s="89"/>
    </row>
    <row r="803" spans="1:6" s="5" customFormat="1">
      <c r="A803" s="85"/>
      <c r="B803" s="117">
        <v>42644</v>
      </c>
      <c r="C803" s="92" t="s">
        <v>601</v>
      </c>
      <c r="D803" s="88">
        <v>357000</v>
      </c>
      <c r="E803" s="89"/>
      <c r="F803" s="89"/>
    </row>
    <row r="804" spans="1:6" s="5" customFormat="1">
      <c r="A804" s="85"/>
      <c r="B804" s="122">
        <v>42645</v>
      </c>
      <c r="C804" s="89" t="s">
        <v>417</v>
      </c>
      <c r="D804" s="88">
        <v>10000</v>
      </c>
      <c r="E804" s="89"/>
      <c r="F804" s="89"/>
    </row>
    <row r="805" spans="1:6" s="5" customFormat="1">
      <c r="A805" s="85"/>
      <c r="B805" s="117">
        <v>42645</v>
      </c>
      <c r="C805" s="87" t="s">
        <v>506</v>
      </c>
      <c r="D805" s="88">
        <v>270000</v>
      </c>
      <c r="E805" s="89"/>
      <c r="F805" s="89"/>
    </row>
    <row r="806" spans="1:6" s="5" customFormat="1">
      <c r="A806" s="85"/>
      <c r="B806" s="117">
        <v>42645</v>
      </c>
      <c r="C806" s="87" t="s">
        <v>493</v>
      </c>
      <c r="D806" s="88">
        <v>690000</v>
      </c>
      <c r="E806" s="89"/>
      <c r="F806" s="89"/>
    </row>
    <row r="807" spans="1:6" s="5" customFormat="1">
      <c r="A807" s="85"/>
      <c r="B807" s="122">
        <v>42646</v>
      </c>
      <c r="C807" s="89" t="s">
        <v>417</v>
      </c>
      <c r="D807" s="88">
        <v>10000</v>
      </c>
      <c r="E807" s="89"/>
      <c r="F807" s="89"/>
    </row>
    <row r="808" spans="1:6" s="5" customFormat="1">
      <c r="A808" s="85"/>
      <c r="B808" s="122">
        <v>42646</v>
      </c>
      <c r="C808" s="89" t="s">
        <v>417</v>
      </c>
      <c r="D808" s="88">
        <v>20000</v>
      </c>
      <c r="E808" s="89"/>
      <c r="F808" s="89"/>
    </row>
    <row r="809" spans="1:6" s="5" customFormat="1">
      <c r="A809" s="85"/>
      <c r="B809" s="117">
        <v>42646</v>
      </c>
      <c r="C809" s="87" t="s">
        <v>492</v>
      </c>
      <c r="D809" s="88">
        <v>1089000</v>
      </c>
      <c r="E809" s="89"/>
      <c r="F809" s="89"/>
    </row>
    <row r="810" spans="1:6" s="5" customFormat="1">
      <c r="A810" s="85"/>
      <c r="B810" s="117">
        <v>42646</v>
      </c>
      <c r="C810" s="87" t="s">
        <v>493</v>
      </c>
      <c r="D810" s="88">
        <v>639500</v>
      </c>
      <c r="E810" s="89"/>
      <c r="F810" s="89"/>
    </row>
    <row r="811" spans="1:6" s="5" customFormat="1">
      <c r="A811" s="85"/>
      <c r="B811" s="117">
        <v>42646</v>
      </c>
      <c r="C811" s="87" t="s">
        <v>496</v>
      </c>
      <c r="D811" s="88">
        <v>7209250</v>
      </c>
      <c r="E811" s="89"/>
      <c r="F811" s="89"/>
    </row>
    <row r="812" spans="1:6" s="5" customFormat="1">
      <c r="A812" s="85"/>
      <c r="B812" s="122">
        <v>42647</v>
      </c>
      <c r="C812" s="89" t="s">
        <v>417</v>
      </c>
      <c r="D812" s="88">
        <v>20000</v>
      </c>
      <c r="E812" s="89"/>
      <c r="F812" s="89"/>
    </row>
    <row r="813" spans="1:6" s="5" customFormat="1">
      <c r="A813" s="85"/>
      <c r="B813" s="117">
        <v>42647</v>
      </c>
      <c r="C813" s="87" t="s">
        <v>496</v>
      </c>
      <c r="D813" s="88">
        <v>1804550</v>
      </c>
      <c r="E813" s="89"/>
      <c r="F813" s="89"/>
    </row>
    <row r="814" spans="1:6" s="5" customFormat="1">
      <c r="A814" s="85"/>
      <c r="B814" s="117">
        <v>42648</v>
      </c>
      <c r="C814" s="92" t="s">
        <v>602</v>
      </c>
      <c r="D814" s="88">
        <v>871000</v>
      </c>
      <c r="E814" s="89"/>
      <c r="F814" s="89"/>
    </row>
    <row r="815" spans="1:6" s="5" customFormat="1">
      <c r="A815" s="85"/>
      <c r="B815" s="122">
        <v>42649</v>
      </c>
      <c r="C815" s="89" t="s">
        <v>417</v>
      </c>
      <c r="D815" s="88">
        <v>25000</v>
      </c>
      <c r="E815" s="89"/>
      <c r="F815" s="89"/>
    </row>
    <row r="816" spans="1:6" s="5" customFormat="1">
      <c r="A816" s="85"/>
      <c r="B816" s="122">
        <v>42649</v>
      </c>
      <c r="C816" s="89" t="s">
        <v>420</v>
      </c>
      <c r="D816" s="88">
        <v>20000</v>
      </c>
      <c r="E816" s="89"/>
      <c r="F816" s="89"/>
    </row>
    <row r="817" spans="1:8" s="5" customFormat="1">
      <c r="A817" s="85"/>
      <c r="B817" s="117">
        <v>42649</v>
      </c>
      <c r="C817" s="87" t="s">
        <v>511</v>
      </c>
      <c r="D817" s="88">
        <v>826000</v>
      </c>
      <c r="E817" s="89"/>
      <c r="F817" s="89"/>
    </row>
    <row r="818" spans="1:8" s="5" customFormat="1">
      <c r="A818" s="85"/>
      <c r="B818" s="117">
        <v>42649</v>
      </c>
      <c r="C818" s="87" t="s">
        <v>554</v>
      </c>
      <c r="D818" s="88">
        <v>1328625</v>
      </c>
      <c r="E818" s="89"/>
      <c r="F818" s="89"/>
    </row>
    <row r="819" spans="1:8" s="5" customFormat="1">
      <c r="A819" s="85"/>
      <c r="B819" s="122">
        <v>42653</v>
      </c>
      <c r="C819" s="89" t="s">
        <v>417</v>
      </c>
      <c r="D819" s="88">
        <v>10000</v>
      </c>
      <c r="E819" s="89"/>
      <c r="F819" s="89"/>
    </row>
    <row r="820" spans="1:8" s="5" customFormat="1">
      <c r="A820" s="85"/>
      <c r="B820" s="117">
        <v>42653</v>
      </c>
      <c r="C820" s="87" t="s">
        <v>515</v>
      </c>
      <c r="D820" s="88">
        <v>510500</v>
      </c>
      <c r="E820" s="89"/>
      <c r="F820" s="89"/>
    </row>
    <row r="821" spans="1:8" s="5" customFormat="1">
      <c r="A821" s="85"/>
      <c r="B821" s="122">
        <v>42655</v>
      </c>
      <c r="C821" s="89" t="s">
        <v>417</v>
      </c>
      <c r="D821" s="88">
        <v>5000</v>
      </c>
      <c r="E821" s="89"/>
      <c r="F821" s="89"/>
    </row>
    <row r="822" spans="1:8" s="5" customFormat="1">
      <c r="A822" s="85"/>
      <c r="B822" s="117">
        <v>42655</v>
      </c>
      <c r="C822" s="87" t="s">
        <v>506</v>
      </c>
      <c r="D822" s="88">
        <v>267600</v>
      </c>
      <c r="E822" s="89"/>
      <c r="F822" s="89"/>
    </row>
    <row r="823" spans="1:8" s="5" customFormat="1">
      <c r="A823" s="85"/>
      <c r="B823" s="117">
        <v>42655</v>
      </c>
      <c r="C823" s="87" t="s">
        <v>492</v>
      </c>
      <c r="D823" s="88">
        <v>1153000</v>
      </c>
      <c r="E823" s="89"/>
      <c r="F823" s="89"/>
    </row>
    <row r="824" spans="1:8" s="5" customFormat="1">
      <c r="A824" s="85"/>
      <c r="B824" s="117">
        <v>42655</v>
      </c>
      <c r="C824" s="92" t="s">
        <v>553</v>
      </c>
      <c r="D824" s="88">
        <v>73000</v>
      </c>
      <c r="E824" s="89"/>
      <c r="F824" s="89"/>
    </row>
    <row r="825" spans="1:8" s="5" customFormat="1">
      <c r="A825" s="85"/>
      <c r="B825" s="122">
        <v>42656</v>
      </c>
      <c r="C825" s="89" t="s">
        <v>417</v>
      </c>
      <c r="D825" s="88">
        <v>15000</v>
      </c>
      <c r="E825" s="89"/>
      <c r="F825" s="89"/>
    </row>
    <row r="826" spans="1:8" s="5" customFormat="1">
      <c r="A826" s="85"/>
      <c r="B826" s="117">
        <v>42656</v>
      </c>
      <c r="C826" s="87" t="s">
        <v>496</v>
      </c>
      <c r="D826" s="88">
        <v>1299750</v>
      </c>
      <c r="E826" s="89"/>
      <c r="F826" s="89"/>
    </row>
    <row r="827" spans="1:8" s="5" customFormat="1">
      <c r="A827" s="85"/>
      <c r="B827" s="117">
        <v>42656</v>
      </c>
      <c r="C827" s="92" t="s">
        <v>601</v>
      </c>
      <c r="D827" s="88">
        <v>1551500</v>
      </c>
      <c r="E827" s="89"/>
      <c r="F827" s="89"/>
    </row>
    <row r="828" spans="1:8" s="5" customFormat="1">
      <c r="A828" s="85"/>
      <c r="B828" s="122">
        <v>42657</v>
      </c>
      <c r="C828" s="89" t="s">
        <v>417</v>
      </c>
      <c r="D828" s="88">
        <v>30000</v>
      </c>
      <c r="E828" s="89"/>
      <c r="F828" s="89"/>
    </row>
    <row r="829" spans="1:8" s="5" customFormat="1">
      <c r="A829" s="85"/>
      <c r="B829" s="122">
        <v>42657</v>
      </c>
      <c r="C829" s="89" t="s">
        <v>417</v>
      </c>
      <c r="D829" s="88">
        <v>25000</v>
      </c>
      <c r="E829" s="89"/>
      <c r="F829" s="89"/>
    </row>
    <row r="830" spans="1:8" s="5" customFormat="1">
      <c r="A830" s="85"/>
      <c r="B830" s="117">
        <v>42657</v>
      </c>
      <c r="C830" s="87" t="s">
        <v>492</v>
      </c>
      <c r="D830" s="88">
        <v>1557000</v>
      </c>
      <c r="E830" s="89"/>
      <c r="F830" s="89"/>
    </row>
    <row r="831" spans="1:8">
      <c r="A831" s="91"/>
      <c r="B831" s="117">
        <v>42657</v>
      </c>
      <c r="C831" s="87" t="s">
        <v>496</v>
      </c>
      <c r="D831" s="88">
        <v>8174500</v>
      </c>
      <c r="E831" s="94"/>
      <c r="F831" s="94"/>
      <c r="G831" s="93"/>
      <c r="H831" s="93"/>
    </row>
    <row r="832" spans="1:8">
      <c r="A832" s="91"/>
      <c r="B832" s="117">
        <v>42657</v>
      </c>
      <c r="C832" s="87" t="s">
        <v>496</v>
      </c>
      <c r="D832" s="88">
        <v>2404700</v>
      </c>
      <c r="E832" s="94"/>
      <c r="F832" s="94"/>
      <c r="G832" s="93"/>
      <c r="H832" s="93"/>
    </row>
    <row r="833" spans="1:8">
      <c r="A833" s="91"/>
      <c r="B833" s="117">
        <v>42657</v>
      </c>
      <c r="C833" s="92" t="s">
        <v>522</v>
      </c>
      <c r="D833" s="88">
        <v>347510</v>
      </c>
      <c r="E833" s="94"/>
      <c r="F833" s="94"/>
      <c r="G833" s="93"/>
      <c r="H833" s="93"/>
    </row>
    <row r="834" spans="1:8">
      <c r="A834" s="91"/>
      <c r="B834" s="117">
        <v>42657</v>
      </c>
      <c r="C834" s="94" t="s">
        <v>603</v>
      </c>
      <c r="D834" s="88">
        <v>22500</v>
      </c>
      <c r="E834" s="94"/>
      <c r="F834" s="94"/>
      <c r="G834" s="93"/>
      <c r="H834" s="93"/>
    </row>
    <row r="835" spans="1:8">
      <c r="A835" s="91"/>
      <c r="B835" s="117">
        <v>42657</v>
      </c>
      <c r="C835" s="94" t="s">
        <v>551</v>
      </c>
      <c r="D835" s="88">
        <v>126000</v>
      </c>
      <c r="E835" s="94"/>
      <c r="F835" s="94"/>
      <c r="G835" s="93"/>
      <c r="H835" s="93"/>
    </row>
    <row r="836" spans="1:8">
      <c r="A836" s="91"/>
      <c r="B836" s="117">
        <v>42657</v>
      </c>
      <c r="C836" s="94" t="s">
        <v>575</v>
      </c>
      <c r="D836" s="88">
        <v>120000</v>
      </c>
      <c r="E836" s="94"/>
      <c r="F836" s="94"/>
      <c r="G836" s="93"/>
      <c r="H836" s="93"/>
    </row>
    <row r="837" spans="1:8">
      <c r="A837" s="91"/>
      <c r="B837" s="122">
        <v>42658</v>
      </c>
      <c r="C837" s="89" t="s">
        <v>417</v>
      </c>
      <c r="D837" s="88">
        <v>10000</v>
      </c>
      <c r="E837" s="94"/>
      <c r="F837" s="94"/>
      <c r="G837" s="93"/>
      <c r="H837" s="93"/>
    </row>
    <row r="838" spans="1:8">
      <c r="A838" s="91"/>
      <c r="B838" s="117">
        <v>42658</v>
      </c>
      <c r="C838" s="87" t="s">
        <v>493</v>
      </c>
      <c r="D838" s="88">
        <v>1094500</v>
      </c>
      <c r="E838" s="94"/>
      <c r="F838" s="94"/>
      <c r="G838" s="93"/>
      <c r="H838" s="93"/>
    </row>
    <row r="839" spans="1:8">
      <c r="A839" s="91"/>
      <c r="B839" s="122">
        <v>42660</v>
      </c>
      <c r="C839" s="89" t="s">
        <v>417</v>
      </c>
      <c r="D839" s="88">
        <v>5000</v>
      </c>
      <c r="E839" s="94"/>
      <c r="F839" s="94"/>
      <c r="G839" s="93"/>
      <c r="H839" s="93"/>
    </row>
    <row r="840" spans="1:8">
      <c r="A840" s="91"/>
      <c r="B840" s="122">
        <v>42660</v>
      </c>
      <c r="C840" s="3" t="s">
        <v>460</v>
      </c>
      <c r="D840" s="88">
        <v>58000</v>
      </c>
      <c r="E840" s="94"/>
      <c r="F840" s="94"/>
      <c r="G840" s="93"/>
      <c r="H840" s="93"/>
    </row>
    <row r="841" spans="1:8">
      <c r="A841" s="91"/>
      <c r="B841" s="117">
        <v>42660</v>
      </c>
      <c r="C841" s="87" t="s">
        <v>492</v>
      </c>
      <c r="D841" s="88">
        <v>1089000</v>
      </c>
      <c r="E841" s="94"/>
      <c r="F841" s="94"/>
      <c r="G841" s="93"/>
      <c r="H841" s="93"/>
    </row>
    <row r="842" spans="1:8">
      <c r="A842" s="91"/>
      <c r="B842" s="117">
        <v>42660</v>
      </c>
      <c r="C842" s="87" t="s">
        <v>506</v>
      </c>
      <c r="D842" s="88">
        <v>197700</v>
      </c>
      <c r="E842" s="94"/>
      <c r="F842" s="94"/>
      <c r="G842" s="93"/>
      <c r="H842" s="93"/>
    </row>
    <row r="843" spans="1:8">
      <c r="A843" s="91"/>
      <c r="B843" s="122">
        <v>42661</v>
      </c>
      <c r="C843" s="3" t="s">
        <v>474</v>
      </c>
      <c r="D843" s="88">
        <v>9000</v>
      </c>
      <c r="E843" s="94"/>
      <c r="F843" s="94"/>
      <c r="G843" s="93"/>
      <c r="H843" s="93"/>
    </row>
    <row r="844" spans="1:8">
      <c r="A844" s="91"/>
      <c r="B844" s="117">
        <v>42661</v>
      </c>
      <c r="C844" s="87" t="s">
        <v>511</v>
      </c>
      <c r="D844" s="88">
        <v>920000</v>
      </c>
      <c r="E844" s="94"/>
      <c r="F844" s="94"/>
      <c r="G844" s="93"/>
      <c r="H844" s="93"/>
    </row>
    <row r="845" spans="1:8">
      <c r="A845" s="91"/>
      <c r="B845" s="117">
        <v>42662</v>
      </c>
      <c r="C845" s="92" t="s">
        <v>602</v>
      </c>
      <c r="D845" s="88">
        <v>1017100</v>
      </c>
      <c r="E845" s="94"/>
      <c r="F845" s="94"/>
      <c r="G845" s="93"/>
      <c r="H845" s="93"/>
    </row>
    <row r="846" spans="1:8">
      <c r="A846" s="91"/>
      <c r="B846" s="122">
        <v>42663</v>
      </c>
      <c r="C846" s="89" t="s">
        <v>417</v>
      </c>
      <c r="D846" s="88">
        <v>10000</v>
      </c>
      <c r="E846" s="94"/>
      <c r="F846" s="94"/>
      <c r="G846" s="93"/>
      <c r="H846" s="93"/>
    </row>
    <row r="847" spans="1:8">
      <c r="A847" s="91"/>
      <c r="B847" s="117">
        <v>42663</v>
      </c>
      <c r="C847" s="87" t="s">
        <v>493</v>
      </c>
      <c r="D847" s="88">
        <v>1061000</v>
      </c>
      <c r="E847" s="94"/>
      <c r="F847" s="94"/>
      <c r="G847" s="93"/>
      <c r="H847" s="93"/>
    </row>
    <row r="848" spans="1:8">
      <c r="A848" s="91"/>
      <c r="B848" s="117">
        <v>42663</v>
      </c>
      <c r="C848" s="87" t="s">
        <v>511</v>
      </c>
      <c r="D848" s="88">
        <v>535000</v>
      </c>
      <c r="E848" s="94"/>
      <c r="F848" s="94"/>
      <c r="G848" s="93"/>
      <c r="H848" s="93"/>
    </row>
    <row r="849" spans="1:8">
      <c r="A849" s="91"/>
      <c r="B849" s="122">
        <v>42664</v>
      </c>
      <c r="C849" s="89" t="s">
        <v>417</v>
      </c>
      <c r="D849" s="88">
        <v>5000</v>
      </c>
      <c r="E849" s="94"/>
      <c r="F849" s="94"/>
      <c r="G849" s="93"/>
      <c r="H849" s="93"/>
    </row>
    <row r="850" spans="1:8">
      <c r="A850" s="91"/>
      <c r="B850" s="122">
        <v>42664</v>
      </c>
      <c r="C850" s="3" t="s">
        <v>474</v>
      </c>
      <c r="D850" s="88">
        <v>6000</v>
      </c>
      <c r="E850" s="94"/>
      <c r="F850" s="94"/>
      <c r="G850" s="93"/>
      <c r="H850" s="93"/>
    </row>
    <row r="851" spans="1:8">
      <c r="A851" s="91"/>
      <c r="B851" s="117">
        <v>42664</v>
      </c>
      <c r="C851" s="87" t="s">
        <v>493</v>
      </c>
      <c r="D851" s="88">
        <v>288000</v>
      </c>
      <c r="E851" s="94"/>
      <c r="F851" s="94"/>
      <c r="G851" s="93"/>
      <c r="H851" s="93"/>
    </row>
    <row r="852" spans="1:8">
      <c r="A852" s="91"/>
      <c r="B852" s="117">
        <v>42664</v>
      </c>
      <c r="C852" s="92" t="s">
        <v>504</v>
      </c>
      <c r="D852" s="88">
        <v>37500</v>
      </c>
      <c r="E852" s="94"/>
      <c r="F852" s="94"/>
      <c r="G852" s="93"/>
      <c r="H852" s="93"/>
    </row>
    <row r="853" spans="1:8">
      <c r="A853" s="91"/>
      <c r="B853" s="117">
        <v>42664</v>
      </c>
      <c r="C853" s="92" t="s">
        <v>604</v>
      </c>
      <c r="D853" s="88">
        <v>1137000</v>
      </c>
      <c r="E853" s="94"/>
      <c r="F853" s="94"/>
      <c r="G853" s="93"/>
      <c r="H853" s="93"/>
    </row>
    <row r="854" spans="1:8">
      <c r="A854" s="91"/>
      <c r="B854" s="117">
        <v>42665</v>
      </c>
      <c r="C854" s="87" t="s">
        <v>492</v>
      </c>
      <c r="D854" s="88">
        <v>420000</v>
      </c>
      <c r="E854" s="94"/>
      <c r="F854" s="94"/>
      <c r="G854" s="93"/>
      <c r="H854" s="93"/>
    </row>
    <row r="855" spans="1:8">
      <c r="A855" s="91"/>
      <c r="B855" s="117">
        <v>42665</v>
      </c>
      <c r="C855" s="94" t="s">
        <v>605</v>
      </c>
      <c r="D855" s="88">
        <v>70000</v>
      </c>
      <c r="E855" s="94"/>
      <c r="F855" s="94"/>
      <c r="G855" s="93"/>
      <c r="H855" s="93"/>
    </row>
    <row r="856" spans="1:8">
      <c r="A856" s="91"/>
      <c r="B856" s="122">
        <v>42667</v>
      </c>
      <c r="C856" s="3" t="s">
        <v>460</v>
      </c>
      <c r="D856" s="88">
        <v>93000</v>
      </c>
      <c r="E856" s="94"/>
      <c r="F856" s="94"/>
      <c r="G856" s="93"/>
      <c r="H856" s="93"/>
    </row>
    <row r="857" spans="1:8">
      <c r="A857" s="91"/>
      <c r="B857" s="122">
        <v>42669</v>
      </c>
      <c r="C857" s="89" t="s">
        <v>417</v>
      </c>
      <c r="D857" s="88">
        <v>15000</v>
      </c>
      <c r="E857" s="94"/>
      <c r="F857" s="94"/>
      <c r="G857" s="93"/>
      <c r="H857" s="93"/>
    </row>
    <row r="858" spans="1:8">
      <c r="A858" s="91"/>
      <c r="B858" s="122">
        <v>42669</v>
      </c>
      <c r="C858" s="3" t="s">
        <v>473</v>
      </c>
      <c r="D858" s="88">
        <v>36000</v>
      </c>
      <c r="E858" s="94"/>
      <c r="F858" s="94"/>
      <c r="G858" s="93"/>
      <c r="H858" s="93"/>
    </row>
    <row r="859" spans="1:8">
      <c r="A859" s="91"/>
      <c r="B859" s="117">
        <v>42669</v>
      </c>
      <c r="C859" s="87" t="s">
        <v>496</v>
      </c>
      <c r="D859" s="88">
        <v>1314500</v>
      </c>
      <c r="E859" s="94"/>
      <c r="F859" s="94"/>
      <c r="G859" s="93"/>
      <c r="H859" s="93"/>
    </row>
    <row r="860" spans="1:8">
      <c r="A860" s="91"/>
      <c r="B860" s="122">
        <v>42670</v>
      </c>
      <c r="C860" s="89" t="s">
        <v>417</v>
      </c>
      <c r="D860" s="88">
        <v>15000</v>
      </c>
      <c r="E860" s="94"/>
      <c r="F860" s="94"/>
      <c r="G860" s="93"/>
      <c r="H860" s="93"/>
    </row>
    <row r="861" spans="1:8">
      <c r="A861" s="91"/>
      <c r="B861" s="122">
        <v>42670</v>
      </c>
      <c r="C861" s="89" t="s">
        <v>417</v>
      </c>
      <c r="D861" s="88">
        <v>15000</v>
      </c>
      <c r="E861" s="94"/>
      <c r="F861" s="94"/>
      <c r="G861" s="93"/>
      <c r="H861" s="93"/>
    </row>
    <row r="862" spans="1:8">
      <c r="A862" s="91"/>
      <c r="B862" s="117">
        <v>42670</v>
      </c>
      <c r="C862" s="87" t="s">
        <v>496</v>
      </c>
      <c r="D862" s="88">
        <v>1064000</v>
      </c>
      <c r="E862" s="94"/>
      <c r="F862" s="94"/>
      <c r="G862" s="93"/>
      <c r="H862" s="93"/>
    </row>
    <row r="863" spans="1:8">
      <c r="A863" s="91"/>
      <c r="B863" s="117">
        <v>42670</v>
      </c>
      <c r="C863" s="87" t="s">
        <v>496</v>
      </c>
      <c r="D863" s="88">
        <v>1556550</v>
      </c>
      <c r="E863" s="94"/>
      <c r="F863" s="94"/>
      <c r="G863" s="93"/>
      <c r="H863" s="93"/>
    </row>
    <row r="864" spans="1:8">
      <c r="A864" s="91"/>
      <c r="B864" s="122">
        <v>42671</v>
      </c>
      <c r="C864" s="89" t="s">
        <v>417</v>
      </c>
      <c r="D864" s="88">
        <v>5000</v>
      </c>
      <c r="E864" s="94"/>
      <c r="F864" s="94"/>
      <c r="G864" s="93"/>
      <c r="H864" s="93"/>
    </row>
    <row r="865" spans="1:8">
      <c r="A865" s="91"/>
      <c r="B865" s="122">
        <v>42671</v>
      </c>
      <c r="C865" s="89" t="s">
        <v>417</v>
      </c>
      <c r="D865" s="88">
        <v>25000</v>
      </c>
      <c r="E865" s="94"/>
      <c r="F865" s="94"/>
      <c r="G865" s="93"/>
      <c r="H865" s="93"/>
    </row>
    <row r="866" spans="1:8">
      <c r="A866" s="91"/>
      <c r="B866" s="122">
        <v>42671</v>
      </c>
      <c r="C866" s="3" t="s">
        <v>474</v>
      </c>
      <c r="D866" s="88">
        <v>6000</v>
      </c>
      <c r="E866" s="94"/>
      <c r="F866" s="94"/>
      <c r="G866" s="93"/>
      <c r="H866" s="93"/>
    </row>
    <row r="867" spans="1:8">
      <c r="A867" s="91"/>
      <c r="B867" s="117">
        <v>42671</v>
      </c>
      <c r="C867" s="87" t="s">
        <v>506</v>
      </c>
      <c r="D867" s="88">
        <v>535200</v>
      </c>
      <c r="E867" s="94"/>
      <c r="F867" s="94"/>
      <c r="G867" s="93"/>
      <c r="H867" s="93"/>
    </row>
    <row r="868" spans="1:8">
      <c r="A868" s="91"/>
      <c r="B868" s="117">
        <v>42671</v>
      </c>
      <c r="C868" s="87" t="s">
        <v>496</v>
      </c>
      <c r="D868" s="88">
        <v>8352750</v>
      </c>
      <c r="E868" s="94"/>
      <c r="F868" s="94"/>
      <c r="G868" s="93"/>
      <c r="H868" s="93"/>
    </row>
    <row r="869" spans="1:8">
      <c r="A869" s="91"/>
      <c r="B869" s="117">
        <v>42671</v>
      </c>
      <c r="C869" s="87" t="s">
        <v>492</v>
      </c>
      <c r="D869" s="88">
        <v>1299000</v>
      </c>
      <c r="E869" s="94"/>
      <c r="F869" s="94"/>
      <c r="G869" s="93"/>
      <c r="H869" s="93"/>
    </row>
    <row r="870" spans="1:8">
      <c r="A870" s="91"/>
      <c r="B870" s="117">
        <v>42671</v>
      </c>
      <c r="C870" s="92" t="s">
        <v>604</v>
      </c>
      <c r="D870" s="88">
        <v>454500</v>
      </c>
      <c r="E870" s="94"/>
      <c r="F870" s="94"/>
      <c r="G870" s="93"/>
      <c r="H870" s="93"/>
    </row>
    <row r="871" spans="1:8">
      <c r="A871" s="91"/>
      <c r="B871" s="122">
        <v>42672</v>
      </c>
      <c r="C871" s="89" t="s">
        <v>417</v>
      </c>
      <c r="D871" s="88">
        <v>50000</v>
      </c>
      <c r="E871" s="94"/>
      <c r="F871" s="94"/>
      <c r="G871" s="93"/>
      <c r="H871" s="93"/>
    </row>
    <row r="872" spans="1:8">
      <c r="A872" s="91"/>
      <c r="B872" s="117">
        <v>42672</v>
      </c>
      <c r="C872" s="87" t="s">
        <v>554</v>
      </c>
      <c r="D872" s="88">
        <v>1549430</v>
      </c>
      <c r="E872" s="94"/>
      <c r="F872" s="94"/>
      <c r="G872" s="93"/>
      <c r="H872" s="93"/>
    </row>
    <row r="873" spans="1:8">
      <c r="A873" s="91"/>
      <c r="B873" s="117">
        <v>42672</v>
      </c>
      <c r="C873" s="92" t="s">
        <v>518</v>
      </c>
      <c r="D873" s="88">
        <v>45000</v>
      </c>
      <c r="E873" s="94"/>
      <c r="F873" s="94"/>
      <c r="G873" s="93"/>
      <c r="H873" s="93"/>
    </row>
    <row r="874" spans="1:8">
      <c r="A874" s="91"/>
      <c r="B874" s="122">
        <v>42673</v>
      </c>
      <c r="C874" s="89" t="s">
        <v>417</v>
      </c>
      <c r="D874" s="88">
        <v>10000</v>
      </c>
      <c r="E874" s="94"/>
      <c r="F874" s="94"/>
      <c r="G874" s="93"/>
      <c r="H874" s="93"/>
    </row>
    <row r="875" spans="1:8">
      <c r="A875" s="91"/>
      <c r="B875" s="117">
        <v>42673</v>
      </c>
      <c r="C875" s="87" t="s">
        <v>493</v>
      </c>
      <c r="D875" s="88">
        <v>965000</v>
      </c>
      <c r="E875" s="94"/>
      <c r="F875" s="94"/>
      <c r="G875" s="93"/>
      <c r="H875" s="93"/>
    </row>
    <row r="876" spans="1:8">
      <c r="A876" s="91"/>
      <c r="B876" s="122">
        <v>42674</v>
      </c>
      <c r="C876" s="89" t="s">
        <v>480</v>
      </c>
      <c r="D876" s="88">
        <v>1700000</v>
      </c>
      <c r="E876" s="94"/>
      <c r="F876" s="94"/>
      <c r="G876" s="93"/>
      <c r="H876" s="93"/>
    </row>
    <row r="877" spans="1:8">
      <c r="A877" s="91"/>
      <c r="B877" s="122">
        <v>42674</v>
      </c>
      <c r="C877" s="89" t="s">
        <v>481</v>
      </c>
      <c r="D877" s="88">
        <v>300000</v>
      </c>
      <c r="E877" s="94"/>
      <c r="F877" s="94"/>
      <c r="G877" s="93"/>
      <c r="H877" s="93"/>
    </row>
    <row r="878" spans="1:8">
      <c r="A878" s="91"/>
      <c r="B878" s="117">
        <v>42674</v>
      </c>
      <c r="C878" s="87" t="s">
        <v>606</v>
      </c>
      <c r="D878" s="88">
        <v>1200000</v>
      </c>
      <c r="E878" s="94"/>
      <c r="F878" s="94"/>
      <c r="G878" s="93"/>
      <c r="H878" s="93"/>
    </row>
    <row r="879" spans="1:8">
      <c r="A879" s="91"/>
      <c r="B879" s="117">
        <v>42674</v>
      </c>
      <c r="C879" s="87" t="s">
        <v>607</v>
      </c>
      <c r="D879" s="88">
        <v>1000000</v>
      </c>
      <c r="E879" s="94"/>
      <c r="F879" s="94"/>
      <c r="G879" s="93"/>
      <c r="H879" s="93"/>
    </row>
    <row r="880" spans="1:8">
      <c r="A880" s="91"/>
      <c r="B880" s="117">
        <v>42674</v>
      </c>
      <c r="C880" s="87" t="s">
        <v>608</v>
      </c>
      <c r="D880" s="88">
        <v>2100000</v>
      </c>
      <c r="E880" s="94"/>
      <c r="F880" s="94"/>
      <c r="G880" s="93"/>
      <c r="H880" s="93"/>
    </row>
    <row r="881" spans="1:9">
      <c r="A881" s="95"/>
      <c r="B881" s="118">
        <v>42674</v>
      </c>
      <c r="C881" s="120" t="s">
        <v>609</v>
      </c>
      <c r="D881" s="86">
        <v>2700000</v>
      </c>
      <c r="E881" s="97"/>
      <c r="F881" s="94"/>
      <c r="G881" s="93"/>
      <c r="H881" s="93"/>
    </row>
    <row r="882" spans="1:9">
      <c r="A882" s="109">
        <v>12</v>
      </c>
      <c r="B882" s="109"/>
      <c r="C882" s="112" t="s">
        <v>350</v>
      </c>
      <c r="D882" s="88">
        <v>63381525</v>
      </c>
      <c r="E882" s="88"/>
      <c r="F882" s="88"/>
      <c r="G882" s="110"/>
      <c r="H882" s="110"/>
      <c r="I882" s="111"/>
    </row>
    <row r="883" spans="1:9">
      <c r="A883" s="109"/>
      <c r="B883" s="109"/>
      <c r="C883" s="112" t="s">
        <v>351</v>
      </c>
      <c r="D883" s="88"/>
      <c r="E883" s="88">
        <v>19900000</v>
      </c>
      <c r="F883" s="88"/>
    </row>
    <row r="884" spans="1:9">
      <c r="A884" s="109"/>
      <c r="B884" s="109"/>
      <c r="C884" s="112" t="s">
        <v>352</v>
      </c>
      <c r="D884" s="88"/>
      <c r="E884" s="88">
        <f>'[1]Pinjaman 2016'!$Y$235</f>
        <v>80450000</v>
      </c>
      <c r="F884" s="88"/>
    </row>
    <row r="885" spans="1:9">
      <c r="A885" s="109"/>
      <c r="B885" s="109"/>
      <c r="C885" s="112" t="s">
        <v>353</v>
      </c>
      <c r="D885" s="88"/>
      <c r="E885" s="88">
        <f>'[1]Pinjaman 2016'!$Z$235</f>
        <v>4877625</v>
      </c>
      <c r="F885" s="88"/>
    </row>
    <row r="886" spans="1:9">
      <c r="A886" s="109"/>
      <c r="B886" s="109"/>
      <c r="C886" s="112" t="s">
        <v>638</v>
      </c>
      <c r="D886" s="88"/>
      <c r="E886" s="88">
        <f>'[2]Electronic 2016'!$Y$203</f>
        <v>13372500</v>
      </c>
      <c r="F886" s="88"/>
    </row>
    <row r="887" spans="1:9">
      <c r="A887" s="109"/>
      <c r="B887" s="109"/>
      <c r="C887" s="112" t="s">
        <v>639</v>
      </c>
      <c r="D887" s="88"/>
      <c r="E887" s="88">
        <f>'[2]Electronic 2016'!$Z$203</f>
        <v>1107483</v>
      </c>
      <c r="F887" s="88"/>
    </row>
    <row r="888" spans="1:9">
      <c r="A888" s="109"/>
      <c r="B888" s="109"/>
      <c r="C888" s="112" t="s">
        <v>676</v>
      </c>
      <c r="D888" s="88"/>
      <c r="E888" s="124">
        <v>49354117</v>
      </c>
      <c r="F888" s="88"/>
    </row>
    <row r="889" spans="1:9">
      <c r="A889" s="109"/>
      <c r="B889" s="109"/>
      <c r="C889" s="112" t="s">
        <v>354</v>
      </c>
      <c r="D889" s="88"/>
      <c r="E889" s="88">
        <f>'[3]Summary keuntungan'!$B$9</f>
        <v>6938933</v>
      </c>
      <c r="F889" s="88"/>
      <c r="G889" s="12">
        <f>E888+E889</f>
        <v>56293050</v>
      </c>
    </row>
    <row r="890" spans="1:9" s="5" customFormat="1">
      <c r="A890" s="85"/>
      <c r="B890" s="117">
        <v>42677</v>
      </c>
      <c r="C890" s="87" t="s">
        <v>492</v>
      </c>
      <c r="D890" s="88">
        <v>831000</v>
      </c>
      <c r="E890" s="89"/>
      <c r="F890" s="89"/>
    </row>
    <row r="891" spans="1:9" s="5" customFormat="1">
      <c r="A891" s="85"/>
      <c r="B891" s="122">
        <v>42678</v>
      </c>
      <c r="C891" s="89" t="s">
        <v>417</v>
      </c>
      <c r="D891" s="88">
        <v>10000</v>
      </c>
      <c r="E891" s="89"/>
      <c r="F891" s="89"/>
    </row>
    <row r="892" spans="1:9" s="5" customFormat="1">
      <c r="A892" s="85"/>
      <c r="B892" s="117">
        <v>42678</v>
      </c>
      <c r="C892" s="94" t="s">
        <v>537</v>
      </c>
      <c r="D892" s="88">
        <v>16450000</v>
      </c>
      <c r="E892" s="89"/>
      <c r="F892" s="89"/>
    </row>
    <row r="893" spans="1:9" s="5" customFormat="1">
      <c r="A893" s="85"/>
      <c r="B893" s="117">
        <v>42678</v>
      </c>
      <c r="C893" s="87" t="s">
        <v>506</v>
      </c>
      <c r="D893" s="88">
        <v>466500</v>
      </c>
      <c r="E893" s="89"/>
      <c r="F893" s="89"/>
    </row>
    <row r="894" spans="1:9" s="5" customFormat="1">
      <c r="A894" s="85"/>
      <c r="B894" s="117">
        <v>42678</v>
      </c>
      <c r="C894" s="87" t="s">
        <v>493</v>
      </c>
      <c r="D894" s="88">
        <v>475000</v>
      </c>
      <c r="E894" s="89"/>
      <c r="F894" s="89"/>
    </row>
    <row r="895" spans="1:9" s="5" customFormat="1">
      <c r="A895" s="85"/>
      <c r="B895" s="117">
        <v>42679</v>
      </c>
      <c r="C895" s="87" t="s">
        <v>511</v>
      </c>
      <c r="D895" s="88">
        <v>831000</v>
      </c>
      <c r="E895" s="89"/>
      <c r="F895" s="89"/>
    </row>
    <row r="896" spans="1:9" s="5" customFormat="1">
      <c r="A896" s="85"/>
      <c r="B896" s="122">
        <v>42681</v>
      </c>
      <c r="C896" s="89" t="s">
        <v>417</v>
      </c>
      <c r="D896" s="88">
        <v>15000</v>
      </c>
      <c r="E896" s="89"/>
      <c r="F896" s="89"/>
    </row>
    <row r="897" spans="1:6" s="5" customFormat="1">
      <c r="A897" s="85"/>
      <c r="B897" s="122">
        <v>42681</v>
      </c>
      <c r="C897" s="3" t="s">
        <v>474</v>
      </c>
      <c r="D897" s="88">
        <v>6000</v>
      </c>
      <c r="E897" s="89"/>
      <c r="F897" s="89"/>
    </row>
    <row r="898" spans="1:6" s="5" customFormat="1">
      <c r="A898" s="85"/>
      <c r="B898" s="117">
        <v>42681</v>
      </c>
      <c r="C898" s="87" t="s">
        <v>496</v>
      </c>
      <c r="D898" s="88">
        <v>2072250</v>
      </c>
      <c r="E898" s="89"/>
      <c r="F898" s="89"/>
    </row>
    <row r="899" spans="1:6" s="5" customFormat="1">
      <c r="A899" s="85"/>
      <c r="B899" s="122">
        <v>42682</v>
      </c>
      <c r="C899" s="89" t="s">
        <v>417</v>
      </c>
      <c r="D899" s="88">
        <v>20000</v>
      </c>
      <c r="E899" s="89"/>
      <c r="F899" s="89"/>
    </row>
    <row r="900" spans="1:6" s="5" customFormat="1">
      <c r="A900" s="85"/>
      <c r="B900" s="117">
        <v>42682</v>
      </c>
      <c r="C900" s="87" t="s">
        <v>496</v>
      </c>
      <c r="D900" s="88">
        <v>2524450</v>
      </c>
      <c r="E900" s="89"/>
      <c r="F900" s="89"/>
    </row>
    <row r="901" spans="1:6" s="5" customFormat="1">
      <c r="A901" s="85"/>
      <c r="B901" s="117">
        <v>42682</v>
      </c>
      <c r="C901" s="87" t="s">
        <v>492</v>
      </c>
      <c r="D901" s="88">
        <v>1194000</v>
      </c>
      <c r="E901" s="89"/>
      <c r="F901" s="89"/>
    </row>
    <row r="902" spans="1:6" s="5" customFormat="1">
      <c r="A902" s="85"/>
      <c r="B902" s="122">
        <v>42685</v>
      </c>
      <c r="C902" s="89" t="s">
        <v>417</v>
      </c>
      <c r="D902" s="88">
        <v>25000</v>
      </c>
      <c r="E902" s="89"/>
      <c r="F902" s="89"/>
    </row>
    <row r="903" spans="1:6" s="5" customFormat="1">
      <c r="A903" s="85"/>
      <c r="B903" s="122">
        <v>42685</v>
      </c>
      <c r="C903" s="89" t="s">
        <v>417</v>
      </c>
      <c r="D903" s="88">
        <v>5000</v>
      </c>
      <c r="E903" s="89"/>
      <c r="F903" s="89"/>
    </row>
    <row r="904" spans="1:6" s="5" customFormat="1">
      <c r="A904" s="85"/>
      <c r="B904" s="122">
        <v>42685</v>
      </c>
      <c r="C904" s="89" t="s">
        <v>417</v>
      </c>
      <c r="D904" s="88">
        <v>10000</v>
      </c>
      <c r="E904" s="89"/>
      <c r="F904" s="89"/>
    </row>
    <row r="905" spans="1:6" s="5" customFormat="1">
      <c r="A905" s="85"/>
      <c r="B905" s="117">
        <v>42685</v>
      </c>
      <c r="C905" s="87" t="s">
        <v>496</v>
      </c>
      <c r="D905" s="88">
        <v>5879250</v>
      </c>
      <c r="E905" s="89"/>
      <c r="F905" s="89"/>
    </row>
    <row r="906" spans="1:6" s="5" customFormat="1">
      <c r="A906" s="85"/>
      <c r="B906" s="117">
        <v>42685</v>
      </c>
      <c r="C906" s="87" t="s">
        <v>493</v>
      </c>
      <c r="D906" s="88">
        <v>734000</v>
      </c>
      <c r="E906" s="89"/>
      <c r="F906" s="89"/>
    </row>
    <row r="907" spans="1:6" s="5" customFormat="1">
      <c r="A907" s="85"/>
      <c r="B907" s="117">
        <v>42685</v>
      </c>
      <c r="C907" s="87" t="s">
        <v>493</v>
      </c>
      <c r="D907" s="88">
        <v>711000</v>
      </c>
      <c r="E907" s="89"/>
      <c r="F907" s="89"/>
    </row>
    <row r="908" spans="1:6" s="5" customFormat="1">
      <c r="A908" s="85"/>
      <c r="B908" s="122">
        <v>42686</v>
      </c>
      <c r="C908" s="89" t="s">
        <v>444</v>
      </c>
      <c r="D908" s="88">
        <v>125000</v>
      </c>
      <c r="E908" s="89"/>
      <c r="F908" s="89"/>
    </row>
    <row r="909" spans="1:6" s="5" customFormat="1">
      <c r="A909" s="85"/>
      <c r="B909" s="122">
        <v>42686</v>
      </c>
      <c r="C909" s="3" t="s">
        <v>474</v>
      </c>
      <c r="D909" s="88">
        <v>6000</v>
      </c>
      <c r="E909" s="89"/>
      <c r="F909" s="89"/>
    </row>
    <row r="910" spans="1:6" s="5" customFormat="1">
      <c r="A910" s="85"/>
      <c r="B910" s="122">
        <v>42687</v>
      </c>
      <c r="C910" s="89" t="s">
        <v>417</v>
      </c>
      <c r="D910" s="88">
        <v>5000</v>
      </c>
      <c r="E910" s="89"/>
      <c r="F910" s="89"/>
    </row>
    <row r="911" spans="1:6" s="5" customFormat="1">
      <c r="A911" s="85"/>
      <c r="B911" s="117">
        <v>42687</v>
      </c>
      <c r="C911" s="87" t="s">
        <v>493</v>
      </c>
      <c r="D911" s="88">
        <v>517000</v>
      </c>
      <c r="E911" s="89"/>
      <c r="F911" s="89"/>
    </row>
    <row r="912" spans="1:6" s="5" customFormat="1">
      <c r="A912" s="85"/>
      <c r="B912" s="122">
        <v>42688</v>
      </c>
      <c r="C912" s="89" t="s">
        <v>417</v>
      </c>
      <c r="D912" s="88">
        <v>15000</v>
      </c>
      <c r="E912" s="89"/>
      <c r="F912" s="89"/>
    </row>
    <row r="913" spans="1:8" s="5" customFormat="1">
      <c r="A913" s="85"/>
      <c r="B913" s="117">
        <v>42688</v>
      </c>
      <c r="C913" s="87" t="s">
        <v>496</v>
      </c>
      <c r="D913" s="88">
        <v>1303650</v>
      </c>
      <c r="E913" s="89"/>
      <c r="F913" s="89"/>
    </row>
    <row r="914" spans="1:8" s="5" customFormat="1">
      <c r="A914" s="85"/>
      <c r="B914" s="122">
        <v>42689</v>
      </c>
      <c r="C914" s="89" t="s">
        <v>417</v>
      </c>
      <c r="D914" s="88">
        <v>20000</v>
      </c>
      <c r="E914" s="89"/>
      <c r="F914" s="89"/>
    </row>
    <row r="915" spans="1:8" s="5" customFormat="1">
      <c r="A915" s="85"/>
      <c r="B915" s="117">
        <v>42689</v>
      </c>
      <c r="C915" s="87" t="s">
        <v>506</v>
      </c>
      <c r="D915" s="88">
        <v>70550</v>
      </c>
      <c r="E915" s="89"/>
      <c r="F915" s="89"/>
    </row>
    <row r="916" spans="1:8" s="5" customFormat="1">
      <c r="A916" s="85"/>
      <c r="B916" s="117">
        <v>42689</v>
      </c>
      <c r="C916" s="87" t="s">
        <v>492</v>
      </c>
      <c r="D916" s="88">
        <v>420000</v>
      </c>
      <c r="E916" s="89"/>
      <c r="F916" s="89"/>
    </row>
    <row r="917" spans="1:8">
      <c r="A917" s="91"/>
      <c r="B917" s="117">
        <v>42689</v>
      </c>
      <c r="C917" s="87" t="s">
        <v>496</v>
      </c>
      <c r="D917" s="88">
        <v>1161250</v>
      </c>
      <c r="E917" s="94"/>
      <c r="F917" s="94"/>
      <c r="G917" s="93"/>
      <c r="H917" s="93"/>
    </row>
    <row r="918" spans="1:8">
      <c r="A918" s="91"/>
      <c r="B918" s="117">
        <v>42689</v>
      </c>
      <c r="C918" s="87" t="s">
        <v>492</v>
      </c>
      <c r="D918" s="88">
        <v>1242000</v>
      </c>
      <c r="E918" s="94"/>
      <c r="F918" s="94"/>
      <c r="G918" s="93"/>
      <c r="H918" s="93"/>
    </row>
    <row r="919" spans="1:8">
      <c r="A919" s="91"/>
      <c r="B919" s="122">
        <v>42690</v>
      </c>
      <c r="C919" s="89" t="s">
        <v>417</v>
      </c>
      <c r="D919" s="88">
        <v>10000</v>
      </c>
      <c r="E919" s="94"/>
      <c r="F919" s="94"/>
      <c r="G919" s="93"/>
      <c r="H919" s="93"/>
    </row>
    <row r="920" spans="1:8">
      <c r="A920" s="91"/>
      <c r="B920" s="122">
        <v>42690</v>
      </c>
      <c r="C920" s="3" t="s">
        <v>473</v>
      </c>
      <c r="D920" s="88">
        <v>36000</v>
      </c>
      <c r="E920" s="94"/>
      <c r="F920" s="94"/>
      <c r="G920" s="93"/>
      <c r="H920" s="93"/>
    </row>
    <row r="921" spans="1:8">
      <c r="A921" s="91"/>
      <c r="B921" s="122">
        <v>42690</v>
      </c>
      <c r="C921" s="3" t="s">
        <v>460</v>
      </c>
      <c r="D921" s="88">
        <v>77000</v>
      </c>
      <c r="E921" s="94"/>
      <c r="F921" s="94"/>
      <c r="G921" s="93"/>
      <c r="H921" s="93"/>
    </row>
    <row r="922" spans="1:8">
      <c r="A922" s="91"/>
      <c r="B922" s="122">
        <v>42690</v>
      </c>
      <c r="C922" s="3" t="s">
        <v>474</v>
      </c>
      <c r="D922" s="88">
        <v>6000</v>
      </c>
      <c r="E922" s="94"/>
      <c r="F922" s="94"/>
      <c r="G922" s="93"/>
      <c r="H922" s="93"/>
    </row>
    <row r="923" spans="1:8">
      <c r="A923" s="91"/>
      <c r="B923" s="117">
        <v>42690</v>
      </c>
      <c r="C923" s="87" t="s">
        <v>511</v>
      </c>
      <c r="D923" s="88">
        <v>1218000</v>
      </c>
      <c r="E923" s="94"/>
      <c r="F923" s="94"/>
      <c r="G923" s="93"/>
      <c r="H923" s="93"/>
    </row>
    <row r="924" spans="1:8">
      <c r="A924" s="91"/>
      <c r="B924" s="117">
        <v>42690</v>
      </c>
      <c r="C924" s="87" t="s">
        <v>493</v>
      </c>
      <c r="D924" s="88">
        <v>286500</v>
      </c>
      <c r="E924" s="94"/>
      <c r="F924" s="94"/>
      <c r="G924" s="93"/>
      <c r="H924" s="93"/>
    </row>
    <row r="925" spans="1:8">
      <c r="A925" s="91"/>
      <c r="B925" s="122">
        <v>42691</v>
      </c>
      <c r="C925" s="89" t="s">
        <v>482</v>
      </c>
      <c r="D925" s="88">
        <v>80000</v>
      </c>
      <c r="E925" s="94"/>
      <c r="F925" s="94"/>
      <c r="G925" s="93"/>
      <c r="H925" s="93"/>
    </row>
    <row r="926" spans="1:8">
      <c r="A926" s="91"/>
      <c r="B926" s="122">
        <v>42691</v>
      </c>
      <c r="C926" s="89" t="s">
        <v>417</v>
      </c>
      <c r="D926" s="88">
        <v>15000</v>
      </c>
      <c r="E926" s="94"/>
      <c r="F926" s="94"/>
      <c r="G926" s="93"/>
      <c r="H926" s="93"/>
    </row>
    <row r="927" spans="1:8">
      <c r="A927" s="91"/>
      <c r="B927" s="122">
        <v>42691</v>
      </c>
      <c r="C927" s="89" t="s">
        <v>417</v>
      </c>
      <c r="D927" s="88">
        <v>10000</v>
      </c>
      <c r="E927" s="94"/>
      <c r="F927" s="94"/>
      <c r="G927" s="93"/>
      <c r="H927" s="93"/>
    </row>
    <row r="928" spans="1:8">
      <c r="A928" s="91"/>
      <c r="B928" s="117">
        <v>42691</v>
      </c>
      <c r="C928" s="87" t="s">
        <v>517</v>
      </c>
      <c r="D928" s="88">
        <v>366700</v>
      </c>
      <c r="E928" s="94"/>
      <c r="F928" s="94"/>
      <c r="G928" s="93"/>
      <c r="H928" s="93"/>
    </row>
    <row r="929" spans="1:8">
      <c r="A929" s="91"/>
      <c r="B929" s="117">
        <v>42691</v>
      </c>
      <c r="C929" s="87" t="s">
        <v>493</v>
      </c>
      <c r="D929" s="88">
        <v>365000</v>
      </c>
      <c r="E929" s="94"/>
      <c r="F929" s="94"/>
      <c r="G929" s="93"/>
      <c r="H929" s="93"/>
    </row>
    <row r="930" spans="1:8">
      <c r="A930" s="91"/>
      <c r="B930" s="117">
        <v>42693</v>
      </c>
      <c r="C930" s="87" t="s">
        <v>506</v>
      </c>
      <c r="D930" s="88">
        <v>305900</v>
      </c>
      <c r="E930" s="94"/>
      <c r="F930" s="94"/>
      <c r="G930" s="93"/>
      <c r="H930" s="93"/>
    </row>
    <row r="931" spans="1:8">
      <c r="A931" s="91"/>
      <c r="B931" s="117">
        <v>42695</v>
      </c>
      <c r="C931" s="87" t="s">
        <v>492</v>
      </c>
      <c r="D931" s="88">
        <v>1089000</v>
      </c>
      <c r="E931" s="94"/>
      <c r="F931" s="94"/>
      <c r="G931" s="93"/>
      <c r="H931" s="93"/>
    </row>
    <row r="932" spans="1:8">
      <c r="A932" s="91"/>
      <c r="B932" s="122">
        <v>42696</v>
      </c>
      <c r="C932" s="89" t="s">
        <v>417</v>
      </c>
      <c r="D932" s="88">
        <v>10000</v>
      </c>
      <c r="E932" s="94"/>
      <c r="F932" s="94"/>
      <c r="G932" s="93"/>
      <c r="H932" s="93"/>
    </row>
    <row r="933" spans="1:8">
      <c r="A933" s="91"/>
      <c r="B933" s="117">
        <v>42696</v>
      </c>
      <c r="C933" s="87" t="s">
        <v>496</v>
      </c>
      <c r="D933" s="88">
        <v>1263750</v>
      </c>
      <c r="E933" s="94"/>
      <c r="F933" s="94"/>
      <c r="G933" s="93"/>
      <c r="H933" s="93"/>
    </row>
    <row r="934" spans="1:8">
      <c r="A934" s="91"/>
      <c r="B934" s="122">
        <v>42698</v>
      </c>
      <c r="C934" s="89" t="s">
        <v>417</v>
      </c>
      <c r="D934" s="88">
        <v>10000</v>
      </c>
      <c r="E934" s="94"/>
      <c r="F934" s="94"/>
      <c r="G934" s="93"/>
      <c r="H934" s="93"/>
    </row>
    <row r="935" spans="1:8">
      <c r="A935" s="91"/>
      <c r="B935" s="122">
        <v>42698</v>
      </c>
      <c r="C935" s="3" t="s">
        <v>474</v>
      </c>
      <c r="D935" s="88">
        <v>9000</v>
      </c>
      <c r="E935" s="94"/>
      <c r="F935" s="94"/>
      <c r="G935" s="93"/>
      <c r="H935" s="93"/>
    </row>
    <row r="936" spans="1:8">
      <c r="A936" s="91"/>
      <c r="B936" s="117">
        <v>42698</v>
      </c>
      <c r="C936" s="87" t="s">
        <v>493</v>
      </c>
      <c r="D936" s="88">
        <v>1018000</v>
      </c>
      <c r="E936" s="94"/>
      <c r="F936" s="94"/>
      <c r="G936" s="93"/>
      <c r="H936" s="93"/>
    </row>
    <row r="937" spans="1:8">
      <c r="A937" s="91"/>
      <c r="B937" s="122">
        <v>42700</v>
      </c>
      <c r="C937" s="89" t="s">
        <v>417</v>
      </c>
      <c r="D937" s="88">
        <v>15000</v>
      </c>
      <c r="E937" s="94"/>
      <c r="F937" s="94"/>
      <c r="G937" s="93"/>
      <c r="H937" s="93"/>
    </row>
    <row r="938" spans="1:8">
      <c r="A938" s="91"/>
      <c r="B938" s="122">
        <v>42700</v>
      </c>
      <c r="C938" s="89" t="s">
        <v>417</v>
      </c>
      <c r="D938" s="88">
        <v>25000</v>
      </c>
      <c r="E938" s="94"/>
      <c r="F938" s="94"/>
      <c r="G938" s="93"/>
      <c r="H938" s="93"/>
    </row>
    <row r="939" spans="1:8">
      <c r="A939" s="91"/>
      <c r="B939" s="117">
        <v>42700</v>
      </c>
      <c r="C939" s="87" t="s">
        <v>496</v>
      </c>
      <c r="D939" s="88">
        <v>8257000</v>
      </c>
      <c r="E939" s="94"/>
      <c r="F939" s="94"/>
      <c r="G939" s="93"/>
      <c r="H939" s="93"/>
    </row>
    <row r="940" spans="1:8">
      <c r="A940" s="91"/>
      <c r="B940" s="117">
        <v>42700</v>
      </c>
      <c r="C940" s="87" t="s">
        <v>554</v>
      </c>
      <c r="D940" s="88">
        <v>1246705</v>
      </c>
      <c r="E940" s="94"/>
      <c r="F940" s="94"/>
      <c r="G940" s="93"/>
      <c r="H940" s="93"/>
    </row>
    <row r="941" spans="1:8">
      <c r="A941" s="91"/>
      <c r="B941" s="117">
        <v>42702</v>
      </c>
      <c r="C941" s="87" t="s">
        <v>511</v>
      </c>
      <c r="D941" s="88">
        <v>874000</v>
      </c>
      <c r="E941" s="94"/>
      <c r="F941" s="94"/>
      <c r="G941" s="93"/>
      <c r="H941" s="93"/>
    </row>
    <row r="942" spans="1:8">
      <c r="A942" s="91"/>
      <c r="B942" s="122">
        <v>42703</v>
      </c>
      <c r="C942" s="89" t="s">
        <v>417</v>
      </c>
      <c r="D942" s="88">
        <v>10000</v>
      </c>
      <c r="E942" s="94"/>
      <c r="F942" s="94"/>
      <c r="G942" s="93"/>
      <c r="H942" s="93"/>
    </row>
    <row r="943" spans="1:8">
      <c r="A943" s="91"/>
      <c r="B943" s="117">
        <v>42703</v>
      </c>
      <c r="C943" s="87" t="s">
        <v>496</v>
      </c>
      <c r="D943" s="88">
        <v>481000</v>
      </c>
      <c r="E943" s="94"/>
      <c r="F943" s="94"/>
      <c r="G943" s="93"/>
      <c r="H943" s="93"/>
    </row>
    <row r="944" spans="1:8">
      <c r="A944" s="91"/>
      <c r="B944" s="117">
        <v>42703</v>
      </c>
      <c r="C944" s="87" t="s">
        <v>492</v>
      </c>
      <c r="D944" s="88">
        <v>1452000</v>
      </c>
      <c r="E944" s="94"/>
      <c r="F944" s="94"/>
      <c r="G944" s="93"/>
      <c r="H944" s="93"/>
    </row>
    <row r="945" spans="1:8">
      <c r="A945" s="91"/>
      <c r="B945" s="122">
        <v>42704</v>
      </c>
      <c r="C945" s="89" t="s">
        <v>483</v>
      </c>
      <c r="D945" s="88">
        <v>1700000</v>
      </c>
      <c r="E945" s="94"/>
      <c r="F945" s="94"/>
      <c r="G945" s="93"/>
      <c r="H945" s="93"/>
    </row>
    <row r="946" spans="1:8">
      <c r="A946" s="91"/>
      <c r="B946" s="122">
        <v>42704</v>
      </c>
      <c r="C946" s="89" t="s">
        <v>484</v>
      </c>
      <c r="D946" s="88">
        <v>300000</v>
      </c>
      <c r="E946" s="94"/>
      <c r="F946" s="94"/>
      <c r="G946" s="93"/>
      <c r="H946" s="93"/>
    </row>
    <row r="947" spans="1:8">
      <c r="A947" s="91"/>
      <c r="B947" s="117">
        <v>42704</v>
      </c>
      <c r="C947" s="87" t="s">
        <v>610</v>
      </c>
      <c r="D947" s="88">
        <v>3775000</v>
      </c>
      <c r="E947" s="94"/>
      <c r="F947" s="94"/>
      <c r="G947" s="93"/>
      <c r="H947" s="93"/>
    </row>
    <row r="948" spans="1:8">
      <c r="A948" s="91"/>
      <c r="B948" s="117">
        <v>42704</v>
      </c>
      <c r="C948" s="87" t="s">
        <v>611</v>
      </c>
      <c r="D948" s="88">
        <v>3000000</v>
      </c>
      <c r="E948" s="94"/>
      <c r="F948" s="94"/>
      <c r="G948" s="93"/>
      <c r="H948" s="93"/>
    </row>
    <row r="949" spans="1:8">
      <c r="A949" s="91"/>
      <c r="B949" s="117">
        <v>42704</v>
      </c>
      <c r="C949" s="87" t="s">
        <v>612</v>
      </c>
      <c r="D949" s="88">
        <v>3775000</v>
      </c>
      <c r="E949" s="94"/>
      <c r="F949" s="94"/>
      <c r="G949" s="93"/>
      <c r="H949" s="93"/>
    </row>
    <row r="950" spans="1:8">
      <c r="A950" s="91"/>
      <c r="B950" s="117">
        <v>42704</v>
      </c>
      <c r="C950" s="87" t="s">
        <v>613</v>
      </c>
      <c r="D950" s="88">
        <v>3775000</v>
      </c>
      <c r="E950" s="94"/>
      <c r="F950" s="94"/>
      <c r="G950" s="93"/>
      <c r="H950" s="93"/>
    </row>
    <row r="951" spans="1:8">
      <c r="A951" s="91"/>
      <c r="B951" s="117">
        <v>42704</v>
      </c>
      <c r="C951" s="87" t="s">
        <v>614</v>
      </c>
      <c r="D951" s="88">
        <v>3775000</v>
      </c>
      <c r="E951" s="94"/>
      <c r="F951" s="94"/>
      <c r="G951" s="93"/>
      <c r="H951" s="93"/>
    </row>
    <row r="952" spans="1:8">
      <c r="A952" s="91"/>
      <c r="B952" s="117">
        <v>42704</v>
      </c>
      <c r="C952" s="87" t="s">
        <v>615</v>
      </c>
      <c r="D952" s="88">
        <v>3775000</v>
      </c>
      <c r="E952" s="94"/>
      <c r="F952" s="94"/>
      <c r="G952" s="93"/>
      <c r="H952" s="93"/>
    </row>
    <row r="953" spans="1:8">
      <c r="A953" s="95"/>
      <c r="B953" s="118">
        <v>42704</v>
      </c>
      <c r="C953" s="120" t="s">
        <v>560</v>
      </c>
      <c r="D953" s="86">
        <v>200000</v>
      </c>
      <c r="E953" s="97"/>
      <c r="F953" s="94"/>
      <c r="G953" s="93"/>
      <c r="H953" s="93"/>
    </row>
    <row r="954" spans="1:8">
      <c r="A954" s="109">
        <v>13</v>
      </c>
      <c r="B954" s="109"/>
      <c r="C954" s="112" t="s">
        <v>355</v>
      </c>
      <c r="D954" s="88">
        <v>89788750</v>
      </c>
      <c r="E954" s="88"/>
      <c r="F954" s="88"/>
    </row>
    <row r="955" spans="1:8">
      <c r="A955" s="109"/>
      <c r="B955" s="109"/>
      <c r="C955" s="112" t="s">
        <v>356</v>
      </c>
      <c r="D955" s="88"/>
      <c r="E955" s="88">
        <v>19500000</v>
      </c>
      <c r="F955" s="88"/>
    </row>
    <row r="956" spans="1:8">
      <c r="A956" s="109"/>
      <c r="B956" s="109"/>
      <c r="C956" s="112" t="s">
        <v>357</v>
      </c>
      <c r="D956" s="88"/>
      <c r="E956" s="88">
        <f>'[1]Pinjaman 2016'!$AA$235</f>
        <v>80500000</v>
      </c>
      <c r="F956" s="88"/>
    </row>
    <row r="957" spans="1:8">
      <c r="A957" s="109"/>
      <c r="B957" s="109"/>
      <c r="C957" s="112" t="s">
        <v>358</v>
      </c>
      <c r="D957" s="88"/>
      <c r="E957" s="88">
        <f>'[1]Pinjaman 2016'!$AB$235</f>
        <v>4892625</v>
      </c>
      <c r="F957" s="88"/>
    </row>
    <row r="958" spans="1:8">
      <c r="A958" s="109"/>
      <c r="B958" s="109"/>
      <c r="C958" s="112" t="s">
        <v>640</v>
      </c>
      <c r="D958" s="88"/>
      <c r="E958" s="88">
        <f>'[2]Electronic 2016'!$AA$203</f>
        <v>12934166.666666668</v>
      </c>
      <c r="F958" s="88"/>
    </row>
    <row r="959" spans="1:8">
      <c r="A959" s="109"/>
      <c r="B959" s="109"/>
      <c r="C959" s="112" t="s">
        <v>641</v>
      </c>
      <c r="D959" s="88"/>
      <c r="E959" s="88">
        <f>'[2]Electronic 2016'!$AB$203</f>
        <v>1049284.3333333333</v>
      </c>
      <c r="F959" s="88"/>
    </row>
    <row r="960" spans="1:8">
      <c r="A960" s="109"/>
      <c r="B960" s="109"/>
      <c r="C960" s="112" t="s">
        <v>677</v>
      </c>
      <c r="D960" s="88"/>
      <c r="E960" s="124">
        <v>47632676</v>
      </c>
      <c r="F960" s="88"/>
    </row>
    <row r="961" spans="1:7">
      <c r="A961" s="109"/>
      <c r="B961" s="109"/>
      <c r="C961" s="112" t="s">
        <v>621</v>
      </c>
      <c r="D961" s="88"/>
      <c r="E961" s="88">
        <f>'[3]Summary keuntungan'!$B$10</f>
        <v>6457574</v>
      </c>
      <c r="F961" s="88"/>
      <c r="G961" s="12">
        <f>E960+E961</f>
        <v>54090250</v>
      </c>
    </row>
    <row r="962" spans="1:7" s="5" customFormat="1">
      <c r="A962" s="85"/>
      <c r="B962" s="122">
        <v>42705</v>
      </c>
      <c r="C962" s="89" t="s">
        <v>458</v>
      </c>
      <c r="D962" s="88">
        <v>20000</v>
      </c>
      <c r="E962" s="89"/>
      <c r="F962" s="89"/>
    </row>
    <row r="963" spans="1:7" s="5" customFormat="1">
      <c r="A963" s="85"/>
      <c r="B963" s="122">
        <v>42705</v>
      </c>
      <c r="C963" s="89" t="s">
        <v>485</v>
      </c>
      <c r="D963" s="88">
        <v>40000</v>
      </c>
      <c r="E963" s="89"/>
      <c r="F963" s="89"/>
    </row>
    <row r="964" spans="1:7" s="5" customFormat="1">
      <c r="A964" s="85"/>
      <c r="B964" s="122">
        <v>42705</v>
      </c>
      <c r="C964" s="89" t="s">
        <v>417</v>
      </c>
      <c r="D964" s="88">
        <v>10000</v>
      </c>
      <c r="E964" s="89"/>
      <c r="F964" s="89"/>
    </row>
    <row r="965" spans="1:7" s="5" customFormat="1">
      <c r="A965" s="85"/>
      <c r="B965" s="117">
        <v>42705</v>
      </c>
      <c r="C965" s="94" t="s">
        <v>537</v>
      </c>
      <c r="D965" s="88">
        <v>11000000</v>
      </c>
      <c r="E965" s="89"/>
      <c r="F965" s="89"/>
    </row>
    <row r="966" spans="1:7" s="5" customFormat="1">
      <c r="A966" s="85"/>
      <c r="B966" s="117">
        <v>42705</v>
      </c>
      <c r="C966" s="87" t="s">
        <v>493</v>
      </c>
      <c r="D966" s="88">
        <v>644000</v>
      </c>
      <c r="E966" s="89"/>
      <c r="F966" s="89"/>
    </row>
    <row r="967" spans="1:7" s="5" customFormat="1">
      <c r="A967" s="85"/>
      <c r="B967" s="122">
        <v>42707</v>
      </c>
      <c r="C967" s="3" t="s">
        <v>474</v>
      </c>
      <c r="D967" s="88">
        <v>9000</v>
      </c>
      <c r="E967" s="89"/>
      <c r="F967" s="89"/>
    </row>
    <row r="968" spans="1:7" s="5" customFormat="1">
      <c r="A968" s="85"/>
      <c r="B968" s="122">
        <v>42709</v>
      </c>
      <c r="C968" s="89" t="s">
        <v>417</v>
      </c>
      <c r="D968" s="88">
        <v>25000</v>
      </c>
      <c r="E968" s="89"/>
      <c r="F968" s="89"/>
    </row>
    <row r="969" spans="1:7" s="5" customFormat="1">
      <c r="A969" s="85"/>
      <c r="B969" s="122">
        <v>42709</v>
      </c>
      <c r="C969" s="3" t="s">
        <v>460</v>
      </c>
      <c r="D969" s="88">
        <v>179000</v>
      </c>
      <c r="E969" s="89"/>
      <c r="F969" s="89"/>
    </row>
    <row r="970" spans="1:7" s="5" customFormat="1">
      <c r="A970" s="85"/>
      <c r="B970" s="117">
        <v>42709</v>
      </c>
      <c r="C970" s="87" t="s">
        <v>506</v>
      </c>
      <c r="D970" s="88">
        <v>155400</v>
      </c>
      <c r="E970" s="89"/>
      <c r="F970" s="89"/>
    </row>
    <row r="971" spans="1:7" s="5" customFormat="1">
      <c r="A971" s="85"/>
      <c r="B971" s="117">
        <v>42709</v>
      </c>
      <c r="C971" s="87" t="s">
        <v>496</v>
      </c>
      <c r="D971" s="88">
        <v>7662500</v>
      </c>
      <c r="E971" s="89"/>
      <c r="F971" s="89"/>
    </row>
    <row r="972" spans="1:7" s="5" customFormat="1">
      <c r="A972" s="85"/>
      <c r="B972" s="117">
        <v>42709</v>
      </c>
      <c r="C972" s="87" t="s">
        <v>492</v>
      </c>
      <c r="D972" s="88">
        <v>525000</v>
      </c>
      <c r="E972" s="89"/>
      <c r="F972" s="89"/>
    </row>
    <row r="973" spans="1:7" s="5" customFormat="1">
      <c r="A973" s="85"/>
      <c r="B973" s="117">
        <v>42710</v>
      </c>
      <c r="C973" s="87" t="s">
        <v>492</v>
      </c>
      <c r="D973" s="88">
        <v>1300000</v>
      </c>
      <c r="E973" s="89"/>
      <c r="F973" s="89"/>
    </row>
    <row r="974" spans="1:7" s="5" customFormat="1">
      <c r="A974" s="85"/>
      <c r="B974" s="117">
        <v>42710</v>
      </c>
      <c r="C974" s="87" t="s">
        <v>511</v>
      </c>
      <c r="D974" s="88">
        <v>883000</v>
      </c>
      <c r="E974" s="89"/>
      <c r="F974" s="89"/>
    </row>
    <row r="975" spans="1:7" s="5" customFormat="1">
      <c r="A975" s="85"/>
      <c r="B975" s="122">
        <v>42711</v>
      </c>
      <c r="C975" s="89" t="s">
        <v>417</v>
      </c>
      <c r="D975" s="88">
        <v>15000</v>
      </c>
      <c r="E975" s="89"/>
      <c r="F975" s="89"/>
    </row>
    <row r="976" spans="1:7" s="5" customFormat="1">
      <c r="A976" s="85"/>
      <c r="B976" s="122">
        <v>42711</v>
      </c>
      <c r="C976" s="89" t="s">
        <v>417</v>
      </c>
      <c r="D976" s="88">
        <v>20000</v>
      </c>
      <c r="E976" s="89"/>
      <c r="F976" s="89"/>
    </row>
    <row r="977" spans="1:8" s="5" customFormat="1">
      <c r="A977" s="85"/>
      <c r="B977" s="117">
        <v>42711</v>
      </c>
      <c r="C977" s="87" t="s">
        <v>493</v>
      </c>
      <c r="D977" s="88">
        <v>301000</v>
      </c>
      <c r="E977" s="89"/>
      <c r="F977" s="89"/>
    </row>
    <row r="978" spans="1:8" s="5" customFormat="1">
      <c r="A978" s="85"/>
      <c r="B978" s="117">
        <v>42711</v>
      </c>
      <c r="C978" s="87" t="s">
        <v>493</v>
      </c>
      <c r="D978" s="88">
        <v>766000</v>
      </c>
      <c r="E978" s="89"/>
      <c r="F978" s="89"/>
    </row>
    <row r="979" spans="1:8" s="5" customFormat="1">
      <c r="A979" s="85"/>
      <c r="B979" s="117">
        <v>42711</v>
      </c>
      <c r="C979" s="87" t="s">
        <v>496</v>
      </c>
      <c r="D979" s="88">
        <v>1515500</v>
      </c>
      <c r="E979" s="89"/>
      <c r="F979" s="89"/>
    </row>
    <row r="980" spans="1:8" s="5" customFormat="1">
      <c r="A980" s="85"/>
      <c r="B980" s="117">
        <v>42711</v>
      </c>
      <c r="C980" s="87" t="s">
        <v>492</v>
      </c>
      <c r="D980" s="88">
        <v>420000</v>
      </c>
      <c r="E980" s="89"/>
      <c r="F980" s="89"/>
    </row>
    <row r="981" spans="1:8" s="5" customFormat="1">
      <c r="A981" s="85"/>
      <c r="B981" s="122">
        <v>42714</v>
      </c>
      <c r="C981" s="89" t="s">
        <v>417</v>
      </c>
      <c r="D981" s="88">
        <v>25000</v>
      </c>
      <c r="E981" s="89"/>
      <c r="F981" s="89"/>
    </row>
    <row r="982" spans="1:8">
      <c r="A982" s="91"/>
      <c r="B982" s="117">
        <v>42714</v>
      </c>
      <c r="C982" s="87" t="s">
        <v>554</v>
      </c>
      <c r="D982" s="88">
        <v>1152475</v>
      </c>
      <c r="E982" s="94"/>
      <c r="F982" s="94"/>
      <c r="G982" s="93"/>
      <c r="H982" s="93"/>
    </row>
    <row r="983" spans="1:8">
      <c r="A983" s="91"/>
      <c r="B983" s="117">
        <v>42716</v>
      </c>
      <c r="C983" s="87" t="s">
        <v>506</v>
      </c>
      <c r="D983" s="88">
        <v>265200</v>
      </c>
      <c r="E983" s="94"/>
      <c r="F983" s="94"/>
      <c r="G983" s="93"/>
      <c r="H983" s="93"/>
    </row>
    <row r="984" spans="1:8">
      <c r="A984" s="91"/>
      <c r="B984" s="117">
        <v>42717</v>
      </c>
      <c r="C984" s="87" t="s">
        <v>493</v>
      </c>
      <c r="D984" s="88">
        <v>454000</v>
      </c>
      <c r="E984" s="94"/>
      <c r="F984" s="94"/>
      <c r="G984" s="93"/>
      <c r="H984" s="93"/>
    </row>
    <row r="985" spans="1:8">
      <c r="A985" s="91"/>
      <c r="B985" s="117">
        <v>42718</v>
      </c>
      <c r="C985" s="87" t="s">
        <v>492</v>
      </c>
      <c r="D985" s="88">
        <v>1815000</v>
      </c>
      <c r="E985" s="94"/>
      <c r="F985" s="94"/>
      <c r="G985" s="93"/>
      <c r="H985" s="93"/>
    </row>
    <row r="986" spans="1:8">
      <c r="A986" s="91"/>
      <c r="B986" s="122">
        <v>42719</v>
      </c>
      <c r="C986" s="3" t="s">
        <v>474</v>
      </c>
      <c r="D986" s="88">
        <v>9000</v>
      </c>
      <c r="E986" s="94"/>
      <c r="F986" s="94"/>
      <c r="G986" s="93"/>
      <c r="H986" s="93"/>
    </row>
    <row r="987" spans="1:8">
      <c r="A987" s="91"/>
      <c r="B987" s="122">
        <v>42720</v>
      </c>
      <c r="C987" s="3" t="s">
        <v>473</v>
      </c>
      <c r="D987" s="88">
        <v>36000</v>
      </c>
      <c r="E987" s="94"/>
      <c r="F987" s="94"/>
      <c r="G987" s="93"/>
      <c r="H987" s="93"/>
    </row>
    <row r="988" spans="1:8">
      <c r="A988" s="91"/>
      <c r="B988" s="122">
        <v>42722</v>
      </c>
      <c r="C988" s="89" t="s">
        <v>417</v>
      </c>
      <c r="D988" s="88">
        <v>10000</v>
      </c>
      <c r="E988" s="94"/>
      <c r="F988" s="94"/>
      <c r="G988" s="93"/>
      <c r="H988" s="93"/>
    </row>
    <row r="989" spans="1:8">
      <c r="A989" s="91"/>
      <c r="B989" s="117">
        <v>42722</v>
      </c>
      <c r="C989" s="87" t="s">
        <v>506</v>
      </c>
      <c r="D989" s="88">
        <v>226150</v>
      </c>
      <c r="E989" s="94"/>
      <c r="F989" s="94"/>
      <c r="G989" s="93"/>
      <c r="H989" s="93"/>
    </row>
    <row r="990" spans="1:8">
      <c r="A990" s="91"/>
      <c r="B990" s="117">
        <v>42722</v>
      </c>
      <c r="C990" s="87" t="s">
        <v>493</v>
      </c>
      <c r="D990" s="88">
        <v>762000</v>
      </c>
      <c r="E990" s="94"/>
      <c r="F990" s="94"/>
      <c r="G990" s="93"/>
      <c r="H990" s="93"/>
    </row>
    <row r="991" spans="1:8">
      <c r="A991" s="91"/>
      <c r="B991" s="122">
        <v>42723</v>
      </c>
      <c r="C991" s="89" t="s">
        <v>417</v>
      </c>
      <c r="D991" s="88">
        <v>20000</v>
      </c>
      <c r="E991" s="94"/>
      <c r="F991" s="94"/>
      <c r="G991" s="93"/>
      <c r="H991" s="93"/>
    </row>
    <row r="992" spans="1:8">
      <c r="A992" s="91"/>
      <c r="B992" s="117">
        <v>42723</v>
      </c>
      <c r="C992" s="87" t="s">
        <v>496</v>
      </c>
      <c r="D992" s="88">
        <v>7604850</v>
      </c>
      <c r="E992" s="94"/>
      <c r="F992" s="94"/>
      <c r="G992" s="93"/>
      <c r="H992" s="93"/>
    </row>
    <row r="993" spans="1:8">
      <c r="A993" s="91"/>
      <c r="B993" s="117">
        <v>42723</v>
      </c>
      <c r="C993" s="87" t="s">
        <v>501</v>
      </c>
      <c r="D993" s="88">
        <v>678000</v>
      </c>
      <c r="E993" s="94"/>
      <c r="F993" s="94"/>
      <c r="G993" s="93"/>
      <c r="H993" s="93"/>
    </row>
    <row r="994" spans="1:8">
      <c r="A994" s="91"/>
      <c r="B994" s="117">
        <v>42723</v>
      </c>
      <c r="C994" s="87" t="s">
        <v>492</v>
      </c>
      <c r="D994" s="88">
        <v>1662000</v>
      </c>
      <c r="E994" s="94"/>
      <c r="F994" s="94"/>
      <c r="G994" s="93"/>
      <c r="H994" s="93"/>
    </row>
    <row r="995" spans="1:8">
      <c r="A995" s="91"/>
      <c r="B995" s="122">
        <v>42724</v>
      </c>
      <c r="C995" s="89" t="s">
        <v>417</v>
      </c>
      <c r="D995" s="88">
        <v>20000</v>
      </c>
      <c r="E995" s="94"/>
      <c r="F995" s="94"/>
      <c r="G995" s="93"/>
      <c r="H995" s="93"/>
    </row>
    <row r="996" spans="1:8">
      <c r="A996" s="91"/>
      <c r="B996" s="117">
        <v>42724</v>
      </c>
      <c r="C996" s="87" t="s">
        <v>496</v>
      </c>
      <c r="D996" s="88">
        <v>2201150</v>
      </c>
      <c r="E996" s="94"/>
      <c r="F996" s="94"/>
      <c r="G996" s="93"/>
      <c r="H996" s="93"/>
    </row>
    <row r="997" spans="1:8">
      <c r="A997" s="91"/>
      <c r="B997" s="122">
        <v>42726</v>
      </c>
      <c r="C997" s="89" t="s">
        <v>417</v>
      </c>
      <c r="D997" s="88">
        <v>10000</v>
      </c>
      <c r="E997" s="94"/>
      <c r="F997" s="94"/>
      <c r="G997" s="93"/>
      <c r="H997" s="93"/>
    </row>
    <row r="998" spans="1:8">
      <c r="A998" s="91"/>
      <c r="B998" s="122">
        <v>42726</v>
      </c>
      <c r="C998" s="3" t="s">
        <v>420</v>
      </c>
      <c r="D998" s="88">
        <v>19000</v>
      </c>
      <c r="E998" s="94"/>
      <c r="F998" s="94"/>
      <c r="G998" s="93"/>
      <c r="H998" s="93"/>
    </row>
    <row r="999" spans="1:8">
      <c r="A999" s="91"/>
      <c r="B999" s="117">
        <v>42726</v>
      </c>
      <c r="C999" s="87" t="s">
        <v>501</v>
      </c>
      <c r="D999" s="88">
        <v>443000</v>
      </c>
      <c r="E999" s="94"/>
      <c r="F999" s="94"/>
      <c r="G999" s="93"/>
      <c r="H999" s="93"/>
    </row>
    <row r="1000" spans="1:8">
      <c r="A1000" s="91"/>
      <c r="B1000" s="117">
        <v>42726</v>
      </c>
      <c r="C1000" s="87" t="s">
        <v>493</v>
      </c>
      <c r="D1000" s="88">
        <v>326000</v>
      </c>
      <c r="E1000" s="94"/>
      <c r="F1000" s="94"/>
      <c r="G1000" s="93"/>
      <c r="H1000" s="93"/>
    </row>
    <row r="1001" spans="1:8">
      <c r="A1001" s="91"/>
      <c r="B1001" s="117">
        <v>42727</v>
      </c>
      <c r="C1001" s="87" t="s">
        <v>551</v>
      </c>
      <c r="D1001" s="88">
        <v>243000</v>
      </c>
      <c r="E1001" s="94"/>
      <c r="F1001" s="94"/>
      <c r="G1001" s="93"/>
      <c r="H1001" s="93"/>
    </row>
    <row r="1002" spans="1:8">
      <c r="A1002" s="91"/>
      <c r="B1002" s="122">
        <v>42730</v>
      </c>
      <c r="C1002" s="3" t="s">
        <v>474</v>
      </c>
      <c r="D1002" s="88">
        <v>6000</v>
      </c>
      <c r="E1002" s="94"/>
      <c r="F1002" s="94"/>
      <c r="G1002" s="93"/>
      <c r="H1002" s="93"/>
    </row>
    <row r="1003" spans="1:8">
      <c r="A1003" s="91"/>
      <c r="B1003" s="122">
        <v>42734</v>
      </c>
      <c r="C1003" s="3" t="s">
        <v>474</v>
      </c>
      <c r="D1003" s="88">
        <v>9000</v>
      </c>
      <c r="E1003" s="94"/>
      <c r="F1003" s="94"/>
      <c r="G1003" s="93"/>
      <c r="H1003" s="93"/>
    </row>
    <row r="1004" spans="1:8">
      <c r="A1004" s="91"/>
      <c r="B1004" s="122">
        <v>42735</v>
      </c>
      <c r="C1004" s="89" t="s">
        <v>486</v>
      </c>
      <c r="D1004" s="88">
        <v>1700000</v>
      </c>
      <c r="E1004" s="94"/>
      <c r="F1004" s="94"/>
      <c r="G1004" s="93"/>
      <c r="H1004" s="93"/>
    </row>
    <row r="1005" spans="1:8">
      <c r="A1005" s="91"/>
      <c r="B1005" s="122">
        <v>42735</v>
      </c>
      <c r="C1005" s="89" t="s">
        <v>487</v>
      </c>
      <c r="D1005" s="88">
        <v>300000</v>
      </c>
      <c r="E1005" s="94"/>
      <c r="F1005" s="94"/>
      <c r="G1005" s="93"/>
      <c r="H1005" s="93"/>
    </row>
    <row r="1006" spans="1:8">
      <c r="A1006" s="91"/>
      <c r="B1006" s="117">
        <v>42735</v>
      </c>
      <c r="C1006" s="87" t="s">
        <v>616</v>
      </c>
      <c r="D1006" s="88">
        <v>3875000</v>
      </c>
      <c r="E1006" s="94"/>
      <c r="F1006" s="94"/>
      <c r="G1006" s="93"/>
      <c r="H1006" s="93"/>
    </row>
    <row r="1007" spans="1:8">
      <c r="A1007" s="91"/>
      <c r="B1007" s="117">
        <v>42735</v>
      </c>
      <c r="C1007" s="87" t="s">
        <v>617</v>
      </c>
      <c r="D1007" s="88">
        <v>3775000</v>
      </c>
      <c r="E1007" s="94"/>
      <c r="F1007" s="94"/>
      <c r="G1007" s="93"/>
      <c r="H1007" s="93"/>
    </row>
    <row r="1008" spans="1:8">
      <c r="A1008" s="91"/>
      <c r="B1008" s="117">
        <v>42735</v>
      </c>
      <c r="C1008" s="87" t="s">
        <v>618</v>
      </c>
      <c r="D1008" s="88">
        <v>1000000</v>
      </c>
      <c r="E1008" s="94"/>
      <c r="F1008" s="94"/>
      <c r="G1008" s="93"/>
      <c r="H1008" s="93"/>
    </row>
    <row r="1009" spans="1:9">
      <c r="A1009" s="91"/>
      <c r="B1009" s="117">
        <v>42735</v>
      </c>
      <c r="C1009" s="87" t="s">
        <v>619</v>
      </c>
      <c r="D1009" s="88">
        <v>3875000</v>
      </c>
      <c r="E1009" s="94"/>
      <c r="F1009" s="94"/>
      <c r="G1009" s="93"/>
      <c r="H1009" s="93"/>
    </row>
    <row r="1010" spans="1:9">
      <c r="A1010" s="95"/>
      <c r="B1010" s="118">
        <v>42735</v>
      </c>
      <c r="C1010" s="120" t="s">
        <v>620</v>
      </c>
      <c r="D1010" s="86">
        <v>500000</v>
      </c>
      <c r="E1010" s="97"/>
      <c r="F1010" s="97"/>
      <c r="G1010" s="93"/>
      <c r="H1010" s="93"/>
    </row>
    <row r="1011" spans="1:9">
      <c r="A1011" s="106"/>
      <c r="B1011" s="106"/>
      <c r="C1011" s="72"/>
      <c r="D1011" s="113">
        <f>SUM(D4:D1010)</f>
        <v>4018314841.3200002</v>
      </c>
      <c r="E1011" s="113">
        <f>SUM(E4:E1010)</f>
        <v>4411511593.333334</v>
      </c>
      <c r="F1011" s="113">
        <f>E1011-D1011</f>
        <v>393196752.0133338</v>
      </c>
    </row>
    <row r="1013" spans="1:9">
      <c r="A1013" s="98"/>
      <c r="B1013" s="119"/>
      <c r="C1013" s="99"/>
      <c r="D1013" s="100"/>
      <c r="E1013" s="101"/>
    </row>
    <row r="1014" spans="1:9">
      <c r="A1014" s="98"/>
      <c r="B1014" s="119"/>
      <c r="C1014" s="99"/>
      <c r="D1014" s="100"/>
      <c r="E1014" s="101"/>
    </row>
    <row r="1015" spans="1:9">
      <c r="A1015" s="98"/>
      <c r="B1015" s="119"/>
      <c r="C1015" s="102"/>
      <c r="D1015" s="100"/>
      <c r="E1015" s="101"/>
    </row>
    <row r="1016" spans="1:9">
      <c r="A1016" s="98"/>
      <c r="B1016" s="119"/>
      <c r="C1016" s="102"/>
      <c r="D1016" s="100"/>
      <c r="E1016" s="100"/>
    </row>
    <row r="1017" spans="1:9">
      <c r="A1017" s="98"/>
      <c r="B1017" s="119"/>
      <c r="C1017" s="102"/>
      <c r="D1017" s="103"/>
      <c r="E1017" s="103"/>
      <c r="F1017" s="114"/>
    </row>
    <row r="1018" spans="1:9">
      <c r="A1018" s="98"/>
      <c r="B1018" s="119"/>
      <c r="C1018" s="102"/>
      <c r="D1018" s="100"/>
      <c r="E1018" s="100"/>
      <c r="I1018" s="12"/>
    </row>
    <row r="1019" spans="1:9">
      <c r="A1019" s="98"/>
      <c r="B1019" s="119"/>
      <c r="C1019" s="102"/>
      <c r="D1019" s="103"/>
      <c r="E1019" s="103"/>
      <c r="I1019" s="12"/>
    </row>
    <row r="1020" spans="1:9">
      <c r="A1020" s="104"/>
      <c r="B1020" s="116"/>
      <c r="C1020" s="105"/>
      <c r="D1020" s="103"/>
      <c r="E1020" s="100"/>
      <c r="I1020" s="12"/>
    </row>
    <row r="1021" spans="1:9">
      <c r="A1021" s="98"/>
      <c r="B1021" s="119"/>
      <c r="C1021" s="99"/>
      <c r="D1021" s="100"/>
      <c r="E1021" s="93"/>
      <c r="I1021" s="12"/>
    </row>
    <row r="1022" spans="1:9">
      <c r="I1022" s="12"/>
    </row>
    <row r="1023" spans="1:9">
      <c r="I1023" s="12"/>
    </row>
    <row r="1024" spans="1:9">
      <c r="I1024" s="12"/>
    </row>
    <row r="1025" spans="9:9">
      <c r="I1025" s="12"/>
    </row>
    <row r="1026" spans="9:9">
      <c r="I1026" s="108"/>
    </row>
    <row r="1027" spans="9:9">
      <c r="I1027" s="108"/>
    </row>
  </sheetData>
  <sortState ref="B956:D1004">
    <sortCondition ref="B956:B1004"/>
  </sortState>
  <printOptions horizontalCentered="1"/>
  <pageMargins left="0" right="0" top="0" bottom="0" header="0.3" footer="0.3"/>
  <pageSetup paperSize="9"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4"/>
  <sheetViews>
    <sheetView showGridLines="0" workbookViewId="0">
      <selection activeCell="H4" sqref="H4:H8"/>
    </sheetView>
  </sheetViews>
  <sheetFormatPr baseColWidth="10" defaultColWidth="8.83203125" defaultRowHeight="15" x14ac:dyDescent="0"/>
  <cols>
    <col min="1" max="1" width="6" style="73" customWidth="1"/>
    <col min="2" max="2" width="16.1640625" style="84" customWidth="1"/>
    <col min="3" max="3" width="78.83203125" style="73" customWidth="1"/>
    <col min="4" max="5" width="18.6640625" style="77" customWidth="1"/>
    <col min="6" max="6" width="18.6640625" style="73" customWidth="1"/>
    <col min="7" max="7" width="21" style="73" bestFit="1" customWidth="1"/>
    <col min="8" max="8" width="20.33203125" style="73" customWidth="1"/>
    <col min="9" max="9" width="17.5" style="73" bestFit="1" customWidth="1"/>
    <col min="10" max="16384" width="8.83203125" style="73"/>
  </cols>
  <sheetData>
    <row r="1" spans="1:9">
      <c r="A1" s="74" t="s">
        <v>7</v>
      </c>
      <c r="B1" s="75"/>
      <c r="C1" s="74"/>
      <c r="D1" s="76"/>
      <c r="E1" s="77" t="s">
        <v>690</v>
      </c>
    </row>
    <row r="2" spans="1:9" ht="2.25" customHeight="1">
      <c r="A2" s="74"/>
      <c r="B2" s="75"/>
      <c r="C2" s="74"/>
      <c r="D2" s="76"/>
    </row>
    <row r="3" spans="1:9">
      <c r="A3" s="143" t="s">
        <v>0</v>
      </c>
      <c r="B3" s="144" t="s">
        <v>488</v>
      </c>
      <c r="C3" s="143" t="s">
        <v>1</v>
      </c>
      <c r="D3" s="145" t="s">
        <v>3</v>
      </c>
      <c r="E3" s="153" t="s">
        <v>8</v>
      </c>
      <c r="F3" s="143" t="s">
        <v>4</v>
      </c>
      <c r="I3" s="73" t="s">
        <v>693</v>
      </c>
    </row>
    <row r="4" spans="1:9">
      <c r="A4" s="78">
        <v>1</v>
      </c>
      <c r="B4" s="127">
        <v>42400</v>
      </c>
      <c r="C4" s="128" t="s">
        <v>304</v>
      </c>
      <c r="D4" s="149">
        <f>'[1]Pinjaman 2016'!$F$235</f>
        <v>4805725</v>
      </c>
      <c r="E4" s="150"/>
      <c r="F4" s="128"/>
      <c r="G4" s="154" t="s">
        <v>685</v>
      </c>
      <c r="H4" s="155">
        <v>57863199.979999997</v>
      </c>
      <c r="I4" s="156" t="s">
        <v>690</v>
      </c>
    </row>
    <row r="5" spans="1:9">
      <c r="A5" s="78">
        <f>A4+1</f>
        <v>2</v>
      </c>
      <c r="B5" s="127">
        <v>42400</v>
      </c>
      <c r="C5" s="72" t="s">
        <v>651</v>
      </c>
      <c r="D5" s="146">
        <f>'[4]Jan''16'!$C$34</f>
        <v>689633</v>
      </c>
      <c r="E5" s="150"/>
      <c r="F5" s="128"/>
      <c r="G5" s="154" t="s">
        <v>687</v>
      </c>
      <c r="H5" s="157">
        <v>58293067</v>
      </c>
      <c r="I5" s="156" t="s">
        <v>692</v>
      </c>
    </row>
    <row r="6" spans="1:9">
      <c r="A6" s="78">
        <f t="shared" ref="A6:A70" si="0">A5+1</f>
        <v>3</v>
      </c>
      <c r="B6" s="127">
        <v>42400</v>
      </c>
      <c r="C6" s="72" t="s">
        <v>666</v>
      </c>
      <c r="D6" s="146">
        <f>'[4]Jan''16'!$B$34</f>
        <v>247240</v>
      </c>
      <c r="E6" s="150"/>
      <c r="F6" s="128"/>
      <c r="G6" s="154" t="s">
        <v>686</v>
      </c>
      <c r="H6" s="158">
        <f>SUM(D5,D6,D9,D8,D12,D11)</f>
        <v>2855950</v>
      </c>
      <c r="I6" s="156" t="s">
        <v>690</v>
      </c>
    </row>
    <row r="7" spans="1:9">
      <c r="A7" s="78">
        <f t="shared" si="0"/>
        <v>4</v>
      </c>
      <c r="B7" s="127">
        <v>42429</v>
      </c>
      <c r="C7" s="128" t="s">
        <v>309</v>
      </c>
      <c r="D7" s="149">
        <f>'[1]Pinjaman 2016'!$H$235</f>
        <v>4560975</v>
      </c>
      <c r="E7" s="150"/>
      <c r="F7" s="128"/>
      <c r="G7" s="154" t="s">
        <v>688</v>
      </c>
      <c r="H7" s="155">
        <v>7172096.3300000001</v>
      </c>
      <c r="I7" s="156" t="s">
        <v>690</v>
      </c>
    </row>
    <row r="8" spans="1:9">
      <c r="A8" s="78">
        <f t="shared" si="0"/>
        <v>5</v>
      </c>
      <c r="B8" s="127">
        <v>42429</v>
      </c>
      <c r="C8" s="72" t="s">
        <v>652</v>
      </c>
      <c r="D8" s="146">
        <f>'[4]Feb''16'!$C$33</f>
        <v>754598</v>
      </c>
      <c r="E8" s="150"/>
      <c r="F8" s="128"/>
      <c r="G8" s="154" t="s">
        <v>689</v>
      </c>
      <c r="H8" s="157">
        <v>8086250</v>
      </c>
      <c r="I8" s="156" t="s">
        <v>690</v>
      </c>
    </row>
    <row r="9" spans="1:9">
      <c r="A9" s="78">
        <f t="shared" si="0"/>
        <v>6</v>
      </c>
      <c r="B9" s="127">
        <v>42429</v>
      </c>
      <c r="C9" s="72" t="s">
        <v>664</v>
      </c>
      <c r="D9" s="146">
        <f>'[4]Feb''16'!$B$33</f>
        <v>228885</v>
      </c>
      <c r="E9" s="150"/>
      <c r="F9" s="128"/>
      <c r="G9" s="154"/>
      <c r="H9" s="154"/>
      <c r="I9" s="154"/>
    </row>
    <row r="10" spans="1:9">
      <c r="A10" s="78">
        <f t="shared" si="0"/>
        <v>7</v>
      </c>
      <c r="B10" s="127">
        <v>42460</v>
      </c>
      <c r="C10" s="128" t="s">
        <v>313</v>
      </c>
      <c r="D10" s="149">
        <f>'[1]Pinjaman 2016'!$J$235</f>
        <v>4616750</v>
      </c>
      <c r="E10" s="150"/>
      <c r="F10" s="128"/>
      <c r="G10" s="154" t="s">
        <v>691</v>
      </c>
      <c r="H10" s="154">
        <v>-44760750</v>
      </c>
      <c r="I10" s="156" t="s">
        <v>690</v>
      </c>
    </row>
    <row r="11" spans="1:9">
      <c r="A11" s="78">
        <f t="shared" si="0"/>
        <v>8</v>
      </c>
      <c r="B11" s="127">
        <v>42460</v>
      </c>
      <c r="C11" s="72" t="s">
        <v>653</v>
      </c>
      <c r="D11" s="146">
        <f>'[4]Mar''16'!$C$35</f>
        <v>694744</v>
      </c>
      <c r="E11" s="150"/>
      <c r="F11" s="128"/>
    </row>
    <row r="12" spans="1:9">
      <c r="A12" s="78">
        <f t="shared" si="0"/>
        <v>9</v>
      </c>
      <c r="B12" s="127">
        <v>42460</v>
      </c>
      <c r="C12" s="72" t="s">
        <v>665</v>
      </c>
      <c r="D12" s="146">
        <f>'[4]Mar''16'!$B$35</f>
        <v>240850</v>
      </c>
      <c r="E12" s="150"/>
      <c r="F12" s="128"/>
    </row>
    <row r="13" spans="1:9">
      <c r="A13" s="78">
        <f t="shared" si="0"/>
        <v>10</v>
      </c>
      <c r="B13" s="127">
        <v>42475</v>
      </c>
      <c r="C13" s="130" t="s">
        <v>663</v>
      </c>
      <c r="D13" s="148">
        <v>1938250</v>
      </c>
      <c r="E13" s="150"/>
      <c r="F13" s="128"/>
    </row>
    <row r="14" spans="1:9">
      <c r="A14" s="78">
        <f t="shared" si="0"/>
        <v>11</v>
      </c>
      <c r="B14" s="127">
        <v>42487</v>
      </c>
      <c r="C14" s="130" t="s">
        <v>681</v>
      </c>
      <c r="D14" s="148">
        <v>1000000</v>
      </c>
      <c r="E14" s="150"/>
      <c r="F14" s="128"/>
    </row>
    <row r="15" spans="1:9">
      <c r="A15" s="78">
        <f t="shared" si="0"/>
        <v>12</v>
      </c>
      <c r="B15" s="127">
        <v>42490</v>
      </c>
      <c r="C15" s="128" t="s">
        <v>318</v>
      </c>
      <c r="D15" s="149">
        <f>'[1]Pinjaman 2016'!$L$235</f>
        <v>4743958.33</v>
      </c>
      <c r="E15" s="150"/>
      <c r="F15" s="128"/>
    </row>
    <row r="16" spans="1:9">
      <c r="A16" s="78">
        <f t="shared" si="0"/>
        <v>13</v>
      </c>
      <c r="B16" s="127">
        <v>42490</v>
      </c>
      <c r="C16" s="128" t="s">
        <v>642</v>
      </c>
      <c r="D16" s="148">
        <f>'[2]Electronic 2016'!$L$203</f>
        <v>215589.66666666669</v>
      </c>
      <c r="E16" s="150"/>
      <c r="F16" s="128"/>
    </row>
    <row r="17" spans="1:6">
      <c r="A17" s="78">
        <f t="shared" si="0"/>
        <v>14</v>
      </c>
      <c r="B17" s="127">
        <v>42490</v>
      </c>
      <c r="C17" s="112" t="s">
        <v>319</v>
      </c>
      <c r="D17" s="147">
        <f>'Neraca 2016'!E283</f>
        <v>6989460</v>
      </c>
      <c r="E17" s="150"/>
      <c r="F17" s="128"/>
    </row>
    <row r="18" spans="1:6">
      <c r="A18" s="78">
        <f t="shared" si="0"/>
        <v>15</v>
      </c>
      <c r="B18" s="127">
        <v>42507</v>
      </c>
      <c r="C18" s="130" t="s">
        <v>658</v>
      </c>
      <c r="D18" s="148">
        <v>3348000</v>
      </c>
      <c r="E18" s="150"/>
      <c r="F18" s="128"/>
    </row>
    <row r="19" spans="1:6">
      <c r="A19" s="78">
        <f t="shared" si="0"/>
        <v>16</v>
      </c>
      <c r="B19" s="127">
        <v>42521</v>
      </c>
      <c r="C19" s="128" t="s">
        <v>323</v>
      </c>
      <c r="D19" s="149">
        <f>'[1]Pinjaman 2016'!$N$235</f>
        <v>4865458.33</v>
      </c>
      <c r="E19" s="150"/>
      <c r="F19" s="128"/>
    </row>
    <row r="20" spans="1:6">
      <c r="A20" s="78">
        <f t="shared" si="0"/>
        <v>17</v>
      </c>
      <c r="B20" s="127">
        <v>42521</v>
      </c>
      <c r="C20" s="128" t="s">
        <v>643</v>
      </c>
      <c r="D20" s="148">
        <f>'[2]Electronic 2016'!$N$203</f>
        <v>408416.33333333337</v>
      </c>
      <c r="E20" s="150"/>
      <c r="F20" s="128"/>
    </row>
    <row r="21" spans="1:6">
      <c r="A21" s="78">
        <f t="shared" si="0"/>
        <v>18</v>
      </c>
      <c r="B21" s="127">
        <v>42521</v>
      </c>
      <c r="C21" s="112" t="s">
        <v>324</v>
      </c>
      <c r="D21" s="147">
        <f>'Neraca 2016'!E384</f>
        <v>6654481</v>
      </c>
      <c r="E21" s="150"/>
      <c r="F21" s="128"/>
    </row>
    <row r="22" spans="1:6">
      <c r="A22" s="78">
        <f t="shared" si="0"/>
        <v>19</v>
      </c>
      <c r="B22" s="127">
        <v>42551</v>
      </c>
      <c r="C22" s="128" t="s">
        <v>328</v>
      </c>
      <c r="D22" s="149">
        <f>'[1]Pinjaman 2016'!$P$235</f>
        <v>4623208.33</v>
      </c>
      <c r="E22" s="150"/>
      <c r="F22" s="128"/>
    </row>
    <row r="23" spans="1:6">
      <c r="A23" s="78">
        <f t="shared" si="0"/>
        <v>20</v>
      </c>
      <c r="B23" s="127">
        <v>42551</v>
      </c>
      <c r="C23" s="128" t="s">
        <v>644</v>
      </c>
      <c r="D23" s="148">
        <f>'[2]Electronic 2016'!$P$203</f>
        <v>624115</v>
      </c>
      <c r="E23" s="150"/>
      <c r="F23" s="128"/>
    </row>
    <row r="24" spans="1:6">
      <c r="A24" s="78">
        <f t="shared" si="0"/>
        <v>21</v>
      </c>
      <c r="B24" s="127">
        <v>42551</v>
      </c>
      <c r="C24" s="130" t="s">
        <v>661</v>
      </c>
      <c r="D24" s="148">
        <v>700000</v>
      </c>
      <c r="E24" s="150"/>
      <c r="F24" s="128"/>
    </row>
    <row r="25" spans="1:6">
      <c r="A25" s="78">
        <f t="shared" si="0"/>
        <v>22</v>
      </c>
      <c r="B25" s="127">
        <v>42551</v>
      </c>
      <c r="C25" s="112" t="s">
        <v>329</v>
      </c>
      <c r="D25" s="147">
        <f>'Neraca 2016'!E484</f>
        <v>6084071</v>
      </c>
      <c r="E25" s="150"/>
      <c r="F25" s="128"/>
    </row>
    <row r="26" spans="1:6">
      <c r="A26" s="78">
        <f t="shared" si="0"/>
        <v>23</v>
      </c>
      <c r="B26" s="127">
        <v>42582</v>
      </c>
      <c r="C26" s="128" t="s">
        <v>333</v>
      </c>
      <c r="D26" s="149">
        <f>'[1]Pinjaman 2016'!$R$235</f>
        <v>4598833.33</v>
      </c>
      <c r="E26" s="150"/>
      <c r="F26" s="128"/>
    </row>
    <row r="27" spans="1:6">
      <c r="A27" s="78">
        <f t="shared" si="0"/>
        <v>24</v>
      </c>
      <c r="B27" s="127">
        <v>42582</v>
      </c>
      <c r="C27" s="128" t="s">
        <v>645</v>
      </c>
      <c r="D27" s="148">
        <f>'[2]Electronic 2016'!$R$203</f>
        <v>721615</v>
      </c>
      <c r="E27" s="150"/>
      <c r="F27" s="128"/>
    </row>
    <row r="28" spans="1:6">
      <c r="A28" s="78">
        <f t="shared" si="0"/>
        <v>25</v>
      </c>
      <c r="B28" s="127">
        <v>42582</v>
      </c>
      <c r="C28" s="112" t="s">
        <v>334</v>
      </c>
      <c r="D28" s="147">
        <f>'Neraca 2016'!E566</f>
        <v>5054528</v>
      </c>
      <c r="E28" s="150"/>
      <c r="F28" s="128"/>
    </row>
    <row r="29" spans="1:6">
      <c r="A29" s="78">
        <f t="shared" si="0"/>
        <v>26</v>
      </c>
      <c r="B29" s="127">
        <v>42613</v>
      </c>
      <c r="C29" s="128" t="s">
        <v>338</v>
      </c>
      <c r="D29" s="149">
        <f>'[1]Pinjaman 2016'!$T$235</f>
        <v>4938083.33</v>
      </c>
      <c r="E29" s="150"/>
      <c r="F29" s="128"/>
    </row>
    <row r="30" spans="1:6">
      <c r="A30" s="78">
        <f t="shared" si="0"/>
        <v>27</v>
      </c>
      <c r="B30" s="127">
        <v>42613</v>
      </c>
      <c r="C30" s="128" t="s">
        <v>646</v>
      </c>
      <c r="D30" s="148">
        <f>'[2]Electronic 2016'!$T$203</f>
        <v>898414.99999999988</v>
      </c>
      <c r="E30" s="150"/>
      <c r="F30" s="128"/>
    </row>
    <row r="31" spans="1:6">
      <c r="A31" s="78">
        <f t="shared" si="0"/>
        <v>28</v>
      </c>
      <c r="B31" s="127">
        <v>42613</v>
      </c>
      <c r="C31" s="112" t="s">
        <v>674</v>
      </c>
      <c r="D31" s="147">
        <f>'Neraca 2016'!E628</f>
        <v>7044895</v>
      </c>
      <c r="E31" s="150"/>
      <c r="F31" s="128"/>
    </row>
    <row r="32" spans="1:6">
      <c r="A32" s="78">
        <f t="shared" si="0"/>
        <v>29</v>
      </c>
      <c r="B32" s="127">
        <v>42643</v>
      </c>
      <c r="C32" s="128" t="s">
        <v>343</v>
      </c>
      <c r="D32" s="149">
        <f>'[1]Pinjaman 2016'!$V$235</f>
        <v>5181333.33</v>
      </c>
      <c r="E32" s="150"/>
      <c r="F32" s="128"/>
    </row>
    <row r="33" spans="1:6">
      <c r="A33" s="78">
        <f t="shared" si="0"/>
        <v>30</v>
      </c>
      <c r="B33" s="127">
        <v>42643</v>
      </c>
      <c r="C33" s="128" t="s">
        <v>647</v>
      </c>
      <c r="D33" s="148">
        <f>'[2]Electronic 2016'!$V$203</f>
        <v>1049968.3333333333</v>
      </c>
      <c r="E33" s="150"/>
      <c r="F33" s="128"/>
    </row>
    <row r="34" spans="1:6">
      <c r="A34" s="78">
        <f t="shared" si="0"/>
        <v>31</v>
      </c>
      <c r="B34" s="127">
        <v>42643</v>
      </c>
      <c r="C34" s="112" t="s">
        <v>344</v>
      </c>
      <c r="D34" s="147">
        <f>'Neraca 2016'!E716</f>
        <v>6582181</v>
      </c>
      <c r="E34" s="150"/>
      <c r="F34" s="128"/>
    </row>
    <row r="35" spans="1:6">
      <c r="A35" s="78">
        <f t="shared" si="0"/>
        <v>32</v>
      </c>
      <c r="B35" s="127">
        <v>42644</v>
      </c>
      <c r="C35" s="130" t="s">
        <v>662</v>
      </c>
      <c r="D35" s="148">
        <v>1100000</v>
      </c>
      <c r="E35" s="150"/>
      <c r="F35" s="128"/>
    </row>
    <row r="36" spans="1:6">
      <c r="A36" s="78">
        <f t="shared" si="0"/>
        <v>33</v>
      </c>
      <c r="B36" s="127">
        <v>42674</v>
      </c>
      <c r="C36" s="128" t="s">
        <v>348</v>
      </c>
      <c r="D36" s="149">
        <f>'[1]Pinjaman 2016'!$X$235</f>
        <v>5158625</v>
      </c>
      <c r="E36" s="150"/>
      <c r="F36" s="128"/>
    </row>
    <row r="37" spans="1:6">
      <c r="A37" s="78">
        <f t="shared" si="0"/>
        <v>34</v>
      </c>
      <c r="B37" s="127">
        <v>42674</v>
      </c>
      <c r="C37" s="128" t="s">
        <v>648</v>
      </c>
      <c r="D37" s="148">
        <f>'[2]Electronic 2016'!$X$203</f>
        <v>1097209.6666666667</v>
      </c>
      <c r="E37" s="150"/>
      <c r="F37" s="128"/>
    </row>
    <row r="38" spans="1:6">
      <c r="A38" s="78">
        <f t="shared" si="0"/>
        <v>35</v>
      </c>
      <c r="B38" s="127">
        <v>42674</v>
      </c>
      <c r="C38" s="112" t="s">
        <v>349</v>
      </c>
      <c r="D38" s="147">
        <f>'Neraca 2016'!E799</f>
        <v>6486944</v>
      </c>
      <c r="E38" s="150"/>
      <c r="F38" s="128"/>
    </row>
    <row r="39" spans="1:6">
      <c r="A39" s="78">
        <f t="shared" si="0"/>
        <v>36</v>
      </c>
      <c r="B39" s="127">
        <v>42704</v>
      </c>
      <c r="C39" s="128" t="s">
        <v>353</v>
      </c>
      <c r="D39" s="149">
        <f>'[1]Pinjaman 2016'!$Z$235</f>
        <v>4877625</v>
      </c>
      <c r="E39" s="150"/>
      <c r="F39" s="128"/>
    </row>
    <row r="40" spans="1:6">
      <c r="A40" s="78">
        <f t="shared" si="0"/>
        <v>37</v>
      </c>
      <c r="B40" s="127">
        <v>42704</v>
      </c>
      <c r="C40" s="128" t="s">
        <v>649</v>
      </c>
      <c r="D40" s="148">
        <f>'[2]Electronic 2016'!$Z$203</f>
        <v>1107483</v>
      </c>
      <c r="E40" s="150"/>
      <c r="F40" s="128"/>
    </row>
    <row r="41" spans="1:6">
      <c r="A41" s="78">
        <f t="shared" si="0"/>
        <v>38</v>
      </c>
      <c r="B41" s="127">
        <v>42704</v>
      </c>
      <c r="C41" s="112" t="s">
        <v>354</v>
      </c>
      <c r="D41" s="147">
        <f>'Neraca 2016'!E889</f>
        <v>6938933</v>
      </c>
      <c r="E41" s="150"/>
      <c r="F41" s="128"/>
    </row>
    <row r="42" spans="1:6">
      <c r="A42" s="78">
        <f t="shared" si="0"/>
        <v>39</v>
      </c>
      <c r="B42" s="127">
        <v>42735</v>
      </c>
      <c r="C42" s="128" t="s">
        <v>358</v>
      </c>
      <c r="D42" s="149">
        <f>'[1]Pinjaman 2016'!$AB$235</f>
        <v>4892625</v>
      </c>
      <c r="E42" s="150"/>
      <c r="F42" s="128"/>
    </row>
    <row r="43" spans="1:6">
      <c r="A43" s="78">
        <f t="shared" si="0"/>
        <v>40</v>
      </c>
      <c r="B43" s="127">
        <v>42735</v>
      </c>
      <c r="C43" s="128" t="s">
        <v>650</v>
      </c>
      <c r="D43" s="148">
        <f>'[2]Electronic 2016'!$AB$203</f>
        <v>1049284.3333333333</v>
      </c>
      <c r="E43" s="150"/>
      <c r="F43" s="128"/>
    </row>
    <row r="44" spans="1:6">
      <c r="A44" s="78">
        <f t="shared" si="0"/>
        <v>41</v>
      </c>
      <c r="B44" s="127">
        <v>42735</v>
      </c>
      <c r="C44" s="112" t="s">
        <v>621</v>
      </c>
      <c r="D44" s="147">
        <f>'Neraca 2016'!E961</f>
        <v>6457574</v>
      </c>
      <c r="E44" s="150"/>
      <c r="F44" s="128"/>
    </row>
    <row r="45" spans="1:6">
      <c r="A45" s="78">
        <f t="shared" si="0"/>
        <v>42</v>
      </c>
      <c r="B45" s="131">
        <v>42374</v>
      </c>
      <c r="C45" s="72" t="s">
        <v>417</v>
      </c>
      <c r="D45" s="129"/>
      <c r="E45" s="151">
        <v>15000</v>
      </c>
      <c r="F45" s="128"/>
    </row>
    <row r="46" spans="1:6">
      <c r="A46" s="78">
        <f t="shared" si="0"/>
        <v>43</v>
      </c>
      <c r="B46" s="131">
        <v>42374</v>
      </c>
      <c r="C46" s="132" t="s">
        <v>418</v>
      </c>
      <c r="D46" s="129"/>
      <c r="E46" s="151">
        <v>66000</v>
      </c>
      <c r="F46" s="128"/>
    </row>
    <row r="47" spans="1:6">
      <c r="A47" s="78">
        <f t="shared" si="0"/>
        <v>44</v>
      </c>
      <c r="B47" s="131">
        <v>42375</v>
      </c>
      <c r="C47" s="72" t="s">
        <v>417</v>
      </c>
      <c r="D47" s="129"/>
      <c r="E47" s="151">
        <v>10000</v>
      </c>
      <c r="F47" s="128"/>
    </row>
    <row r="48" spans="1:6">
      <c r="A48" s="78">
        <f t="shared" si="0"/>
        <v>45</v>
      </c>
      <c r="B48" s="131">
        <v>42376</v>
      </c>
      <c r="C48" s="72" t="s">
        <v>417</v>
      </c>
      <c r="D48" s="129"/>
      <c r="E48" s="151">
        <v>20000</v>
      </c>
      <c r="F48" s="128"/>
    </row>
    <row r="49" spans="1:9">
      <c r="A49" s="78">
        <f t="shared" si="0"/>
        <v>46</v>
      </c>
      <c r="B49" s="131">
        <v>42376</v>
      </c>
      <c r="C49" s="72" t="s">
        <v>417</v>
      </c>
      <c r="D49" s="129"/>
      <c r="E49" s="151">
        <v>10000</v>
      </c>
      <c r="F49" s="128"/>
    </row>
    <row r="50" spans="1:9" s="79" customFormat="1">
      <c r="A50" s="78">
        <f t="shared" si="0"/>
        <v>47</v>
      </c>
      <c r="B50" s="131">
        <v>42376</v>
      </c>
      <c r="C50" s="132" t="s">
        <v>419</v>
      </c>
      <c r="D50" s="129"/>
      <c r="E50" s="151">
        <v>73000</v>
      </c>
      <c r="F50" s="129"/>
      <c r="H50" s="80"/>
      <c r="I50" s="80"/>
    </row>
    <row r="51" spans="1:9" s="79" customFormat="1">
      <c r="A51" s="78">
        <f t="shared" si="0"/>
        <v>48</v>
      </c>
      <c r="B51" s="131">
        <v>42377</v>
      </c>
      <c r="C51" s="72" t="s">
        <v>417</v>
      </c>
      <c r="D51" s="129"/>
      <c r="E51" s="151">
        <v>10000</v>
      </c>
      <c r="F51" s="129"/>
      <c r="H51" s="80"/>
      <c r="I51" s="80"/>
    </row>
    <row r="52" spans="1:9">
      <c r="A52" s="78">
        <f t="shared" si="0"/>
        <v>49</v>
      </c>
      <c r="B52" s="131">
        <v>42378</v>
      </c>
      <c r="C52" s="72" t="s">
        <v>417</v>
      </c>
      <c r="D52" s="129"/>
      <c r="E52" s="151">
        <v>10000</v>
      </c>
      <c r="F52" s="128"/>
    </row>
    <row r="53" spans="1:9">
      <c r="A53" s="78">
        <f t="shared" si="0"/>
        <v>50</v>
      </c>
      <c r="B53" s="131">
        <v>42378</v>
      </c>
      <c r="C53" s="72" t="s">
        <v>417</v>
      </c>
      <c r="D53" s="129"/>
      <c r="E53" s="151">
        <v>15000</v>
      </c>
      <c r="F53" s="128"/>
    </row>
    <row r="54" spans="1:9">
      <c r="A54" s="78">
        <f t="shared" si="0"/>
        <v>51</v>
      </c>
      <c r="B54" s="131">
        <v>42382</v>
      </c>
      <c r="C54" s="132" t="s">
        <v>420</v>
      </c>
      <c r="D54" s="129"/>
      <c r="E54" s="151">
        <v>18000</v>
      </c>
      <c r="F54" s="128"/>
    </row>
    <row r="55" spans="1:9">
      <c r="A55" s="78">
        <f t="shared" si="0"/>
        <v>52</v>
      </c>
      <c r="B55" s="131">
        <v>42383</v>
      </c>
      <c r="C55" s="132" t="s">
        <v>421</v>
      </c>
      <c r="D55" s="129"/>
      <c r="E55" s="151">
        <v>50000</v>
      </c>
      <c r="F55" s="128"/>
    </row>
    <row r="56" spans="1:9">
      <c r="A56" s="78">
        <f t="shared" si="0"/>
        <v>53</v>
      </c>
      <c r="B56" s="131">
        <v>42383</v>
      </c>
      <c r="C56" s="72" t="s">
        <v>417</v>
      </c>
      <c r="D56" s="129"/>
      <c r="E56" s="151">
        <v>10000</v>
      </c>
      <c r="F56" s="128"/>
    </row>
    <row r="57" spans="1:9" s="79" customFormat="1">
      <c r="A57" s="78">
        <f t="shared" si="0"/>
        <v>54</v>
      </c>
      <c r="B57" s="131">
        <v>42383</v>
      </c>
      <c r="C57" s="72" t="s">
        <v>417</v>
      </c>
      <c r="D57" s="129"/>
      <c r="E57" s="151">
        <v>5000</v>
      </c>
      <c r="F57" s="129"/>
      <c r="H57" s="80"/>
      <c r="I57" s="80"/>
    </row>
    <row r="58" spans="1:9">
      <c r="A58" s="78">
        <f t="shared" si="0"/>
        <v>55</v>
      </c>
      <c r="B58" s="131">
        <v>42383</v>
      </c>
      <c r="C58" s="72" t="s">
        <v>417</v>
      </c>
      <c r="D58" s="129"/>
      <c r="E58" s="151">
        <v>5000</v>
      </c>
      <c r="F58" s="128"/>
    </row>
    <row r="59" spans="1:9">
      <c r="A59" s="78">
        <f t="shared" si="0"/>
        <v>56</v>
      </c>
      <c r="B59" s="131">
        <v>42383</v>
      </c>
      <c r="C59" s="72" t="s">
        <v>417</v>
      </c>
      <c r="D59" s="129"/>
      <c r="E59" s="151">
        <v>15000</v>
      </c>
      <c r="F59" s="128"/>
    </row>
    <row r="60" spans="1:9">
      <c r="A60" s="78">
        <f t="shared" si="0"/>
        <v>57</v>
      </c>
      <c r="B60" s="131">
        <v>42383</v>
      </c>
      <c r="C60" s="72" t="s">
        <v>417</v>
      </c>
      <c r="D60" s="129"/>
      <c r="E60" s="151">
        <v>15000</v>
      </c>
      <c r="F60" s="128"/>
    </row>
    <row r="61" spans="1:9">
      <c r="A61" s="78">
        <f t="shared" si="0"/>
        <v>58</v>
      </c>
      <c r="B61" s="131">
        <v>42389</v>
      </c>
      <c r="C61" s="132" t="s">
        <v>422</v>
      </c>
      <c r="D61" s="129"/>
      <c r="E61" s="151">
        <v>48000</v>
      </c>
      <c r="F61" s="128"/>
    </row>
    <row r="62" spans="1:9">
      <c r="A62" s="78">
        <f t="shared" si="0"/>
        <v>59</v>
      </c>
      <c r="B62" s="131">
        <v>42389</v>
      </c>
      <c r="C62" s="72" t="s">
        <v>423</v>
      </c>
      <c r="D62" s="129"/>
      <c r="E62" s="151">
        <v>9673400</v>
      </c>
      <c r="F62" s="128"/>
    </row>
    <row r="63" spans="1:9">
      <c r="A63" s="78">
        <f t="shared" si="0"/>
        <v>60</v>
      </c>
      <c r="B63" s="131">
        <v>42389</v>
      </c>
      <c r="C63" s="72" t="s">
        <v>424</v>
      </c>
      <c r="D63" s="129"/>
      <c r="E63" s="151">
        <v>10000</v>
      </c>
      <c r="F63" s="128"/>
    </row>
    <row r="64" spans="1:9">
      <c r="A64" s="78">
        <f t="shared" si="0"/>
        <v>61</v>
      </c>
      <c r="B64" s="131">
        <v>42391</v>
      </c>
      <c r="C64" s="72" t="s">
        <v>417</v>
      </c>
      <c r="D64" s="129"/>
      <c r="E64" s="151">
        <v>20000</v>
      </c>
      <c r="F64" s="128"/>
    </row>
    <row r="65" spans="1:9">
      <c r="A65" s="78">
        <f t="shared" si="0"/>
        <v>62</v>
      </c>
      <c r="B65" s="131">
        <v>42392</v>
      </c>
      <c r="C65" s="72" t="s">
        <v>417</v>
      </c>
      <c r="D65" s="129"/>
      <c r="E65" s="151">
        <v>10000</v>
      </c>
      <c r="F65" s="128"/>
    </row>
    <row r="66" spans="1:9">
      <c r="A66" s="78">
        <f t="shared" si="0"/>
        <v>63</v>
      </c>
      <c r="B66" s="131">
        <v>42394</v>
      </c>
      <c r="C66" s="132" t="s">
        <v>422</v>
      </c>
      <c r="D66" s="129"/>
      <c r="E66" s="151">
        <v>51000</v>
      </c>
      <c r="F66" s="128"/>
    </row>
    <row r="67" spans="1:9" s="79" customFormat="1">
      <c r="A67" s="78">
        <f t="shared" si="0"/>
        <v>64</v>
      </c>
      <c r="B67" s="131">
        <v>42394</v>
      </c>
      <c r="C67" s="72" t="s">
        <v>417</v>
      </c>
      <c r="D67" s="129"/>
      <c r="E67" s="151">
        <v>10000</v>
      </c>
      <c r="F67" s="129"/>
      <c r="H67" s="80"/>
      <c r="I67" s="80"/>
    </row>
    <row r="68" spans="1:9" s="79" customFormat="1">
      <c r="A68" s="78">
        <f t="shared" si="0"/>
        <v>65</v>
      </c>
      <c r="B68" s="131">
        <v>42394</v>
      </c>
      <c r="C68" s="72" t="s">
        <v>417</v>
      </c>
      <c r="D68" s="129"/>
      <c r="E68" s="151">
        <v>15000</v>
      </c>
      <c r="F68" s="129"/>
      <c r="H68" s="80"/>
      <c r="I68" s="80"/>
    </row>
    <row r="69" spans="1:9" s="79" customFormat="1">
      <c r="A69" s="78">
        <f t="shared" si="0"/>
        <v>66</v>
      </c>
      <c r="B69" s="131">
        <v>42395</v>
      </c>
      <c r="C69" s="72" t="s">
        <v>490</v>
      </c>
      <c r="D69" s="129"/>
      <c r="E69" s="151">
        <v>107800</v>
      </c>
      <c r="F69" s="129"/>
      <c r="H69" s="80"/>
      <c r="I69" s="80"/>
    </row>
    <row r="70" spans="1:9" s="79" customFormat="1">
      <c r="A70" s="78">
        <f t="shared" si="0"/>
        <v>67</v>
      </c>
      <c r="B70" s="131">
        <v>42395</v>
      </c>
      <c r="C70" s="72" t="s">
        <v>417</v>
      </c>
      <c r="D70" s="129"/>
      <c r="E70" s="151">
        <v>10000</v>
      </c>
      <c r="F70" s="129"/>
      <c r="G70" s="81"/>
      <c r="H70" s="81"/>
      <c r="I70" s="80"/>
    </row>
    <row r="71" spans="1:9">
      <c r="A71" s="78">
        <f t="shared" ref="A71:A134" si="1">A70+1</f>
        <v>68</v>
      </c>
      <c r="B71" s="131">
        <v>42396</v>
      </c>
      <c r="C71" s="132" t="s">
        <v>421</v>
      </c>
      <c r="D71" s="129"/>
      <c r="E71" s="151">
        <v>50000</v>
      </c>
      <c r="F71" s="128"/>
    </row>
    <row r="72" spans="1:9">
      <c r="A72" s="78">
        <f t="shared" si="1"/>
        <v>69</v>
      </c>
      <c r="B72" s="131">
        <v>42397</v>
      </c>
      <c r="C72" s="72" t="s">
        <v>417</v>
      </c>
      <c r="D72" s="129"/>
      <c r="E72" s="151">
        <v>5000</v>
      </c>
      <c r="F72" s="128"/>
    </row>
    <row r="73" spans="1:9">
      <c r="A73" s="78">
        <f t="shared" si="1"/>
        <v>70</v>
      </c>
      <c r="B73" s="131">
        <v>42397</v>
      </c>
      <c r="C73" s="72" t="s">
        <v>417</v>
      </c>
      <c r="D73" s="129"/>
      <c r="E73" s="151">
        <v>15000</v>
      </c>
      <c r="F73" s="128"/>
    </row>
    <row r="74" spans="1:9">
      <c r="A74" s="78">
        <f t="shared" si="1"/>
        <v>71</v>
      </c>
      <c r="B74" s="131">
        <v>42397</v>
      </c>
      <c r="C74" s="72" t="s">
        <v>417</v>
      </c>
      <c r="D74" s="129"/>
      <c r="E74" s="151">
        <v>10000</v>
      </c>
      <c r="F74" s="128"/>
    </row>
    <row r="75" spans="1:9" s="79" customFormat="1">
      <c r="A75" s="78">
        <f t="shared" si="1"/>
        <v>72</v>
      </c>
      <c r="B75" s="131">
        <v>42399</v>
      </c>
      <c r="C75" s="132" t="s">
        <v>420</v>
      </c>
      <c r="D75" s="129"/>
      <c r="E75" s="151">
        <v>18000</v>
      </c>
      <c r="F75" s="129"/>
      <c r="H75" s="80"/>
      <c r="I75" s="80"/>
    </row>
    <row r="76" spans="1:9" s="79" customFormat="1">
      <c r="A76" s="78">
        <f t="shared" si="1"/>
        <v>73</v>
      </c>
      <c r="B76" s="131">
        <v>42399</v>
      </c>
      <c r="C76" s="72" t="s">
        <v>417</v>
      </c>
      <c r="D76" s="129"/>
      <c r="E76" s="151">
        <v>10000</v>
      </c>
      <c r="F76" s="129"/>
      <c r="H76" s="80"/>
      <c r="I76" s="80"/>
    </row>
    <row r="77" spans="1:9" s="79" customFormat="1">
      <c r="A77" s="78">
        <f t="shared" si="1"/>
        <v>74</v>
      </c>
      <c r="B77" s="131">
        <v>42400</v>
      </c>
      <c r="C77" s="72" t="s">
        <v>425</v>
      </c>
      <c r="D77" s="129"/>
      <c r="E77" s="151">
        <v>1500000</v>
      </c>
      <c r="F77" s="129"/>
      <c r="H77" s="80"/>
      <c r="I77" s="80"/>
    </row>
    <row r="78" spans="1:9" s="79" customFormat="1">
      <c r="A78" s="78">
        <f t="shared" si="1"/>
        <v>75</v>
      </c>
      <c r="B78" s="131">
        <v>42400</v>
      </c>
      <c r="C78" s="72" t="s">
        <v>426</v>
      </c>
      <c r="D78" s="129"/>
      <c r="E78" s="151">
        <v>300000</v>
      </c>
      <c r="F78" s="129"/>
      <c r="H78" s="80"/>
      <c r="I78" s="80"/>
    </row>
    <row r="79" spans="1:9">
      <c r="A79" s="78">
        <f t="shared" si="1"/>
        <v>76</v>
      </c>
      <c r="B79" s="131">
        <v>42401</v>
      </c>
      <c r="C79" s="132" t="s">
        <v>422</v>
      </c>
      <c r="D79" s="129"/>
      <c r="E79" s="151">
        <v>52000</v>
      </c>
      <c r="F79" s="128"/>
    </row>
    <row r="80" spans="1:9">
      <c r="A80" s="78">
        <f t="shared" si="1"/>
        <v>77</v>
      </c>
      <c r="B80" s="131">
        <v>42402</v>
      </c>
      <c r="C80" s="72" t="s">
        <v>417</v>
      </c>
      <c r="D80" s="129"/>
      <c r="E80" s="151">
        <v>5000</v>
      </c>
      <c r="F80" s="128"/>
    </row>
    <row r="81" spans="1:9">
      <c r="A81" s="78">
        <f t="shared" si="1"/>
        <v>78</v>
      </c>
      <c r="B81" s="131">
        <v>42404</v>
      </c>
      <c r="C81" s="72" t="s">
        <v>427</v>
      </c>
      <c r="D81" s="129"/>
      <c r="E81" s="151">
        <v>137000</v>
      </c>
      <c r="F81" s="128"/>
    </row>
    <row r="82" spans="1:9">
      <c r="A82" s="78">
        <f t="shared" si="1"/>
        <v>79</v>
      </c>
      <c r="B82" s="131">
        <v>42405</v>
      </c>
      <c r="C82" s="72" t="s">
        <v>417</v>
      </c>
      <c r="D82" s="129"/>
      <c r="E82" s="151">
        <v>15000</v>
      </c>
      <c r="F82" s="128"/>
    </row>
    <row r="83" spans="1:9" s="79" customFormat="1">
      <c r="A83" s="78">
        <f t="shared" si="1"/>
        <v>80</v>
      </c>
      <c r="B83" s="131">
        <v>42406</v>
      </c>
      <c r="C83" s="72" t="s">
        <v>417</v>
      </c>
      <c r="D83" s="129"/>
      <c r="E83" s="151">
        <v>10000</v>
      </c>
      <c r="F83" s="129"/>
      <c r="H83" s="80"/>
      <c r="I83" s="80"/>
    </row>
    <row r="84" spans="1:9" s="79" customFormat="1">
      <c r="A84" s="78">
        <f t="shared" si="1"/>
        <v>81</v>
      </c>
      <c r="B84" s="131">
        <v>42406</v>
      </c>
      <c r="C84" s="72" t="s">
        <v>417</v>
      </c>
      <c r="D84" s="129"/>
      <c r="E84" s="151">
        <v>10000</v>
      </c>
      <c r="F84" s="129"/>
      <c r="H84" s="80"/>
      <c r="I84" s="80"/>
    </row>
    <row r="85" spans="1:9" s="79" customFormat="1">
      <c r="A85" s="78">
        <f t="shared" si="1"/>
        <v>82</v>
      </c>
      <c r="B85" s="131">
        <v>42411</v>
      </c>
      <c r="C85" s="72" t="s">
        <v>417</v>
      </c>
      <c r="D85" s="129"/>
      <c r="E85" s="151">
        <v>10000</v>
      </c>
      <c r="F85" s="129"/>
      <c r="H85" s="80"/>
      <c r="I85" s="80"/>
    </row>
    <row r="86" spans="1:9">
      <c r="A86" s="78">
        <f t="shared" si="1"/>
        <v>83</v>
      </c>
      <c r="B86" s="131">
        <v>42413</v>
      </c>
      <c r="C86" s="132" t="s">
        <v>428</v>
      </c>
      <c r="D86" s="129"/>
      <c r="E86" s="151">
        <v>63000</v>
      </c>
      <c r="F86" s="128"/>
    </row>
    <row r="87" spans="1:9">
      <c r="A87" s="78">
        <f t="shared" si="1"/>
        <v>84</v>
      </c>
      <c r="B87" s="131">
        <v>42413</v>
      </c>
      <c r="C87" s="72" t="s">
        <v>429</v>
      </c>
      <c r="D87" s="129"/>
      <c r="E87" s="151">
        <v>110000</v>
      </c>
      <c r="F87" s="128"/>
    </row>
    <row r="88" spans="1:9">
      <c r="A88" s="78">
        <f t="shared" si="1"/>
        <v>85</v>
      </c>
      <c r="B88" s="131">
        <v>42413</v>
      </c>
      <c r="C88" s="72" t="s">
        <v>417</v>
      </c>
      <c r="D88" s="129"/>
      <c r="E88" s="151">
        <v>10000</v>
      </c>
      <c r="F88" s="128"/>
    </row>
    <row r="89" spans="1:9">
      <c r="A89" s="78">
        <f t="shared" si="1"/>
        <v>86</v>
      </c>
      <c r="B89" s="131">
        <v>42417</v>
      </c>
      <c r="C89" s="132" t="s">
        <v>420</v>
      </c>
      <c r="D89" s="129"/>
      <c r="E89" s="151">
        <v>18000</v>
      </c>
      <c r="F89" s="128"/>
    </row>
    <row r="90" spans="1:9">
      <c r="A90" s="78">
        <f t="shared" si="1"/>
        <v>87</v>
      </c>
      <c r="B90" s="131">
        <v>42417</v>
      </c>
      <c r="C90" s="72" t="s">
        <v>417</v>
      </c>
      <c r="D90" s="129"/>
      <c r="E90" s="151">
        <v>10000</v>
      </c>
      <c r="F90" s="128"/>
    </row>
    <row r="91" spans="1:9">
      <c r="A91" s="78">
        <f t="shared" si="1"/>
        <v>88</v>
      </c>
      <c r="B91" s="131">
        <v>42417</v>
      </c>
      <c r="C91" s="72" t="s">
        <v>417</v>
      </c>
      <c r="D91" s="129"/>
      <c r="E91" s="151">
        <v>10000</v>
      </c>
      <c r="F91" s="128"/>
    </row>
    <row r="92" spans="1:9" s="79" customFormat="1">
      <c r="A92" s="78">
        <f t="shared" si="1"/>
        <v>89</v>
      </c>
      <c r="B92" s="131">
        <v>42418</v>
      </c>
      <c r="C92" s="72" t="s">
        <v>417</v>
      </c>
      <c r="D92" s="129"/>
      <c r="E92" s="151">
        <v>15000</v>
      </c>
      <c r="F92" s="129"/>
      <c r="H92" s="80"/>
      <c r="I92" s="80"/>
    </row>
    <row r="93" spans="1:9" s="79" customFormat="1">
      <c r="A93" s="78">
        <f t="shared" si="1"/>
        <v>90</v>
      </c>
      <c r="B93" s="131">
        <v>42419</v>
      </c>
      <c r="C93" s="72" t="s">
        <v>417</v>
      </c>
      <c r="D93" s="129"/>
      <c r="E93" s="151">
        <v>15000</v>
      </c>
      <c r="F93" s="129"/>
      <c r="H93" s="80"/>
      <c r="I93" s="80"/>
    </row>
    <row r="94" spans="1:9" s="79" customFormat="1">
      <c r="A94" s="78">
        <f t="shared" si="1"/>
        <v>91</v>
      </c>
      <c r="B94" s="131">
        <v>42419</v>
      </c>
      <c r="C94" s="72" t="s">
        <v>417</v>
      </c>
      <c r="D94" s="129"/>
      <c r="E94" s="151">
        <v>10000</v>
      </c>
      <c r="F94" s="129"/>
      <c r="H94" s="80"/>
      <c r="I94" s="80"/>
    </row>
    <row r="95" spans="1:9" s="79" customFormat="1">
      <c r="A95" s="78">
        <f t="shared" si="1"/>
        <v>92</v>
      </c>
      <c r="B95" s="131">
        <v>42419</v>
      </c>
      <c r="C95" s="72" t="s">
        <v>417</v>
      </c>
      <c r="D95" s="129"/>
      <c r="E95" s="151">
        <v>15000</v>
      </c>
      <c r="F95" s="129"/>
      <c r="H95" s="80"/>
      <c r="I95" s="80"/>
    </row>
    <row r="96" spans="1:9" s="79" customFormat="1">
      <c r="A96" s="78">
        <f t="shared" si="1"/>
        <v>93</v>
      </c>
      <c r="B96" s="131">
        <v>42419</v>
      </c>
      <c r="C96" s="72" t="s">
        <v>417</v>
      </c>
      <c r="D96" s="129"/>
      <c r="E96" s="151">
        <v>15000</v>
      </c>
      <c r="F96" s="129"/>
      <c r="H96" s="80"/>
      <c r="I96" s="80"/>
    </row>
    <row r="97" spans="1:9" s="79" customFormat="1">
      <c r="A97" s="78">
        <f t="shared" si="1"/>
        <v>94</v>
      </c>
      <c r="B97" s="131">
        <v>42420</v>
      </c>
      <c r="C97" s="72" t="s">
        <v>430</v>
      </c>
      <c r="D97" s="129"/>
      <c r="E97" s="151">
        <v>110000</v>
      </c>
      <c r="F97" s="129"/>
      <c r="H97" s="80"/>
      <c r="I97" s="80"/>
    </row>
    <row r="98" spans="1:9" s="79" customFormat="1">
      <c r="A98" s="78">
        <f t="shared" si="1"/>
        <v>95</v>
      </c>
      <c r="B98" s="131">
        <v>42420</v>
      </c>
      <c r="C98" s="72" t="s">
        <v>417</v>
      </c>
      <c r="D98" s="129"/>
      <c r="E98" s="151">
        <v>15000</v>
      </c>
      <c r="F98" s="129"/>
      <c r="H98" s="80"/>
      <c r="I98" s="80"/>
    </row>
    <row r="99" spans="1:9">
      <c r="A99" s="78">
        <f t="shared" si="1"/>
        <v>96</v>
      </c>
      <c r="B99" s="131">
        <v>42421</v>
      </c>
      <c r="C99" s="72" t="s">
        <v>417</v>
      </c>
      <c r="D99" s="129"/>
      <c r="E99" s="151">
        <v>28000</v>
      </c>
      <c r="F99" s="128"/>
    </row>
    <row r="100" spans="1:9">
      <c r="A100" s="78">
        <f t="shared" si="1"/>
        <v>97</v>
      </c>
      <c r="B100" s="131">
        <v>42422</v>
      </c>
      <c r="C100" s="72" t="s">
        <v>431</v>
      </c>
      <c r="D100" s="129"/>
      <c r="E100" s="151">
        <v>45000</v>
      </c>
      <c r="F100" s="128"/>
    </row>
    <row r="101" spans="1:9">
      <c r="A101" s="78">
        <f t="shared" si="1"/>
        <v>98</v>
      </c>
      <c r="B101" s="131">
        <v>42425</v>
      </c>
      <c r="C101" s="72" t="s">
        <v>417</v>
      </c>
      <c r="D101" s="129"/>
      <c r="E101" s="151">
        <v>10000</v>
      </c>
      <c r="F101" s="128"/>
    </row>
    <row r="102" spans="1:9">
      <c r="A102" s="78">
        <f t="shared" si="1"/>
        <v>99</v>
      </c>
      <c r="B102" s="131">
        <v>42427</v>
      </c>
      <c r="C102" s="72" t="s">
        <v>417</v>
      </c>
      <c r="D102" s="129"/>
      <c r="E102" s="151">
        <v>20000</v>
      </c>
      <c r="F102" s="128"/>
    </row>
    <row r="103" spans="1:9" s="79" customFormat="1">
      <c r="A103" s="78">
        <f t="shared" si="1"/>
        <v>100</v>
      </c>
      <c r="B103" s="131">
        <v>42427</v>
      </c>
      <c r="C103" s="72" t="s">
        <v>417</v>
      </c>
      <c r="D103" s="129"/>
      <c r="E103" s="151">
        <v>10000</v>
      </c>
      <c r="F103" s="129"/>
      <c r="H103" s="80"/>
      <c r="I103" s="80"/>
    </row>
    <row r="104" spans="1:9">
      <c r="A104" s="78">
        <f t="shared" si="1"/>
        <v>101</v>
      </c>
      <c r="B104" s="131">
        <v>42429</v>
      </c>
      <c r="C104" s="72" t="s">
        <v>432</v>
      </c>
      <c r="D104" s="129"/>
      <c r="E104" s="151">
        <v>1500000</v>
      </c>
      <c r="F104" s="128"/>
    </row>
    <row r="105" spans="1:9">
      <c r="A105" s="78">
        <f t="shared" si="1"/>
        <v>102</v>
      </c>
      <c r="B105" s="131">
        <v>42429</v>
      </c>
      <c r="C105" s="72" t="s">
        <v>433</v>
      </c>
      <c r="D105" s="129"/>
      <c r="E105" s="151">
        <v>300000</v>
      </c>
      <c r="F105" s="128"/>
    </row>
    <row r="106" spans="1:9">
      <c r="A106" s="78">
        <f t="shared" si="1"/>
        <v>103</v>
      </c>
      <c r="B106" s="131">
        <v>42429</v>
      </c>
      <c r="C106" s="132" t="s">
        <v>428</v>
      </c>
      <c r="D106" s="129"/>
      <c r="E106" s="151">
        <v>56000</v>
      </c>
      <c r="F106" s="128"/>
    </row>
    <row r="107" spans="1:9">
      <c r="A107" s="78">
        <f t="shared" si="1"/>
        <v>104</v>
      </c>
      <c r="B107" s="131">
        <v>42429</v>
      </c>
      <c r="C107" s="72" t="s">
        <v>434</v>
      </c>
      <c r="D107" s="129"/>
      <c r="E107" s="151">
        <v>30000</v>
      </c>
      <c r="F107" s="128"/>
    </row>
    <row r="108" spans="1:9">
      <c r="A108" s="78">
        <f t="shared" si="1"/>
        <v>105</v>
      </c>
      <c r="B108" s="131">
        <v>42429</v>
      </c>
      <c r="C108" s="72" t="s">
        <v>417</v>
      </c>
      <c r="D108" s="129"/>
      <c r="E108" s="151">
        <v>15000</v>
      </c>
      <c r="F108" s="128"/>
    </row>
    <row r="109" spans="1:9">
      <c r="A109" s="78">
        <f t="shared" si="1"/>
        <v>106</v>
      </c>
      <c r="B109" s="131">
        <v>42433</v>
      </c>
      <c r="C109" s="72" t="s">
        <v>417</v>
      </c>
      <c r="D109" s="129"/>
      <c r="E109" s="151">
        <v>15000</v>
      </c>
      <c r="F109" s="128"/>
    </row>
    <row r="110" spans="1:9">
      <c r="A110" s="78">
        <f t="shared" si="1"/>
        <v>107</v>
      </c>
      <c r="B110" s="131">
        <v>42434</v>
      </c>
      <c r="C110" s="72" t="s">
        <v>417</v>
      </c>
      <c r="D110" s="129"/>
      <c r="E110" s="151">
        <v>15000</v>
      </c>
      <c r="F110" s="128"/>
    </row>
    <row r="111" spans="1:9">
      <c r="A111" s="78">
        <f t="shared" si="1"/>
        <v>108</v>
      </c>
      <c r="B111" s="131">
        <v>42434</v>
      </c>
      <c r="C111" s="72" t="s">
        <v>417</v>
      </c>
      <c r="D111" s="129"/>
      <c r="E111" s="151">
        <v>15000</v>
      </c>
      <c r="F111" s="128"/>
    </row>
    <row r="112" spans="1:9">
      <c r="A112" s="78">
        <f t="shared" si="1"/>
        <v>109</v>
      </c>
      <c r="B112" s="131">
        <v>42439</v>
      </c>
      <c r="C112" s="72" t="s">
        <v>417</v>
      </c>
      <c r="D112" s="129"/>
      <c r="E112" s="151">
        <v>15000</v>
      </c>
      <c r="F112" s="128"/>
    </row>
    <row r="113" spans="1:9" s="79" customFormat="1">
      <c r="A113" s="78">
        <f t="shared" si="1"/>
        <v>110</v>
      </c>
      <c r="B113" s="131">
        <v>42440</v>
      </c>
      <c r="C113" s="132" t="s">
        <v>428</v>
      </c>
      <c r="D113" s="129"/>
      <c r="E113" s="151">
        <v>61000</v>
      </c>
      <c r="F113" s="129"/>
      <c r="H113" s="80"/>
      <c r="I113" s="80"/>
    </row>
    <row r="114" spans="1:9" s="79" customFormat="1">
      <c r="A114" s="78">
        <f t="shared" si="1"/>
        <v>111</v>
      </c>
      <c r="B114" s="131">
        <v>42440</v>
      </c>
      <c r="C114" s="72" t="s">
        <v>417</v>
      </c>
      <c r="D114" s="129"/>
      <c r="E114" s="151">
        <v>10000</v>
      </c>
      <c r="F114" s="129"/>
      <c r="H114" s="80"/>
      <c r="I114" s="80"/>
    </row>
    <row r="115" spans="1:9">
      <c r="A115" s="78">
        <f t="shared" si="1"/>
        <v>112</v>
      </c>
      <c r="B115" s="131">
        <v>42440</v>
      </c>
      <c r="C115" s="72" t="s">
        <v>417</v>
      </c>
      <c r="D115" s="129"/>
      <c r="E115" s="151">
        <v>15000</v>
      </c>
      <c r="F115" s="128"/>
    </row>
    <row r="116" spans="1:9">
      <c r="A116" s="78">
        <f t="shared" si="1"/>
        <v>113</v>
      </c>
      <c r="B116" s="131">
        <v>42444</v>
      </c>
      <c r="C116" s="72" t="s">
        <v>417</v>
      </c>
      <c r="D116" s="129"/>
      <c r="E116" s="151">
        <v>10000</v>
      </c>
      <c r="F116" s="128"/>
    </row>
    <row r="117" spans="1:9">
      <c r="A117" s="78">
        <f t="shared" si="1"/>
        <v>114</v>
      </c>
      <c r="B117" s="131">
        <v>42445</v>
      </c>
      <c r="C117" s="132" t="s">
        <v>435</v>
      </c>
      <c r="D117" s="129"/>
      <c r="E117" s="151">
        <v>150000</v>
      </c>
      <c r="F117" s="128"/>
    </row>
    <row r="118" spans="1:9">
      <c r="A118" s="78">
        <f t="shared" si="1"/>
        <v>115</v>
      </c>
      <c r="B118" s="131">
        <v>42446</v>
      </c>
      <c r="C118" s="72" t="s">
        <v>417</v>
      </c>
      <c r="D118" s="129"/>
      <c r="E118" s="151">
        <v>20000</v>
      </c>
      <c r="F118" s="128"/>
    </row>
    <row r="119" spans="1:9">
      <c r="A119" s="78">
        <f t="shared" si="1"/>
        <v>116</v>
      </c>
      <c r="B119" s="131">
        <v>42447</v>
      </c>
      <c r="C119" s="72" t="s">
        <v>417</v>
      </c>
      <c r="D119" s="129"/>
      <c r="E119" s="151">
        <v>15000</v>
      </c>
      <c r="F119" s="128"/>
    </row>
    <row r="120" spans="1:9">
      <c r="A120" s="78">
        <f t="shared" si="1"/>
        <v>117</v>
      </c>
      <c r="B120" s="131">
        <v>42447</v>
      </c>
      <c r="C120" s="72" t="s">
        <v>417</v>
      </c>
      <c r="D120" s="129"/>
      <c r="E120" s="151">
        <v>10000</v>
      </c>
      <c r="F120" s="128"/>
    </row>
    <row r="121" spans="1:9">
      <c r="A121" s="78">
        <f t="shared" si="1"/>
        <v>118</v>
      </c>
      <c r="B121" s="131">
        <v>42447</v>
      </c>
      <c r="C121" s="72" t="s">
        <v>417</v>
      </c>
      <c r="D121" s="129"/>
      <c r="E121" s="151">
        <v>10000</v>
      </c>
      <c r="F121" s="128"/>
    </row>
    <row r="122" spans="1:9">
      <c r="A122" s="78">
        <f t="shared" si="1"/>
        <v>119</v>
      </c>
      <c r="B122" s="131">
        <v>42448</v>
      </c>
      <c r="C122" s="72" t="s">
        <v>417</v>
      </c>
      <c r="D122" s="129"/>
      <c r="E122" s="151">
        <v>5000</v>
      </c>
      <c r="F122" s="128"/>
    </row>
    <row r="123" spans="1:9">
      <c r="A123" s="78">
        <f t="shared" si="1"/>
        <v>120</v>
      </c>
      <c r="B123" s="131">
        <v>42448</v>
      </c>
      <c r="C123" s="72" t="s">
        <v>417</v>
      </c>
      <c r="D123" s="129"/>
      <c r="E123" s="151">
        <v>10000</v>
      </c>
      <c r="F123" s="128"/>
    </row>
    <row r="124" spans="1:9">
      <c r="A124" s="78">
        <f t="shared" si="1"/>
        <v>121</v>
      </c>
      <c r="B124" s="131">
        <v>42451</v>
      </c>
      <c r="C124" s="72" t="s">
        <v>436</v>
      </c>
      <c r="D124" s="129"/>
      <c r="E124" s="151">
        <v>166400</v>
      </c>
      <c r="F124" s="128"/>
    </row>
    <row r="125" spans="1:9">
      <c r="A125" s="78">
        <f t="shared" si="1"/>
        <v>122</v>
      </c>
      <c r="B125" s="131">
        <v>42452</v>
      </c>
      <c r="C125" s="133" t="s">
        <v>437</v>
      </c>
      <c r="D125" s="129"/>
      <c r="E125" s="151">
        <v>200000</v>
      </c>
      <c r="F125" s="128"/>
    </row>
    <row r="126" spans="1:9">
      <c r="A126" s="78">
        <f t="shared" si="1"/>
        <v>123</v>
      </c>
      <c r="B126" s="131">
        <v>42453</v>
      </c>
      <c r="C126" s="132" t="s">
        <v>438</v>
      </c>
      <c r="D126" s="129"/>
      <c r="E126" s="151">
        <v>34000</v>
      </c>
      <c r="F126" s="128"/>
    </row>
    <row r="127" spans="1:9">
      <c r="A127" s="78">
        <f t="shared" si="1"/>
        <v>124</v>
      </c>
      <c r="B127" s="131">
        <v>42454</v>
      </c>
      <c r="C127" s="72" t="s">
        <v>417</v>
      </c>
      <c r="D127" s="129"/>
      <c r="E127" s="151">
        <v>20000</v>
      </c>
      <c r="F127" s="128"/>
    </row>
    <row r="128" spans="1:9">
      <c r="A128" s="78">
        <f t="shared" si="1"/>
        <v>125</v>
      </c>
      <c r="B128" s="131">
        <v>42457</v>
      </c>
      <c r="C128" s="72" t="s">
        <v>417</v>
      </c>
      <c r="D128" s="129"/>
      <c r="E128" s="151">
        <v>20000</v>
      </c>
      <c r="F128" s="128"/>
    </row>
    <row r="129" spans="1:9">
      <c r="A129" s="78">
        <f t="shared" si="1"/>
        <v>126</v>
      </c>
      <c r="B129" s="131">
        <v>42458</v>
      </c>
      <c r="C129" s="132" t="s">
        <v>439</v>
      </c>
      <c r="D129" s="129"/>
      <c r="E129" s="151">
        <v>51000</v>
      </c>
      <c r="F129" s="128"/>
    </row>
    <row r="130" spans="1:9">
      <c r="A130" s="78">
        <f t="shared" si="1"/>
        <v>127</v>
      </c>
      <c r="B130" s="131">
        <v>42459</v>
      </c>
      <c r="C130" s="72" t="s">
        <v>417</v>
      </c>
      <c r="D130" s="129"/>
      <c r="E130" s="151">
        <v>20000</v>
      </c>
      <c r="F130" s="128"/>
      <c r="G130" s="82"/>
      <c r="H130" s="82"/>
      <c r="I130" s="82"/>
    </row>
    <row r="131" spans="1:9">
      <c r="A131" s="78">
        <f t="shared" si="1"/>
        <v>128</v>
      </c>
      <c r="B131" s="131">
        <v>42459</v>
      </c>
      <c r="C131" s="132" t="s">
        <v>440</v>
      </c>
      <c r="D131" s="129"/>
      <c r="E131" s="151">
        <v>18000</v>
      </c>
      <c r="F131" s="128"/>
    </row>
    <row r="132" spans="1:9">
      <c r="A132" s="78">
        <f t="shared" si="1"/>
        <v>129</v>
      </c>
      <c r="B132" s="131">
        <v>42460</v>
      </c>
      <c r="C132" s="72" t="s">
        <v>441</v>
      </c>
      <c r="D132" s="129"/>
      <c r="E132" s="151">
        <v>1500000</v>
      </c>
      <c r="F132" s="128"/>
    </row>
    <row r="133" spans="1:9">
      <c r="A133" s="78">
        <f t="shared" si="1"/>
        <v>130</v>
      </c>
      <c r="B133" s="131">
        <v>42460</v>
      </c>
      <c r="C133" s="72" t="s">
        <v>442</v>
      </c>
      <c r="D133" s="129"/>
      <c r="E133" s="151">
        <v>300000</v>
      </c>
      <c r="F133" s="128"/>
    </row>
    <row r="134" spans="1:9">
      <c r="A134" s="78">
        <f t="shared" si="1"/>
        <v>131</v>
      </c>
      <c r="B134" s="131">
        <v>42461</v>
      </c>
      <c r="C134" s="72" t="s">
        <v>417</v>
      </c>
      <c r="D134" s="129"/>
      <c r="E134" s="151">
        <v>15000</v>
      </c>
      <c r="F134" s="128"/>
    </row>
    <row r="135" spans="1:9">
      <c r="A135" s="78">
        <f t="shared" ref="A135:A198" si="2">A134+1</f>
        <v>132</v>
      </c>
      <c r="B135" s="131">
        <v>42462</v>
      </c>
      <c r="C135" s="72" t="s">
        <v>443</v>
      </c>
      <c r="D135" s="129"/>
      <c r="E135" s="151">
        <v>76000</v>
      </c>
      <c r="F135" s="128"/>
    </row>
    <row r="136" spans="1:9">
      <c r="A136" s="78">
        <f t="shared" si="2"/>
        <v>133</v>
      </c>
      <c r="B136" s="131">
        <v>42462</v>
      </c>
      <c r="C136" s="72" t="s">
        <v>444</v>
      </c>
      <c r="D136" s="129"/>
      <c r="E136" s="151">
        <v>259000</v>
      </c>
      <c r="F136" s="128"/>
    </row>
    <row r="137" spans="1:9">
      <c r="A137" s="78">
        <f t="shared" si="2"/>
        <v>134</v>
      </c>
      <c r="B137" s="131">
        <v>42463</v>
      </c>
      <c r="C137" s="72" t="s">
        <v>445</v>
      </c>
      <c r="D137" s="129"/>
      <c r="E137" s="151">
        <v>147000</v>
      </c>
      <c r="F137" s="128"/>
    </row>
    <row r="138" spans="1:9">
      <c r="A138" s="78">
        <f t="shared" si="2"/>
        <v>135</v>
      </c>
      <c r="B138" s="131">
        <v>42465</v>
      </c>
      <c r="C138" s="72" t="s">
        <v>417</v>
      </c>
      <c r="D138" s="129"/>
      <c r="E138" s="151">
        <v>15000</v>
      </c>
      <c r="F138" s="128"/>
    </row>
    <row r="139" spans="1:9">
      <c r="A139" s="78">
        <f t="shared" si="2"/>
        <v>136</v>
      </c>
      <c r="B139" s="131">
        <v>42465</v>
      </c>
      <c r="C139" s="132" t="s">
        <v>446</v>
      </c>
      <c r="D139" s="129"/>
      <c r="E139" s="151">
        <v>68000</v>
      </c>
      <c r="F139" s="128"/>
    </row>
    <row r="140" spans="1:9">
      <c r="A140" s="78">
        <f t="shared" si="2"/>
        <v>137</v>
      </c>
      <c r="B140" s="131">
        <v>42466</v>
      </c>
      <c r="C140" s="72" t="s">
        <v>447</v>
      </c>
      <c r="D140" s="129"/>
      <c r="E140" s="151">
        <v>48000</v>
      </c>
      <c r="F140" s="128"/>
    </row>
    <row r="141" spans="1:9">
      <c r="A141" s="78">
        <f t="shared" si="2"/>
        <v>138</v>
      </c>
      <c r="B141" s="131">
        <v>42467</v>
      </c>
      <c r="C141" s="132" t="s">
        <v>448</v>
      </c>
      <c r="D141" s="129"/>
      <c r="E141" s="151">
        <v>51000</v>
      </c>
      <c r="F141" s="128"/>
    </row>
    <row r="142" spans="1:9">
      <c r="A142" s="78">
        <f t="shared" si="2"/>
        <v>139</v>
      </c>
      <c r="B142" s="131">
        <v>42471</v>
      </c>
      <c r="C142" s="72" t="s">
        <v>417</v>
      </c>
      <c r="D142" s="129"/>
      <c r="E142" s="151">
        <v>20000</v>
      </c>
      <c r="F142" s="128"/>
    </row>
    <row r="143" spans="1:9">
      <c r="A143" s="78">
        <f t="shared" si="2"/>
        <v>140</v>
      </c>
      <c r="B143" s="131">
        <v>42471</v>
      </c>
      <c r="C143" s="72" t="s">
        <v>417</v>
      </c>
      <c r="D143" s="129"/>
      <c r="E143" s="151">
        <v>20000</v>
      </c>
      <c r="F143" s="128"/>
    </row>
    <row r="144" spans="1:9">
      <c r="A144" s="78">
        <f t="shared" si="2"/>
        <v>141</v>
      </c>
      <c r="B144" s="131">
        <v>42472</v>
      </c>
      <c r="C144" s="72" t="s">
        <v>449</v>
      </c>
      <c r="D144" s="129"/>
      <c r="E144" s="151">
        <v>11500</v>
      </c>
      <c r="F144" s="128"/>
    </row>
    <row r="145" spans="1:6">
      <c r="A145" s="78">
        <f t="shared" si="2"/>
        <v>142</v>
      </c>
      <c r="B145" s="131">
        <v>42473</v>
      </c>
      <c r="C145" s="72" t="s">
        <v>450</v>
      </c>
      <c r="D145" s="129"/>
      <c r="E145" s="151">
        <v>200000</v>
      </c>
      <c r="F145" s="128"/>
    </row>
    <row r="146" spans="1:6">
      <c r="A146" s="78">
        <f t="shared" si="2"/>
        <v>143</v>
      </c>
      <c r="B146" s="131">
        <v>42473</v>
      </c>
      <c r="C146" s="72" t="s">
        <v>417</v>
      </c>
      <c r="D146" s="129"/>
      <c r="E146" s="151">
        <v>20000</v>
      </c>
      <c r="F146" s="128"/>
    </row>
    <row r="147" spans="1:6">
      <c r="A147" s="78">
        <f t="shared" si="2"/>
        <v>144</v>
      </c>
      <c r="B147" s="131">
        <v>42473</v>
      </c>
      <c r="C147" s="72" t="s">
        <v>417</v>
      </c>
      <c r="D147" s="129"/>
      <c r="E147" s="151">
        <v>15000</v>
      </c>
      <c r="F147" s="128"/>
    </row>
    <row r="148" spans="1:6">
      <c r="A148" s="78">
        <f t="shared" si="2"/>
        <v>145</v>
      </c>
      <c r="B148" s="131">
        <v>42474</v>
      </c>
      <c r="C148" s="72" t="s">
        <v>417</v>
      </c>
      <c r="D148" s="129"/>
      <c r="E148" s="151">
        <v>20000</v>
      </c>
      <c r="F148" s="128"/>
    </row>
    <row r="149" spans="1:6">
      <c r="A149" s="78">
        <f t="shared" si="2"/>
        <v>146</v>
      </c>
      <c r="B149" s="131">
        <v>42475</v>
      </c>
      <c r="C149" s="72" t="s">
        <v>417</v>
      </c>
      <c r="D149" s="129"/>
      <c r="E149" s="151">
        <v>10000</v>
      </c>
      <c r="F149" s="128"/>
    </row>
    <row r="150" spans="1:6">
      <c r="A150" s="78">
        <f t="shared" si="2"/>
        <v>147</v>
      </c>
      <c r="B150" s="131">
        <v>42475</v>
      </c>
      <c r="C150" s="72" t="s">
        <v>417</v>
      </c>
      <c r="D150" s="129"/>
      <c r="E150" s="151">
        <v>10000</v>
      </c>
      <c r="F150" s="128"/>
    </row>
    <row r="151" spans="1:6">
      <c r="A151" s="78">
        <f t="shared" si="2"/>
        <v>148</v>
      </c>
      <c r="B151" s="131">
        <v>42475</v>
      </c>
      <c r="C151" s="132" t="s">
        <v>448</v>
      </c>
      <c r="D151" s="129"/>
      <c r="E151" s="151">
        <v>26000</v>
      </c>
      <c r="F151" s="128"/>
    </row>
    <row r="152" spans="1:6">
      <c r="A152" s="78">
        <f t="shared" si="2"/>
        <v>149</v>
      </c>
      <c r="B152" s="131">
        <v>42477</v>
      </c>
      <c r="C152" s="72" t="s">
        <v>451</v>
      </c>
      <c r="D152" s="129"/>
      <c r="E152" s="151">
        <v>65000</v>
      </c>
      <c r="F152" s="128"/>
    </row>
    <row r="153" spans="1:6">
      <c r="A153" s="78">
        <f t="shared" si="2"/>
        <v>150</v>
      </c>
      <c r="B153" s="131">
        <v>42477</v>
      </c>
      <c r="C153" s="72" t="s">
        <v>417</v>
      </c>
      <c r="D153" s="129"/>
      <c r="E153" s="151">
        <v>5000</v>
      </c>
      <c r="F153" s="128"/>
    </row>
    <row r="154" spans="1:6">
      <c r="A154" s="78">
        <f t="shared" si="2"/>
        <v>151</v>
      </c>
      <c r="B154" s="131">
        <v>42479</v>
      </c>
      <c r="C154" s="72" t="s">
        <v>417</v>
      </c>
      <c r="D154" s="129"/>
      <c r="E154" s="151">
        <v>20000</v>
      </c>
      <c r="F154" s="128"/>
    </row>
    <row r="155" spans="1:6">
      <c r="A155" s="78">
        <f t="shared" si="2"/>
        <v>152</v>
      </c>
      <c r="B155" s="131">
        <v>42480</v>
      </c>
      <c r="C155" s="72" t="s">
        <v>417</v>
      </c>
      <c r="D155" s="129"/>
      <c r="E155" s="151">
        <v>10000</v>
      </c>
      <c r="F155" s="128"/>
    </row>
    <row r="156" spans="1:6">
      <c r="A156" s="78">
        <f t="shared" si="2"/>
        <v>153</v>
      </c>
      <c r="B156" s="131">
        <v>42480</v>
      </c>
      <c r="C156" s="132" t="s">
        <v>452</v>
      </c>
      <c r="D156" s="129"/>
      <c r="E156" s="151">
        <v>182000</v>
      </c>
      <c r="F156" s="128"/>
    </row>
    <row r="157" spans="1:6">
      <c r="A157" s="78">
        <f t="shared" si="2"/>
        <v>154</v>
      </c>
      <c r="B157" s="131">
        <v>42481</v>
      </c>
      <c r="C157" s="72" t="s">
        <v>417</v>
      </c>
      <c r="D157" s="129"/>
      <c r="E157" s="151">
        <v>20000</v>
      </c>
      <c r="F157" s="128"/>
    </row>
    <row r="158" spans="1:6">
      <c r="A158" s="78">
        <f t="shared" si="2"/>
        <v>155</v>
      </c>
      <c r="B158" s="131">
        <v>42481</v>
      </c>
      <c r="C158" s="132" t="s">
        <v>453</v>
      </c>
      <c r="D158" s="129"/>
      <c r="E158" s="151">
        <v>35000</v>
      </c>
      <c r="F158" s="128"/>
    </row>
    <row r="159" spans="1:6">
      <c r="A159" s="78">
        <f t="shared" si="2"/>
        <v>156</v>
      </c>
      <c r="B159" s="131">
        <v>42481</v>
      </c>
      <c r="C159" s="132" t="s">
        <v>446</v>
      </c>
      <c r="D159" s="129"/>
      <c r="E159" s="151">
        <v>104000</v>
      </c>
      <c r="F159" s="128"/>
    </row>
    <row r="160" spans="1:6">
      <c r="A160" s="78">
        <f t="shared" si="2"/>
        <v>157</v>
      </c>
      <c r="B160" s="131">
        <v>42482</v>
      </c>
      <c r="C160" s="72" t="s">
        <v>417</v>
      </c>
      <c r="D160" s="129"/>
      <c r="E160" s="151">
        <v>10000</v>
      </c>
      <c r="F160" s="128"/>
    </row>
    <row r="161" spans="1:6">
      <c r="A161" s="78">
        <f t="shared" si="2"/>
        <v>158</v>
      </c>
      <c r="B161" s="131">
        <v>42482</v>
      </c>
      <c r="C161" s="72" t="s">
        <v>417</v>
      </c>
      <c r="D161" s="129"/>
      <c r="E161" s="151">
        <v>20000</v>
      </c>
      <c r="F161" s="128"/>
    </row>
    <row r="162" spans="1:6">
      <c r="A162" s="78">
        <f t="shared" si="2"/>
        <v>159</v>
      </c>
      <c r="B162" s="131">
        <v>42483</v>
      </c>
      <c r="C162" s="72" t="s">
        <v>417</v>
      </c>
      <c r="D162" s="129"/>
      <c r="E162" s="151">
        <v>10000</v>
      </c>
      <c r="F162" s="128"/>
    </row>
    <row r="163" spans="1:6">
      <c r="A163" s="78">
        <f t="shared" si="2"/>
        <v>160</v>
      </c>
      <c r="B163" s="131">
        <v>42484</v>
      </c>
      <c r="C163" s="132" t="s">
        <v>448</v>
      </c>
      <c r="D163" s="129"/>
      <c r="E163" s="151">
        <v>51000</v>
      </c>
      <c r="F163" s="128"/>
    </row>
    <row r="164" spans="1:6">
      <c r="A164" s="78">
        <f t="shared" si="2"/>
        <v>161</v>
      </c>
      <c r="B164" s="131">
        <v>42487</v>
      </c>
      <c r="C164" s="72" t="s">
        <v>454</v>
      </c>
      <c r="D164" s="129"/>
      <c r="E164" s="151">
        <v>127750</v>
      </c>
      <c r="F164" s="128"/>
    </row>
    <row r="165" spans="1:6">
      <c r="A165" s="78">
        <f t="shared" si="2"/>
        <v>162</v>
      </c>
      <c r="B165" s="131">
        <v>42490</v>
      </c>
      <c r="C165" s="72" t="s">
        <v>455</v>
      </c>
      <c r="D165" s="129"/>
      <c r="E165" s="151">
        <v>148000</v>
      </c>
      <c r="F165" s="128"/>
    </row>
    <row r="166" spans="1:6">
      <c r="A166" s="78">
        <f t="shared" si="2"/>
        <v>163</v>
      </c>
      <c r="B166" s="131">
        <v>42490</v>
      </c>
      <c r="C166" s="72" t="s">
        <v>456</v>
      </c>
      <c r="D166" s="129"/>
      <c r="E166" s="151">
        <v>1500000</v>
      </c>
      <c r="F166" s="128"/>
    </row>
    <row r="167" spans="1:6">
      <c r="A167" s="78">
        <f t="shared" si="2"/>
        <v>164</v>
      </c>
      <c r="B167" s="131">
        <v>42490</v>
      </c>
      <c r="C167" s="72" t="s">
        <v>457</v>
      </c>
      <c r="D167" s="129"/>
      <c r="E167" s="151">
        <v>300000</v>
      </c>
      <c r="F167" s="128"/>
    </row>
    <row r="168" spans="1:6">
      <c r="A168" s="78">
        <f t="shared" si="2"/>
        <v>165</v>
      </c>
      <c r="B168" s="131">
        <v>42491</v>
      </c>
      <c r="C168" s="72" t="s">
        <v>458</v>
      </c>
      <c r="D168" s="129"/>
      <c r="E168" s="151">
        <v>45000</v>
      </c>
      <c r="F168" s="128"/>
    </row>
    <row r="169" spans="1:6">
      <c r="A169" s="78">
        <f t="shared" si="2"/>
        <v>166</v>
      </c>
      <c r="B169" s="131">
        <v>42492</v>
      </c>
      <c r="C169" s="72" t="s">
        <v>417</v>
      </c>
      <c r="D169" s="129"/>
      <c r="E169" s="151">
        <v>20000</v>
      </c>
      <c r="F169" s="128"/>
    </row>
    <row r="170" spans="1:6">
      <c r="A170" s="78">
        <f t="shared" si="2"/>
        <v>167</v>
      </c>
      <c r="B170" s="131">
        <v>42492</v>
      </c>
      <c r="C170" s="72" t="s">
        <v>417</v>
      </c>
      <c r="D170" s="129"/>
      <c r="E170" s="151">
        <v>10000</v>
      </c>
      <c r="F170" s="128"/>
    </row>
    <row r="171" spans="1:6">
      <c r="A171" s="78">
        <f t="shared" si="2"/>
        <v>168</v>
      </c>
      <c r="B171" s="131">
        <v>42493</v>
      </c>
      <c r="C171" s="72" t="s">
        <v>417</v>
      </c>
      <c r="D171" s="129"/>
      <c r="E171" s="151">
        <v>15000</v>
      </c>
      <c r="F171" s="128"/>
    </row>
    <row r="172" spans="1:6">
      <c r="A172" s="78">
        <f t="shared" si="2"/>
        <v>169</v>
      </c>
      <c r="B172" s="131">
        <v>42496</v>
      </c>
      <c r="C172" s="72" t="s">
        <v>459</v>
      </c>
      <c r="D172" s="129"/>
      <c r="E172" s="151">
        <v>100000</v>
      </c>
      <c r="F172" s="128"/>
    </row>
    <row r="173" spans="1:6">
      <c r="A173" s="78">
        <f t="shared" si="2"/>
        <v>170</v>
      </c>
      <c r="B173" s="131">
        <v>42500</v>
      </c>
      <c r="C173" s="72" t="s">
        <v>417</v>
      </c>
      <c r="D173" s="129"/>
      <c r="E173" s="151">
        <v>10000</v>
      </c>
      <c r="F173" s="128"/>
    </row>
    <row r="174" spans="1:6">
      <c r="A174" s="78">
        <f t="shared" si="2"/>
        <v>171</v>
      </c>
      <c r="B174" s="131">
        <v>42500</v>
      </c>
      <c r="C174" s="132" t="s">
        <v>460</v>
      </c>
      <c r="D174" s="129"/>
      <c r="E174" s="151">
        <v>71000</v>
      </c>
      <c r="F174" s="128"/>
    </row>
    <row r="175" spans="1:6">
      <c r="A175" s="78">
        <f t="shared" si="2"/>
        <v>172</v>
      </c>
      <c r="B175" s="131">
        <v>42501</v>
      </c>
      <c r="C175" s="72" t="s">
        <v>417</v>
      </c>
      <c r="D175" s="129"/>
      <c r="E175" s="151">
        <v>20000</v>
      </c>
      <c r="F175" s="128"/>
    </row>
    <row r="176" spans="1:6">
      <c r="A176" s="78">
        <f t="shared" si="2"/>
        <v>173</v>
      </c>
      <c r="B176" s="131">
        <v>42501</v>
      </c>
      <c r="C176" s="72" t="s">
        <v>417</v>
      </c>
      <c r="D176" s="129"/>
      <c r="E176" s="151">
        <v>10000</v>
      </c>
      <c r="F176" s="128"/>
    </row>
    <row r="177" spans="1:6">
      <c r="A177" s="78">
        <f t="shared" si="2"/>
        <v>174</v>
      </c>
      <c r="B177" s="131">
        <v>42502</v>
      </c>
      <c r="C177" s="72" t="s">
        <v>455</v>
      </c>
      <c r="D177" s="129"/>
      <c r="E177" s="151">
        <v>148000</v>
      </c>
      <c r="F177" s="128"/>
    </row>
    <row r="178" spans="1:6">
      <c r="A178" s="78">
        <f t="shared" si="2"/>
        <v>175</v>
      </c>
      <c r="B178" s="131">
        <v>42504</v>
      </c>
      <c r="C178" s="132" t="s">
        <v>448</v>
      </c>
      <c r="D178" s="129"/>
      <c r="E178" s="151">
        <v>21000</v>
      </c>
      <c r="F178" s="128"/>
    </row>
    <row r="179" spans="1:6">
      <c r="A179" s="78">
        <f t="shared" si="2"/>
        <v>176</v>
      </c>
      <c r="B179" s="131">
        <v>42508</v>
      </c>
      <c r="C179" s="72" t="s">
        <v>444</v>
      </c>
      <c r="D179" s="129"/>
      <c r="E179" s="151">
        <v>149000</v>
      </c>
      <c r="F179" s="128"/>
    </row>
    <row r="180" spans="1:6">
      <c r="A180" s="78">
        <f t="shared" si="2"/>
        <v>177</v>
      </c>
      <c r="B180" s="131">
        <v>42508</v>
      </c>
      <c r="C180" s="72" t="s">
        <v>461</v>
      </c>
      <c r="D180" s="129"/>
      <c r="E180" s="151">
        <v>435500</v>
      </c>
      <c r="F180" s="128"/>
    </row>
    <row r="181" spans="1:6">
      <c r="A181" s="78">
        <f t="shared" si="2"/>
        <v>178</v>
      </c>
      <c r="B181" s="131">
        <v>42508</v>
      </c>
      <c r="C181" s="72" t="s">
        <v>462</v>
      </c>
      <c r="D181" s="129"/>
      <c r="E181" s="151">
        <v>10000</v>
      </c>
      <c r="F181" s="128"/>
    </row>
    <row r="182" spans="1:6">
      <c r="A182" s="78">
        <f t="shared" si="2"/>
        <v>179</v>
      </c>
      <c r="B182" s="131">
        <v>42508</v>
      </c>
      <c r="C182" s="72" t="s">
        <v>417</v>
      </c>
      <c r="D182" s="129"/>
      <c r="E182" s="151">
        <v>10000</v>
      </c>
      <c r="F182" s="128"/>
    </row>
    <row r="183" spans="1:6">
      <c r="A183" s="78">
        <f t="shared" si="2"/>
        <v>180</v>
      </c>
      <c r="B183" s="131">
        <v>42508</v>
      </c>
      <c r="C183" s="132" t="s">
        <v>420</v>
      </c>
      <c r="D183" s="129"/>
      <c r="E183" s="151">
        <v>36000</v>
      </c>
      <c r="F183" s="128"/>
    </row>
    <row r="184" spans="1:6">
      <c r="A184" s="78">
        <f t="shared" si="2"/>
        <v>181</v>
      </c>
      <c r="B184" s="131">
        <v>42509</v>
      </c>
      <c r="C184" s="72" t="s">
        <v>417</v>
      </c>
      <c r="D184" s="129"/>
      <c r="E184" s="151">
        <v>20000</v>
      </c>
      <c r="F184" s="128"/>
    </row>
    <row r="185" spans="1:6">
      <c r="A185" s="78">
        <f t="shared" si="2"/>
        <v>182</v>
      </c>
      <c r="B185" s="131">
        <v>42509</v>
      </c>
      <c r="C185" s="72" t="s">
        <v>417</v>
      </c>
      <c r="D185" s="129"/>
      <c r="E185" s="151">
        <v>15000</v>
      </c>
      <c r="F185" s="128"/>
    </row>
    <row r="186" spans="1:6">
      <c r="A186" s="78">
        <f t="shared" si="2"/>
        <v>183</v>
      </c>
      <c r="B186" s="131">
        <v>42509</v>
      </c>
      <c r="C186" s="72" t="s">
        <v>417</v>
      </c>
      <c r="D186" s="129"/>
      <c r="E186" s="151">
        <v>10000</v>
      </c>
      <c r="F186" s="128"/>
    </row>
    <row r="187" spans="1:6">
      <c r="A187" s="78">
        <f t="shared" si="2"/>
        <v>184</v>
      </c>
      <c r="B187" s="131">
        <v>42510</v>
      </c>
      <c r="C187" s="72" t="s">
        <v>417</v>
      </c>
      <c r="D187" s="129"/>
      <c r="E187" s="151">
        <v>15000</v>
      </c>
      <c r="F187" s="128"/>
    </row>
    <row r="188" spans="1:6">
      <c r="A188" s="78">
        <f t="shared" si="2"/>
        <v>185</v>
      </c>
      <c r="B188" s="131">
        <v>42510</v>
      </c>
      <c r="C188" s="72" t="s">
        <v>417</v>
      </c>
      <c r="D188" s="129"/>
      <c r="E188" s="151">
        <v>10000</v>
      </c>
      <c r="F188" s="128"/>
    </row>
    <row r="189" spans="1:6">
      <c r="A189" s="78">
        <f t="shared" si="2"/>
        <v>186</v>
      </c>
      <c r="B189" s="131">
        <v>42511</v>
      </c>
      <c r="C189" s="72" t="s">
        <v>417</v>
      </c>
      <c r="D189" s="129"/>
      <c r="E189" s="151">
        <v>15000</v>
      </c>
      <c r="F189" s="128"/>
    </row>
    <row r="190" spans="1:6">
      <c r="A190" s="78">
        <f t="shared" si="2"/>
        <v>187</v>
      </c>
      <c r="B190" s="131">
        <v>42511</v>
      </c>
      <c r="C190" s="72" t="s">
        <v>417</v>
      </c>
      <c r="D190" s="129"/>
      <c r="E190" s="151">
        <v>10000</v>
      </c>
      <c r="F190" s="128"/>
    </row>
    <row r="191" spans="1:6">
      <c r="A191" s="78">
        <f t="shared" si="2"/>
        <v>188</v>
      </c>
      <c r="B191" s="131">
        <v>42511</v>
      </c>
      <c r="C191" s="132" t="s">
        <v>448</v>
      </c>
      <c r="D191" s="129"/>
      <c r="E191" s="151">
        <v>21000</v>
      </c>
      <c r="F191" s="128"/>
    </row>
    <row r="192" spans="1:6">
      <c r="A192" s="78">
        <f t="shared" si="2"/>
        <v>189</v>
      </c>
      <c r="B192" s="131">
        <v>42513</v>
      </c>
      <c r="C192" s="134" t="s">
        <v>463</v>
      </c>
      <c r="D192" s="129"/>
      <c r="E192" s="151">
        <v>655400</v>
      </c>
      <c r="F192" s="128"/>
    </row>
    <row r="193" spans="1:6">
      <c r="A193" s="78">
        <f t="shared" si="2"/>
        <v>190</v>
      </c>
      <c r="B193" s="131">
        <v>42514</v>
      </c>
      <c r="C193" s="72" t="s">
        <v>464</v>
      </c>
      <c r="D193" s="129"/>
      <c r="E193" s="151">
        <v>40000</v>
      </c>
      <c r="F193" s="128"/>
    </row>
    <row r="194" spans="1:6">
      <c r="A194" s="78">
        <f t="shared" si="2"/>
        <v>191</v>
      </c>
      <c r="B194" s="131">
        <v>42514</v>
      </c>
      <c r="C194" s="72" t="s">
        <v>417</v>
      </c>
      <c r="D194" s="129"/>
      <c r="E194" s="151">
        <v>5000</v>
      </c>
      <c r="F194" s="128"/>
    </row>
    <row r="195" spans="1:6">
      <c r="A195" s="78">
        <f t="shared" si="2"/>
        <v>192</v>
      </c>
      <c r="B195" s="131">
        <v>42515</v>
      </c>
      <c r="C195" s="132" t="s">
        <v>448</v>
      </c>
      <c r="D195" s="129"/>
      <c r="E195" s="151">
        <v>21000</v>
      </c>
      <c r="F195" s="128"/>
    </row>
    <row r="196" spans="1:6">
      <c r="A196" s="78">
        <f t="shared" si="2"/>
        <v>193</v>
      </c>
      <c r="B196" s="131">
        <v>42517</v>
      </c>
      <c r="C196" s="72" t="s">
        <v>417</v>
      </c>
      <c r="D196" s="129"/>
      <c r="E196" s="151">
        <v>10000</v>
      </c>
      <c r="F196" s="128"/>
    </row>
    <row r="197" spans="1:6">
      <c r="A197" s="78">
        <f t="shared" si="2"/>
        <v>194</v>
      </c>
      <c r="B197" s="131">
        <v>42520</v>
      </c>
      <c r="C197" s="72" t="s">
        <v>417</v>
      </c>
      <c r="D197" s="129"/>
      <c r="E197" s="151">
        <v>20000</v>
      </c>
      <c r="F197" s="128"/>
    </row>
    <row r="198" spans="1:6">
      <c r="A198" s="78">
        <f t="shared" si="2"/>
        <v>195</v>
      </c>
      <c r="B198" s="131">
        <v>42521</v>
      </c>
      <c r="C198" s="72" t="s">
        <v>465</v>
      </c>
      <c r="D198" s="129"/>
      <c r="E198" s="151">
        <v>1700000</v>
      </c>
      <c r="F198" s="128"/>
    </row>
    <row r="199" spans="1:6">
      <c r="A199" s="78">
        <f t="shared" ref="A199:A262" si="3">A198+1</f>
        <v>196</v>
      </c>
      <c r="B199" s="131">
        <v>42521</v>
      </c>
      <c r="C199" s="72" t="s">
        <v>466</v>
      </c>
      <c r="D199" s="129"/>
      <c r="E199" s="151">
        <v>300000</v>
      </c>
      <c r="F199" s="128"/>
    </row>
    <row r="200" spans="1:6">
      <c r="A200" s="78">
        <f t="shared" si="3"/>
        <v>197</v>
      </c>
      <c r="B200" s="131">
        <v>42521</v>
      </c>
      <c r="C200" s="72" t="s">
        <v>417</v>
      </c>
      <c r="D200" s="129"/>
      <c r="E200" s="151">
        <v>10000</v>
      </c>
      <c r="F200" s="128"/>
    </row>
    <row r="201" spans="1:6">
      <c r="A201" s="78">
        <f t="shared" si="3"/>
        <v>198</v>
      </c>
      <c r="B201" s="131">
        <v>42521</v>
      </c>
      <c r="C201" s="72" t="s">
        <v>417</v>
      </c>
      <c r="D201" s="129"/>
      <c r="E201" s="151">
        <v>10000</v>
      </c>
      <c r="F201" s="128"/>
    </row>
    <row r="202" spans="1:6">
      <c r="A202" s="78">
        <f t="shared" si="3"/>
        <v>199</v>
      </c>
      <c r="B202" s="131">
        <v>42522</v>
      </c>
      <c r="C202" s="72" t="s">
        <v>458</v>
      </c>
      <c r="D202" s="129"/>
      <c r="E202" s="151">
        <v>60000</v>
      </c>
      <c r="F202" s="128"/>
    </row>
    <row r="203" spans="1:6">
      <c r="A203" s="78">
        <f t="shared" si="3"/>
        <v>200</v>
      </c>
      <c r="B203" s="131">
        <v>42522</v>
      </c>
      <c r="C203" s="132" t="s">
        <v>448</v>
      </c>
      <c r="D203" s="129"/>
      <c r="E203" s="151">
        <v>21000</v>
      </c>
      <c r="F203" s="128"/>
    </row>
    <row r="204" spans="1:6">
      <c r="A204" s="78">
        <f t="shared" si="3"/>
        <v>201</v>
      </c>
      <c r="B204" s="131">
        <v>42525</v>
      </c>
      <c r="C204" s="132" t="s">
        <v>460</v>
      </c>
      <c r="D204" s="129"/>
      <c r="E204" s="151">
        <v>76000</v>
      </c>
      <c r="F204" s="128"/>
    </row>
    <row r="205" spans="1:6">
      <c r="A205" s="78">
        <f t="shared" si="3"/>
        <v>202</v>
      </c>
      <c r="B205" s="131">
        <v>42527</v>
      </c>
      <c r="C205" s="72" t="s">
        <v>417</v>
      </c>
      <c r="D205" s="129"/>
      <c r="E205" s="151">
        <v>10000</v>
      </c>
      <c r="F205" s="128"/>
    </row>
    <row r="206" spans="1:6">
      <c r="A206" s="78">
        <f t="shared" si="3"/>
        <v>203</v>
      </c>
      <c r="B206" s="131">
        <v>42527</v>
      </c>
      <c r="C206" s="72" t="s">
        <v>417</v>
      </c>
      <c r="D206" s="129"/>
      <c r="E206" s="151">
        <v>10000</v>
      </c>
      <c r="F206" s="128"/>
    </row>
    <row r="207" spans="1:6">
      <c r="A207" s="78">
        <f t="shared" si="3"/>
        <v>204</v>
      </c>
      <c r="B207" s="131">
        <v>42530</v>
      </c>
      <c r="C207" s="72" t="s">
        <v>417</v>
      </c>
      <c r="D207" s="129"/>
      <c r="E207" s="151">
        <v>5000</v>
      </c>
      <c r="F207" s="128"/>
    </row>
    <row r="208" spans="1:6">
      <c r="A208" s="78">
        <f t="shared" si="3"/>
        <v>205</v>
      </c>
      <c r="B208" s="131">
        <v>42530</v>
      </c>
      <c r="C208" s="72" t="s">
        <v>417</v>
      </c>
      <c r="D208" s="129"/>
      <c r="E208" s="151">
        <v>5000</v>
      </c>
      <c r="F208" s="128"/>
    </row>
    <row r="209" spans="1:6">
      <c r="A209" s="78">
        <f t="shared" si="3"/>
        <v>206</v>
      </c>
      <c r="B209" s="131">
        <v>42531</v>
      </c>
      <c r="C209" s="72" t="s">
        <v>417</v>
      </c>
      <c r="D209" s="129"/>
      <c r="E209" s="151">
        <v>15000</v>
      </c>
      <c r="F209" s="128"/>
    </row>
    <row r="210" spans="1:6">
      <c r="A210" s="78">
        <f t="shared" si="3"/>
        <v>207</v>
      </c>
      <c r="B210" s="131">
        <v>42531</v>
      </c>
      <c r="C210" s="132" t="s">
        <v>448</v>
      </c>
      <c r="D210" s="129"/>
      <c r="E210" s="151">
        <v>12000</v>
      </c>
      <c r="F210" s="128"/>
    </row>
    <row r="211" spans="1:6">
      <c r="A211" s="78">
        <f t="shared" si="3"/>
        <v>208</v>
      </c>
      <c r="B211" s="131">
        <v>42531</v>
      </c>
      <c r="C211" s="132" t="s">
        <v>448</v>
      </c>
      <c r="D211" s="129"/>
      <c r="E211" s="151">
        <v>21000</v>
      </c>
      <c r="F211" s="128"/>
    </row>
    <row r="212" spans="1:6">
      <c r="A212" s="78">
        <f t="shared" si="3"/>
        <v>209</v>
      </c>
      <c r="B212" s="131">
        <v>42531</v>
      </c>
      <c r="C212" s="132" t="s">
        <v>460</v>
      </c>
      <c r="D212" s="129"/>
      <c r="E212" s="151">
        <v>52000</v>
      </c>
      <c r="F212" s="128"/>
    </row>
    <row r="213" spans="1:6">
      <c r="A213" s="78">
        <f t="shared" si="3"/>
        <v>210</v>
      </c>
      <c r="B213" s="131">
        <v>42531</v>
      </c>
      <c r="C213" s="132" t="s">
        <v>420</v>
      </c>
      <c r="D213" s="129"/>
      <c r="E213" s="151">
        <v>19000</v>
      </c>
      <c r="F213" s="128"/>
    </row>
    <row r="214" spans="1:6">
      <c r="A214" s="78">
        <f t="shared" si="3"/>
        <v>211</v>
      </c>
      <c r="B214" s="131">
        <v>42533</v>
      </c>
      <c r="C214" s="72" t="s">
        <v>417</v>
      </c>
      <c r="D214" s="129"/>
      <c r="E214" s="151">
        <v>10000</v>
      </c>
      <c r="F214" s="128"/>
    </row>
    <row r="215" spans="1:6">
      <c r="A215" s="78">
        <f t="shared" si="3"/>
        <v>212</v>
      </c>
      <c r="B215" s="131">
        <v>42538</v>
      </c>
      <c r="C215" s="72" t="s">
        <v>417</v>
      </c>
      <c r="D215" s="129"/>
      <c r="E215" s="151">
        <v>20000</v>
      </c>
      <c r="F215" s="128"/>
    </row>
    <row r="216" spans="1:6">
      <c r="A216" s="78">
        <f t="shared" si="3"/>
        <v>213</v>
      </c>
      <c r="B216" s="131">
        <v>42539</v>
      </c>
      <c r="C216" s="72" t="s">
        <v>417</v>
      </c>
      <c r="D216" s="129"/>
      <c r="E216" s="151">
        <v>10000</v>
      </c>
      <c r="F216" s="128"/>
    </row>
    <row r="217" spans="1:6">
      <c r="A217" s="78">
        <f t="shared" si="3"/>
        <v>214</v>
      </c>
      <c r="B217" s="131">
        <v>42539</v>
      </c>
      <c r="C217" s="72" t="s">
        <v>417</v>
      </c>
      <c r="D217" s="129"/>
      <c r="E217" s="151">
        <v>20000</v>
      </c>
      <c r="F217" s="128"/>
    </row>
    <row r="218" spans="1:6">
      <c r="A218" s="78">
        <f t="shared" si="3"/>
        <v>215</v>
      </c>
      <c r="B218" s="131">
        <v>42540</v>
      </c>
      <c r="C218" s="72" t="s">
        <v>417</v>
      </c>
      <c r="D218" s="129"/>
      <c r="E218" s="151">
        <v>5000</v>
      </c>
      <c r="F218" s="128"/>
    </row>
    <row r="219" spans="1:6">
      <c r="A219" s="78">
        <f t="shared" si="3"/>
        <v>216</v>
      </c>
      <c r="B219" s="131">
        <v>42540</v>
      </c>
      <c r="C219" s="72" t="s">
        <v>417</v>
      </c>
      <c r="D219" s="129"/>
      <c r="E219" s="151">
        <v>20000</v>
      </c>
      <c r="F219" s="128"/>
    </row>
    <row r="220" spans="1:6">
      <c r="A220" s="78">
        <f t="shared" si="3"/>
        <v>217</v>
      </c>
      <c r="B220" s="131">
        <v>42540</v>
      </c>
      <c r="C220" s="72" t="s">
        <v>417</v>
      </c>
      <c r="D220" s="129"/>
      <c r="E220" s="151">
        <v>5000</v>
      </c>
      <c r="F220" s="128"/>
    </row>
    <row r="221" spans="1:6">
      <c r="A221" s="78">
        <f t="shared" si="3"/>
        <v>218</v>
      </c>
      <c r="B221" s="131">
        <v>42540</v>
      </c>
      <c r="C221" s="132" t="s">
        <v>448</v>
      </c>
      <c r="D221" s="129"/>
      <c r="E221" s="151">
        <v>21000</v>
      </c>
      <c r="F221" s="128"/>
    </row>
    <row r="222" spans="1:6">
      <c r="A222" s="78">
        <f t="shared" si="3"/>
        <v>219</v>
      </c>
      <c r="B222" s="131">
        <v>42541</v>
      </c>
      <c r="C222" s="132" t="s">
        <v>448</v>
      </c>
      <c r="D222" s="129"/>
      <c r="E222" s="151">
        <v>21000</v>
      </c>
      <c r="F222" s="128"/>
    </row>
    <row r="223" spans="1:6">
      <c r="A223" s="78">
        <f t="shared" si="3"/>
        <v>220</v>
      </c>
      <c r="B223" s="131">
        <v>42542</v>
      </c>
      <c r="C223" s="72" t="s">
        <v>417</v>
      </c>
      <c r="D223" s="129"/>
      <c r="E223" s="151">
        <v>25000</v>
      </c>
      <c r="F223" s="128"/>
    </row>
    <row r="224" spans="1:6">
      <c r="A224" s="78">
        <f t="shared" si="3"/>
        <v>221</v>
      </c>
      <c r="B224" s="131">
        <v>42543</v>
      </c>
      <c r="C224" s="72" t="s">
        <v>417</v>
      </c>
      <c r="D224" s="129"/>
      <c r="E224" s="151">
        <v>10000</v>
      </c>
      <c r="F224" s="128"/>
    </row>
    <row r="225" spans="1:8">
      <c r="A225" s="78">
        <f t="shared" si="3"/>
        <v>222</v>
      </c>
      <c r="B225" s="131">
        <v>42544</v>
      </c>
      <c r="C225" s="132" t="s">
        <v>460</v>
      </c>
      <c r="D225" s="129"/>
      <c r="E225" s="151">
        <v>32000</v>
      </c>
      <c r="F225" s="128"/>
    </row>
    <row r="226" spans="1:8">
      <c r="A226" s="78">
        <f t="shared" si="3"/>
        <v>223</v>
      </c>
      <c r="B226" s="131">
        <v>42547</v>
      </c>
      <c r="C226" s="72" t="s">
        <v>417</v>
      </c>
      <c r="D226" s="129"/>
      <c r="E226" s="151">
        <v>10000</v>
      </c>
      <c r="F226" s="128"/>
    </row>
    <row r="227" spans="1:8">
      <c r="A227" s="78">
        <f t="shared" si="3"/>
        <v>224</v>
      </c>
      <c r="B227" s="131">
        <v>42550</v>
      </c>
      <c r="C227" s="72" t="s">
        <v>417</v>
      </c>
      <c r="D227" s="129"/>
      <c r="E227" s="151">
        <v>5000</v>
      </c>
      <c r="F227" s="128"/>
      <c r="G227" s="83"/>
      <c r="H227" s="83"/>
    </row>
    <row r="228" spans="1:8">
      <c r="A228" s="78">
        <f t="shared" si="3"/>
        <v>225</v>
      </c>
      <c r="B228" s="131">
        <v>42550</v>
      </c>
      <c r="C228" s="72" t="s">
        <v>417</v>
      </c>
      <c r="D228" s="129"/>
      <c r="E228" s="151">
        <v>10000</v>
      </c>
      <c r="F228" s="128"/>
      <c r="G228" s="77"/>
    </row>
    <row r="229" spans="1:8">
      <c r="A229" s="78">
        <f t="shared" si="3"/>
        <v>226</v>
      </c>
      <c r="B229" s="131">
        <v>42550</v>
      </c>
      <c r="C229" s="132" t="s">
        <v>460</v>
      </c>
      <c r="D229" s="129"/>
      <c r="E229" s="151">
        <v>52000</v>
      </c>
      <c r="F229" s="135"/>
      <c r="G229" s="76"/>
    </row>
    <row r="230" spans="1:8">
      <c r="A230" s="78">
        <f t="shared" si="3"/>
        <v>227</v>
      </c>
      <c r="B230" s="131">
        <v>42551</v>
      </c>
      <c r="C230" s="72" t="s">
        <v>467</v>
      </c>
      <c r="D230" s="129"/>
      <c r="E230" s="151">
        <v>3105000</v>
      </c>
      <c r="F230" s="135"/>
      <c r="G230" s="82"/>
    </row>
    <row r="231" spans="1:8">
      <c r="A231" s="78">
        <f t="shared" si="3"/>
        <v>228</v>
      </c>
      <c r="B231" s="131">
        <v>42551</v>
      </c>
      <c r="C231" s="72" t="s">
        <v>468</v>
      </c>
      <c r="D231" s="129"/>
      <c r="E231" s="151">
        <v>300000</v>
      </c>
      <c r="F231" s="136"/>
    </row>
    <row r="232" spans="1:8">
      <c r="A232" s="78">
        <f t="shared" si="3"/>
        <v>229</v>
      </c>
      <c r="B232" s="131">
        <v>42551</v>
      </c>
      <c r="C232" s="72" t="s">
        <v>455</v>
      </c>
      <c r="D232" s="129"/>
      <c r="E232" s="151">
        <v>148000</v>
      </c>
      <c r="F232" s="128"/>
    </row>
    <row r="233" spans="1:8">
      <c r="A233" s="78">
        <f t="shared" si="3"/>
        <v>230</v>
      </c>
      <c r="B233" s="131">
        <v>42551</v>
      </c>
      <c r="C233" s="132" t="s">
        <v>448</v>
      </c>
      <c r="D233" s="129"/>
      <c r="E233" s="151">
        <v>21000</v>
      </c>
      <c r="F233" s="128"/>
    </row>
    <row r="234" spans="1:8">
      <c r="A234" s="78">
        <f t="shared" si="3"/>
        <v>231</v>
      </c>
      <c r="B234" s="131">
        <v>42551</v>
      </c>
      <c r="C234" s="132" t="s">
        <v>448</v>
      </c>
      <c r="D234" s="129"/>
      <c r="E234" s="151">
        <v>18000</v>
      </c>
      <c r="F234" s="128"/>
    </row>
    <row r="235" spans="1:8">
      <c r="A235" s="78">
        <f t="shared" si="3"/>
        <v>232</v>
      </c>
      <c r="B235" s="131">
        <v>42552</v>
      </c>
      <c r="C235" s="72" t="s">
        <v>458</v>
      </c>
      <c r="D235" s="129"/>
      <c r="E235" s="151">
        <v>60000</v>
      </c>
      <c r="F235" s="128"/>
    </row>
    <row r="236" spans="1:8">
      <c r="A236" s="78">
        <f t="shared" si="3"/>
        <v>233</v>
      </c>
      <c r="B236" s="131">
        <v>42555</v>
      </c>
      <c r="C236" s="72" t="s">
        <v>417</v>
      </c>
      <c r="D236" s="129"/>
      <c r="E236" s="151">
        <v>10000</v>
      </c>
      <c r="F236" s="128"/>
    </row>
    <row r="237" spans="1:8">
      <c r="A237" s="78">
        <f t="shared" si="3"/>
        <v>234</v>
      </c>
      <c r="B237" s="131">
        <v>42558</v>
      </c>
      <c r="C237" s="72" t="s">
        <v>417</v>
      </c>
      <c r="D237" s="129"/>
      <c r="E237" s="151">
        <v>10000</v>
      </c>
      <c r="F237" s="128"/>
    </row>
    <row r="238" spans="1:8">
      <c r="A238" s="78">
        <f t="shared" si="3"/>
        <v>235</v>
      </c>
      <c r="B238" s="131">
        <v>42560</v>
      </c>
      <c r="C238" s="72" t="s">
        <v>417</v>
      </c>
      <c r="D238" s="129"/>
      <c r="E238" s="151">
        <v>5000</v>
      </c>
      <c r="F238" s="128"/>
    </row>
    <row r="239" spans="1:8">
      <c r="A239" s="78">
        <f t="shared" si="3"/>
        <v>236</v>
      </c>
      <c r="B239" s="131">
        <v>42565</v>
      </c>
      <c r="C239" s="132" t="s">
        <v>460</v>
      </c>
      <c r="D239" s="129"/>
      <c r="E239" s="151">
        <v>83000</v>
      </c>
      <c r="F239" s="128"/>
    </row>
    <row r="240" spans="1:8">
      <c r="A240" s="78">
        <f t="shared" si="3"/>
        <v>237</v>
      </c>
      <c r="B240" s="131">
        <v>42569</v>
      </c>
      <c r="C240" s="72" t="s">
        <v>417</v>
      </c>
      <c r="D240" s="129"/>
      <c r="E240" s="151">
        <v>25000</v>
      </c>
      <c r="F240" s="128"/>
    </row>
    <row r="241" spans="1:6">
      <c r="A241" s="78">
        <f t="shared" si="3"/>
        <v>238</v>
      </c>
      <c r="B241" s="131">
        <v>42569</v>
      </c>
      <c r="C241" s="132" t="s">
        <v>420</v>
      </c>
      <c r="D241" s="129"/>
      <c r="E241" s="151">
        <v>19000</v>
      </c>
      <c r="F241" s="128"/>
    </row>
    <row r="242" spans="1:6">
      <c r="A242" s="78">
        <f t="shared" si="3"/>
        <v>239</v>
      </c>
      <c r="B242" s="131">
        <v>42571</v>
      </c>
      <c r="C242" s="72" t="s">
        <v>417</v>
      </c>
      <c r="D242" s="129"/>
      <c r="E242" s="151">
        <v>10000</v>
      </c>
      <c r="F242" s="128"/>
    </row>
    <row r="243" spans="1:6">
      <c r="A243" s="78">
        <f t="shared" si="3"/>
        <v>240</v>
      </c>
      <c r="B243" s="131">
        <v>42572</v>
      </c>
      <c r="C243" s="72" t="s">
        <v>417</v>
      </c>
      <c r="D243" s="129"/>
      <c r="E243" s="151">
        <v>15000</v>
      </c>
      <c r="F243" s="128"/>
    </row>
    <row r="244" spans="1:6">
      <c r="A244" s="78">
        <f t="shared" si="3"/>
        <v>241</v>
      </c>
      <c r="B244" s="131">
        <v>42577</v>
      </c>
      <c r="C244" s="72" t="s">
        <v>417</v>
      </c>
      <c r="D244" s="129"/>
      <c r="E244" s="151">
        <v>15000</v>
      </c>
      <c r="F244" s="128"/>
    </row>
    <row r="245" spans="1:6">
      <c r="A245" s="78">
        <f t="shared" si="3"/>
        <v>242</v>
      </c>
      <c r="B245" s="131">
        <v>42577</v>
      </c>
      <c r="C245" s="132" t="s">
        <v>448</v>
      </c>
      <c r="D245" s="129"/>
      <c r="E245" s="151">
        <v>17000</v>
      </c>
      <c r="F245" s="128"/>
    </row>
    <row r="246" spans="1:6">
      <c r="A246" s="78">
        <f t="shared" si="3"/>
        <v>243</v>
      </c>
      <c r="B246" s="131">
        <v>42577</v>
      </c>
      <c r="C246" s="132" t="s">
        <v>448</v>
      </c>
      <c r="D246" s="129"/>
      <c r="E246" s="151">
        <v>21000</v>
      </c>
      <c r="F246" s="128"/>
    </row>
    <row r="247" spans="1:6">
      <c r="A247" s="78">
        <f t="shared" si="3"/>
        <v>244</v>
      </c>
      <c r="B247" s="131">
        <v>42578</v>
      </c>
      <c r="C247" s="72" t="s">
        <v>417</v>
      </c>
      <c r="D247" s="129"/>
      <c r="E247" s="151">
        <v>20000</v>
      </c>
      <c r="F247" s="128"/>
    </row>
    <row r="248" spans="1:6">
      <c r="A248" s="78">
        <f t="shared" si="3"/>
        <v>245</v>
      </c>
      <c r="B248" s="131">
        <v>42578</v>
      </c>
      <c r="C248" s="72" t="s">
        <v>417</v>
      </c>
      <c r="D248" s="129"/>
      <c r="E248" s="151">
        <v>10000</v>
      </c>
      <c r="F248" s="128"/>
    </row>
    <row r="249" spans="1:6">
      <c r="A249" s="78">
        <f t="shared" si="3"/>
        <v>246</v>
      </c>
      <c r="B249" s="131">
        <v>42579</v>
      </c>
      <c r="C249" s="72" t="s">
        <v>417</v>
      </c>
      <c r="D249" s="129"/>
      <c r="E249" s="151">
        <v>10000</v>
      </c>
      <c r="F249" s="128"/>
    </row>
    <row r="250" spans="1:6">
      <c r="A250" s="78">
        <f t="shared" si="3"/>
        <v>247</v>
      </c>
      <c r="B250" s="131">
        <v>42580</v>
      </c>
      <c r="C250" s="72" t="s">
        <v>417</v>
      </c>
      <c r="D250" s="129"/>
      <c r="E250" s="151">
        <v>20000</v>
      </c>
      <c r="F250" s="128"/>
    </row>
    <row r="251" spans="1:6">
      <c r="A251" s="78">
        <f t="shared" si="3"/>
        <v>248</v>
      </c>
      <c r="B251" s="131">
        <v>42582</v>
      </c>
      <c r="C251" s="72" t="s">
        <v>469</v>
      </c>
      <c r="D251" s="129"/>
      <c r="E251" s="151">
        <v>1700000</v>
      </c>
      <c r="F251" s="128"/>
    </row>
    <row r="252" spans="1:6">
      <c r="A252" s="78">
        <f t="shared" si="3"/>
        <v>249</v>
      </c>
      <c r="B252" s="131">
        <v>42582</v>
      </c>
      <c r="C252" s="72" t="s">
        <v>470</v>
      </c>
      <c r="D252" s="129"/>
      <c r="E252" s="151">
        <v>300000</v>
      </c>
      <c r="F252" s="128"/>
    </row>
    <row r="253" spans="1:6">
      <c r="A253" s="78">
        <f t="shared" si="3"/>
        <v>250</v>
      </c>
      <c r="B253" s="131">
        <v>42583</v>
      </c>
      <c r="C253" s="72" t="s">
        <v>458</v>
      </c>
      <c r="D253" s="129"/>
      <c r="E253" s="151">
        <v>15000</v>
      </c>
      <c r="F253" s="128"/>
    </row>
    <row r="254" spans="1:6">
      <c r="A254" s="78">
        <f t="shared" si="3"/>
        <v>251</v>
      </c>
      <c r="B254" s="131">
        <v>42584</v>
      </c>
      <c r="C254" s="72" t="s">
        <v>417</v>
      </c>
      <c r="D254" s="129"/>
      <c r="E254" s="151">
        <v>5000</v>
      </c>
      <c r="F254" s="128"/>
    </row>
    <row r="255" spans="1:6">
      <c r="A255" s="78">
        <f t="shared" si="3"/>
        <v>252</v>
      </c>
      <c r="B255" s="131">
        <v>42586</v>
      </c>
      <c r="C255" s="132" t="s">
        <v>448</v>
      </c>
      <c r="D255" s="129"/>
      <c r="E255" s="151">
        <v>21000</v>
      </c>
      <c r="F255" s="128"/>
    </row>
    <row r="256" spans="1:6">
      <c r="A256" s="78">
        <f t="shared" si="3"/>
        <v>253</v>
      </c>
      <c r="B256" s="131">
        <v>42587</v>
      </c>
      <c r="C256" s="72" t="s">
        <v>417</v>
      </c>
      <c r="D256" s="129"/>
      <c r="E256" s="151">
        <v>15000</v>
      </c>
      <c r="F256" s="128"/>
    </row>
    <row r="257" spans="1:6">
      <c r="A257" s="78">
        <f t="shared" si="3"/>
        <v>254</v>
      </c>
      <c r="B257" s="131">
        <v>42587</v>
      </c>
      <c r="C257" s="72" t="s">
        <v>417</v>
      </c>
      <c r="D257" s="129"/>
      <c r="E257" s="151">
        <v>5000</v>
      </c>
      <c r="F257" s="128"/>
    </row>
    <row r="258" spans="1:6">
      <c r="A258" s="78">
        <f t="shared" si="3"/>
        <v>255</v>
      </c>
      <c r="B258" s="131">
        <v>42587</v>
      </c>
      <c r="C258" s="132" t="s">
        <v>420</v>
      </c>
      <c r="D258" s="129"/>
      <c r="E258" s="151">
        <v>38000</v>
      </c>
      <c r="F258" s="128"/>
    </row>
    <row r="259" spans="1:6">
      <c r="A259" s="78">
        <f t="shared" si="3"/>
        <v>256</v>
      </c>
      <c r="B259" s="131">
        <v>42588</v>
      </c>
      <c r="C259" s="72" t="s">
        <v>471</v>
      </c>
      <c r="D259" s="129"/>
      <c r="E259" s="151">
        <v>107000</v>
      </c>
      <c r="F259" s="128"/>
    </row>
    <row r="260" spans="1:6">
      <c r="A260" s="78">
        <f t="shared" si="3"/>
        <v>257</v>
      </c>
      <c r="B260" s="131">
        <v>42590</v>
      </c>
      <c r="C260" s="72" t="s">
        <v>417</v>
      </c>
      <c r="D260" s="129"/>
      <c r="E260" s="151">
        <v>25000</v>
      </c>
      <c r="F260" s="128"/>
    </row>
    <row r="261" spans="1:6">
      <c r="A261" s="78">
        <f t="shared" si="3"/>
        <v>258</v>
      </c>
      <c r="B261" s="131">
        <v>42591</v>
      </c>
      <c r="C261" s="72" t="s">
        <v>472</v>
      </c>
      <c r="D261" s="129"/>
      <c r="E261" s="151">
        <v>400000</v>
      </c>
      <c r="F261" s="128"/>
    </row>
    <row r="262" spans="1:6">
      <c r="A262" s="78">
        <f t="shared" si="3"/>
        <v>259</v>
      </c>
      <c r="B262" s="131">
        <v>42592</v>
      </c>
      <c r="C262" s="72" t="s">
        <v>417</v>
      </c>
      <c r="D262" s="129"/>
      <c r="E262" s="151">
        <v>5000</v>
      </c>
      <c r="F262" s="128"/>
    </row>
    <row r="263" spans="1:6">
      <c r="A263" s="78">
        <f t="shared" ref="A263:A326" si="4">A262+1</f>
        <v>260</v>
      </c>
      <c r="B263" s="131">
        <v>42592</v>
      </c>
      <c r="C263" s="132" t="s">
        <v>460</v>
      </c>
      <c r="D263" s="129"/>
      <c r="E263" s="151">
        <v>78000</v>
      </c>
      <c r="F263" s="128"/>
    </row>
    <row r="264" spans="1:6">
      <c r="A264" s="78">
        <f t="shared" si="4"/>
        <v>261</v>
      </c>
      <c r="B264" s="131">
        <v>42594</v>
      </c>
      <c r="C264" s="72" t="s">
        <v>417</v>
      </c>
      <c r="D264" s="129"/>
      <c r="E264" s="151">
        <v>15000</v>
      </c>
      <c r="F264" s="128"/>
    </row>
    <row r="265" spans="1:6">
      <c r="A265" s="78">
        <f t="shared" si="4"/>
        <v>262</v>
      </c>
      <c r="B265" s="131">
        <v>42594</v>
      </c>
      <c r="C265" s="72" t="s">
        <v>417</v>
      </c>
      <c r="D265" s="129"/>
      <c r="E265" s="151">
        <v>5000</v>
      </c>
      <c r="F265" s="128"/>
    </row>
    <row r="266" spans="1:6">
      <c r="A266" s="78">
        <f t="shared" si="4"/>
        <v>263</v>
      </c>
      <c r="B266" s="131">
        <v>42595</v>
      </c>
      <c r="C266" s="72" t="s">
        <v>417</v>
      </c>
      <c r="D266" s="129"/>
      <c r="E266" s="151">
        <v>5000</v>
      </c>
      <c r="F266" s="128"/>
    </row>
    <row r="267" spans="1:6">
      <c r="A267" s="78">
        <f t="shared" si="4"/>
        <v>264</v>
      </c>
      <c r="B267" s="131">
        <v>42595</v>
      </c>
      <c r="C267" s="72" t="s">
        <v>417</v>
      </c>
      <c r="D267" s="129"/>
      <c r="E267" s="151">
        <v>33000</v>
      </c>
      <c r="F267" s="128"/>
    </row>
    <row r="268" spans="1:6">
      <c r="A268" s="78">
        <f t="shared" si="4"/>
        <v>265</v>
      </c>
      <c r="B268" s="131">
        <v>42595</v>
      </c>
      <c r="C268" s="132" t="s">
        <v>473</v>
      </c>
      <c r="D268" s="129"/>
      <c r="E268" s="151">
        <v>38000</v>
      </c>
      <c r="F268" s="128"/>
    </row>
    <row r="269" spans="1:6">
      <c r="A269" s="78">
        <f t="shared" si="4"/>
        <v>266</v>
      </c>
      <c r="B269" s="131">
        <v>42598</v>
      </c>
      <c r="C269" s="72" t="s">
        <v>417</v>
      </c>
      <c r="D269" s="129"/>
      <c r="E269" s="151">
        <v>15000</v>
      </c>
      <c r="F269" s="128"/>
    </row>
    <row r="270" spans="1:6">
      <c r="A270" s="78">
        <f t="shared" si="4"/>
        <v>267</v>
      </c>
      <c r="B270" s="131">
        <v>42600</v>
      </c>
      <c r="C270" s="72" t="s">
        <v>417</v>
      </c>
      <c r="D270" s="129"/>
      <c r="E270" s="151">
        <v>5000</v>
      </c>
      <c r="F270" s="128"/>
    </row>
    <row r="271" spans="1:6">
      <c r="A271" s="78">
        <f t="shared" si="4"/>
        <v>268</v>
      </c>
      <c r="B271" s="131">
        <v>42602</v>
      </c>
      <c r="C271" s="72" t="s">
        <v>417</v>
      </c>
      <c r="D271" s="129"/>
      <c r="E271" s="151">
        <v>15000</v>
      </c>
      <c r="F271" s="128"/>
    </row>
    <row r="272" spans="1:6">
      <c r="A272" s="78">
        <f t="shared" si="4"/>
        <v>269</v>
      </c>
      <c r="B272" s="131">
        <v>42604</v>
      </c>
      <c r="C272" s="72" t="s">
        <v>417</v>
      </c>
      <c r="D272" s="129"/>
      <c r="E272" s="151">
        <v>20000</v>
      </c>
      <c r="F272" s="128"/>
    </row>
    <row r="273" spans="1:6">
      <c r="A273" s="78">
        <f t="shared" si="4"/>
        <v>270</v>
      </c>
      <c r="B273" s="131">
        <v>42605</v>
      </c>
      <c r="C273" s="72" t="s">
        <v>417</v>
      </c>
      <c r="D273" s="129"/>
      <c r="E273" s="151">
        <v>20000</v>
      </c>
      <c r="F273" s="128"/>
    </row>
    <row r="274" spans="1:6">
      <c r="A274" s="78">
        <f t="shared" si="4"/>
        <v>271</v>
      </c>
      <c r="B274" s="131">
        <v>42606</v>
      </c>
      <c r="C274" s="132" t="s">
        <v>474</v>
      </c>
      <c r="D274" s="129"/>
      <c r="E274" s="151">
        <v>6000</v>
      </c>
      <c r="F274" s="128"/>
    </row>
    <row r="275" spans="1:6">
      <c r="A275" s="78">
        <f t="shared" si="4"/>
        <v>272</v>
      </c>
      <c r="B275" s="131">
        <v>42608</v>
      </c>
      <c r="C275" s="72" t="s">
        <v>417</v>
      </c>
      <c r="D275" s="129"/>
      <c r="E275" s="151">
        <v>15000</v>
      </c>
      <c r="F275" s="128"/>
    </row>
    <row r="276" spans="1:6">
      <c r="A276" s="78">
        <f t="shared" si="4"/>
        <v>273</v>
      </c>
      <c r="B276" s="131">
        <v>42609</v>
      </c>
      <c r="C276" s="72" t="s">
        <v>417</v>
      </c>
      <c r="D276" s="129"/>
      <c r="E276" s="151">
        <v>20000</v>
      </c>
      <c r="F276" s="128"/>
    </row>
    <row r="277" spans="1:6">
      <c r="A277" s="78">
        <f t="shared" si="4"/>
        <v>274</v>
      </c>
      <c r="B277" s="131">
        <v>42609</v>
      </c>
      <c r="C277" s="132" t="s">
        <v>474</v>
      </c>
      <c r="D277" s="129"/>
      <c r="E277" s="151">
        <v>6000</v>
      </c>
      <c r="F277" s="128"/>
    </row>
    <row r="278" spans="1:6">
      <c r="A278" s="78">
        <f t="shared" si="4"/>
        <v>275</v>
      </c>
      <c r="B278" s="131">
        <v>42611</v>
      </c>
      <c r="C278" s="132" t="s">
        <v>473</v>
      </c>
      <c r="D278" s="129"/>
      <c r="E278" s="151">
        <v>36000</v>
      </c>
      <c r="F278" s="128"/>
    </row>
    <row r="279" spans="1:6">
      <c r="A279" s="78">
        <f t="shared" si="4"/>
        <v>276</v>
      </c>
      <c r="B279" s="131">
        <v>42613</v>
      </c>
      <c r="C279" s="72" t="s">
        <v>475</v>
      </c>
      <c r="D279" s="129"/>
      <c r="E279" s="151">
        <v>1700000</v>
      </c>
      <c r="F279" s="128"/>
    </row>
    <row r="280" spans="1:6">
      <c r="A280" s="78">
        <f t="shared" si="4"/>
        <v>277</v>
      </c>
      <c r="B280" s="131">
        <v>42613</v>
      </c>
      <c r="C280" s="72" t="s">
        <v>476</v>
      </c>
      <c r="D280" s="129"/>
      <c r="E280" s="151">
        <v>300000</v>
      </c>
      <c r="F280" s="128"/>
    </row>
    <row r="281" spans="1:6">
      <c r="A281" s="78">
        <f t="shared" si="4"/>
        <v>278</v>
      </c>
      <c r="B281" s="131">
        <v>42613</v>
      </c>
      <c r="C281" s="72" t="s">
        <v>417</v>
      </c>
      <c r="D281" s="129"/>
      <c r="E281" s="151">
        <v>15000</v>
      </c>
      <c r="F281" s="128"/>
    </row>
    <row r="282" spans="1:6">
      <c r="A282" s="78">
        <f t="shared" si="4"/>
        <v>279</v>
      </c>
      <c r="B282" s="131">
        <v>42614</v>
      </c>
      <c r="C282" s="72" t="s">
        <v>458</v>
      </c>
      <c r="D282" s="129"/>
      <c r="E282" s="151">
        <v>60000</v>
      </c>
      <c r="F282" s="128"/>
    </row>
    <row r="283" spans="1:6">
      <c r="A283" s="78">
        <f t="shared" si="4"/>
        <v>280</v>
      </c>
      <c r="B283" s="131">
        <v>42615</v>
      </c>
      <c r="C283" s="132" t="s">
        <v>474</v>
      </c>
      <c r="D283" s="129"/>
      <c r="E283" s="151">
        <v>6000</v>
      </c>
      <c r="F283" s="128"/>
    </row>
    <row r="284" spans="1:6">
      <c r="A284" s="78">
        <f t="shared" si="4"/>
        <v>281</v>
      </c>
      <c r="B284" s="131">
        <v>42619</v>
      </c>
      <c r="C284" s="132" t="s">
        <v>474</v>
      </c>
      <c r="D284" s="129"/>
      <c r="E284" s="151">
        <v>6000</v>
      </c>
      <c r="F284" s="128"/>
    </row>
    <row r="285" spans="1:6">
      <c r="A285" s="78">
        <f t="shared" si="4"/>
        <v>282</v>
      </c>
      <c r="B285" s="131">
        <v>42620</v>
      </c>
      <c r="C285" s="72" t="s">
        <v>417</v>
      </c>
      <c r="D285" s="129"/>
      <c r="E285" s="151">
        <v>10000</v>
      </c>
      <c r="F285" s="128"/>
    </row>
    <row r="286" spans="1:6">
      <c r="A286" s="78">
        <f t="shared" si="4"/>
        <v>283</v>
      </c>
      <c r="B286" s="131">
        <v>42625</v>
      </c>
      <c r="C286" s="72" t="s">
        <v>417</v>
      </c>
      <c r="D286" s="129"/>
      <c r="E286" s="151">
        <v>10000</v>
      </c>
      <c r="F286" s="128"/>
    </row>
    <row r="287" spans="1:6">
      <c r="A287" s="78">
        <f t="shared" si="4"/>
        <v>284</v>
      </c>
      <c r="B287" s="131">
        <v>42626</v>
      </c>
      <c r="C287" s="72" t="s">
        <v>417</v>
      </c>
      <c r="D287" s="129"/>
      <c r="E287" s="151">
        <v>10000</v>
      </c>
      <c r="F287" s="128"/>
    </row>
    <row r="288" spans="1:6">
      <c r="A288" s="78">
        <f t="shared" si="4"/>
        <v>285</v>
      </c>
      <c r="B288" s="131">
        <v>42626</v>
      </c>
      <c r="C288" s="132" t="s">
        <v>474</v>
      </c>
      <c r="D288" s="129"/>
      <c r="E288" s="151">
        <v>6000</v>
      </c>
      <c r="F288" s="128"/>
    </row>
    <row r="289" spans="1:6">
      <c r="A289" s="78">
        <f t="shared" si="4"/>
        <v>286</v>
      </c>
      <c r="B289" s="131">
        <v>42627</v>
      </c>
      <c r="C289" s="72" t="s">
        <v>417</v>
      </c>
      <c r="D289" s="129"/>
      <c r="E289" s="151">
        <v>10000</v>
      </c>
      <c r="F289" s="128"/>
    </row>
    <row r="290" spans="1:6">
      <c r="A290" s="78">
        <f t="shared" si="4"/>
        <v>287</v>
      </c>
      <c r="B290" s="131">
        <v>42628</v>
      </c>
      <c r="C290" s="72" t="s">
        <v>477</v>
      </c>
      <c r="D290" s="129"/>
      <c r="E290" s="151">
        <v>30000</v>
      </c>
      <c r="F290" s="128"/>
    </row>
    <row r="291" spans="1:6">
      <c r="A291" s="78">
        <f t="shared" si="4"/>
        <v>288</v>
      </c>
      <c r="B291" s="131">
        <v>42629</v>
      </c>
      <c r="C291" s="72" t="s">
        <v>417</v>
      </c>
      <c r="D291" s="129"/>
      <c r="E291" s="151">
        <v>15000</v>
      </c>
      <c r="F291" s="128"/>
    </row>
    <row r="292" spans="1:6">
      <c r="A292" s="78">
        <f t="shared" si="4"/>
        <v>289</v>
      </c>
      <c r="B292" s="131">
        <v>42629</v>
      </c>
      <c r="C292" s="132" t="s">
        <v>420</v>
      </c>
      <c r="D292" s="129"/>
      <c r="E292" s="151">
        <v>19000</v>
      </c>
      <c r="F292" s="128"/>
    </row>
    <row r="293" spans="1:6">
      <c r="A293" s="78">
        <f t="shared" si="4"/>
        <v>290</v>
      </c>
      <c r="B293" s="131">
        <v>42630</v>
      </c>
      <c r="C293" s="72" t="s">
        <v>417</v>
      </c>
      <c r="D293" s="129"/>
      <c r="E293" s="151">
        <v>20000</v>
      </c>
      <c r="F293" s="128"/>
    </row>
    <row r="294" spans="1:6">
      <c r="A294" s="78">
        <f t="shared" si="4"/>
        <v>291</v>
      </c>
      <c r="B294" s="131">
        <v>42630</v>
      </c>
      <c r="C294" s="72" t="s">
        <v>417</v>
      </c>
      <c r="D294" s="129"/>
      <c r="E294" s="151">
        <v>25000</v>
      </c>
      <c r="F294" s="128"/>
    </row>
    <row r="295" spans="1:6">
      <c r="A295" s="78">
        <f t="shared" si="4"/>
        <v>292</v>
      </c>
      <c r="B295" s="131">
        <v>42632</v>
      </c>
      <c r="C295" s="72" t="s">
        <v>417</v>
      </c>
      <c r="D295" s="129"/>
      <c r="E295" s="151">
        <v>15000</v>
      </c>
      <c r="F295" s="128"/>
    </row>
    <row r="296" spans="1:6">
      <c r="A296" s="78">
        <f t="shared" si="4"/>
        <v>293</v>
      </c>
      <c r="B296" s="131">
        <v>42633</v>
      </c>
      <c r="C296" s="72" t="s">
        <v>417</v>
      </c>
      <c r="D296" s="129"/>
      <c r="E296" s="151">
        <v>20000</v>
      </c>
      <c r="F296" s="128"/>
    </row>
    <row r="297" spans="1:6">
      <c r="A297" s="78">
        <f t="shared" si="4"/>
        <v>294</v>
      </c>
      <c r="B297" s="131">
        <v>42633</v>
      </c>
      <c r="C297" s="72" t="s">
        <v>417</v>
      </c>
      <c r="D297" s="129"/>
      <c r="E297" s="151">
        <v>5000</v>
      </c>
      <c r="F297" s="128"/>
    </row>
    <row r="298" spans="1:6">
      <c r="A298" s="78">
        <f t="shared" si="4"/>
        <v>295</v>
      </c>
      <c r="B298" s="131">
        <v>42636</v>
      </c>
      <c r="C298" s="132" t="s">
        <v>460</v>
      </c>
      <c r="D298" s="129"/>
      <c r="E298" s="151">
        <v>51000</v>
      </c>
      <c r="F298" s="128"/>
    </row>
    <row r="299" spans="1:6">
      <c r="A299" s="78">
        <f t="shared" si="4"/>
        <v>296</v>
      </c>
      <c r="B299" s="131">
        <v>42637</v>
      </c>
      <c r="C299" s="132" t="s">
        <v>474</v>
      </c>
      <c r="D299" s="129"/>
      <c r="E299" s="151">
        <v>6000</v>
      </c>
      <c r="F299" s="128"/>
    </row>
    <row r="300" spans="1:6">
      <c r="A300" s="78">
        <f t="shared" si="4"/>
        <v>297</v>
      </c>
      <c r="B300" s="131">
        <v>42639</v>
      </c>
      <c r="C300" s="72" t="s">
        <v>417</v>
      </c>
      <c r="D300" s="129"/>
      <c r="E300" s="151">
        <v>10000</v>
      </c>
      <c r="F300" s="128"/>
    </row>
    <row r="301" spans="1:6">
      <c r="A301" s="78">
        <f t="shared" si="4"/>
        <v>298</v>
      </c>
      <c r="B301" s="131">
        <v>42639</v>
      </c>
      <c r="C301" s="132" t="s">
        <v>448</v>
      </c>
      <c r="D301" s="129"/>
      <c r="E301" s="151">
        <v>17000</v>
      </c>
      <c r="F301" s="128"/>
    </row>
    <row r="302" spans="1:6">
      <c r="A302" s="78">
        <f t="shared" si="4"/>
        <v>299</v>
      </c>
      <c r="B302" s="131">
        <v>42641</v>
      </c>
      <c r="C302" s="72" t="s">
        <v>417</v>
      </c>
      <c r="D302" s="129"/>
      <c r="E302" s="151">
        <v>10000</v>
      </c>
      <c r="F302" s="128"/>
    </row>
    <row r="303" spans="1:6">
      <c r="A303" s="78">
        <f t="shared" si="4"/>
        <v>300</v>
      </c>
      <c r="B303" s="131">
        <v>42641</v>
      </c>
      <c r="C303" s="132" t="s">
        <v>474</v>
      </c>
      <c r="D303" s="129"/>
      <c r="E303" s="151">
        <v>6000</v>
      </c>
      <c r="F303" s="128"/>
    </row>
    <row r="304" spans="1:6">
      <c r="A304" s="78">
        <f t="shared" si="4"/>
        <v>301</v>
      </c>
      <c r="B304" s="131">
        <v>42643</v>
      </c>
      <c r="C304" s="72" t="s">
        <v>478</v>
      </c>
      <c r="D304" s="129"/>
      <c r="E304" s="151">
        <v>1700000</v>
      </c>
      <c r="F304" s="128"/>
    </row>
    <row r="305" spans="1:6">
      <c r="A305" s="78">
        <f t="shared" si="4"/>
        <v>302</v>
      </c>
      <c r="B305" s="131">
        <v>42643</v>
      </c>
      <c r="C305" s="72" t="s">
        <v>479</v>
      </c>
      <c r="D305" s="129"/>
      <c r="E305" s="151">
        <v>300000</v>
      </c>
      <c r="F305" s="128"/>
    </row>
    <row r="306" spans="1:6">
      <c r="A306" s="78">
        <f t="shared" si="4"/>
        <v>303</v>
      </c>
      <c r="B306" s="131">
        <v>42644</v>
      </c>
      <c r="C306" s="72" t="s">
        <v>458</v>
      </c>
      <c r="D306" s="129"/>
      <c r="E306" s="151">
        <v>45000</v>
      </c>
      <c r="F306" s="128"/>
    </row>
    <row r="307" spans="1:6">
      <c r="A307" s="78">
        <f t="shared" si="4"/>
        <v>304</v>
      </c>
      <c r="B307" s="131">
        <v>42645</v>
      </c>
      <c r="C307" s="72" t="s">
        <v>417</v>
      </c>
      <c r="D307" s="129"/>
      <c r="E307" s="151">
        <v>10000</v>
      </c>
      <c r="F307" s="128"/>
    </row>
    <row r="308" spans="1:6">
      <c r="A308" s="78">
        <f t="shared" si="4"/>
        <v>305</v>
      </c>
      <c r="B308" s="131">
        <v>42646</v>
      </c>
      <c r="C308" s="72" t="s">
        <v>417</v>
      </c>
      <c r="D308" s="129"/>
      <c r="E308" s="151">
        <v>10000</v>
      </c>
      <c r="F308" s="128"/>
    </row>
    <row r="309" spans="1:6">
      <c r="A309" s="78">
        <f t="shared" si="4"/>
        <v>306</v>
      </c>
      <c r="B309" s="131">
        <v>42646</v>
      </c>
      <c r="C309" s="72" t="s">
        <v>417</v>
      </c>
      <c r="D309" s="129"/>
      <c r="E309" s="151">
        <v>20000</v>
      </c>
      <c r="F309" s="128"/>
    </row>
    <row r="310" spans="1:6">
      <c r="A310" s="78">
        <f t="shared" si="4"/>
        <v>307</v>
      </c>
      <c r="B310" s="131">
        <v>42647</v>
      </c>
      <c r="C310" s="72" t="s">
        <v>417</v>
      </c>
      <c r="D310" s="129"/>
      <c r="E310" s="151">
        <v>20000</v>
      </c>
      <c r="F310" s="128"/>
    </row>
    <row r="311" spans="1:6">
      <c r="A311" s="78">
        <f t="shared" si="4"/>
        <v>308</v>
      </c>
      <c r="B311" s="131">
        <v>42649</v>
      </c>
      <c r="C311" s="72" t="s">
        <v>417</v>
      </c>
      <c r="D311" s="129"/>
      <c r="E311" s="151">
        <v>25000</v>
      </c>
      <c r="F311" s="128"/>
    </row>
    <row r="312" spans="1:6">
      <c r="A312" s="78">
        <f t="shared" si="4"/>
        <v>309</v>
      </c>
      <c r="B312" s="131">
        <v>42649</v>
      </c>
      <c r="C312" s="72" t="s">
        <v>420</v>
      </c>
      <c r="D312" s="129"/>
      <c r="E312" s="151">
        <v>20000</v>
      </c>
      <c r="F312" s="128"/>
    </row>
    <row r="313" spans="1:6">
      <c r="A313" s="78">
        <f t="shared" si="4"/>
        <v>310</v>
      </c>
      <c r="B313" s="131">
        <v>42653</v>
      </c>
      <c r="C313" s="72" t="s">
        <v>417</v>
      </c>
      <c r="D313" s="129"/>
      <c r="E313" s="151">
        <v>10000</v>
      </c>
      <c r="F313" s="128"/>
    </row>
    <row r="314" spans="1:6">
      <c r="A314" s="78">
        <f t="shared" si="4"/>
        <v>311</v>
      </c>
      <c r="B314" s="131">
        <v>42655</v>
      </c>
      <c r="C314" s="72" t="s">
        <v>417</v>
      </c>
      <c r="D314" s="129"/>
      <c r="E314" s="151">
        <v>5000</v>
      </c>
      <c r="F314" s="128"/>
    </row>
    <row r="315" spans="1:6">
      <c r="A315" s="78">
        <f t="shared" si="4"/>
        <v>312</v>
      </c>
      <c r="B315" s="131">
        <v>42656</v>
      </c>
      <c r="C315" s="72" t="s">
        <v>417</v>
      </c>
      <c r="D315" s="129"/>
      <c r="E315" s="151">
        <v>15000</v>
      </c>
      <c r="F315" s="128"/>
    </row>
    <row r="316" spans="1:6">
      <c r="A316" s="78">
        <f t="shared" si="4"/>
        <v>313</v>
      </c>
      <c r="B316" s="131">
        <v>42657</v>
      </c>
      <c r="C316" s="72" t="s">
        <v>417</v>
      </c>
      <c r="D316" s="129"/>
      <c r="E316" s="151">
        <v>30000</v>
      </c>
      <c r="F316" s="128"/>
    </row>
    <row r="317" spans="1:6">
      <c r="A317" s="78">
        <f t="shared" si="4"/>
        <v>314</v>
      </c>
      <c r="B317" s="131">
        <v>42657</v>
      </c>
      <c r="C317" s="72" t="s">
        <v>417</v>
      </c>
      <c r="D317" s="129"/>
      <c r="E317" s="151">
        <v>25000</v>
      </c>
      <c r="F317" s="128"/>
    </row>
    <row r="318" spans="1:6">
      <c r="A318" s="78">
        <f t="shared" si="4"/>
        <v>315</v>
      </c>
      <c r="B318" s="131">
        <v>42658</v>
      </c>
      <c r="C318" s="72" t="s">
        <v>417</v>
      </c>
      <c r="D318" s="129"/>
      <c r="E318" s="151">
        <v>10000</v>
      </c>
      <c r="F318" s="128"/>
    </row>
    <row r="319" spans="1:6">
      <c r="A319" s="78">
        <f t="shared" si="4"/>
        <v>316</v>
      </c>
      <c r="B319" s="131">
        <v>42660</v>
      </c>
      <c r="C319" s="72" t="s">
        <v>417</v>
      </c>
      <c r="D319" s="129"/>
      <c r="E319" s="151">
        <v>5000</v>
      </c>
      <c r="F319" s="128"/>
    </row>
    <row r="320" spans="1:6">
      <c r="A320" s="78">
        <f t="shared" si="4"/>
        <v>317</v>
      </c>
      <c r="B320" s="131">
        <v>42660</v>
      </c>
      <c r="C320" s="132" t="s">
        <v>460</v>
      </c>
      <c r="D320" s="129"/>
      <c r="E320" s="151">
        <v>58000</v>
      </c>
      <c r="F320" s="128"/>
    </row>
    <row r="321" spans="1:6">
      <c r="A321" s="78">
        <f t="shared" si="4"/>
        <v>318</v>
      </c>
      <c r="B321" s="131">
        <v>42661</v>
      </c>
      <c r="C321" s="132" t="s">
        <v>474</v>
      </c>
      <c r="D321" s="129"/>
      <c r="E321" s="151">
        <v>9000</v>
      </c>
      <c r="F321" s="128"/>
    </row>
    <row r="322" spans="1:6">
      <c r="A322" s="78">
        <f t="shared" si="4"/>
        <v>319</v>
      </c>
      <c r="B322" s="131">
        <v>42663</v>
      </c>
      <c r="C322" s="72" t="s">
        <v>417</v>
      </c>
      <c r="D322" s="129"/>
      <c r="E322" s="151">
        <v>10000</v>
      </c>
      <c r="F322" s="128"/>
    </row>
    <row r="323" spans="1:6">
      <c r="A323" s="78">
        <f t="shared" si="4"/>
        <v>320</v>
      </c>
      <c r="B323" s="131">
        <v>42664</v>
      </c>
      <c r="C323" s="72" t="s">
        <v>417</v>
      </c>
      <c r="D323" s="129"/>
      <c r="E323" s="151">
        <v>5000</v>
      </c>
      <c r="F323" s="128"/>
    </row>
    <row r="324" spans="1:6">
      <c r="A324" s="78">
        <f t="shared" si="4"/>
        <v>321</v>
      </c>
      <c r="B324" s="131">
        <v>42664</v>
      </c>
      <c r="C324" s="132" t="s">
        <v>474</v>
      </c>
      <c r="D324" s="129"/>
      <c r="E324" s="151">
        <v>6000</v>
      </c>
      <c r="F324" s="128"/>
    </row>
    <row r="325" spans="1:6">
      <c r="A325" s="78">
        <f t="shared" si="4"/>
        <v>322</v>
      </c>
      <c r="B325" s="131">
        <v>42667</v>
      </c>
      <c r="C325" s="132" t="s">
        <v>460</v>
      </c>
      <c r="D325" s="129"/>
      <c r="E325" s="151">
        <v>93000</v>
      </c>
      <c r="F325" s="128"/>
    </row>
    <row r="326" spans="1:6">
      <c r="A326" s="78">
        <f t="shared" si="4"/>
        <v>323</v>
      </c>
      <c r="B326" s="131">
        <v>42669</v>
      </c>
      <c r="C326" s="72" t="s">
        <v>417</v>
      </c>
      <c r="D326" s="129"/>
      <c r="E326" s="151">
        <v>15000</v>
      </c>
      <c r="F326" s="128"/>
    </row>
    <row r="327" spans="1:6">
      <c r="A327" s="78">
        <f t="shared" ref="A327:A383" si="5">A326+1</f>
        <v>324</v>
      </c>
      <c r="B327" s="131">
        <v>42669</v>
      </c>
      <c r="C327" s="132" t="s">
        <v>473</v>
      </c>
      <c r="D327" s="129"/>
      <c r="E327" s="151">
        <v>36000</v>
      </c>
      <c r="F327" s="128"/>
    </row>
    <row r="328" spans="1:6">
      <c r="A328" s="78">
        <f t="shared" si="5"/>
        <v>325</v>
      </c>
      <c r="B328" s="131">
        <v>42670</v>
      </c>
      <c r="C328" s="72" t="s">
        <v>417</v>
      </c>
      <c r="D328" s="129"/>
      <c r="E328" s="151">
        <v>15000</v>
      </c>
      <c r="F328" s="128"/>
    </row>
    <row r="329" spans="1:6">
      <c r="A329" s="78">
        <f t="shared" si="5"/>
        <v>326</v>
      </c>
      <c r="B329" s="131">
        <v>42670</v>
      </c>
      <c r="C329" s="72" t="s">
        <v>417</v>
      </c>
      <c r="D329" s="129"/>
      <c r="E329" s="151">
        <v>15000</v>
      </c>
      <c r="F329" s="128"/>
    </row>
    <row r="330" spans="1:6">
      <c r="A330" s="78">
        <f t="shared" si="5"/>
        <v>327</v>
      </c>
      <c r="B330" s="131">
        <v>42671</v>
      </c>
      <c r="C330" s="72" t="s">
        <v>417</v>
      </c>
      <c r="D330" s="129"/>
      <c r="E330" s="151">
        <v>5000</v>
      </c>
      <c r="F330" s="128"/>
    </row>
    <row r="331" spans="1:6">
      <c r="A331" s="78">
        <f t="shared" si="5"/>
        <v>328</v>
      </c>
      <c r="B331" s="131">
        <v>42671</v>
      </c>
      <c r="C331" s="72" t="s">
        <v>417</v>
      </c>
      <c r="D331" s="129"/>
      <c r="E331" s="151">
        <v>25000</v>
      </c>
      <c r="F331" s="128"/>
    </row>
    <row r="332" spans="1:6">
      <c r="A332" s="78">
        <f t="shared" si="5"/>
        <v>329</v>
      </c>
      <c r="B332" s="131">
        <v>42671</v>
      </c>
      <c r="C332" s="132" t="s">
        <v>474</v>
      </c>
      <c r="D332" s="129"/>
      <c r="E332" s="151">
        <v>6000</v>
      </c>
      <c r="F332" s="128"/>
    </row>
    <row r="333" spans="1:6">
      <c r="A333" s="78">
        <f t="shared" si="5"/>
        <v>330</v>
      </c>
      <c r="B333" s="131">
        <v>42672</v>
      </c>
      <c r="C333" s="72" t="s">
        <v>417</v>
      </c>
      <c r="D333" s="129"/>
      <c r="E333" s="151">
        <v>50000</v>
      </c>
      <c r="F333" s="128"/>
    </row>
    <row r="334" spans="1:6">
      <c r="A334" s="78">
        <f t="shared" si="5"/>
        <v>331</v>
      </c>
      <c r="B334" s="131">
        <v>42673</v>
      </c>
      <c r="C334" s="72" t="s">
        <v>417</v>
      </c>
      <c r="D334" s="129"/>
      <c r="E334" s="151">
        <v>10000</v>
      </c>
      <c r="F334" s="128"/>
    </row>
    <row r="335" spans="1:6">
      <c r="A335" s="78">
        <f t="shared" si="5"/>
        <v>332</v>
      </c>
      <c r="B335" s="131">
        <v>42674</v>
      </c>
      <c r="C335" s="72" t="s">
        <v>480</v>
      </c>
      <c r="D335" s="129"/>
      <c r="E335" s="151">
        <v>1700000</v>
      </c>
      <c r="F335" s="128"/>
    </row>
    <row r="336" spans="1:6">
      <c r="A336" s="78">
        <f t="shared" si="5"/>
        <v>333</v>
      </c>
      <c r="B336" s="131">
        <v>42674</v>
      </c>
      <c r="C336" s="72" t="s">
        <v>481</v>
      </c>
      <c r="D336" s="129"/>
      <c r="E336" s="151">
        <v>300000</v>
      </c>
      <c r="F336" s="128"/>
    </row>
    <row r="337" spans="1:6">
      <c r="A337" s="78">
        <f t="shared" si="5"/>
        <v>334</v>
      </c>
      <c r="B337" s="131">
        <v>42678</v>
      </c>
      <c r="C337" s="72" t="s">
        <v>417</v>
      </c>
      <c r="D337" s="129"/>
      <c r="E337" s="151">
        <v>10000</v>
      </c>
      <c r="F337" s="128"/>
    </row>
    <row r="338" spans="1:6">
      <c r="A338" s="78">
        <f t="shared" si="5"/>
        <v>335</v>
      </c>
      <c r="B338" s="131">
        <v>42681</v>
      </c>
      <c r="C338" s="72" t="s">
        <v>417</v>
      </c>
      <c r="D338" s="129"/>
      <c r="E338" s="151">
        <v>15000</v>
      </c>
      <c r="F338" s="128"/>
    </row>
    <row r="339" spans="1:6">
      <c r="A339" s="78">
        <f t="shared" si="5"/>
        <v>336</v>
      </c>
      <c r="B339" s="131">
        <v>42681</v>
      </c>
      <c r="C339" s="132" t="s">
        <v>474</v>
      </c>
      <c r="D339" s="129"/>
      <c r="E339" s="151">
        <v>6000</v>
      </c>
      <c r="F339" s="128"/>
    </row>
    <row r="340" spans="1:6">
      <c r="A340" s="78">
        <f t="shared" si="5"/>
        <v>337</v>
      </c>
      <c r="B340" s="131">
        <v>42682</v>
      </c>
      <c r="C340" s="72" t="s">
        <v>417</v>
      </c>
      <c r="D340" s="129"/>
      <c r="E340" s="151">
        <v>20000</v>
      </c>
      <c r="F340" s="128"/>
    </row>
    <row r="341" spans="1:6">
      <c r="A341" s="78">
        <f t="shared" si="5"/>
        <v>338</v>
      </c>
      <c r="B341" s="131">
        <v>42685</v>
      </c>
      <c r="C341" s="72" t="s">
        <v>417</v>
      </c>
      <c r="D341" s="129"/>
      <c r="E341" s="151">
        <v>25000</v>
      </c>
      <c r="F341" s="128"/>
    </row>
    <row r="342" spans="1:6">
      <c r="A342" s="78">
        <f t="shared" si="5"/>
        <v>339</v>
      </c>
      <c r="B342" s="131">
        <v>42685</v>
      </c>
      <c r="C342" s="72" t="s">
        <v>417</v>
      </c>
      <c r="D342" s="129"/>
      <c r="E342" s="151">
        <v>5000</v>
      </c>
      <c r="F342" s="128"/>
    </row>
    <row r="343" spans="1:6">
      <c r="A343" s="78">
        <f t="shared" si="5"/>
        <v>340</v>
      </c>
      <c r="B343" s="131">
        <v>42685</v>
      </c>
      <c r="C343" s="72" t="s">
        <v>417</v>
      </c>
      <c r="D343" s="129"/>
      <c r="E343" s="151">
        <v>10000</v>
      </c>
      <c r="F343" s="128"/>
    </row>
    <row r="344" spans="1:6">
      <c r="A344" s="78">
        <f t="shared" si="5"/>
        <v>341</v>
      </c>
      <c r="B344" s="131">
        <v>42686</v>
      </c>
      <c r="C344" s="72" t="s">
        <v>444</v>
      </c>
      <c r="D344" s="129"/>
      <c r="E344" s="151">
        <v>125000</v>
      </c>
      <c r="F344" s="128"/>
    </row>
    <row r="345" spans="1:6">
      <c r="A345" s="78">
        <f t="shared" si="5"/>
        <v>342</v>
      </c>
      <c r="B345" s="131">
        <v>42686</v>
      </c>
      <c r="C345" s="132" t="s">
        <v>474</v>
      </c>
      <c r="D345" s="129"/>
      <c r="E345" s="151">
        <v>6000</v>
      </c>
      <c r="F345" s="128"/>
    </row>
    <row r="346" spans="1:6">
      <c r="A346" s="78">
        <f t="shared" si="5"/>
        <v>343</v>
      </c>
      <c r="B346" s="131">
        <v>42687</v>
      </c>
      <c r="C346" s="72" t="s">
        <v>417</v>
      </c>
      <c r="D346" s="129"/>
      <c r="E346" s="151">
        <v>5000</v>
      </c>
      <c r="F346" s="128"/>
    </row>
    <row r="347" spans="1:6">
      <c r="A347" s="78">
        <f t="shared" si="5"/>
        <v>344</v>
      </c>
      <c r="B347" s="131">
        <v>42688</v>
      </c>
      <c r="C347" s="72" t="s">
        <v>417</v>
      </c>
      <c r="D347" s="129"/>
      <c r="E347" s="151">
        <v>15000</v>
      </c>
      <c r="F347" s="128"/>
    </row>
    <row r="348" spans="1:6">
      <c r="A348" s="78">
        <f t="shared" si="5"/>
        <v>345</v>
      </c>
      <c r="B348" s="131">
        <v>42689</v>
      </c>
      <c r="C348" s="72" t="s">
        <v>417</v>
      </c>
      <c r="D348" s="129"/>
      <c r="E348" s="151">
        <v>20000</v>
      </c>
      <c r="F348" s="128"/>
    </row>
    <row r="349" spans="1:6">
      <c r="A349" s="78">
        <f t="shared" si="5"/>
        <v>346</v>
      </c>
      <c r="B349" s="131">
        <v>42690</v>
      </c>
      <c r="C349" s="72" t="s">
        <v>417</v>
      </c>
      <c r="D349" s="129"/>
      <c r="E349" s="151">
        <v>10000</v>
      </c>
      <c r="F349" s="128"/>
    </row>
    <row r="350" spans="1:6">
      <c r="A350" s="78">
        <f t="shared" si="5"/>
        <v>347</v>
      </c>
      <c r="B350" s="131">
        <v>42690</v>
      </c>
      <c r="C350" s="132" t="s">
        <v>473</v>
      </c>
      <c r="D350" s="129"/>
      <c r="E350" s="151">
        <v>36000</v>
      </c>
      <c r="F350" s="128"/>
    </row>
    <row r="351" spans="1:6">
      <c r="A351" s="78">
        <f t="shared" si="5"/>
        <v>348</v>
      </c>
      <c r="B351" s="131">
        <v>42690</v>
      </c>
      <c r="C351" s="132" t="s">
        <v>460</v>
      </c>
      <c r="D351" s="129"/>
      <c r="E351" s="151">
        <v>77000</v>
      </c>
      <c r="F351" s="128"/>
    </row>
    <row r="352" spans="1:6">
      <c r="A352" s="78">
        <f t="shared" si="5"/>
        <v>349</v>
      </c>
      <c r="B352" s="131">
        <v>42690</v>
      </c>
      <c r="C352" s="132" t="s">
        <v>474</v>
      </c>
      <c r="D352" s="129"/>
      <c r="E352" s="151">
        <v>6000</v>
      </c>
      <c r="F352" s="128"/>
    </row>
    <row r="353" spans="1:6">
      <c r="A353" s="78">
        <f t="shared" si="5"/>
        <v>350</v>
      </c>
      <c r="B353" s="131">
        <v>42691</v>
      </c>
      <c r="C353" s="72" t="s">
        <v>482</v>
      </c>
      <c r="D353" s="129"/>
      <c r="E353" s="151">
        <v>80000</v>
      </c>
      <c r="F353" s="128"/>
    </row>
    <row r="354" spans="1:6">
      <c r="A354" s="78">
        <f t="shared" si="5"/>
        <v>351</v>
      </c>
      <c r="B354" s="131">
        <v>42691</v>
      </c>
      <c r="C354" s="72" t="s">
        <v>417</v>
      </c>
      <c r="D354" s="129"/>
      <c r="E354" s="151">
        <v>15000</v>
      </c>
      <c r="F354" s="128"/>
    </row>
    <row r="355" spans="1:6">
      <c r="A355" s="78">
        <f t="shared" si="5"/>
        <v>352</v>
      </c>
      <c r="B355" s="131">
        <v>42691</v>
      </c>
      <c r="C355" s="72" t="s">
        <v>417</v>
      </c>
      <c r="D355" s="129"/>
      <c r="E355" s="151">
        <v>10000</v>
      </c>
      <c r="F355" s="128"/>
    </row>
    <row r="356" spans="1:6">
      <c r="A356" s="78">
        <f t="shared" si="5"/>
        <v>353</v>
      </c>
      <c r="B356" s="131">
        <v>42696</v>
      </c>
      <c r="C356" s="72" t="s">
        <v>417</v>
      </c>
      <c r="D356" s="129"/>
      <c r="E356" s="151">
        <v>10000</v>
      </c>
      <c r="F356" s="128"/>
    </row>
    <row r="357" spans="1:6">
      <c r="A357" s="78">
        <f t="shared" si="5"/>
        <v>354</v>
      </c>
      <c r="B357" s="131">
        <v>42698</v>
      </c>
      <c r="C357" s="72" t="s">
        <v>417</v>
      </c>
      <c r="D357" s="129"/>
      <c r="E357" s="151">
        <v>10000</v>
      </c>
      <c r="F357" s="128"/>
    </row>
    <row r="358" spans="1:6">
      <c r="A358" s="78">
        <f t="shared" si="5"/>
        <v>355</v>
      </c>
      <c r="B358" s="131">
        <v>42698</v>
      </c>
      <c r="C358" s="132" t="s">
        <v>474</v>
      </c>
      <c r="D358" s="129"/>
      <c r="E358" s="151">
        <v>9000</v>
      </c>
      <c r="F358" s="128"/>
    </row>
    <row r="359" spans="1:6">
      <c r="A359" s="78">
        <f t="shared" si="5"/>
        <v>356</v>
      </c>
      <c r="B359" s="131">
        <v>42700</v>
      </c>
      <c r="C359" s="72" t="s">
        <v>417</v>
      </c>
      <c r="D359" s="129"/>
      <c r="E359" s="151">
        <v>15000</v>
      </c>
      <c r="F359" s="128"/>
    </row>
    <row r="360" spans="1:6">
      <c r="A360" s="78">
        <f t="shared" si="5"/>
        <v>357</v>
      </c>
      <c r="B360" s="131">
        <v>42700</v>
      </c>
      <c r="C360" s="72" t="s">
        <v>417</v>
      </c>
      <c r="D360" s="129"/>
      <c r="E360" s="151">
        <v>25000</v>
      </c>
      <c r="F360" s="128"/>
    </row>
    <row r="361" spans="1:6">
      <c r="A361" s="78">
        <f t="shared" si="5"/>
        <v>358</v>
      </c>
      <c r="B361" s="131">
        <v>42703</v>
      </c>
      <c r="C361" s="72" t="s">
        <v>417</v>
      </c>
      <c r="D361" s="129"/>
      <c r="E361" s="151">
        <v>10000</v>
      </c>
      <c r="F361" s="128"/>
    </row>
    <row r="362" spans="1:6">
      <c r="A362" s="78">
        <f t="shared" si="5"/>
        <v>359</v>
      </c>
      <c r="B362" s="131">
        <v>42704</v>
      </c>
      <c r="C362" s="72" t="s">
        <v>483</v>
      </c>
      <c r="D362" s="129"/>
      <c r="E362" s="151">
        <v>1700000</v>
      </c>
      <c r="F362" s="128"/>
    </row>
    <row r="363" spans="1:6">
      <c r="A363" s="78">
        <f t="shared" si="5"/>
        <v>360</v>
      </c>
      <c r="B363" s="131">
        <v>42704</v>
      </c>
      <c r="C363" s="72" t="s">
        <v>484</v>
      </c>
      <c r="D363" s="129"/>
      <c r="E363" s="151">
        <v>300000</v>
      </c>
      <c r="F363" s="128"/>
    </row>
    <row r="364" spans="1:6">
      <c r="A364" s="78">
        <f t="shared" si="5"/>
        <v>361</v>
      </c>
      <c r="B364" s="131">
        <v>42705</v>
      </c>
      <c r="C364" s="72" t="s">
        <v>458</v>
      </c>
      <c r="D364" s="129"/>
      <c r="E364" s="151">
        <v>20000</v>
      </c>
      <c r="F364" s="128"/>
    </row>
    <row r="365" spans="1:6">
      <c r="A365" s="78">
        <f t="shared" si="5"/>
        <v>362</v>
      </c>
      <c r="B365" s="131">
        <v>42705</v>
      </c>
      <c r="C365" s="72" t="s">
        <v>485</v>
      </c>
      <c r="D365" s="129"/>
      <c r="E365" s="151">
        <v>40000</v>
      </c>
      <c r="F365" s="128"/>
    </row>
    <row r="366" spans="1:6">
      <c r="A366" s="78">
        <f t="shared" si="5"/>
        <v>363</v>
      </c>
      <c r="B366" s="131">
        <v>42705</v>
      </c>
      <c r="C366" s="72" t="s">
        <v>417</v>
      </c>
      <c r="D366" s="129"/>
      <c r="E366" s="151">
        <v>10000</v>
      </c>
      <c r="F366" s="128"/>
    </row>
    <row r="367" spans="1:6">
      <c r="A367" s="78">
        <f t="shared" si="5"/>
        <v>364</v>
      </c>
      <c r="B367" s="131">
        <v>42707</v>
      </c>
      <c r="C367" s="132" t="s">
        <v>474</v>
      </c>
      <c r="D367" s="129"/>
      <c r="E367" s="151">
        <v>9000</v>
      </c>
      <c r="F367" s="128"/>
    </row>
    <row r="368" spans="1:6">
      <c r="A368" s="78">
        <f t="shared" si="5"/>
        <v>365</v>
      </c>
      <c r="B368" s="131">
        <v>42709</v>
      </c>
      <c r="C368" s="72" t="s">
        <v>417</v>
      </c>
      <c r="D368" s="129"/>
      <c r="E368" s="151">
        <v>25000</v>
      </c>
      <c r="F368" s="128"/>
    </row>
    <row r="369" spans="1:6">
      <c r="A369" s="78">
        <f t="shared" si="5"/>
        <v>366</v>
      </c>
      <c r="B369" s="131">
        <v>42709</v>
      </c>
      <c r="C369" s="132" t="s">
        <v>460</v>
      </c>
      <c r="D369" s="129"/>
      <c r="E369" s="151">
        <v>179000</v>
      </c>
      <c r="F369" s="128"/>
    </row>
    <row r="370" spans="1:6">
      <c r="A370" s="78">
        <f t="shared" si="5"/>
        <v>367</v>
      </c>
      <c r="B370" s="131">
        <v>42711</v>
      </c>
      <c r="C370" s="72" t="s">
        <v>417</v>
      </c>
      <c r="D370" s="129"/>
      <c r="E370" s="151">
        <v>15000</v>
      </c>
      <c r="F370" s="128"/>
    </row>
    <row r="371" spans="1:6">
      <c r="A371" s="78">
        <f t="shared" si="5"/>
        <v>368</v>
      </c>
      <c r="B371" s="131">
        <v>42711</v>
      </c>
      <c r="C371" s="72" t="s">
        <v>417</v>
      </c>
      <c r="D371" s="129"/>
      <c r="E371" s="151">
        <v>20000</v>
      </c>
      <c r="F371" s="128"/>
    </row>
    <row r="372" spans="1:6">
      <c r="A372" s="78">
        <f t="shared" si="5"/>
        <v>369</v>
      </c>
      <c r="B372" s="131">
        <v>42714</v>
      </c>
      <c r="C372" s="72" t="s">
        <v>417</v>
      </c>
      <c r="D372" s="129"/>
      <c r="E372" s="151">
        <v>25000</v>
      </c>
      <c r="F372" s="128"/>
    </row>
    <row r="373" spans="1:6">
      <c r="A373" s="78">
        <f t="shared" si="5"/>
        <v>370</v>
      </c>
      <c r="B373" s="131">
        <v>42719</v>
      </c>
      <c r="C373" s="132" t="s">
        <v>474</v>
      </c>
      <c r="D373" s="129"/>
      <c r="E373" s="151">
        <v>9000</v>
      </c>
      <c r="F373" s="128"/>
    </row>
    <row r="374" spans="1:6">
      <c r="A374" s="78">
        <f t="shared" si="5"/>
        <v>371</v>
      </c>
      <c r="B374" s="131">
        <v>42720</v>
      </c>
      <c r="C374" s="132" t="s">
        <v>473</v>
      </c>
      <c r="D374" s="129"/>
      <c r="E374" s="151">
        <v>36000</v>
      </c>
      <c r="F374" s="128"/>
    </row>
    <row r="375" spans="1:6">
      <c r="A375" s="78">
        <f t="shared" si="5"/>
        <v>372</v>
      </c>
      <c r="B375" s="131">
        <v>42722</v>
      </c>
      <c r="C375" s="72" t="s">
        <v>417</v>
      </c>
      <c r="D375" s="129"/>
      <c r="E375" s="151">
        <v>10000</v>
      </c>
      <c r="F375" s="128"/>
    </row>
    <row r="376" spans="1:6">
      <c r="A376" s="78">
        <f t="shared" si="5"/>
        <v>373</v>
      </c>
      <c r="B376" s="131">
        <v>42723</v>
      </c>
      <c r="C376" s="72" t="s">
        <v>417</v>
      </c>
      <c r="D376" s="129"/>
      <c r="E376" s="151">
        <v>20000</v>
      </c>
      <c r="F376" s="128"/>
    </row>
    <row r="377" spans="1:6">
      <c r="A377" s="78">
        <f t="shared" si="5"/>
        <v>374</v>
      </c>
      <c r="B377" s="131">
        <v>42724</v>
      </c>
      <c r="C377" s="72" t="s">
        <v>417</v>
      </c>
      <c r="D377" s="129"/>
      <c r="E377" s="151">
        <v>20000</v>
      </c>
      <c r="F377" s="128"/>
    </row>
    <row r="378" spans="1:6">
      <c r="A378" s="78">
        <f t="shared" si="5"/>
        <v>375</v>
      </c>
      <c r="B378" s="131">
        <v>42726</v>
      </c>
      <c r="C378" s="72" t="s">
        <v>417</v>
      </c>
      <c r="D378" s="129"/>
      <c r="E378" s="151">
        <v>10000</v>
      </c>
      <c r="F378" s="128"/>
    </row>
    <row r="379" spans="1:6">
      <c r="A379" s="78">
        <f t="shared" si="5"/>
        <v>376</v>
      </c>
      <c r="B379" s="131">
        <v>42726</v>
      </c>
      <c r="C379" s="132" t="s">
        <v>420</v>
      </c>
      <c r="D379" s="129"/>
      <c r="E379" s="151">
        <v>19000</v>
      </c>
      <c r="F379" s="128"/>
    </row>
    <row r="380" spans="1:6">
      <c r="A380" s="78">
        <f t="shared" si="5"/>
        <v>377</v>
      </c>
      <c r="B380" s="131">
        <v>42730</v>
      </c>
      <c r="C380" s="132" t="s">
        <v>474</v>
      </c>
      <c r="D380" s="129"/>
      <c r="E380" s="151">
        <v>6000</v>
      </c>
      <c r="F380" s="128"/>
    </row>
    <row r="381" spans="1:6">
      <c r="A381" s="78">
        <f t="shared" si="5"/>
        <v>378</v>
      </c>
      <c r="B381" s="131">
        <v>42734</v>
      </c>
      <c r="C381" s="132" t="s">
        <v>474</v>
      </c>
      <c r="D381" s="129"/>
      <c r="E381" s="151">
        <v>9000</v>
      </c>
      <c r="F381" s="128"/>
    </row>
    <row r="382" spans="1:6">
      <c r="A382" s="78">
        <f t="shared" si="5"/>
        <v>379</v>
      </c>
      <c r="B382" s="131">
        <v>42735</v>
      </c>
      <c r="C382" s="72" t="s">
        <v>486</v>
      </c>
      <c r="D382" s="129"/>
      <c r="E382" s="151">
        <v>1700000</v>
      </c>
      <c r="F382" s="128"/>
    </row>
    <row r="383" spans="1:6">
      <c r="A383" s="78">
        <f t="shared" si="5"/>
        <v>380</v>
      </c>
      <c r="B383" s="131">
        <v>42735</v>
      </c>
      <c r="C383" s="72" t="s">
        <v>487</v>
      </c>
      <c r="D383" s="129"/>
      <c r="E383" s="151">
        <v>300000</v>
      </c>
      <c r="F383" s="128"/>
    </row>
    <row r="384" spans="1:6">
      <c r="B384" s="137"/>
      <c r="C384" s="138" t="s">
        <v>489</v>
      </c>
      <c r="D384" s="139">
        <f>SUM(D4:D383)</f>
        <v>134270563.31333333</v>
      </c>
      <c r="E384" s="152">
        <f>SUM(E4:E383)</f>
        <v>44760750</v>
      </c>
      <c r="F384" s="140">
        <f>D384-E384</f>
        <v>89509813.313333333</v>
      </c>
    </row>
  </sheetData>
  <sortState ref="B4:F34">
    <sortCondition ref="B4:B34"/>
  </sortState>
  <printOptions horizontalCentered="1"/>
  <pageMargins left="0.25" right="0.25" top="0.25" bottom="0.25" header="0.3" footer="0.3"/>
  <pageSetup paperSize="9" scale="7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47"/>
  <sheetViews>
    <sheetView showGridLines="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7" sqref="D7"/>
    </sheetView>
  </sheetViews>
  <sheetFormatPr baseColWidth="10" defaultColWidth="8.83203125" defaultRowHeight="14" x14ac:dyDescent="0"/>
  <cols>
    <col min="1" max="1" width="5.33203125" style="11" customWidth="1"/>
    <col min="2" max="2" width="12.83203125" style="11" customWidth="1"/>
    <col min="3" max="3" width="28.83203125" style="5" customWidth="1"/>
    <col min="4" max="4" width="26.5" style="5" customWidth="1"/>
    <col min="5" max="5" width="17.33203125" style="24" hidden="1" customWidth="1"/>
    <col min="6" max="7" width="15.6640625" style="5" hidden="1" customWidth="1"/>
    <col min="8" max="8" width="16.6640625" style="5" hidden="1" customWidth="1"/>
    <col min="9" max="9" width="15.6640625" style="5" hidden="1" customWidth="1"/>
    <col min="10" max="10" width="17.6640625" style="5" hidden="1" customWidth="1"/>
    <col min="11" max="11" width="17.5" style="5" hidden="1" customWidth="1"/>
    <col min="12" max="12" width="15.6640625" style="5" hidden="1" customWidth="1"/>
    <col min="13" max="14" width="16.83203125" style="5" hidden="1" customWidth="1"/>
    <col min="15" max="15" width="15.6640625" style="5" hidden="1" customWidth="1"/>
    <col min="16" max="17" width="16.83203125" style="5" hidden="1" customWidth="1"/>
    <col min="18" max="22" width="15.6640625" style="5" hidden="1" customWidth="1"/>
    <col min="23" max="23" width="17" style="5" hidden="1" customWidth="1"/>
    <col min="24" max="28" width="15.6640625" style="5" hidden="1" customWidth="1"/>
    <col min="29" max="29" width="16.5" style="5" hidden="1" customWidth="1"/>
    <col min="30" max="30" width="16.6640625" style="5" hidden="1" customWidth="1"/>
    <col min="31" max="35" width="15.6640625" style="5" hidden="1" customWidth="1"/>
    <col min="36" max="37" width="17.33203125" style="5" hidden="1" customWidth="1"/>
    <col min="38" max="42" width="15.6640625" style="5" hidden="1" customWidth="1"/>
    <col min="43" max="43" width="16.6640625" style="5" hidden="1" customWidth="1"/>
    <col min="44" max="44" width="18.33203125" style="5" hidden="1" customWidth="1"/>
    <col min="45" max="48" width="15.6640625" style="5" hidden="1" customWidth="1"/>
    <col min="49" max="50" width="16.6640625" style="5" hidden="1" customWidth="1"/>
    <col min="51" max="54" width="15.6640625" style="5" hidden="1" customWidth="1"/>
    <col min="55" max="55" width="16.83203125" style="5" hidden="1" customWidth="1"/>
    <col min="56" max="56" width="17" style="5" hidden="1" customWidth="1"/>
    <col min="57" max="60" width="15.6640625" style="5" hidden="1" customWidth="1"/>
    <col min="61" max="62" width="16.83203125" style="5" hidden="1" customWidth="1"/>
    <col min="63" max="66" width="15.6640625" style="5" hidden="1" customWidth="1"/>
    <col min="67" max="67" width="18" style="5" hidden="1" customWidth="1"/>
    <col min="68" max="68" width="16.83203125" style="5" hidden="1" customWidth="1"/>
    <col min="69" max="69" width="18" style="5" customWidth="1"/>
    <col min="70" max="70" width="23.83203125" style="11" hidden="1" customWidth="1"/>
    <col min="71" max="73" width="14.5" style="12" bestFit="1" customWidth="1"/>
    <col min="74" max="16384" width="8.83203125" style="5"/>
  </cols>
  <sheetData>
    <row r="1" spans="1:73" ht="16">
      <c r="A1" s="8" t="s">
        <v>9</v>
      </c>
      <c r="B1" s="8"/>
      <c r="C1" s="9"/>
      <c r="D1" s="9"/>
      <c r="E1" s="9"/>
      <c r="F1" s="9"/>
      <c r="G1" s="9"/>
      <c r="H1" s="9"/>
      <c r="W1" s="10"/>
    </row>
    <row r="2" spans="1:73" ht="3.75" customHeight="1">
      <c r="A2" s="161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</row>
    <row r="3" spans="1:73" s="6" customFormat="1" ht="15">
      <c r="A3" s="159" t="s">
        <v>10</v>
      </c>
      <c r="B3" s="159" t="s">
        <v>11</v>
      </c>
      <c r="C3" s="159" t="s">
        <v>12</v>
      </c>
      <c r="D3" s="159" t="s">
        <v>13</v>
      </c>
      <c r="E3" s="162" t="s">
        <v>359</v>
      </c>
      <c r="F3" s="13" t="s">
        <v>14</v>
      </c>
      <c r="G3" s="13" t="s">
        <v>15</v>
      </c>
      <c r="H3" s="13" t="s">
        <v>16</v>
      </c>
      <c r="I3" s="13" t="s">
        <v>14</v>
      </c>
      <c r="J3" s="13" t="s">
        <v>15</v>
      </c>
      <c r="K3" s="13" t="s">
        <v>16</v>
      </c>
      <c r="L3" s="13" t="s">
        <v>14</v>
      </c>
      <c r="M3" s="13" t="s">
        <v>15</v>
      </c>
      <c r="N3" s="13" t="s">
        <v>16</v>
      </c>
      <c r="O3" s="13" t="s">
        <v>14</v>
      </c>
      <c r="P3" s="13" t="s">
        <v>15</v>
      </c>
      <c r="Q3" s="13" t="s">
        <v>16</v>
      </c>
      <c r="R3" s="13" t="s">
        <v>14</v>
      </c>
      <c r="S3" s="40" t="s">
        <v>360</v>
      </c>
      <c r="T3" s="40" t="s">
        <v>361</v>
      </c>
      <c r="U3" s="40" t="s">
        <v>362</v>
      </c>
      <c r="V3" s="40" t="s">
        <v>363</v>
      </c>
      <c r="W3" s="13" t="s">
        <v>16</v>
      </c>
      <c r="X3" s="13" t="s">
        <v>14</v>
      </c>
      <c r="Y3" s="13" t="s">
        <v>15</v>
      </c>
      <c r="Z3" s="13" t="s">
        <v>18</v>
      </c>
      <c r="AA3" s="13" t="s">
        <v>15</v>
      </c>
      <c r="AB3" s="13" t="s">
        <v>363</v>
      </c>
      <c r="AC3" s="13" t="s">
        <v>16</v>
      </c>
      <c r="AD3" s="13" t="s">
        <v>16</v>
      </c>
      <c r="AE3" s="13" t="s">
        <v>14</v>
      </c>
      <c r="AF3" s="13" t="s">
        <v>15</v>
      </c>
      <c r="AG3" s="13" t="s">
        <v>18</v>
      </c>
      <c r="AH3" s="13" t="s">
        <v>15</v>
      </c>
      <c r="AI3" s="13" t="s">
        <v>363</v>
      </c>
      <c r="AJ3" s="13" t="s">
        <v>16</v>
      </c>
      <c r="AK3" s="13" t="s">
        <v>16</v>
      </c>
      <c r="AL3" s="13" t="s">
        <v>14</v>
      </c>
      <c r="AM3" s="13" t="s">
        <v>15</v>
      </c>
      <c r="AN3" s="13" t="s">
        <v>15</v>
      </c>
      <c r="AO3" s="13" t="s">
        <v>15</v>
      </c>
      <c r="AP3" s="13" t="s">
        <v>363</v>
      </c>
      <c r="AQ3" s="13" t="s">
        <v>16</v>
      </c>
      <c r="AR3" s="13" t="s">
        <v>16</v>
      </c>
      <c r="AS3" s="13" t="s">
        <v>14</v>
      </c>
      <c r="AT3" s="13" t="s">
        <v>15</v>
      </c>
      <c r="AU3" s="13" t="s">
        <v>15</v>
      </c>
      <c r="AV3" s="13" t="s">
        <v>15</v>
      </c>
      <c r="AW3" s="13" t="s">
        <v>16</v>
      </c>
      <c r="AX3" s="13" t="s">
        <v>16</v>
      </c>
      <c r="AY3" s="13" t="s">
        <v>14</v>
      </c>
      <c r="AZ3" s="13" t="s">
        <v>15</v>
      </c>
      <c r="BA3" s="13" t="s">
        <v>15</v>
      </c>
      <c r="BB3" s="13" t="s">
        <v>15</v>
      </c>
      <c r="BC3" s="13" t="s">
        <v>16</v>
      </c>
      <c r="BD3" s="13" t="s">
        <v>16</v>
      </c>
      <c r="BE3" s="13" t="s">
        <v>14</v>
      </c>
      <c r="BF3" s="13" t="s">
        <v>15</v>
      </c>
      <c r="BG3" s="13" t="s">
        <v>15</v>
      </c>
      <c r="BH3" s="13" t="s">
        <v>364</v>
      </c>
      <c r="BI3" s="13" t="s">
        <v>16</v>
      </c>
      <c r="BJ3" s="13" t="s">
        <v>16</v>
      </c>
      <c r="BK3" s="13" t="s">
        <v>14</v>
      </c>
      <c r="BL3" s="13" t="s">
        <v>15</v>
      </c>
      <c r="BM3" s="13" t="s">
        <v>15</v>
      </c>
      <c r="BN3" s="13" t="s">
        <v>15</v>
      </c>
      <c r="BO3" s="13" t="s">
        <v>16</v>
      </c>
      <c r="BP3" s="13" t="s">
        <v>16</v>
      </c>
      <c r="BQ3" s="159" t="s">
        <v>684</v>
      </c>
      <c r="BR3" s="159" t="s">
        <v>1</v>
      </c>
      <c r="BS3" s="7"/>
      <c r="BT3" s="7"/>
      <c r="BU3" s="7"/>
    </row>
    <row r="4" spans="1:73" s="6" customFormat="1" ht="15">
      <c r="A4" s="160"/>
      <c r="B4" s="160"/>
      <c r="C4" s="160"/>
      <c r="D4" s="160"/>
      <c r="E4" s="163"/>
      <c r="F4" s="14" t="s">
        <v>17</v>
      </c>
      <c r="G4" s="14" t="s">
        <v>17</v>
      </c>
      <c r="H4" s="14" t="s">
        <v>18</v>
      </c>
      <c r="I4" s="14" t="s">
        <v>19</v>
      </c>
      <c r="J4" s="14" t="s">
        <v>19</v>
      </c>
      <c r="K4" s="14" t="s">
        <v>18</v>
      </c>
      <c r="L4" s="14" t="s">
        <v>20</v>
      </c>
      <c r="M4" s="14" t="s">
        <v>20</v>
      </c>
      <c r="N4" s="14" t="s">
        <v>18</v>
      </c>
      <c r="O4" s="14" t="s">
        <v>21</v>
      </c>
      <c r="P4" s="14" t="s">
        <v>21</v>
      </c>
      <c r="Q4" s="14" t="s">
        <v>18</v>
      </c>
      <c r="R4" s="14" t="s">
        <v>22</v>
      </c>
      <c r="S4" s="14" t="s">
        <v>22</v>
      </c>
      <c r="T4" s="14" t="s">
        <v>22</v>
      </c>
      <c r="U4" s="14" t="s">
        <v>22</v>
      </c>
      <c r="V4" s="41" t="s">
        <v>365</v>
      </c>
      <c r="W4" s="14" t="s">
        <v>18</v>
      </c>
      <c r="X4" s="14" t="s">
        <v>23</v>
      </c>
      <c r="Y4" s="14" t="s">
        <v>366</v>
      </c>
      <c r="Z4" s="14" t="s">
        <v>367</v>
      </c>
      <c r="AA4" s="14" t="s">
        <v>368</v>
      </c>
      <c r="AB4" s="14" t="s">
        <v>369</v>
      </c>
      <c r="AC4" s="14" t="s">
        <v>363</v>
      </c>
      <c r="AD4" s="14" t="s">
        <v>18</v>
      </c>
      <c r="AE4" s="14" t="s">
        <v>24</v>
      </c>
      <c r="AF4" s="14" t="s">
        <v>366</v>
      </c>
      <c r="AG4" s="14" t="s">
        <v>367</v>
      </c>
      <c r="AH4" s="14" t="s">
        <v>368</v>
      </c>
      <c r="AI4" s="14" t="s">
        <v>370</v>
      </c>
      <c r="AJ4" s="14" t="s">
        <v>15</v>
      </c>
      <c r="AK4" s="14" t="s">
        <v>18</v>
      </c>
      <c r="AL4" s="14" t="s">
        <v>25</v>
      </c>
      <c r="AM4" s="14" t="s">
        <v>25</v>
      </c>
      <c r="AN4" s="14" t="s">
        <v>367</v>
      </c>
      <c r="AO4" s="14" t="s">
        <v>368</v>
      </c>
      <c r="AP4" s="14" t="s">
        <v>371</v>
      </c>
      <c r="AQ4" s="14" t="s">
        <v>15</v>
      </c>
      <c r="AR4" s="14" t="s">
        <v>18</v>
      </c>
      <c r="AS4" s="14" t="s">
        <v>26</v>
      </c>
      <c r="AT4" s="14" t="s">
        <v>26</v>
      </c>
      <c r="AU4" s="14" t="s">
        <v>367</v>
      </c>
      <c r="AV4" s="14" t="s">
        <v>368</v>
      </c>
      <c r="AW4" s="14" t="s">
        <v>15</v>
      </c>
      <c r="AX4" s="14" t="s">
        <v>18</v>
      </c>
      <c r="AY4" s="14" t="s">
        <v>27</v>
      </c>
      <c r="AZ4" s="14" t="s">
        <v>367</v>
      </c>
      <c r="BA4" s="14" t="s">
        <v>366</v>
      </c>
      <c r="BB4" s="14" t="s">
        <v>368</v>
      </c>
      <c r="BC4" s="14" t="s">
        <v>15</v>
      </c>
      <c r="BD4" s="14" t="s">
        <v>18</v>
      </c>
      <c r="BE4" s="14" t="s">
        <v>28</v>
      </c>
      <c r="BF4" s="14" t="s">
        <v>366</v>
      </c>
      <c r="BG4" s="14" t="s">
        <v>367</v>
      </c>
      <c r="BH4" s="14" t="s">
        <v>368</v>
      </c>
      <c r="BI4" s="14" t="s">
        <v>15</v>
      </c>
      <c r="BJ4" s="14" t="s">
        <v>18</v>
      </c>
      <c r="BK4" s="14" t="s">
        <v>29</v>
      </c>
      <c r="BL4" s="14" t="s">
        <v>366</v>
      </c>
      <c r="BM4" s="14" t="s">
        <v>367</v>
      </c>
      <c r="BN4" s="14" t="s">
        <v>368</v>
      </c>
      <c r="BO4" s="14" t="s">
        <v>15</v>
      </c>
      <c r="BP4" s="14" t="s">
        <v>18</v>
      </c>
      <c r="BQ4" s="160"/>
      <c r="BR4" s="160"/>
      <c r="BS4" s="7"/>
      <c r="BT4" s="7"/>
      <c r="BU4" s="7"/>
    </row>
    <row r="5" spans="1:73" s="4" customFormat="1" ht="13">
      <c r="A5" s="15">
        <f t="shared" ref="A5:A68" si="0">A4+1</f>
        <v>1</v>
      </c>
      <c r="B5" s="68" t="s">
        <v>31</v>
      </c>
      <c r="C5" s="44" t="s">
        <v>32</v>
      </c>
      <c r="D5" s="44" t="s">
        <v>33</v>
      </c>
      <c r="E5" s="42">
        <v>2775000</v>
      </c>
      <c r="F5" s="17">
        <v>100000</v>
      </c>
      <c r="G5" s="17">
        <f>530000</f>
        <v>530000</v>
      </c>
      <c r="H5" s="17">
        <f t="shared" ref="H5:H10" si="1">F5+G5</f>
        <v>630000</v>
      </c>
      <c r="I5" s="17">
        <v>100000</v>
      </c>
      <c r="J5" s="17">
        <f>530000</f>
        <v>530000</v>
      </c>
      <c r="K5" s="17">
        <f t="shared" ref="K5:K10" si="2">I5+J5</f>
        <v>630000</v>
      </c>
      <c r="L5" s="17">
        <v>100000</v>
      </c>
      <c r="M5" s="17">
        <f>530000</f>
        <v>530000</v>
      </c>
      <c r="N5" s="17">
        <f t="shared" ref="N5:N10" si="3">L5+M5</f>
        <v>630000</v>
      </c>
      <c r="O5" s="17">
        <v>100000</v>
      </c>
      <c r="P5" s="17">
        <f>530000</f>
        <v>530000</v>
      </c>
      <c r="Q5" s="17">
        <f t="shared" ref="Q5:Q10" si="4">O5+P5</f>
        <v>630000</v>
      </c>
      <c r="R5" s="17">
        <v>100000</v>
      </c>
      <c r="S5" s="17">
        <f>530000</f>
        <v>530000</v>
      </c>
      <c r="T5" s="17">
        <v>0</v>
      </c>
      <c r="U5" s="17">
        <v>0</v>
      </c>
      <c r="V5" s="17">
        <f>21000+10000</f>
        <v>31000</v>
      </c>
      <c r="W5" s="17">
        <f t="shared" ref="W5:W31" si="5">SUM(R5:V5)</f>
        <v>661000</v>
      </c>
      <c r="X5" s="17">
        <v>100000</v>
      </c>
      <c r="Y5" s="17">
        <v>530000</v>
      </c>
      <c r="Z5" s="17"/>
      <c r="AA5" s="17"/>
      <c r="AB5" s="17"/>
      <c r="AC5" s="17">
        <f t="shared" ref="AC5:AC31" si="6">SUM(Y5:AB5)</f>
        <v>530000</v>
      </c>
      <c r="AD5" s="17">
        <f t="shared" ref="AD5:AD31" si="7">AC5+X5</f>
        <v>630000</v>
      </c>
      <c r="AE5" s="17">
        <v>100000</v>
      </c>
      <c r="AF5" s="17"/>
      <c r="AG5" s="17"/>
      <c r="AH5" s="17">
        <v>507500</v>
      </c>
      <c r="AI5" s="17"/>
      <c r="AJ5" s="17">
        <f t="shared" ref="AJ5:AJ31" si="8">SUM(AF5:AI5)</f>
        <v>507500</v>
      </c>
      <c r="AK5" s="17">
        <f t="shared" ref="AK5:AK31" si="9">AE5+AJ5</f>
        <v>607500</v>
      </c>
      <c r="AL5" s="17">
        <v>100000</v>
      </c>
      <c r="AM5" s="42">
        <v>530000</v>
      </c>
      <c r="AN5" s="42">
        <f>[5]Credit!$E$24</f>
        <v>6000</v>
      </c>
      <c r="AO5" s="42">
        <v>0</v>
      </c>
      <c r="AP5" s="17"/>
      <c r="AQ5" s="17">
        <f t="shared" ref="AQ5:AQ31" si="10">SUM(AM5:AP5)</f>
        <v>536000</v>
      </c>
      <c r="AR5" s="17">
        <f t="shared" ref="AR5:AR31" si="11">AL5+AQ5</f>
        <v>636000</v>
      </c>
      <c r="AS5" s="42">
        <v>100000</v>
      </c>
      <c r="AT5" s="42">
        <v>530000</v>
      </c>
      <c r="AU5" s="42">
        <v>0</v>
      </c>
      <c r="AV5" s="42">
        <v>0</v>
      </c>
      <c r="AW5" s="17">
        <f t="shared" ref="AW5:AW31" si="12">SUM(AT5:AV5)</f>
        <v>530000</v>
      </c>
      <c r="AX5" s="42">
        <f t="shared" ref="AX5:AX31" si="13">AS5+AW5</f>
        <v>630000</v>
      </c>
      <c r="AY5" s="42">
        <v>100000</v>
      </c>
      <c r="AZ5" s="42">
        <f>[6]Credit!$F$31</f>
        <v>15000</v>
      </c>
      <c r="BA5" s="42">
        <v>530000</v>
      </c>
      <c r="BB5" s="42"/>
      <c r="BC5" s="42">
        <f t="shared" ref="BC5:BC31" si="14">SUM(AZ5:BB5)</f>
        <v>545000</v>
      </c>
      <c r="BD5" s="42">
        <f t="shared" ref="BD5:BD31" si="15">AY5+BC5</f>
        <v>645000</v>
      </c>
      <c r="BE5" s="42">
        <v>100000</v>
      </c>
      <c r="BF5" s="42">
        <v>530000</v>
      </c>
      <c r="BG5" s="42"/>
      <c r="BH5" s="42">
        <v>507500</v>
      </c>
      <c r="BI5" s="42">
        <f t="shared" ref="BI5:BI31" si="16">SUM(BF5:BH5)</f>
        <v>1037500</v>
      </c>
      <c r="BJ5" s="42">
        <f t="shared" ref="BJ5:BJ31" si="17">BE5+BI5</f>
        <v>1137500</v>
      </c>
      <c r="BK5" s="42">
        <v>100000</v>
      </c>
      <c r="BL5" s="42">
        <v>530000</v>
      </c>
      <c r="BM5" s="42">
        <v>0</v>
      </c>
      <c r="BN5" s="42">
        <v>0</v>
      </c>
      <c r="BO5" s="42">
        <f t="shared" ref="BO5:BO36" si="18">SUM(BL5:BN5)</f>
        <v>530000</v>
      </c>
      <c r="BP5" s="42">
        <f t="shared" ref="BP5:BP36" si="19">BK5+BO5</f>
        <v>630000</v>
      </c>
      <c r="BQ5" s="69">
        <f t="shared" ref="BQ5:BQ36" si="20">E5+F5+I5+L5+O5+R5+X5+AE5+AL5+AS5+AY5+BE5+BK5</f>
        <v>3975000</v>
      </c>
      <c r="BR5" s="16"/>
      <c r="BS5" s="36"/>
      <c r="BT5" s="36"/>
      <c r="BU5" s="36"/>
    </row>
    <row r="6" spans="1:73" s="4" customFormat="1" ht="13">
      <c r="A6" s="15">
        <f t="shared" si="0"/>
        <v>2</v>
      </c>
      <c r="B6" s="48" t="s">
        <v>34</v>
      </c>
      <c r="C6" s="44" t="s">
        <v>35</v>
      </c>
      <c r="D6" s="44" t="s">
        <v>33</v>
      </c>
      <c r="E6" s="42">
        <v>2450000</v>
      </c>
      <c r="F6" s="17">
        <v>100000</v>
      </c>
      <c r="G6" s="17">
        <f>106000</f>
        <v>106000</v>
      </c>
      <c r="H6" s="17">
        <f t="shared" si="1"/>
        <v>206000</v>
      </c>
      <c r="I6" s="17">
        <v>100000</v>
      </c>
      <c r="J6" s="17"/>
      <c r="K6" s="17">
        <f t="shared" si="2"/>
        <v>100000</v>
      </c>
      <c r="L6" s="17">
        <v>100000</v>
      </c>
      <c r="M6" s="17"/>
      <c r="N6" s="17">
        <f t="shared" si="3"/>
        <v>100000</v>
      </c>
      <c r="O6" s="17">
        <v>100000</v>
      </c>
      <c r="P6" s="17">
        <f>135000+54000</f>
        <v>189000</v>
      </c>
      <c r="Q6" s="17">
        <f t="shared" si="4"/>
        <v>289000</v>
      </c>
      <c r="R6" s="17">
        <v>100000</v>
      </c>
      <c r="S6" s="17">
        <v>0</v>
      </c>
      <c r="T6" s="17">
        <f>[7]System!$F$104</f>
        <v>123500</v>
      </c>
      <c r="U6" s="17">
        <v>0</v>
      </c>
      <c r="V6" s="17">
        <v>0</v>
      </c>
      <c r="W6" s="17">
        <f t="shared" si="5"/>
        <v>223500</v>
      </c>
      <c r="X6" s="17">
        <v>100000</v>
      </c>
      <c r="Y6" s="17"/>
      <c r="Z6" s="17">
        <f>[8]Credit!$E$92</f>
        <v>64500</v>
      </c>
      <c r="AA6" s="17"/>
      <c r="AB6" s="17">
        <v>35000</v>
      </c>
      <c r="AC6" s="17">
        <f t="shared" si="6"/>
        <v>99500</v>
      </c>
      <c r="AD6" s="17">
        <f t="shared" si="7"/>
        <v>199500</v>
      </c>
      <c r="AE6" s="17">
        <v>100000</v>
      </c>
      <c r="AF6" s="17"/>
      <c r="AG6" s="17">
        <f>[9]Credit!$F$69</f>
        <v>41000</v>
      </c>
      <c r="AH6" s="17"/>
      <c r="AI6" s="17"/>
      <c r="AJ6" s="17">
        <f t="shared" si="8"/>
        <v>41000</v>
      </c>
      <c r="AK6" s="17">
        <f t="shared" si="9"/>
        <v>141000</v>
      </c>
      <c r="AL6" s="17">
        <v>100000</v>
      </c>
      <c r="AM6" s="42">
        <v>0</v>
      </c>
      <c r="AN6" s="42">
        <f>[5]Credit!$E$128</f>
        <v>138000</v>
      </c>
      <c r="AO6" s="42">
        <v>0</v>
      </c>
      <c r="AP6" s="17"/>
      <c r="AQ6" s="17">
        <f t="shared" si="10"/>
        <v>138000</v>
      </c>
      <c r="AR6" s="17">
        <f t="shared" si="11"/>
        <v>238000</v>
      </c>
      <c r="AS6" s="42">
        <v>100000</v>
      </c>
      <c r="AT6" s="42">
        <v>0</v>
      </c>
      <c r="AU6" s="42">
        <f>[10]Credit!$E$147</f>
        <v>140000</v>
      </c>
      <c r="AV6" s="42">
        <v>0</v>
      </c>
      <c r="AW6" s="17">
        <f t="shared" si="12"/>
        <v>140000</v>
      </c>
      <c r="AX6" s="42">
        <f t="shared" si="13"/>
        <v>240000</v>
      </c>
      <c r="AY6" s="42">
        <v>100000</v>
      </c>
      <c r="AZ6" s="42">
        <f>[6]Credit!$F$151</f>
        <v>166500</v>
      </c>
      <c r="BA6" s="42"/>
      <c r="BB6" s="42"/>
      <c r="BC6" s="42">
        <f t="shared" si="14"/>
        <v>166500</v>
      </c>
      <c r="BD6" s="42">
        <f t="shared" si="15"/>
        <v>266500</v>
      </c>
      <c r="BE6" s="42">
        <v>100000</v>
      </c>
      <c r="BF6" s="42">
        <v>0</v>
      </c>
      <c r="BG6" s="42">
        <f>[11]Kredit!$E$167</f>
        <v>91000</v>
      </c>
      <c r="BH6" s="42">
        <v>0</v>
      </c>
      <c r="BI6" s="42">
        <f t="shared" si="16"/>
        <v>91000</v>
      </c>
      <c r="BJ6" s="42">
        <f t="shared" si="17"/>
        <v>191000</v>
      </c>
      <c r="BK6" s="42">
        <v>100000</v>
      </c>
      <c r="BL6" s="42">
        <v>425000</v>
      </c>
      <c r="BM6" s="42">
        <f>[12]Credit!$E$144</f>
        <v>72000</v>
      </c>
      <c r="BN6" s="42">
        <v>0</v>
      </c>
      <c r="BO6" s="42">
        <f t="shared" si="18"/>
        <v>497000</v>
      </c>
      <c r="BP6" s="42">
        <f t="shared" si="19"/>
        <v>597000</v>
      </c>
      <c r="BQ6" s="69">
        <f t="shared" si="20"/>
        <v>3650000</v>
      </c>
      <c r="BR6" s="16"/>
      <c r="BS6" s="36"/>
      <c r="BT6" s="36"/>
      <c r="BU6" s="36"/>
    </row>
    <row r="7" spans="1:73" s="4" customFormat="1" ht="13">
      <c r="A7" s="15">
        <f t="shared" si="0"/>
        <v>3</v>
      </c>
      <c r="B7" s="43">
        <v>13120364</v>
      </c>
      <c r="C7" s="44" t="s">
        <v>108</v>
      </c>
      <c r="D7" s="44" t="s">
        <v>33</v>
      </c>
      <c r="E7" s="42">
        <v>2325000</v>
      </c>
      <c r="F7" s="17">
        <v>100000</v>
      </c>
      <c r="G7" s="42"/>
      <c r="H7" s="17">
        <f t="shared" si="1"/>
        <v>100000</v>
      </c>
      <c r="I7" s="17">
        <v>100000</v>
      </c>
      <c r="J7" s="42"/>
      <c r="K7" s="17">
        <f t="shared" si="2"/>
        <v>100000</v>
      </c>
      <c r="L7" s="17">
        <v>100000</v>
      </c>
      <c r="M7" s="42"/>
      <c r="N7" s="17">
        <f t="shared" si="3"/>
        <v>100000</v>
      </c>
      <c r="O7" s="17">
        <v>100000</v>
      </c>
      <c r="P7" s="42"/>
      <c r="Q7" s="17">
        <f t="shared" si="4"/>
        <v>100000</v>
      </c>
      <c r="R7" s="17">
        <v>100000</v>
      </c>
      <c r="S7" s="17">
        <v>0</v>
      </c>
      <c r="T7" s="17">
        <v>0</v>
      </c>
      <c r="U7" s="17">
        <v>0</v>
      </c>
      <c r="V7" s="17">
        <f>21000</f>
        <v>21000</v>
      </c>
      <c r="W7" s="17">
        <f t="shared" si="5"/>
        <v>121000</v>
      </c>
      <c r="X7" s="17">
        <v>100000</v>
      </c>
      <c r="Y7" s="42"/>
      <c r="Z7" s="42"/>
      <c r="AA7" s="42"/>
      <c r="AB7" s="42"/>
      <c r="AC7" s="17">
        <f t="shared" si="6"/>
        <v>0</v>
      </c>
      <c r="AD7" s="17">
        <f t="shared" si="7"/>
        <v>100000</v>
      </c>
      <c r="AE7" s="17">
        <v>100000</v>
      </c>
      <c r="AF7" s="42"/>
      <c r="AG7" s="42"/>
      <c r="AH7" s="42"/>
      <c r="AI7" s="42"/>
      <c r="AJ7" s="17">
        <f t="shared" si="8"/>
        <v>0</v>
      </c>
      <c r="AK7" s="17">
        <f t="shared" si="9"/>
        <v>100000</v>
      </c>
      <c r="AL7" s="17">
        <v>100000</v>
      </c>
      <c r="AM7" s="42">
        <v>0</v>
      </c>
      <c r="AN7" s="42">
        <v>0</v>
      </c>
      <c r="AO7" s="42">
        <v>0</v>
      </c>
      <c r="AP7" s="42"/>
      <c r="AQ7" s="17">
        <f t="shared" si="10"/>
        <v>0</v>
      </c>
      <c r="AR7" s="17">
        <f t="shared" si="11"/>
        <v>100000</v>
      </c>
      <c r="AS7" s="42">
        <v>100000</v>
      </c>
      <c r="AT7" s="42">
        <v>0</v>
      </c>
      <c r="AU7" s="42">
        <v>0</v>
      </c>
      <c r="AV7" s="42">
        <v>0</v>
      </c>
      <c r="AW7" s="17">
        <f t="shared" si="12"/>
        <v>0</v>
      </c>
      <c r="AX7" s="42">
        <f t="shared" si="13"/>
        <v>100000</v>
      </c>
      <c r="AY7" s="42">
        <v>100000</v>
      </c>
      <c r="AZ7" s="42">
        <v>0</v>
      </c>
      <c r="BA7" s="42"/>
      <c r="BB7" s="42"/>
      <c r="BC7" s="42">
        <f t="shared" si="14"/>
        <v>0</v>
      </c>
      <c r="BD7" s="42">
        <f t="shared" si="15"/>
        <v>100000</v>
      </c>
      <c r="BE7" s="42">
        <v>100000</v>
      </c>
      <c r="BF7" s="42">
        <v>0</v>
      </c>
      <c r="BG7" s="42"/>
      <c r="BH7" s="42">
        <v>545000</v>
      </c>
      <c r="BI7" s="42">
        <f t="shared" si="16"/>
        <v>545000</v>
      </c>
      <c r="BJ7" s="42">
        <f t="shared" si="17"/>
        <v>645000</v>
      </c>
      <c r="BK7" s="42">
        <v>100000</v>
      </c>
      <c r="BL7" s="42">
        <v>0</v>
      </c>
      <c r="BM7" s="42">
        <v>0</v>
      </c>
      <c r="BN7" s="42">
        <v>545000</v>
      </c>
      <c r="BO7" s="42">
        <f t="shared" si="18"/>
        <v>545000</v>
      </c>
      <c r="BP7" s="42">
        <f t="shared" si="19"/>
        <v>645000</v>
      </c>
      <c r="BQ7" s="69">
        <f t="shared" si="20"/>
        <v>3525000</v>
      </c>
      <c r="BR7" s="16"/>
      <c r="BS7" s="36"/>
      <c r="BT7" s="36"/>
      <c r="BU7" s="36"/>
    </row>
    <row r="8" spans="1:73" s="4" customFormat="1" ht="13">
      <c r="A8" s="15">
        <f t="shared" si="0"/>
        <v>4</v>
      </c>
      <c r="B8" s="43">
        <v>14020549</v>
      </c>
      <c r="C8" s="44" t="s">
        <v>109</v>
      </c>
      <c r="D8" s="44" t="s">
        <v>33</v>
      </c>
      <c r="E8" s="42">
        <v>2325000</v>
      </c>
      <c r="F8" s="17">
        <v>100000</v>
      </c>
      <c r="G8" s="17">
        <f>531250</f>
        <v>531250</v>
      </c>
      <c r="H8" s="17">
        <f t="shared" si="1"/>
        <v>631250</v>
      </c>
      <c r="I8" s="17">
        <v>100000</v>
      </c>
      <c r="J8" s="17">
        <f>531250</f>
        <v>531250</v>
      </c>
      <c r="K8" s="17">
        <f t="shared" si="2"/>
        <v>631250</v>
      </c>
      <c r="L8" s="17">
        <v>100000</v>
      </c>
      <c r="M8" s="17">
        <v>531250</v>
      </c>
      <c r="N8" s="17">
        <f t="shared" si="3"/>
        <v>631250</v>
      </c>
      <c r="O8" s="17">
        <v>100000</v>
      </c>
      <c r="P8" s="17">
        <f>531250</f>
        <v>531250</v>
      </c>
      <c r="Q8" s="17">
        <f t="shared" si="4"/>
        <v>631250</v>
      </c>
      <c r="R8" s="17">
        <v>100000</v>
      </c>
      <c r="S8" s="17">
        <v>0</v>
      </c>
      <c r="T8" s="17">
        <f>[7]System!$F$288</f>
        <v>16500</v>
      </c>
      <c r="U8" s="17">
        <v>0</v>
      </c>
      <c r="V8" s="17">
        <f>21000+26000</f>
        <v>47000</v>
      </c>
      <c r="W8" s="17">
        <f t="shared" si="5"/>
        <v>163500</v>
      </c>
      <c r="X8" s="17">
        <v>100000</v>
      </c>
      <c r="Y8" s="17"/>
      <c r="Z8" s="17">
        <f>[8]Credit!$E$300</f>
        <v>14000</v>
      </c>
      <c r="AA8" s="17"/>
      <c r="AB8" s="17">
        <v>95000</v>
      </c>
      <c r="AC8" s="17">
        <f t="shared" si="6"/>
        <v>109000</v>
      </c>
      <c r="AD8" s="17">
        <f t="shared" si="7"/>
        <v>209000</v>
      </c>
      <c r="AE8" s="17">
        <v>100000</v>
      </c>
      <c r="AF8" s="17"/>
      <c r="AG8" s="17"/>
      <c r="AH8" s="17"/>
      <c r="AI8" s="17"/>
      <c r="AJ8" s="17">
        <f t="shared" si="8"/>
        <v>0</v>
      </c>
      <c r="AK8" s="17">
        <f t="shared" si="9"/>
        <v>100000</v>
      </c>
      <c r="AL8" s="17">
        <v>100000</v>
      </c>
      <c r="AM8" s="42">
        <v>795000</v>
      </c>
      <c r="AN8" s="42">
        <f>[5]Credit!$E$373</f>
        <v>71000</v>
      </c>
      <c r="AO8" s="42">
        <v>0</v>
      </c>
      <c r="AP8" s="17">
        <v>30000</v>
      </c>
      <c r="AQ8" s="17">
        <f t="shared" si="10"/>
        <v>896000</v>
      </c>
      <c r="AR8" s="17">
        <f t="shared" si="11"/>
        <v>996000</v>
      </c>
      <c r="AS8" s="42">
        <v>100000</v>
      </c>
      <c r="AT8" s="42">
        <v>795000</v>
      </c>
      <c r="AU8" s="42">
        <v>0</v>
      </c>
      <c r="AV8" s="42">
        <v>0</v>
      </c>
      <c r="AW8" s="17">
        <f t="shared" si="12"/>
        <v>795000</v>
      </c>
      <c r="AX8" s="42">
        <f t="shared" si="13"/>
        <v>895000</v>
      </c>
      <c r="AY8" s="42">
        <v>100000</v>
      </c>
      <c r="AZ8" s="42">
        <f>[6]Credit!$F$392</f>
        <v>143000</v>
      </c>
      <c r="BA8" s="42">
        <v>795000</v>
      </c>
      <c r="BB8" s="42"/>
      <c r="BC8" s="42">
        <f t="shared" si="14"/>
        <v>938000</v>
      </c>
      <c r="BD8" s="42">
        <f t="shared" si="15"/>
        <v>1038000</v>
      </c>
      <c r="BE8" s="42">
        <v>100000</v>
      </c>
      <c r="BF8" s="42">
        <v>795000</v>
      </c>
      <c r="BG8" s="42">
        <f>[11]Kredit!$E$463</f>
        <v>110000</v>
      </c>
      <c r="BH8" s="42">
        <v>0</v>
      </c>
      <c r="BI8" s="42">
        <f t="shared" si="16"/>
        <v>905000</v>
      </c>
      <c r="BJ8" s="42">
        <f t="shared" si="17"/>
        <v>1005000</v>
      </c>
      <c r="BK8" s="42">
        <v>100000</v>
      </c>
      <c r="BL8" s="42">
        <v>530000</v>
      </c>
      <c r="BM8" s="42">
        <f>[12]Credit!$E$451</f>
        <v>323000</v>
      </c>
      <c r="BN8" s="42">
        <v>0</v>
      </c>
      <c r="BO8" s="42">
        <f t="shared" si="18"/>
        <v>853000</v>
      </c>
      <c r="BP8" s="42">
        <f t="shared" si="19"/>
        <v>953000</v>
      </c>
      <c r="BQ8" s="69">
        <f t="shared" si="20"/>
        <v>3525000</v>
      </c>
      <c r="BR8" s="16"/>
      <c r="BS8" s="36"/>
      <c r="BT8" s="36"/>
      <c r="BU8" s="36"/>
    </row>
    <row r="9" spans="1:73">
      <c r="A9" s="15">
        <f t="shared" si="0"/>
        <v>5</v>
      </c>
      <c r="B9" s="43">
        <v>11068311</v>
      </c>
      <c r="C9" s="44" t="s">
        <v>36</v>
      </c>
      <c r="D9" s="44" t="s">
        <v>33</v>
      </c>
      <c r="E9" s="42">
        <v>2325000</v>
      </c>
      <c r="F9" s="17">
        <v>100000</v>
      </c>
      <c r="G9" s="17"/>
      <c r="H9" s="17">
        <f t="shared" si="1"/>
        <v>100000</v>
      </c>
      <c r="I9" s="17">
        <v>100000</v>
      </c>
      <c r="J9" s="17"/>
      <c r="K9" s="17">
        <f t="shared" si="2"/>
        <v>100000</v>
      </c>
      <c r="L9" s="17">
        <v>100000</v>
      </c>
      <c r="M9" s="17"/>
      <c r="N9" s="17">
        <f t="shared" si="3"/>
        <v>100000</v>
      </c>
      <c r="O9" s="17">
        <v>100000</v>
      </c>
      <c r="P9" s="17"/>
      <c r="Q9" s="17">
        <f t="shared" si="4"/>
        <v>100000</v>
      </c>
      <c r="R9" s="17">
        <v>100000</v>
      </c>
      <c r="S9" s="17">
        <v>0</v>
      </c>
      <c r="T9" s="17">
        <v>0</v>
      </c>
      <c r="U9" s="17">
        <v>0</v>
      </c>
      <c r="V9" s="17">
        <v>0</v>
      </c>
      <c r="W9" s="17">
        <f t="shared" si="5"/>
        <v>100000</v>
      </c>
      <c r="X9" s="17">
        <v>100000</v>
      </c>
      <c r="Y9" s="17"/>
      <c r="Z9" s="17"/>
      <c r="AA9" s="17"/>
      <c r="AB9" s="17"/>
      <c r="AC9" s="17">
        <f t="shared" si="6"/>
        <v>0</v>
      </c>
      <c r="AD9" s="17">
        <f t="shared" si="7"/>
        <v>100000</v>
      </c>
      <c r="AE9" s="17">
        <v>100000</v>
      </c>
      <c r="AF9" s="17"/>
      <c r="AG9" s="17"/>
      <c r="AH9" s="17"/>
      <c r="AI9" s="17"/>
      <c r="AJ9" s="17">
        <f t="shared" si="8"/>
        <v>0</v>
      </c>
      <c r="AK9" s="17">
        <f t="shared" si="9"/>
        <v>100000</v>
      </c>
      <c r="AL9" s="17">
        <v>100000</v>
      </c>
      <c r="AM9" s="42">
        <v>0</v>
      </c>
      <c r="AN9" s="42">
        <v>0</v>
      </c>
      <c r="AO9" s="42">
        <v>0</v>
      </c>
      <c r="AP9" s="17"/>
      <c r="AQ9" s="17">
        <f t="shared" si="10"/>
        <v>0</v>
      </c>
      <c r="AR9" s="17">
        <f t="shared" si="11"/>
        <v>100000</v>
      </c>
      <c r="AS9" s="42">
        <v>100000</v>
      </c>
      <c r="AT9" s="42">
        <v>0</v>
      </c>
      <c r="AU9" s="42">
        <f>[10]Credit!$E$369</f>
        <v>56000</v>
      </c>
      <c r="AV9" s="42">
        <v>0</v>
      </c>
      <c r="AW9" s="17">
        <f t="shared" si="12"/>
        <v>56000</v>
      </c>
      <c r="AX9" s="42">
        <f t="shared" si="13"/>
        <v>156000</v>
      </c>
      <c r="AY9" s="42">
        <v>100000</v>
      </c>
      <c r="AZ9" s="42">
        <v>0</v>
      </c>
      <c r="BA9" s="42"/>
      <c r="BB9" s="42"/>
      <c r="BC9" s="42">
        <f t="shared" si="14"/>
        <v>0</v>
      </c>
      <c r="BD9" s="42">
        <f t="shared" si="15"/>
        <v>100000</v>
      </c>
      <c r="BE9" s="42">
        <v>100000</v>
      </c>
      <c r="BF9" s="42">
        <v>530000</v>
      </c>
      <c r="BG9" s="42"/>
      <c r="BH9" s="42">
        <v>0</v>
      </c>
      <c r="BI9" s="42">
        <f t="shared" si="16"/>
        <v>530000</v>
      </c>
      <c r="BJ9" s="42">
        <f t="shared" si="17"/>
        <v>630000</v>
      </c>
      <c r="BK9" s="42">
        <v>100000</v>
      </c>
      <c r="BL9" s="42">
        <v>530000</v>
      </c>
      <c r="BM9" s="42">
        <v>0</v>
      </c>
      <c r="BN9" s="42">
        <v>0</v>
      </c>
      <c r="BO9" s="42">
        <f t="shared" si="18"/>
        <v>530000</v>
      </c>
      <c r="BP9" s="42">
        <f t="shared" si="19"/>
        <v>630000</v>
      </c>
      <c r="BQ9" s="69">
        <f t="shared" si="20"/>
        <v>3525000</v>
      </c>
      <c r="BR9" s="16"/>
    </row>
    <row r="10" spans="1:73" s="46" customFormat="1">
      <c r="A10" s="15">
        <f t="shared" si="0"/>
        <v>6</v>
      </c>
      <c r="B10" s="50">
        <v>13099991</v>
      </c>
      <c r="C10" s="44" t="s">
        <v>37</v>
      </c>
      <c r="D10" s="44" t="s">
        <v>33</v>
      </c>
      <c r="E10" s="42">
        <v>1500000</v>
      </c>
      <c r="F10" s="17">
        <v>100000</v>
      </c>
      <c r="G10" s="17">
        <f>384000</f>
        <v>384000</v>
      </c>
      <c r="H10" s="17">
        <f t="shared" si="1"/>
        <v>484000</v>
      </c>
      <c r="I10" s="17">
        <v>100000</v>
      </c>
      <c r="J10" s="17">
        <f>581500</f>
        <v>581500</v>
      </c>
      <c r="K10" s="17">
        <f t="shared" si="2"/>
        <v>681500</v>
      </c>
      <c r="L10" s="17">
        <v>100000</v>
      </c>
      <c r="M10" s="17">
        <v>278000</v>
      </c>
      <c r="N10" s="17">
        <f t="shared" si="3"/>
        <v>378000</v>
      </c>
      <c r="O10" s="17">
        <v>100000</v>
      </c>
      <c r="P10" s="17">
        <f>392500+347540+218000</f>
        <v>958040</v>
      </c>
      <c r="Q10" s="17">
        <f t="shared" si="4"/>
        <v>1058040</v>
      </c>
      <c r="R10" s="17">
        <v>100000</v>
      </c>
      <c r="S10" s="17">
        <v>0</v>
      </c>
      <c r="T10" s="17">
        <f>37500+[7]System!$F$885</f>
        <v>488500</v>
      </c>
      <c r="U10" s="17">
        <v>347540</v>
      </c>
      <c r="V10" s="17">
        <v>0</v>
      </c>
      <c r="W10" s="17">
        <f t="shared" si="5"/>
        <v>936040</v>
      </c>
      <c r="X10" s="17">
        <v>100000</v>
      </c>
      <c r="Y10" s="17"/>
      <c r="Z10" s="17">
        <f>[8]Credit!$E$990</f>
        <v>545750</v>
      </c>
      <c r="AA10" s="17">
        <v>347540</v>
      </c>
      <c r="AB10" s="17"/>
      <c r="AC10" s="17">
        <f t="shared" si="6"/>
        <v>893290</v>
      </c>
      <c r="AD10" s="17">
        <f t="shared" si="7"/>
        <v>993290</v>
      </c>
      <c r="AE10" s="17">
        <v>100000</v>
      </c>
      <c r="AF10" s="17"/>
      <c r="AG10" s="17">
        <f>[9]Credit!$F$620</f>
        <v>247000</v>
      </c>
      <c r="AH10" s="17">
        <v>347540</v>
      </c>
      <c r="AI10" s="17"/>
      <c r="AJ10" s="17">
        <f t="shared" si="8"/>
        <v>594540</v>
      </c>
      <c r="AK10" s="17">
        <f t="shared" si="9"/>
        <v>694540</v>
      </c>
      <c r="AL10" s="17">
        <v>100000</v>
      </c>
      <c r="AM10" s="42">
        <v>0</v>
      </c>
      <c r="AN10" s="42">
        <f>[5]Credit!$E$1152</f>
        <v>614000</v>
      </c>
      <c r="AO10" s="42">
        <v>347540</v>
      </c>
      <c r="AP10" s="17">
        <v>60000</v>
      </c>
      <c r="AQ10" s="17">
        <f t="shared" si="10"/>
        <v>1021540</v>
      </c>
      <c r="AR10" s="17">
        <f t="shared" si="11"/>
        <v>1121540</v>
      </c>
      <c r="AS10" s="42">
        <v>100000</v>
      </c>
      <c r="AT10" s="42">
        <v>0</v>
      </c>
      <c r="AU10" s="42">
        <f>[10]Credit!$E$1084</f>
        <v>482750</v>
      </c>
      <c r="AV10" s="42">
        <v>0</v>
      </c>
      <c r="AW10" s="17">
        <f t="shared" si="12"/>
        <v>482750</v>
      </c>
      <c r="AX10" s="42">
        <f t="shared" si="13"/>
        <v>582750</v>
      </c>
      <c r="AY10" s="42">
        <v>100000</v>
      </c>
      <c r="AZ10" s="42">
        <f>[6]Credit!$F$1098</f>
        <v>540750</v>
      </c>
      <c r="BA10" s="42"/>
      <c r="BB10" s="42"/>
      <c r="BC10" s="42">
        <f t="shared" si="14"/>
        <v>540750</v>
      </c>
      <c r="BD10" s="42">
        <f t="shared" si="15"/>
        <v>640750</v>
      </c>
      <c r="BE10" s="42">
        <v>100000</v>
      </c>
      <c r="BF10" s="42">
        <v>0</v>
      </c>
      <c r="BG10" s="42">
        <f>[11]Kredit!$E$1063</f>
        <v>774000</v>
      </c>
      <c r="BH10" s="42">
        <v>0</v>
      </c>
      <c r="BI10" s="42">
        <f t="shared" si="16"/>
        <v>774000</v>
      </c>
      <c r="BJ10" s="42">
        <f t="shared" si="17"/>
        <v>874000</v>
      </c>
      <c r="BK10" s="42">
        <v>100000</v>
      </c>
      <c r="BL10" s="42">
        <v>0</v>
      </c>
      <c r="BM10" s="42">
        <f>[12]Credit!$E$982</f>
        <v>754000</v>
      </c>
      <c r="BN10" s="42">
        <v>397500</v>
      </c>
      <c r="BO10" s="42">
        <f t="shared" si="18"/>
        <v>1151500</v>
      </c>
      <c r="BP10" s="42">
        <f t="shared" si="19"/>
        <v>1251500</v>
      </c>
      <c r="BQ10" s="69">
        <f t="shared" si="20"/>
        <v>2700000</v>
      </c>
      <c r="BR10" s="37" t="s">
        <v>373</v>
      </c>
      <c r="BS10" s="45"/>
      <c r="BT10" s="45"/>
      <c r="BU10" s="45"/>
    </row>
    <row r="11" spans="1:73">
      <c r="A11" s="15">
        <f t="shared" si="0"/>
        <v>7</v>
      </c>
      <c r="B11" s="66">
        <v>15041511</v>
      </c>
      <c r="C11" s="44" t="s">
        <v>372</v>
      </c>
      <c r="D11" s="44" t="s">
        <v>33</v>
      </c>
      <c r="E11" s="42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>
        <v>0</v>
      </c>
      <c r="S11" s="17">
        <v>0</v>
      </c>
      <c r="T11" s="17">
        <v>0</v>
      </c>
      <c r="U11" s="17">
        <v>0</v>
      </c>
      <c r="V11" s="17"/>
      <c r="W11" s="17">
        <f t="shared" si="5"/>
        <v>0</v>
      </c>
      <c r="X11" s="17">
        <v>200000</v>
      </c>
      <c r="Y11" s="17"/>
      <c r="Z11" s="17"/>
      <c r="AA11" s="17"/>
      <c r="AB11" s="17"/>
      <c r="AC11" s="17">
        <f t="shared" si="6"/>
        <v>0</v>
      </c>
      <c r="AD11" s="17">
        <f t="shared" si="7"/>
        <v>200000</v>
      </c>
      <c r="AE11" s="17">
        <v>100000</v>
      </c>
      <c r="AF11" s="17"/>
      <c r="AG11" s="17">
        <f>[9]Credit!$F$781</f>
        <v>72500</v>
      </c>
      <c r="AH11" s="17"/>
      <c r="AI11" s="17"/>
      <c r="AJ11" s="17">
        <f t="shared" si="8"/>
        <v>72500</v>
      </c>
      <c r="AK11" s="17">
        <f t="shared" si="9"/>
        <v>172500</v>
      </c>
      <c r="AL11" s="17">
        <v>100000</v>
      </c>
      <c r="AM11" s="42">
        <v>0</v>
      </c>
      <c r="AN11" s="42">
        <f>[5]Credit!$E$1471</f>
        <v>450000</v>
      </c>
      <c r="AO11" s="42">
        <v>0</v>
      </c>
      <c r="AP11" s="17"/>
      <c r="AQ11" s="17">
        <f t="shared" si="10"/>
        <v>450000</v>
      </c>
      <c r="AR11" s="17">
        <f t="shared" si="11"/>
        <v>550000</v>
      </c>
      <c r="AS11" s="42">
        <v>100000</v>
      </c>
      <c r="AT11" s="42">
        <v>0</v>
      </c>
      <c r="AU11" s="42">
        <f>[10]Credit!$E$1415</f>
        <v>285000</v>
      </c>
      <c r="AV11" s="42">
        <v>0</v>
      </c>
      <c r="AW11" s="17">
        <f t="shared" si="12"/>
        <v>285000</v>
      </c>
      <c r="AX11" s="42">
        <f t="shared" si="13"/>
        <v>385000</v>
      </c>
      <c r="AY11" s="42">
        <v>100000</v>
      </c>
      <c r="AZ11" s="42">
        <f>[6]Credit!$F$1405</f>
        <v>389000</v>
      </c>
      <c r="BA11" s="42"/>
      <c r="BB11" s="42"/>
      <c r="BC11" s="42">
        <f t="shared" si="14"/>
        <v>389000</v>
      </c>
      <c r="BD11" s="42">
        <f t="shared" si="15"/>
        <v>489000</v>
      </c>
      <c r="BE11" s="42">
        <v>100000</v>
      </c>
      <c r="BF11" s="42">
        <v>0</v>
      </c>
      <c r="BG11" s="42">
        <f>[11]Kredit!$E$1428</f>
        <v>462000</v>
      </c>
      <c r="BH11" s="42">
        <v>0</v>
      </c>
      <c r="BI11" s="42">
        <f t="shared" si="16"/>
        <v>462000</v>
      </c>
      <c r="BJ11" s="42">
        <f t="shared" si="17"/>
        <v>562000</v>
      </c>
      <c r="BK11" s="42">
        <v>100000</v>
      </c>
      <c r="BL11" s="42">
        <v>0</v>
      </c>
      <c r="BM11" s="42">
        <f>[12]Credit!$E$1342</f>
        <v>407000</v>
      </c>
      <c r="BN11" s="42">
        <v>537500</v>
      </c>
      <c r="BO11" s="42">
        <f t="shared" si="18"/>
        <v>944500</v>
      </c>
      <c r="BP11" s="42">
        <f t="shared" si="19"/>
        <v>1044500</v>
      </c>
      <c r="BQ11" s="69">
        <f t="shared" si="20"/>
        <v>800000</v>
      </c>
      <c r="BR11" s="16"/>
    </row>
    <row r="12" spans="1:73">
      <c r="A12" s="15">
        <f t="shared" si="0"/>
        <v>8</v>
      </c>
      <c r="B12" s="50">
        <v>14030721</v>
      </c>
      <c r="C12" s="44" t="s">
        <v>38</v>
      </c>
      <c r="D12" s="44" t="s">
        <v>33</v>
      </c>
      <c r="E12" s="42">
        <v>1900000</v>
      </c>
      <c r="F12" s="17">
        <v>100000</v>
      </c>
      <c r="G12" s="17"/>
      <c r="H12" s="17">
        <f>F12+G12</f>
        <v>100000</v>
      </c>
      <c r="I12" s="17">
        <v>100000</v>
      </c>
      <c r="J12" s="17"/>
      <c r="K12" s="17">
        <f>I12+J12</f>
        <v>100000</v>
      </c>
      <c r="L12" s="17">
        <v>100000</v>
      </c>
      <c r="M12" s="17">
        <v>56000</v>
      </c>
      <c r="N12" s="17">
        <f>L12+M12</f>
        <v>156000</v>
      </c>
      <c r="O12" s="17">
        <v>100000</v>
      </c>
      <c r="P12" s="17"/>
      <c r="Q12" s="17">
        <f t="shared" ref="Q12:Q31" si="21">O12+P12</f>
        <v>100000</v>
      </c>
      <c r="R12" s="17">
        <v>100000</v>
      </c>
      <c r="S12" s="17">
        <v>0</v>
      </c>
      <c r="T12" s="17">
        <v>0</v>
      </c>
      <c r="U12" s="17">
        <v>547500</v>
      </c>
      <c r="V12" s="17">
        <f>21000</f>
        <v>21000</v>
      </c>
      <c r="W12" s="17">
        <f t="shared" si="5"/>
        <v>668500</v>
      </c>
      <c r="X12" s="17">
        <v>100000</v>
      </c>
      <c r="Y12" s="17"/>
      <c r="Z12" s="17"/>
      <c r="AA12" s="17">
        <v>547500</v>
      </c>
      <c r="AB12" s="17">
        <v>35000</v>
      </c>
      <c r="AC12" s="17">
        <f t="shared" si="6"/>
        <v>582500</v>
      </c>
      <c r="AD12" s="17">
        <f t="shared" si="7"/>
        <v>682500</v>
      </c>
      <c r="AE12" s="17">
        <v>100000</v>
      </c>
      <c r="AF12" s="17"/>
      <c r="AG12" s="17"/>
      <c r="AH12" s="17">
        <v>547500</v>
      </c>
      <c r="AI12" s="17"/>
      <c r="AJ12" s="17">
        <f t="shared" si="8"/>
        <v>547500</v>
      </c>
      <c r="AK12" s="17">
        <f t="shared" si="9"/>
        <v>647500</v>
      </c>
      <c r="AL12" s="17">
        <v>100000</v>
      </c>
      <c r="AM12" s="42">
        <v>0</v>
      </c>
      <c r="AN12" s="42">
        <v>0</v>
      </c>
      <c r="AO12" s="42">
        <v>547500</v>
      </c>
      <c r="AP12" s="17"/>
      <c r="AQ12" s="17">
        <f t="shared" si="10"/>
        <v>547500</v>
      </c>
      <c r="AR12" s="17">
        <f t="shared" si="11"/>
        <v>647500</v>
      </c>
      <c r="AS12" s="42">
        <v>100000</v>
      </c>
      <c r="AT12" s="42">
        <v>0</v>
      </c>
      <c r="AU12" s="42">
        <v>0</v>
      </c>
      <c r="AV12" s="42">
        <v>547500</v>
      </c>
      <c r="AW12" s="17">
        <f t="shared" si="12"/>
        <v>547500</v>
      </c>
      <c r="AX12" s="42">
        <f t="shared" si="13"/>
        <v>647500</v>
      </c>
      <c r="AY12" s="42">
        <v>100000</v>
      </c>
      <c r="AZ12" s="42">
        <v>0</v>
      </c>
      <c r="BA12" s="42"/>
      <c r="BB12" s="42">
        <v>547500</v>
      </c>
      <c r="BC12" s="42">
        <f t="shared" si="14"/>
        <v>547500</v>
      </c>
      <c r="BD12" s="42">
        <f t="shared" si="15"/>
        <v>647500</v>
      </c>
      <c r="BE12" s="42">
        <v>100000</v>
      </c>
      <c r="BF12" s="42">
        <v>0</v>
      </c>
      <c r="BG12" s="42"/>
      <c r="BH12" s="42">
        <v>0</v>
      </c>
      <c r="BI12" s="42">
        <f t="shared" si="16"/>
        <v>0</v>
      </c>
      <c r="BJ12" s="42">
        <f t="shared" si="17"/>
        <v>100000</v>
      </c>
      <c r="BK12" s="42">
        <v>100000</v>
      </c>
      <c r="BL12" s="42">
        <v>0</v>
      </c>
      <c r="BM12" s="42">
        <v>0</v>
      </c>
      <c r="BN12" s="42">
        <v>0</v>
      </c>
      <c r="BO12" s="42">
        <f t="shared" si="18"/>
        <v>0</v>
      </c>
      <c r="BP12" s="42">
        <f t="shared" si="19"/>
        <v>100000</v>
      </c>
      <c r="BQ12" s="69">
        <f t="shared" si="20"/>
        <v>3100000</v>
      </c>
      <c r="BR12" s="16"/>
    </row>
    <row r="13" spans="1:73">
      <c r="A13" s="15">
        <f t="shared" si="0"/>
        <v>9</v>
      </c>
      <c r="B13" s="70" t="s">
        <v>294</v>
      </c>
      <c r="C13" s="44" t="s">
        <v>166</v>
      </c>
      <c r="D13" s="44" t="s">
        <v>402</v>
      </c>
      <c r="E13" s="42">
        <v>1900000</v>
      </c>
      <c r="F13" s="17">
        <v>100000</v>
      </c>
      <c r="G13" s="17">
        <f>265000</f>
        <v>265000</v>
      </c>
      <c r="H13" s="17">
        <f>F13+G13</f>
        <v>365000</v>
      </c>
      <c r="I13" s="17">
        <v>100000</v>
      </c>
      <c r="J13" s="17">
        <f>265000+260000</f>
        <v>525000</v>
      </c>
      <c r="K13" s="17">
        <f>I13+J13</f>
        <v>625000</v>
      </c>
      <c r="L13" s="17">
        <v>100000</v>
      </c>
      <c r="M13" s="17">
        <f>265000+260000+57500</f>
        <v>582500</v>
      </c>
      <c r="N13" s="17">
        <f>L13+M13</f>
        <v>682500</v>
      </c>
      <c r="O13" s="17">
        <v>100000</v>
      </c>
      <c r="P13" s="17">
        <f>530000+101500</f>
        <v>631500</v>
      </c>
      <c r="Q13" s="17">
        <f t="shared" si="21"/>
        <v>731500</v>
      </c>
      <c r="R13" s="17">
        <v>100000</v>
      </c>
      <c r="S13" s="17">
        <f>530000</f>
        <v>530000</v>
      </c>
      <c r="T13" s="17">
        <v>0</v>
      </c>
      <c r="U13" s="17">
        <v>0</v>
      </c>
      <c r="V13" s="17">
        <v>0</v>
      </c>
      <c r="W13" s="17">
        <f t="shared" si="5"/>
        <v>630000</v>
      </c>
      <c r="X13" s="17">
        <v>100000</v>
      </c>
      <c r="Y13" s="17">
        <v>530000</v>
      </c>
      <c r="Z13" s="17"/>
      <c r="AA13" s="17"/>
      <c r="AB13" s="17">
        <v>10000</v>
      </c>
      <c r="AC13" s="17">
        <f t="shared" si="6"/>
        <v>540000</v>
      </c>
      <c r="AD13" s="17">
        <f t="shared" si="7"/>
        <v>640000</v>
      </c>
      <c r="AE13" s="17">
        <v>100000</v>
      </c>
      <c r="AF13" s="17">
        <v>530000</v>
      </c>
      <c r="AG13" s="17"/>
      <c r="AH13" s="17"/>
      <c r="AI13" s="17"/>
      <c r="AJ13" s="17">
        <f t="shared" si="8"/>
        <v>530000</v>
      </c>
      <c r="AK13" s="17">
        <f t="shared" si="9"/>
        <v>630000</v>
      </c>
      <c r="AL13" s="17">
        <v>100000</v>
      </c>
      <c r="AM13" s="42">
        <f>530000+530000</f>
        <v>1060000</v>
      </c>
      <c r="AN13" s="42">
        <v>0</v>
      </c>
      <c r="AO13" s="42">
        <v>0</v>
      </c>
      <c r="AP13" s="17"/>
      <c r="AQ13" s="17">
        <f t="shared" si="10"/>
        <v>1060000</v>
      </c>
      <c r="AR13" s="17">
        <f t="shared" si="11"/>
        <v>1160000</v>
      </c>
      <c r="AS13" s="42">
        <v>100000</v>
      </c>
      <c r="AT13" s="42">
        <f>530000*2</f>
        <v>1060000</v>
      </c>
      <c r="AU13" s="42">
        <v>0</v>
      </c>
      <c r="AV13" s="42">
        <v>0</v>
      </c>
      <c r="AW13" s="17">
        <f t="shared" si="12"/>
        <v>1060000</v>
      </c>
      <c r="AX13" s="42">
        <f t="shared" si="13"/>
        <v>1160000</v>
      </c>
      <c r="AY13" s="42">
        <v>100000</v>
      </c>
      <c r="AZ13" s="42">
        <f>[6]Credit!$F$853</f>
        <v>159500</v>
      </c>
      <c r="BA13" s="42">
        <v>530000</v>
      </c>
      <c r="BB13" s="42"/>
      <c r="BC13" s="42">
        <f t="shared" si="14"/>
        <v>689500</v>
      </c>
      <c r="BD13" s="42">
        <f t="shared" si="15"/>
        <v>789500</v>
      </c>
      <c r="BE13" s="42">
        <v>100000</v>
      </c>
      <c r="BF13" s="42">
        <v>530000</v>
      </c>
      <c r="BG13" s="42">
        <f>[11]Kredit!$E$849</f>
        <v>110000</v>
      </c>
      <c r="BH13" s="42">
        <v>0</v>
      </c>
      <c r="BI13" s="42">
        <f t="shared" si="16"/>
        <v>640000</v>
      </c>
      <c r="BJ13" s="42">
        <f t="shared" si="17"/>
        <v>740000</v>
      </c>
      <c r="BK13" s="42">
        <v>100000</v>
      </c>
      <c r="BL13" s="42">
        <v>530000</v>
      </c>
      <c r="BM13" s="42">
        <v>0</v>
      </c>
      <c r="BN13" s="42">
        <v>0</v>
      </c>
      <c r="BO13" s="42">
        <f t="shared" si="18"/>
        <v>530000</v>
      </c>
      <c r="BP13" s="42">
        <f t="shared" si="19"/>
        <v>630000</v>
      </c>
      <c r="BQ13" s="69">
        <f t="shared" si="20"/>
        <v>3100000</v>
      </c>
      <c r="BR13" s="37" t="s">
        <v>375</v>
      </c>
    </row>
    <row r="14" spans="1:73">
      <c r="A14" s="15">
        <f t="shared" si="0"/>
        <v>10</v>
      </c>
      <c r="B14" s="48" t="s">
        <v>39</v>
      </c>
      <c r="C14" s="44" t="s">
        <v>40</v>
      </c>
      <c r="D14" s="44" t="s">
        <v>41</v>
      </c>
      <c r="E14" s="42">
        <v>2775000</v>
      </c>
      <c r="F14" s="17">
        <v>100000</v>
      </c>
      <c r="G14" s="17">
        <f>636000</f>
        <v>636000</v>
      </c>
      <c r="H14" s="17">
        <f>F14+G14</f>
        <v>736000</v>
      </c>
      <c r="I14" s="17">
        <v>100000</v>
      </c>
      <c r="J14" s="17">
        <f>636000+171500</f>
        <v>807500</v>
      </c>
      <c r="K14" s="17">
        <f>I14+J14</f>
        <v>907500</v>
      </c>
      <c r="L14" s="17">
        <v>100000</v>
      </c>
      <c r="M14" s="17">
        <f>636000+60000</f>
        <v>696000</v>
      </c>
      <c r="N14" s="17">
        <f>L14+M14</f>
        <v>796000</v>
      </c>
      <c r="O14" s="17">
        <v>100000</v>
      </c>
      <c r="P14" s="17">
        <f>68000+636000</f>
        <v>704000</v>
      </c>
      <c r="Q14" s="17">
        <f t="shared" si="21"/>
        <v>804000</v>
      </c>
      <c r="R14" s="17">
        <v>100000</v>
      </c>
      <c r="S14" s="17">
        <f>636000</f>
        <v>636000</v>
      </c>
      <c r="T14" s="17">
        <f>[7]System!$F$5</f>
        <v>100000</v>
      </c>
      <c r="U14" s="17">
        <v>0</v>
      </c>
      <c r="V14" s="17">
        <v>0</v>
      </c>
      <c r="W14" s="17">
        <f t="shared" si="5"/>
        <v>836000</v>
      </c>
      <c r="X14" s="17">
        <v>100000</v>
      </c>
      <c r="Y14" s="17">
        <v>795000</v>
      </c>
      <c r="Z14" s="17">
        <f>[8]Credit!$E$6</f>
        <v>113000</v>
      </c>
      <c r="AA14" s="17"/>
      <c r="AB14" s="17">
        <v>50000</v>
      </c>
      <c r="AC14" s="17">
        <f t="shared" si="6"/>
        <v>958000</v>
      </c>
      <c r="AD14" s="17">
        <f t="shared" si="7"/>
        <v>1058000</v>
      </c>
      <c r="AE14" s="17">
        <v>100000</v>
      </c>
      <c r="AF14" s="17">
        <v>795000</v>
      </c>
      <c r="AG14" s="17">
        <f>[9]Credit!$F$6</f>
        <v>75000</v>
      </c>
      <c r="AH14" s="17"/>
      <c r="AI14" s="17"/>
      <c r="AJ14" s="17">
        <f t="shared" si="8"/>
        <v>870000</v>
      </c>
      <c r="AK14" s="17">
        <f t="shared" si="9"/>
        <v>970000</v>
      </c>
      <c r="AL14" s="17">
        <v>100000</v>
      </c>
      <c r="AM14" s="42">
        <v>795000</v>
      </c>
      <c r="AN14" s="42">
        <v>0</v>
      </c>
      <c r="AO14" s="42">
        <v>0</v>
      </c>
      <c r="AP14" s="17"/>
      <c r="AQ14" s="17">
        <f t="shared" si="10"/>
        <v>795000</v>
      </c>
      <c r="AR14" s="17">
        <f t="shared" si="11"/>
        <v>895000</v>
      </c>
      <c r="AS14" s="42">
        <v>100000</v>
      </c>
      <c r="AT14" s="42">
        <v>795000</v>
      </c>
      <c r="AU14" s="42">
        <f>[10]Credit!$E$4</f>
        <v>249000</v>
      </c>
      <c r="AV14" s="42">
        <v>0</v>
      </c>
      <c r="AW14" s="17">
        <f t="shared" si="12"/>
        <v>1044000</v>
      </c>
      <c r="AX14" s="42">
        <f t="shared" si="13"/>
        <v>1144000</v>
      </c>
      <c r="AY14" s="42">
        <v>100000</v>
      </c>
      <c r="AZ14" s="42">
        <f>[6]Credit!$F$5</f>
        <v>113000</v>
      </c>
      <c r="BA14" s="42">
        <v>663125</v>
      </c>
      <c r="BB14" s="42"/>
      <c r="BC14" s="42">
        <f t="shared" si="14"/>
        <v>776125</v>
      </c>
      <c r="BD14" s="42">
        <f t="shared" si="15"/>
        <v>876125</v>
      </c>
      <c r="BE14" s="42">
        <v>100000</v>
      </c>
      <c r="BF14" s="42">
        <v>663125</v>
      </c>
      <c r="BG14" s="42">
        <f>[11]Kredit!$E$8</f>
        <v>191000</v>
      </c>
      <c r="BH14" s="42">
        <v>0</v>
      </c>
      <c r="BI14" s="42">
        <f t="shared" si="16"/>
        <v>854125</v>
      </c>
      <c r="BJ14" s="42">
        <f t="shared" si="17"/>
        <v>954125</v>
      </c>
      <c r="BK14" s="42">
        <v>100000</v>
      </c>
      <c r="BL14" s="42">
        <v>663125</v>
      </c>
      <c r="BM14" s="42">
        <f>[12]Credit!$E$8</f>
        <v>173500</v>
      </c>
      <c r="BN14" s="42">
        <v>0</v>
      </c>
      <c r="BO14" s="42">
        <f t="shared" si="18"/>
        <v>836625</v>
      </c>
      <c r="BP14" s="42">
        <f t="shared" si="19"/>
        <v>936625</v>
      </c>
      <c r="BQ14" s="69">
        <f t="shared" si="20"/>
        <v>3975000</v>
      </c>
      <c r="BR14" s="37"/>
    </row>
    <row r="15" spans="1:73" s="4" customFormat="1" ht="13">
      <c r="A15" s="15">
        <f t="shared" si="0"/>
        <v>11</v>
      </c>
      <c r="B15" s="43">
        <v>14091246</v>
      </c>
      <c r="C15" s="44" t="s">
        <v>374</v>
      </c>
      <c r="D15" s="44" t="s">
        <v>41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17">
        <v>200000</v>
      </c>
      <c r="P15" s="42">
        <v>0</v>
      </c>
      <c r="Q15" s="17">
        <f t="shared" si="21"/>
        <v>200000</v>
      </c>
      <c r="R15" s="17">
        <v>100000</v>
      </c>
      <c r="S15" s="17">
        <v>0</v>
      </c>
      <c r="T15" s="17">
        <f>[7]System!$F$8</f>
        <v>206000</v>
      </c>
      <c r="U15" s="17">
        <v>0</v>
      </c>
      <c r="V15" s="17">
        <v>0</v>
      </c>
      <c r="W15" s="17">
        <f t="shared" si="5"/>
        <v>306000</v>
      </c>
      <c r="X15" s="17">
        <v>100000</v>
      </c>
      <c r="Y15" s="42">
        <v>0</v>
      </c>
      <c r="Z15" s="42">
        <f>[8]Credit!$E$10</f>
        <v>340000</v>
      </c>
      <c r="AA15" s="42"/>
      <c r="AB15" s="42"/>
      <c r="AC15" s="17">
        <f t="shared" si="6"/>
        <v>340000</v>
      </c>
      <c r="AD15" s="17">
        <f t="shared" si="7"/>
        <v>440000</v>
      </c>
      <c r="AE15" s="17">
        <v>100000</v>
      </c>
      <c r="AF15" s="42"/>
      <c r="AG15" s="42">
        <f>[9]Credit!$F$11</f>
        <v>547000</v>
      </c>
      <c r="AH15" s="42"/>
      <c r="AI15" s="42"/>
      <c r="AJ15" s="17">
        <f t="shared" si="8"/>
        <v>547000</v>
      </c>
      <c r="AK15" s="17">
        <f t="shared" si="9"/>
        <v>647000</v>
      </c>
      <c r="AL15" s="17">
        <v>100000</v>
      </c>
      <c r="AM15" s="42">
        <v>0</v>
      </c>
      <c r="AN15" s="42">
        <f>[5]Credit!$E$5</f>
        <v>40000</v>
      </c>
      <c r="AO15" s="42">
        <v>0</v>
      </c>
      <c r="AP15" s="42"/>
      <c r="AQ15" s="17">
        <f t="shared" si="10"/>
        <v>40000</v>
      </c>
      <c r="AR15" s="17">
        <f t="shared" si="11"/>
        <v>140000</v>
      </c>
      <c r="AS15" s="42">
        <v>100000</v>
      </c>
      <c r="AT15" s="42">
        <v>530000</v>
      </c>
      <c r="AU15" s="42">
        <f>[10]Credit!$E$7</f>
        <v>40000</v>
      </c>
      <c r="AV15" s="42">
        <v>0</v>
      </c>
      <c r="AW15" s="17">
        <f t="shared" si="12"/>
        <v>570000</v>
      </c>
      <c r="AX15" s="42">
        <f t="shared" si="13"/>
        <v>670000</v>
      </c>
      <c r="AY15" s="42">
        <v>100000</v>
      </c>
      <c r="AZ15" s="42">
        <f>[6]Credit!$F$10</f>
        <v>46000</v>
      </c>
      <c r="BA15" s="42">
        <v>530000</v>
      </c>
      <c r="BB15" s="42"/>
      <c r="BC15" s="42">
        <f t="shared" si="14"/>
        <v>576000</v>
      </c>
      <c r="BD15" s="42">
        <f t="shared" si="15"/>
        <v>676000</v>
      </c>
      <c r="BE15" s="42">
        <v>100000</v>
      </c>
      <c r="BF15" s="42">
        <v>530000</v>
      </c>
      <c r="BG15" s="42">
        <f>[11]Kredit!$E$14</f>
        <v>141200</v>
      </c>
      <c r="BH15" s="42">
        <v>0</v>
      </c>
      <c r="BI15" s="42">
        <f t="shared" si="16"/>
        <v>671200</v>
      </c>
      <c r="BJ15" s="42">
        <f t="shared" si="17"/>
        <v>771200</v>
      </c>
      <c r="BK15" s="42">
        <v>100000</v>
      </c>
      <c r="BL15" s="42">
        <v>530000</v>
      </c>
      <c r="BM15" s="42">
        <f>[12]Credit!$E$13</f>
        <v>65000</v>
      </c>
      <c r="BN15" s="42">
        <v>0</v>
      </c>
      <c r="BO15" s="42">
        <f t="shared" si="18"/>
        <v>595000</v>
      </c>
      <c r="BP15" s="42">
        <f t="shared" si="19"/>
        <v>695000</v>
      </c>
      <c r="BQ15" s="69">
        <f t="shared" si="20"/>
        <v>1000000</v>
      </c>
      <c r="BR15" s="37"/>
      <c r="BS15" s="36"/>
      <c r="BT15" s="36"/>
      <c r="BU15" s="36"/>
    </row>
    <row r="16" spans="1:73" s="4" customFormat="1" ht="13">
      <c r="A16" s="15">
        <f t="shared" si="0"/>
        <v>12</v>
      </c>
      <c r="B16" s="43">
        <v>96101166</v>
      </c>
      <c r="C16" s="44" t="s">
        <v>42</v>
      </c>
      <c r="D16" s="44" t="s">
        <v>41</v>
      </c>
      <c r="E16" s="42">
        <v>2775000</v>
      </c>
      <c r="F16" s="17">
        <v>100000</v>
      </c>
      <c r="G16" s="17"/>
      <c r="H16" s="17">
        <f t="shared" ref="H16:H23" si="22">F16+G16</f>
        <v>100000</v>
      </c>
      <c r="I16" s="17">
        <v>100000</v>
      </c>
      <c r="J16" s="17"/>
      <c r="K16" s="17">
        <f t="shared" ref="K16:K23" si="23">I16+J16</f>
        <v>100000</v>
      </c>
      <c r="L16" s="17">
        <v>100000</v>
      </c>
      <c r="M16" s="17"/>
      <c r="N16" s="17">
        <f t="shared" ref="N16:N23" si="24">L16+M16</f>
        <v>100000</v>
      </c>
      <c r="O16" s="17">
        <v>100000</v>
      </c>
      <c r="P16" s="17"/>
      <c r="Q16" s="17">
        <f t="shared" si="21"/>
        <v>100000</v>
      </c>
      <c r="R16" s="17">
        <v>100000</v>
      </c>
      <c r="S16" s="17">
        <v>0</v>
      </c>
      <c r="T16" s="17">
        <v>0</v>
      </c>
      <c r="U16" s="17">
        <v>0</v>
      </c>
      <c r="V16" s="17">
        <v>0</v>
      </c>
      <c r="W16" s="17">
        <f t="shared" si="5"/>
        <v>100000</v>
      </c>
      <c r="X16" s="17">
        <v>100000</v>
      </c>
      <c r="Y16" s="17"/>
      <c r="Z16" s="17"/>
      <c r="AA16" s="17"/>
      <c r="AB16" s="17"/>
      <c r="AC16" s="17">
        <f t="shared" si="6"/>
        <v>0</v>
      </c>
      <c r="AD16" s="17">
        <f t="shared" si="7"/>
        <v>100000</v>
      </c>
      <c r="AE16" s="17">
        <v>100000</v>
      </c>
      <c r="AF16" s="17"/>
      <c r="AG16" s="17"/>
      <c r="AH16" s="17"/>
      <c r="AI16" s="17"/>
      <c r="AJ16" s="17">
        <f t="shared" si="8"/>
        <v>0</v>
      </c>
      <c r="AK16" s="17">
        <f t="shared" si="9"/>
        <v>100000</v>
      </c>
      <c r="AL16" s="17">
        <v>100000</v>
      </c>
      <c r="AM16" s="42">
        <v>0</v>
      </c>
      <c r="AN16" s="42">
        <v>0</v>
      </c>
      <c r="AO16" s="42">
        <v>0</v>
      </c>
      <c r="AP16" s="17"/>
      <c r="AQ16" s="17">
        <f t="shared" si="10"/>
        <v>0</v>
      </c>
      <c r="AR16" s="17">
        <f t="shared" si="11"/>
        <v>100000</v>
      </c>
      <c r="AS16" s="42">
        <v>100000</v>
      </c>
      <c r="AT16" s="42">
        <v>0</v>
      </c>
      <c r="AU16" s="42">
        <v>0</v>
      </c>
      <c r="AV16" s="42">
        <v>0</v>
      </c>
      <c r="AW16" s="17">
        <f t="shared" si="12"/>
        <v>0</v>
      </c>
      <c r="AX16" s="42">
        <f t="shared" si="13"/>
        <v>100000</v>
      </c>
      <c r="AY16" s="42">
        <v>100000</v>
      </c>
      <c r="AZ16" s="42">
        <v>0</v>
      </c>
      <c r="BA16" s="42"/>
      <c r="BB16" s="42"/>
      <c r="BC16" s="42">
        <f t="shared" si="14"/>
        <v>0</v>
      </c>
      <c r="BD16" s="42">
        <f t="shared" si="15"/>
        <v>100000</v>
      </c>
      <c r="BE16" s="42">
        <v>100000</v>
      </c>
      <c r="BF16" s="42">
        <v>0</v>
      </c>
      <c r="BG16" s="42"/>
      <c r="BH16" s="42">
        <v>0</v>
      </c>
      <c r="BI16" s="42">
        <f t="shared" si="16"/>
        <v>0</v>
      </c>
      <c r="BJ16" s="42">
        <f t="shared" si="17"/>
        <v>100000</v>
      </c>
      <c r="BK16" s="42">
        <v>100000</v>
      </c>
      <c r="BL16" s="42">
        <v>0</v>
      </c>
      <c r="BM16" s="42">
        <v>0</v>
      </c>
      <c r="BN16" s="42">
        <v>0</v>
      </c>
      <c r="BO16" s="42">
        <f t="shared" si="18"/>
        <v>0</v>
      </c>
      <c r="BP16" s="42">
        <f t="shared" si="19"/>
        <v>100000</v>
      </c>
      <c r="BQ16" s="69">
        <f t="shared" si="20"/>
        <v>3975000</v>
      </c>
      <c r="BR16" s="37"/>
      <c r="BS16" s="36"/>
      <c r="BT16" s="36"/>
      <c r="BU16" s="36"/>
    </row>
    <row r="17" spans="1:73" s="4" customFormat="1" ht="13">
      <c r="A17" s="15">
        <f t="shared" si="0"/>
        <v>13</v>
      </c>
      <c r="B17" s="48" t="s">
        <v>43</v>
      </c>
      <c r="C17" s="44" t="s">
        <v>44</v>
      </c>
      <c r="D17" s="44" t="s">
        <v>41</v>
      </c>
      <c r="E17" s="42">
        <v>2775000</v>
      </c>
      <c r="F17" s="17">
        <v>100000</v>
      </c>
      <c r="G17" s="17"/>
      <c r="H17" s="17">
        <f t="shared" si="22"/>
        <v>100000</v>
      </c>
      <c r="I17" s="17">
        <v>100000</v>
      </c>
      <c r="J17" s="17"/>
      <c r="K17" s="17">
        <f t="shared" si="23"/>
        <v>100000</v>
      </c>
      <c r="L17" s="17">
        <v>100000</v>
      </c>
      <c r="M17" s="17">
        <v>1060000</v>
      </c>
      <c r="N17" s="17">
        <f t="shared" si="24"/>
        <v>1160000</v>
      </c>
      <c r="O17" s="17">
        <v>100000</v>
      </c>
      <c r="P17" s="17">
        <v>1060000</v>
      </c>
      <c r="Q17" s="17">
        <f t="shared" si="21"/>
        <v>1160000</v>
      </c>
      <c r="R17" s="17">
        <v>100000</v>
      </c>
      <c r="S17" s="17">
        <f>1060000</f>
        <v>1060000</v>
      </c>
      <c r="T17" s="17">
        <v>0</v>
      </c>
      <c r="U17" s="17">
        <v>0</v>
      </c>
      <c r="V17" s="17">
        <v>0</v>
      </c>
      <c r="W17" s="17">
        <f t="shared" si="5"/>
        <v>1160000</v>
      </c>
      <c r="X17" s="17">
        <v>100000</v>
      </c>
      <c r="Y17" s="17"/>
      <c r="Z17" s="17"/>
      <c r="AA17" s="17"/>
      <c r="AB17" s="17"/>
      <c r="AC17" s="17">
        <f t="shared" si="6"/>
        <v>0</v>
      </c>
      <c r="AD17" s="17">
        <f t="shared" si="7"/>
        <v>100000</v>
      </c>
      <c r="AE17" s="17">
        <v>100000</v>
      </c>
      <c r="AF17" s="17">
        <v>1060000</v>
      </c>
      <c r="AG17" s="17"/>
      <c r="AH17" s="17"/>
      <c r="AI17" s="17"/>
      <c r="AJ17" s="17">
        <f t="shared" si="8"/>
        <v>1060000</v>
      </c>
      <c r="AK17" s="17">
        <f t="shared" si="9"/>
        <v>1160000</v>
      </c>
      <c r="AL17" s="17">
        <v>100000</v>
      </c>
      <c r="AM17" s="42">
        <v>1060000</v>
      </c>
      <c r="AN17" s="42">
        <v>0</v>
      </c>
      <c r="AO17" s="42">
        <v>0</v>
      </c>
      <c r="AP17" s="17"/>
      <c r="AQ17" s="17">
        <f t="shared" si="10"/>
        <v>1060000</v>
      </c>
      <c r="AR17" s="17">
        <f t="shared" si="11"/>
        <v>1160000</v>
      </c>
      <c r="AS17" s="42">
        <v>100000</v>
      </c>
      <c r="AT17" s="42">
        <v>1060000</v>
      </c>
      <c r="AU17" s="42">
        <v>0</v>
      </c>
      <c r="AV17" s="42">
        <v>0</v>
      </c>
      <c r="AW17" s="17">
        <f t="shared" si="12"/>
        <v>1060000</v>
      </c>
      <c r="AX17" s="42">
        <f t="shared" si="13"/>
        <v>1160000</v>
      </c>
      <c r="AY17" s="42">
        <v>100000</v>
      </c>
      <c r="AZ17" s="42">
        <v>0</v>
      </c>
      <c r="BA17" s="42">
        <v>1060000</v>
      </c>
      <c r="BB17" s="42"/>
      <c r="BC17" s="42">
        <f t="shared" si="14"/>
        <v>1060000</v>
      </c>
      <c r="BD17" s="42">
        <f t="shared" si="15"/>
        <v>1160000</v>
      </c>
      <c r="BE17" s="42">
        <v>100000</v>
      </c>
      <c r="BF17" s="42">
        <v>0</v>
      </c>
      <c r="BG17" s="42">
        <f>[11]Kredit!$E$226</f>
        <v>190000</v>
      </c>
      <c r="BH17" s="42">
        <v>0</v>
      </c>
      <c r="BI17" s="42">
        <f t="shared" si="16"/>
        <v>190000</v>
      </c>
      <c r="BJ17" s="42">
        <f t="shared" si="17"/>
        <v>290000</v>
      </c>
      <c r="BK17" s="42">
        <v>100000</v>
      </c>
      <c r="BL17" s="42">
        <v>1060000</v>
      </c>
      <c r="BM17" s="42">
        <v>0</v>
      </c>
      <c r="BN17" s="42">
        <v>0</v>
      </c>
      <c r="BO17" s="42">
        <f t="shared" si="18"/>
        <v>1060000</v>
      </c>
      <c r="BP17" s="42">
        <f t="shared" si="19"/>
        <v>1160000</v>
      </c>
      <c r="BQ17" s="69">
        <f t="shared" si="20"/>
        <v>3975000</v>
      </c>
      <c r="BR17" s="37"/>
      <c r="BS17" s="36"/>
      <c r="BT17" s="36"/>
      <c r="BU17" s="36"/>
    </row>
    <row r="18" spans="1:73" s="4" customFormat="1" ht="13">
      <c r="A18" s="15">
        <f t="shared" si="0"/>
        <v>14</v>
      </c>
      <c r="B18" s="43">
        <v>99112046</v>
      </c>
      <c r="C18" s="44" t="s">
        <v>45</v>
      </c>
      <c r="D18" s="44" t="s">
        <v>41</v>
      </c>
      <c r="E18" s="42">
        <v>2775000</v>
      </c>
      <c r="F18" s="17">
        <v>100000</v>
      </c>
      <c r="G18" s="17">
        <f>530000+901000</f>
        <v>1431000</v>
      </c>
      <c r="H18" s="17">
        <f t="shared" si="22"/>
        <v>1531000</v>
      </c>
      <c r="I18" s="17">
        <v>100000</v>
      </c>
      <c r="J18" s="17">
        <f>530000+1768000</f>
        <v>2298000</v>
      </c>
      <c r="K18" s="17">
        <f t="shared" si="23"/>
        <v>2398000</v>
      </c>
      <c r="L18" s="17">
        <v>100000</v>
      </c>
      <c r="M18" s="17">
        <f>530000+1650000</f>
        <v>2180000</v>
      </c>
      <c r="N18" s="17">
        <f t="shared" si="24"/>
        <v>2280000</v>
      </c>
      <c r="O18" s="17">
        <v>100000</v>
      </c>
      <c r="P18" s="17">
        <f>675000+530000+61500+385000</f>
        <v>1651500</v>
      </c>
      <c r="Q18" s="17">
        <f t="shared" si="21"/>
        <v>1751500</v>
      </c>
      <c r="R18" s="17">
        <v>100000</v>
      </c>
      <c r="S18" s="17">
        <f>530000</f>
        <v>530000</v>
      </c>
      <c r="T18" s="17">
        <f>30000+[7]System!$F$129</f>
        <v>1029500</v>
      </c>
      <c r="U18" s="17">
        <v>0</v>
      </c>
      <c r="V18" s="17">
        <v>0</v>
      </c>
      <c r="W18" s="17">
        <f t="shared" si="5"/>
        <v>1659500</v>
      </c>
      <c r="X18" s="17">
        <v>100000</v>
      </c>
      <c r="Y18" s="17">
        <v>530000</v>
      </c>
      <c r="Z18" s="17">
        <f>[8]Credit!$E$122</f>
        <v>856500</v>
      </c>
      <c r="AA18" s="17"/>
      <c r="AB18" s="17"/>
      <c r="AC18" s="17">
        <f t="shared" si="6"/>
        <v>1386500</v>
      </c>
      <c r="AD18" s="17">
        <f t="shared" si="7"/>
        <v>1486500</v>
      </c>
      <c r="AE18" s="17">
        <v>100000</v>
      </c>
      <c r="AF18" s="17">
        <v>530000</v>
      </c>
      <c r="AG18" s="17">
        <f>[9]Credit!$F$93</f>
        <v>687000</v>
      </c>
      <c r="AH18" s="17"/>
      <c r="AI18" s="17">
        <v>70000</v>
      </c>
      <c r="AJ18" s="17">
        <f t="shared" si="8"/>
        <v>1287000</v>
      </c>
      <c r="AK18" s="17">
        <f t="shared" si="9"/>
        <v>1387000</v>
      </c>
      <c r="AL18" s="17">
        <v>100000</v>
      </c>
      <c r="AM18" s="42">
        <v>530000</v>
      </c>
      <c r="AN18" s="42">
        <f>[5]Credit!$E$177</f>
        <v>952800</v>
      </c>
      <c r="AO18" s="42">
        <v>0</v>
      </c>
      <c r="AP18" s="17">
        <v>5000</v>
      </c>
      <c r="AQ18" s="17">
        <f t="shared" si="10"/>
        <v>1487800</v>
      </c>
      <c r="AR18" s="17">
        <f t="shared" si="11"/>
        <v>1587800</v>
      </c>
      <c r="AS18" s="42">
        <v>100000</v>
      </c>
      <c r="AT18" s="42">
        <v>530000</v>
      </c>
      <c r="AU18" s="42">
        <f>[10]Credit!$E$197</f>
        <v>992000</v>
      </c>
      <c r="AV18" s="42">
        <v>0</v>
      </c>
      <c r="AW18" s="17">
        <f t="shared" si="12"/>
        <v>1522000</v>
      </c>
      <c r="AX18" s="42">
        <f t="shared" si="13"/>
        <v>1622000</v>
      </c>
      <c r="AY18" s="42">
        <v>100000</v>
      </c>
      <c r="AZ18" s="42">
        <f>[6]Credit!$F$201</f>
        <v>997000</v>
      </c>
      <c r="BA18" s="42">
        <v>530000</v>
      </c>
      <c r="BB18" s="42"/>
      <c r="BC18" s="42">
        <f t="shared" si="14"/>
        <v>1527000</v>
      </c>
      <c r="BD18" s="42">
        <f t="shared" si="15"/>
        <v>1627000</v>
      </c>
      <c r="BE18" s="42">
        <v>100000</v>
      </c>
      <c r="BF18" s="42">
        <f>530000</f>
        <v>530000</v>
      </c>
      <c r="BG18" s="42">
        <f>[11]Kredit!$E$241</f>
        <v>964000</v>
      </c>
      <c r="BH18" s="42">
        <v>0</v>
      </c>
      <c r="BI18" s="42">
        <f t="shared" si="16"/>
        <v>1494000</v>
      </c>
      <c r="BJ18" s="42">
        <f t="shared" si="17"/>
        <v>1594000</v>
      </c>
      <c r="BK18" s="42">
        <v>100000</v>
      </c>
      <c r="BL18" s="42">
        <v>530000</v>
      </c>
      <c r="BM18" s="42">
        <f>[12]Credit!$E$217</f>
        <v>923250</v>
      </c>
      <c r="BN18" s="42">
        <v>0</v>
      </c>
      <c r="BO18" s="42">
        <f t="shared" si="18"/>
        <v>1453250</v>
      </c>
      <c r="BP18" s="42">
        <f t="shared" si="19"/>
        <v>1553250</v>
      </c>
      <c r="BQ18" s="69">
        <f t="shared" si="20"/>
        <v>3975000</v>
      </c>
      <c r="BR18" s="37"/>
      <c r="BS18" s="36"/>
      <c r="BT18" s="36"/>
      <c r="BU18" s="36"/>
    </row>
    <row r="19" spans="1:73" s="4" customFormat="1" ht="13">
      <c r="A19" s="15">
        <f t="shared" si="0"/>
        <v>15</v>
      </c>
      <c r="B19" s="48" t="s">
        <v>46</v>
      </c>
      <c r="C19" s="44" t="s">
        <v>47</v>
      </c>
      <c r="D19" s="44" t="s">
        <v>41</v>
      </c>
      <c r="E19" s="42">
        <v>2775000</v>
      </c>
      <c r="F19" s="17">
        <v>100000</v>
      </c>
      <c r="G19" s="17">
        <f>530000</f>
        <v>530000</v>
      </c>
      <c r="H19" s="17">
        <f t="shared" si="22"/>
        <v>630000</v>
      </c>
      <c r="I19" s="17">
        <v>100000</v>
      </c>
      <c r="J19" s="17">
        <f>530000</f>
        <v>530000</v>
      </c>
      <c r="K19" s="17">
        <f t="shared" si="23"/>
        <v>630000</v>
      </c>
      <c r="L19" s="17">
        <v>100000</v>
      </c>
      <c r="M19" s="17">
        <v>530000</v>
      </c>
      <c r="N19" s="17">
        <f t="shared" si="24"/>
        <v>630000</v>
      </c>
      <c r="O19" s="17">
        <v>100000</v>
      </c>
      <c r="P19" s="17">
        <f>154000+530000</f>
        <v>684000</v>
      </c>
      <c r="Q19" s="17">
        <f t="shared" si="21"/>
        <v>784000</v>
      </c>
      <c r="R19" s="17">
        <v>100000</v>
      </c>
      <c r="S19" s="17">
        <f>530000</f>
        <v>530000</v>
      </c>
      <c r="T19" s="17">
        <v>0</v>
      </c>
      <c r="U19" s="17">
        <v>0</v>
      </c>
      <c r="V19" s="17">
        <v>0</v>
      </c>
      <c r="W19" s="17">
        <f t="shared" si="5"/>
        <v>630000</v>
      </c>
      <c r="X19" s="17">
        <v>100000</v>
      </c>
      <c r="Y19" s="17"/>
      <c r="Z19" s="17"/>
      <c r="AA19" s="17"/>
      <c r="AB19" s="17">
        <v>60000</v>
      </c>
      <c r="AC19" s="17">
        <f t="shared" si="6"/>
        <v>60000</v>
      </c>
      <c r="AD19" s="17">
        <f t="shared" si="7"/>
        <v>160000</v>
      </c>
      <c r="AE19" s="17">
        <v>100000</v>
      </c>
      <c r="AF19" s="17">
        <v>425000</v>
      </c>
      <c r="AG19" s="17"/>
      <c r="AH19" s="17"/>
      <c r="AI19" s="17"/>
      <c r="AJ19" s="17">
        <f t="shared" si="8"/>
        <v>425000</v>
      </c>
      <c r="AK19" s="17">
        <f t="shared" si="9"/>
        <v>525000</v>
      </c>
      <c r="AL19" s="17">
        <v>100000</v>
      </c>
      <c r="AM19" s="42">
        <v>425000</v>
      </c>
      <c r="AN19" s="42">
        <v>0</v>
      </c>
      <c r="AO19" s="42">
        <v>0</v>
      </c>
      <c r="AP19" s="17"/>
      <c r="AQ19" s="17">
        <f t="shared" si="10"/>
        <v>425000</v>
      </c>
      <c r="AR19" s="17">
        <f t="shared" si="11"/>
        <v>525000</v>
      </c>
      <c r="AS19" s="42">
        <v>100000</v>
      </c>
      <c r="AT19" s="42">
        <v>425000</v>
      </c>
      <c r="AU19" s="42">
        <v>0</v>
      </c>
      <c r="AV19" s="42">
        <v>0</v>
      </c>
      <c r="AW19" s="17">
        <f t="shared" si="12"/>
        <v>425000</v>
      </c>
      <c r="AX19" s="42">
        <f t="shared" si="13"/>
        <v>525000</v>
      </c>
      <c r="AY19" s="42">
        <v>100000</v>
      </c>
      <c r="AZ19" s="42">
        <v>0</v>
      </c>
      <c r="BA19" s="42">
        <v>425000</v>
      </c>
      <c r="BB19" s="42"/>
      <c r="BC19" s="42">
        <f t="shared" si="14"/>
        <v>425000</v>
      </c>
      <c r="BD19" s="42">
        <f t="shared" si="15"/>
        <v>525000</v>
      </c>
      <c r="BE19" s="42">
        <v>100000</v>
      </c>
      <c r="BF19" s="42">
        <v>425000</v>
      </c>
      <c r="BG19" s="42">
        <f>[11]Kredit!$E$369</f>
        <v>350000</v>
      </c>
      <c r="BH19" s="42">
        <v>0</v>
      </c>
      <c r="BI19" s="42">
        <f t="shared" si="16"/>
        <v>775000</v>
      </c>
      <c r="BJ19" s="42">
        <f t="shared" si="17"/>
        <v>875000</v>
      </c>
      <c r="BK19" s="42">
        <v>100000</v>
      </c>
      <c r="BL19" s="42">
        <v>0</v>
      </c>
      <c r="BM19" s="42">
        <v>0</v>
      </c>
      <c r="BN19" s="42">
        <v>0</v>
      </c>
      <c r="BO19" s="42">
        <f t="shared" si="18"/>
        <v>0</v>
      </c>
      <c r="BP19" s="42">
        <f t="shared" si="19"/>
        <v>100000</v>
      </c>
      <c r="BQ19" s="69">
        <f t="shared" si="20"/>
        <v>3975000</v>
      </c>
      <c r="BR19" s="37"/>
      <c r="BS19" s="36"/>
      <c r="BT19" s="36"/>
      <c r="BU19" s="36"/>
    </row>
    <row r="20" spans="1:73" s="4" customFormat="1" ht="13">
      <c r="A20" s="15">
        <f t="shared" si="0"/>
        <v>16</v>
      </c>
      <c r="B20" s="48" t="s">
        <v>48</v>
      </c>
      <c r="C20" s="44" t="s">
        <v>49</v>
      </c>
      <c r="D20" s="44" t="s">
        <v>41</v>
      </c>
      <c r="E20" s="42">
        <v>2775000</v>
      </c>
      <c r="F20" s="17">
        <v>100000</v>
      </c>
      <c r="G20" s="17">
        <f>270000+28000</f>
        <v>298000</v>
      </c>
      <c r="H20" s="17">
        <f t="shared" si="22"/>
        <v>398000</v>
      </c>
      <c r="I20" s="17">
        <v>100000</v>
      </c>
      <c r="J20" s="17">
        <f>270000</f>
        <v>270000</v>
      </c>
      <c r="K20" s="17">
        <f t="shared" si="23"/>
        <v>370000</v>
      </c>
      <c r="L20" s="17">
        <v>100000</v>
      </c>
      <c r="M20" s="17">
        <f>270000+176000</f>
        <v>446000</v>
      </c>
      <c r="N20" s="17">
        <f t="shared" si="24"/>
        <v>546000</v>
      </c>
      <c r="O20" s="17">
        <v>100000</v>
      </c>
      <c r="P20" s="17">
        <f>270000+83000</f>
        <v>353000</v>
      </c>
      <c r="Q20" s="17">
        <f t="shared" si="21"/>
        <v>453000</v>
      </c>
      <c r="R20" s="17">
        <v>100000</v>
      </c>
      <c r="S20" s="17">
        <f>795000</f>
        <v>795000</v>
      </c>
      <c r="T20" s="17">
        <f>[7]System!$F$266</f>
        <v>73000</v>
      </c>
      <c r="U20" s="17">
        <v>0</v>
      </c>
      <c r="V20" s="17">
        <v>0</v>
      </c>
      <c r="W20" s="17">
        <f t="shared" si="5"/>
        <v>968000</v>
      </c>
      <c r="X20" s="17">
        <v>100000</v>
      </c>
      <c r="Y20" s="17">
        <v>795000</v>
      </c>
      <c r="Z20" s="17">
        <f>[8]Credit!$E$268</f>
        <v>149000</v>
      </c>
      <c r="AA20" s="17"/>
      <c r="AB20" s="17"/>
      <c r="AC20" s="17">
        <f t="shared" si="6"/>
        <v>944000</v>
      </c>
      <c r="AD20" s="17">
        <f t="shared" si="7"/>
        <v>1044000</v>
      </c>
      <c r="AE20" s="17">
        <v>100000</v>
      </c>
      <c r="AF20" s="17">
        <v>795000</v>
      </c>
      <c r="AG20" s="17">
        <f>[9]Credit!$F$181</f>
        <v>83000</v>
      </c>
      <c r="AH20" s="17"/>
      <c r="AI20" s="17"/>
      <c r="AJ20" s="17">
        <f t="shared" si="8"/>
        <v>878000</v>
      </c>
      <c r="AK20" s="17">
        <f t="shared" si="9"/>
        <v>978000</v>
      </c>
      <c r="AL20" s="17">
        <v>100000</v>
      </c>
      <c r="AM20" s="42">
        <v>795000</v>
      </c>
      <c r="AN20" s="42">
        <f>[5]Credit!$E$336</f>
        <v>257500</v>
      </c>
      <c r="AO20" s="42">
        <v>0</v>
      </c>
      <c r="AP20" s="17"/>
      <c r="AQ20" s="17">
        <f t="shared" si="10"/>
        <v>1052500</v>
      </c>
      <c r="AR20" s="17">
        <f t="shared" si="11"/>
        <v>1152500</v>
      </c>
      <c r="AS20" s="42">
        <v>100000</v>
      </c>
      <c r="AT20" s="42">
        <v>0</v>
      </c>
      <c r="AU20" s="42">
        <f>[10]Credit!$E$341</f>
        <v>230000</v>
      </c>
      <c r="AV20" s="42">
        <v>0</v>
      </c>
      <c r="AW20" s="17">
        <f t="shared" si="12"/>
        <v>230000</v>
      </c>
      <c r="AX20" s="42">
        <f t="shared" si="13"/>
        <v>330000</v>
      </c>
      <c r="AY20" s="42">
        <v>100000</v>
      </c>
      <c r="AZ20" s="42">
        <v>0</v>
      </c>
      <c r="BA20" s="42">
        <v>530000</v>
      </c>
      <c r="BB20" s="42"/>
      <c r="BC20" s="42">
        <f t="shared" si="14"/>
        <v>530000</v>
      </c>
      <c r="BD20" s="42">
        <f t="shared" si="15"/>
        <v>630000</v>
      </c>
      <c r="BE20" s="42">
        <v>100000</v>
      </c>
      <c r="BF20" s="42">
        <v>530000</v>
      </c>
      <c r="BG20" s="42">
        <f>[11]Kredit!$E$396</f>
        <v>201500</v>
      </c>
      <c r="BH20" s="42">
        <v>0</v>
      </c>
      <c r="BI20" s="42">
        <f t="shared" si="16"/>
        <v>731500</v>
      </c>
      <c r="BJ20" s="42">
        <f t="shared" si="17"/>
        <v>831500</v>
      </c>
      <c r="BK20" s="42">
        <v>100000</v>
      </c>
      <c r="BL20" s="42">
        <v>530000</v>
      </c>
      <c r="BM20" s="42">
        <v>0</v>
      </c>
      <c r="BN20" s="42">
        <v>0</v>
      </c>
      <c r="BO20" s="42">
        <f t="shared" si="18"/>
        <v>530000</v>
      </c>
      <c r="BP20" s="42">
        <f t="shared" si="19"/>
        <v>630000</v>
      </c>
      <c r="BQ20" s="69">
        <f t="shared" si="20"/>
        <v>3975000</v>
      </c>
      <c r="BR20" s="37"/>
      <c r="BS20" s="36"/>
      <c r="BT20" s="36"/>
      <c r="BU20" s="36"/>
    </row>
    <row r="21" spans="1:73" s="4" customFormat="1" ht="13">
      <c r="A21" s="15">
        <f t="shared" si="0"/>
        <v>17</v>
      </c>
      <c r="B21" s="48" t="s">
        <v>50</v>
      </c>
      <c r="C21" s="44" t="s">
        <v>51</v>
      </c>
      <c r="D21" s="44" t="s">
        <v>41</v>
      </c>
      <c r="E21" s="42">
        <v>2775000</v>
      </c>
      <c r="F21" s="17">
        <v>100000</v>
      </c>
      <c r="G21" s="17">
        <f>636000+67000</f>
        <v>703000</v>
      </c>
      <c r="H21" s="17">
        <f t="shared" si="22"/>
        <v>803000</v>
      </c>
      <c r="I21" s="17">
        <v>100000</v>
      </c>
      <c r="J21" s="17">
        <f>636000+93500</f>
        <v>729500</v>
      </c>
      <c r="K21" s="17">
        <f t="shared" si="23"/>
        <v>829500</v>
      </c>
      <c r="L21" s="17">
        <v>100000</v>
      </c>
      <c r="M21" s="17">
        <f>636000+167000</f>
        <v>803000</v>
      </c>
      <c r="N21" s="17">
        <f t="shared" si="24"/>
        <v>903000</v>
      </c>
      <c r="O21" s="17">
        <v>100000</v>
      </c>
      <c r="P21" s="17">
        <f>81000+795000</f>
        <v>876000</v>
      </c>
      <c r="Q21" s="17">
        <f t="shared" si="21"/>
        <v>976000</v>
      </c>
      <c r="R21" s="17">
        <v>100000</v>
      </c>
      <c r="S21" s="17">
        <f>795000</f>
        <v>795000</v>
      </c>
      <c r="T21" s="17">
        <f>[7]System!$F$328</f>
        <v>129000</v>
      </c>
      <c r="U21" s="17">
        <v>0</v>
      </c>
      <c r="V21" s="17">
        <v>0</v>
      </c>
      <c r="W21" s="17">
        <f t="shared" si="5"/>
        <v>1024000</v>
      </c>
      <c r="X21" s="17">
        <v>100000</v>
      </c>
      <c r="Y21" s="17">
        <v>795000</v>
      </c>
      <c r="Z21" s="17">
        <f>[8]Credit!$E$342</f>
        <v>250000</v>
      </c>
      <c r="AA21" s="17"/>
      <c r="AB21" s="17">
        <v>50000</v>
      </c>
      <c r="AC21" s="17">
        <f t="shared" si="6"/>
        <v>1095000</v>
      </c>
      <c r="AD21" s="17">
        <f t="shared" si="7"/>
        <v>1195000</v>
      </c>
      <c r="AE21" s="17">
        <v>100000</v>
      </c>
      <c r="AF21" s="17">
        <v>795000</v>
      </c>
      <c r="AG21" s="17">
        <f>[9]Credit!$F$235</f>
        <v>101000</v>
      </c>
      <c r="AH21" s="17"/>
      <c r="AI21" s="17">
        <v>70000</v>
      </c>
      <c r="AJ21" s="17">
        <f t="shared" si="8"/>
        <v>966000</v>
      </c>
      <c r="AK21" s="17">
        <f t="shared" si="9"/>
        <v>1066000</v>
      </c>
      <c r="AL21" s="17">
        <v>100000</v>
      </c>
      <c r="AM21" s="42">
        <v>795000</v>
      </c>
      <c r="AN21" s="42">
        <f>[5]Credit!$E$407</f>
        <v>125000</v>
      </c>
      <c r="AO21" s="42">
        <v>0</v>
      </c>
      <c r="AP21" s="17"/>
      <c r="AQ21" s="17">
        <f t="shared" si="10"/>
        <v>920000</v>
      </c>
      <c r="AR21" s="17">
        <f t="shared" si="11"/>
        <v>1020000</v>
      </c>
      <c r="AS21" s="42">
        <v>100000</v>
      </c>
      <c r="AT21" s="42">
        <v>795000</v>
      </c>
      <c r="AU21" s="42">
        <f>[10]Credit!$E$392</f>
        <v>236500</v>
      </c>
      <c r="AV21" s="42">
        <v>0</v>
      </c>
      <c r="AW21" s="17">
        <f t="shared" si="12"/>
        <v>1031500</v>
      </c>
      <c r="AX21" s="42">
        <f t="shared" si="13"/>
        <v>1131500</v>
      </c>
      <c r="AY21" s="42">
        <v>100000</v>
      </c>
      <c r="AZ21" s="42">
        <f>[6]Credit!$F$417</f>
        <v>462000</v>
      </c>
      <c r="BA21" s="42">
        <v>795000</v>
      </c>
      <c r="BB21" s="42"/>
      <c r="BC21" s="42">
        <f t="shared" si="14"/>
        <v>1257000</v>
      </c>
      <c r="BD21" s="42">
        <f t="shared" si="15"/>
        <v>1357000</v>
      </c>
      <c r="BE21" s="42">
        <v>100000</v>
      </c>
      <c r="BF21" s="42">
        <v>795000</v>
      </c>
      <c r="BG21" s="42">
        <f>[11]Kredit!$E$484</f>
        <v>636000</v>
      </c>
      <c r="BH21" s="42">
        <v>0</v>
      </c>
      <c r="BI21" s="42">
        <f t="shared" si="16"/>
        <v>1431000</v>
      </c>
      <c r="BJ21" s="42">
        <f t="shared" si="17"/>
        <v>1531000</v>
      </c>
      <c r="BK21" s="42">
        <v>100000</v>
      </c>
      <c r="BL21" s="42">
        <v>663125</v>
      </c>
      <c r="BM21" s="42">
        <f>[12]Credit!$E$473</f>
        <v>429500</v>
      </c>
      <c r="BN21" s="42">
        <v>0</v>
      </c>
      <c r="BO21" s="42">
        <f t="shared" si="18"/>
        <v>1092625</v>
      </c>
      <c r="BP21" s="42">
        <f t="shared" si="19"/>
        <v>1192625</v>
      </c>
      <c r="BQ21" s="69">
        <f t="shared" si="20"/>
        <v>3975000</v>
      </c>
      <c r="BR21" s="49"/>
      <c r="BS21" s="36"/>
      <c r="BT21" s="36"/>
      <c r="BU21" s="36"/>
    </row>
    <row r="22" spans="1:73">
      <c r="A22" s="15">
        <f t="shared" si="0"/>
        <v>18</v>
      </c>
      <c r="B22" s="48" t="s">
        <v>52</v>
      </c>
      <c r="C22" s="44" t="s">
        <v>53</v>
      </c>
      <c r="D22" s="44" t="s">
        <v>41</v>
      </c>
      <c r="E22" s="42">
        <v>2775000</v>
      </c>
      <c r="F22" s="17">
        <v>100000</v>
      </c>
      <c r="G22" s="17">
        <f>530000+373000</f>
        <v>903000</v>
      </c>
      <c r="H22" s="17">
        <f t="shared" si="22"/>
        <v>1003000</v>
      </c>
      <c r="I22" s="17">
        <v>100000</v>
      </c>
      <c r="J22" s="17">
        <f>530000+380000</f>
        <v>910000</v>
      </c>
      <c r="K22" s="17">
        <f t="shared" si="23"/>
        <v>1010000</v>
      </c>
      <c r="L22" s="17">
        <v>100000</v>
      </c>
      <c r="M22" s="17">
        <f>530000+351000</f>
        <v>881000</v>
      </c>
      <c r="N22" s="17">
        <f t="shared" si="24"/>
        <v>981000</v>
      </c>
      <c r="O22" s="17">
        <v>100000</v>
      </c>
      <c r="P22" s="17">
        <f>530000+663125+351000+78000</f>
        <v>1622125</v>
      </c>
      <c r="Q22" s="17">
        <f t="shared" si="21"/>
        <v>1722125</v>
      </c>
      <c r="R22" s="17">
        <v>100000</v>
      </c>
      <c r="S22" s="17">
        <f>530000+663125</f>
        <v>1193125</v>
      </c>
      <c r="T22" s="17">
        <f>[7]System!$F$440</f>
        <v>412000</v>
      </c>
      <c r="U22" s="17">
        <v>0</v>
      </c>
      <c r="V22" s="17">
        <f>21000</f>
        <v>21000</v>
      </c>
      <c r="W22" s="17">
        <f t="shared" si="5"/>
        <v>1726125</v>
      </c>
      <c r="X22" s="17">
        <v>100000</v>
      </c>
      <c r="Y22" s="17">
        <f>530000+663125</f>
        <v>1193125</v>
      </c>
      <c r="Z22" s="17">
        <f>[8]Credit!$E$469</f>
        <v>956500</v>
      </c>
      <c r="AA22" s="17"/>
      <c r="AB22" s="17">
        <v>10000</v>
      </c>
      <c r="AC22" s="17">
        <f t="shared" si="6"/>
        <v>2159625</v>
      </c>
      <c r="AD22" s="17">
        <f t="shared" si="7"/>
        <v>2259625</v>
      </c>
      <c r="AE22" s="17">
        <v>100000</v>
      </c>
      <c r="AF22" s="17">
        <v>663125</v>
      </c>
      <c r="AG22" s="17">
        <f>[9]Credit!$F$306</f>
        <v>636500</v>
      </c>
      <c r="AH22" s="17"/>
      <c r="AI22" s="17">
        <v>70000</v>
      </c>
      <c r="AJ22" s="17">
        <f t="shared" si="8"/>
        <v>1369625</v>
      </c>
      <c r="AK22" s="17">
        <f t="shared" si="9"/>
        <v>1469625</v>
      </c>
      <c r="AL22" s="17">
        <v>100000</v>
      </c>
      <c r="AM22" s="42">
        <v>636000</v>
      </c>
      <c r="AN22" s="42">
        <f>[5]Credit!$E$528</f>
        <v>643500</v>
      </c>
      <c r="AO22" s="42">
        <v>0</v>
      </c>
      <c r="AP22" s="17">
        <v>10000</v>
      </c>
      <c r="AQ22" s="17">
        <f t="shared" si="10"/>
        <v>1289500</v>
      </c>
      <c r="AR22" s="17">
        <f t="shared" si="11"/>
        <v>1389500</v>
      </c>
      <c r="AS22" s="42">
        <v>100000</v>
      </c>
      <c r="AT22" s="42">
        <v>663125</v>
      </c>
      <c r="AU22" s="42">
        <f>[10]Credit!$E$538</f>
        <v>388000</v>
      </c>
      <c r="AV22" s="42">
        <v>0</v>
      </c>
      <c r="AW22" s="17">
        <f t="shared" si="12"/>
        <v>1051125</v>
      </c>
      <c r="AX22" s="42">
        <f t="shared" si="13"/>
        <v>1151125</v>
      </c>
      <c r="AY22" s="42">
        <v>100000</v>
      </c>
      <c r="AZ22" s="42">
        <f>[6]Credit!$F$555</f>
        <v>137000</v>
      </c>
      <c r="BA22" s="42">
        <v>663125</v>
      </c>
      <c r="BB22" s="42"/>
      <c r="BC22" s="42">
        <f t="shared" si="14"/>
        <v>800125</v>
      </c>
      <c r="BD22" s="42">
        <f t="shared" si="15"/>
        <v>900125</v>
      </c>
      <c r="BE22" s="42">
        <v>100000</v>
      </c>
      <c r="BF22" s="42">
        <f>663125</f>
        <v>663125</v>
      </c>
      <c r="BG22" s="42">
        <f>[11]Kredit!$E$621</f>
        <v>101500</v>
      </c>
      <c r="BH22" s="42">
        <v>0</v>
      </c>
      <c r="BI22" s="42">
        <f t="shared" si="16"/>
        <v>764625</v>
      </c>
      <c r="BJ22" s="42">
        <f t="shared" si="17"/>
        <v>864625</v>
      </c>
      <c r="BK22" s="42">
        <v>100000</v>
      </c>
      <c r="BL22" s="42">
        <v>530000</v>
      </c>
      <c r="BM22" s="42">
        <f>[12]Credit!$E$599</f>
        <v>469000</v>
      </c>
      <c r="BN22" s="42">
        <v>0</v>
      </c>
      <c r="BO22" s="42">
        <f t="shared" si="18"/>
        <v>999000</v>
      </c>
      <c r="BP22" s="42">
        <f t="shared" si="19"/>
        <v>1099000</v>
      </c>
      <c r="BQ22" s="69">
        <f t="shared" si="20"/>
        <v>3975000</v>
      </c>
      <c r="BR22" s="37" t="s">
        <v>375</v>
      </c>
    </row>
    <row r="23" spans="1:73" s="4" customFormat="1" ht="13">
      <c r="A23" s="15">
        <f t="shared" si="0"/>
        <v>19</v>
      </c>
      <c r="B23" s="43">
        <v>13029646</v>
      </c>
      <c r="C23" s="44" t="s">
        <v>54</v>
      </c>
      <c r="D23" s="44" t="s">
        <v>41</v>
      </c>
      <c r="E23" s="42">
        <v>2525000</v>
      </c>
      <c r="F23" s="17">
        <v>100000</v>
      </c>
      <c r="G23" s="17"/>
      <c r="H23" s="17">
        <f t="shared" si="22"/>
        <v>100000</v>
      </c>
      <c r="I23" s="17">
        <v>100000</v>
      </c>
      <c r="J23" s="17"/>
      <c r="K23" s="17">
        <f t="shared" si="23"/>
        <v>100000</v>
      </c>
      <c r="L23" s="17">
        <v>100000</v>
      </c>
      <c r="M23" s="17"/>
      <c r="N23" s="17">
        <f t="shared" si="24"/>
        <v>100000</v>
      </c>
      <c r="O23" s="17">
        <v>100000</v>
      </c>
      <c r="P23" s="17"/>
      <c r="Q23" s="17">
        <f t="shared" si="21"/>
        <v>100000</v>
      </c>
      <c r="R23" s="17">
        <v>100000</v>
      </c>
      <c r="S23" s="17">
        <v>0</v>
      </c>
      <c r="T23" s="17">
        <f>[7]System!$F$551</f>
        <v>96500</v>
      </c>
      <c r="U23" s="17">
        <v>0</v>
      </c>
      <c r="V23" s="17">
        <f>21000</f>
        <v>21000</v>
      </c>
      <c r="W23" s="17">
        <f t="shared" si="5"/>
        <v>217500</v>
      </c>
      <c r="X23" s="17">
        <v>100000</v>
      </c>
      <c r="Y23" s="17"/>
      <c r="Z23" s="17">
        <f>[8]Credit!$E$579</f>
        <v>52500</v>
      </c>
      <c r="AA23" s="17"/>
      <c r="AB23" s="17"/>
      <c r="AC23" s="17">
        <f t="shared" si="6"/>
        <v>52500</v>
      </c>
      <c r="AD23" s="17">
        <f t="shared" si="7"/>
        <v>152500</v>
      </c>
      <c r="AE23" s="17">
        <v>100000</v>
      </c>
      <c r="AF23" s="17"/>
      <c r="AG23" s="17">
        <f>[9]Credit!$F$382</f>
        <v>81500</v>
      </c>
      <c r="AH23" s="17"/>
      <c r="AI23" s="17">
        <v>70000</v>
      </c>
      <c r="AJ23" s="17">
        <f t="shared" si="8"/>
        <v>151500</v>
      </c>
      <c r="AK23" s="17">
        <f t="shared" si="9"/>
        <v>251500</v>
      </c>
      <c r="AL23" s="17">
        <v>100000</v>
      </c>
      <c r="AM23" s="42">
        <v>0</v>
      </c>
      <c r="AN23" s="42">
        <v>0</v>
      </c>
      <c r="AO23" s="42">
        <v>0</v>
      </c>
      <c r="AP23" s="17"/>
      <c r="AQ23" s="17">
        <f t="shared" si="10"/>
        <v>0</v>
      </c>
      <c r="AR23" s="17">
        <f t="shared" si="11"/>
        <v>100000</v>
      </c>
      <c r="AS23" s="42">
        <v>100000</v>
      </c>
      <c r="AT23" s="42">
        <v>0</v>
      </c>
      <c r="AU23" s="42">
        <f>[10]Credit!$E$674</f>
        <v>32500</v>
      </c>
      <c r="AV23" s="42">
        <v>0</v>
      </c>
      <c r="AW23" s="17">
        <f t="shared" si="12"/>
        <v>32500</v>
      </c>
      <c r="AX23" s="42">
        <f t="shared" si="13"/>
        <v>132500</v>
      </c>
      <c r="AY23" s="42">
        <v>100000</v>
      </c>
      <c r="AZ23" s="42">
        <f>[6]Credit!$F$698</f>
        <v>29000</v>
      </c>
      <c r="BA23" s="42"/>
      <c r="BB23" s="42"/>
      <c r="BC23" s="42">
        <f t="shared" si="14"/>
        <v>29000</v>
      </c>
      <c r="BD23" s="42">
        <f t="shared" si="15"/>
        <v>129000</v>
      </c>
      <c r="BE23" s="42">
        <v>100000</v>
      </c>
      <c r="BF23" s="42">
        <v>636000</v>
      </c>
      <c r="BG23" s="42">
        <f>[11]Kredit!$E$701</f>
        <v>37000</v>
      </c>
      <c r="BH23" s="42">
        <v>0</v>
      </c>
      <c r="BI23" s="42">
        <f t="shared" si="16"/>
        <v>673000</v>
      </c>
      <c r="BJ23" s="42">
        <f t="shared" si="17"/>
        <v>773000</v>
      </c>
      <c r="BK23" s="42">
        <v>100000</v>
      </c>
      <c r="BL23" s="42">
        <v>636000</v>
      </c>
      <c r="BM23" s="42">
        <f>[12]Credit!$E$655</f>
        <v>16000</v>
      </c>
      <c r="BN23" s="42">
        <v>0</v>
      </c>
      <c r="BO23" s="42">
        <f t="shared" si="18"/>
        <v>652000</v>
      </c>
      <c r="BP23" s="42">
        <f t="shared" si="19"/>
        <v>752000</v>
      </c>
      <c r="BQ23" s="69">
        <f t="shared" si="20"/>
        <v>3725000</v>
      </c>
      <c r="BR23" s="37"/>
      <c r="BS23" s="36"/>
      <c r="BT23" s="36"/>
      <c r="BU23" s="36"/>
    </row>
    <row r="24" spans="1:73" s="4" customFormat="1" ht="13">
      <c r="A24" s="15">
        <f t="shared" si="0"/>
        <v>20</v>
      </c>
      <c r="B24" s="50">
        <v>16030326</v>
      </c>
      <c r="C24" s="44" t="s">
        <v>376</v>
      </c>
      <c r="D24" s="44" t="s">
        <v>41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17">
        <v>200000</v>
      </c>
      <c r="P24" s="42">
        <v>0</v>
      </c>
      <c r="Q24" s="17">
        <f t="shared" si="21"/>
        <v>200000</v>
      </c>
      <c r="R24" s="17">
        <v>100000</v>
      </c>
      <c r="S24" s="17">
        <v>0</v>
      </c>
      <c r="T24" s="17">
        <v>0</v>
      </c>
      <c r="U24" s="17">
        <v>0</v>
      </c>
      <c r="V24" s="17">
        <v>0</v>
      </c>
      <c r="W24" s="17">
        <f t="shared" si="5"/>
        <v>100000</v>
      </c>
      <c r="X24" s="17">
        <v>100000</v>
      </c>
      <c r="Y24" s="42">
        <v>0</v>
      </c>
      <c r="Z24" s="42">
        <f>[8]Credit!$E$757</f>
        <v>79500</v>
      </c>
      <c r="AA24" s="42"/>
      <c r="AB24" s="42"/>
      <c r="AC24" s="17">
        <f t="shared" si="6"/>
        <v>79500</v>
      </c>
      <c r="AD24" s="17">
        <f t="shared" si="7"/>
        <v>179500</v>
      </c>
      <c r="AE24" s="17">
        <v>100000</v>
      </c>
      <c r="AF24" s="42"/>
      <c r="AG24" s="42">
        <f>[9]Credit!$F$478</f>
        <v>118500</v>
      </c>
      <c r="AH24" s="42"/>
      <c r="AI24" s="42"/>
      <c r="AJ24" s="17">
        <f t="shared" si="8"/>
        <v>118500</v>
      </c>
      <c r="AK24" s="17">
        <f t="shared" si="9"/>
        <v>218500</v>
      </c>
      <c r="AL24" s="17">
        <v>100000</v>
      </c>
      <c r="AM24" s="42">
        <v>0</v>
      </c>
      <c r="AN24" s="42">
        <f>[5]Credit!$E$881</f>
        <v>199000</v>
      </c>
      <c r="AO24" s="42">
        <v>0</v>
      </c>
      <c r="AP24" s="42"/>
      <c r="AQ24" s="17">
        <f t="shared" si="10"/>
        <v>199000</v>
      </c>
      <c r="AR24" s="17">
        <f t="shared" si="11"/>
        <v>299000</v>
      </c>
      <c r="AS24" s="42">
        <v>100000</v>
      </c>
      <c r="AT24" s="42">
        <v>0</v>
      </c>
      <c r="AU24" s="42">
        <f>[10]Credit!$E$875</f>
        <v>623500</v>
      </c>
      <c r="AV24" s="42">
        <v>0</v>
      </c>
      <c r="AW24" s="17">
        <f t="shared" si="12"/>
        <v>623500</v>
      </c>
      <c r="AX24" s="42">
        <f t="shared" si="13"/>
        <v>723500</v>
      </c>
      <c r="AY24" s="42">
        <v>100000</v>
      </c>
      <c r="AZ24" s="42">
        <f>[6]Credit!$F$904</f>
        <v>395500</v>
      </c>
      <c r="BA24" s="42"/>
      <c r="BB24" s="42"/>
      <c r="BC24" s="42">
        <f t="shared" si="14"/>
        <v>395500</v>
      </c>
      <c r="BD24" s="42">
        <f t="shared" si="15"/>
        <v>495500</v>
      </c>
      <c r="BE24" s="42">
        <v>100000</v>
      </c>
      <c r="BF24" s="42">
        <v>0</v>
      </c>
      <c r="BG24" s="42">
        <f>[11]Kredit!$E$916</f>
        <v>240750</v>
      </c>
      <c r="BH24" s="42">
        <v>0</v>
      </c>
      <c r="BI24" s="42">
        <f t="shared" si="16"/>
        <v>240750</v>
      </c>
      <c r="BJ24" s="42">
        <f t="shared" si="17"/>
        <v>340750</v>
      </c>
      <c r="BK24" s="42">
        <v>100000</v>
      </c>
      <c r="BL24" s="42">
        <v>0</v>
      </c>
      <c r="BM24" s="42">
        <f>[12]Credit!$E$846</f>
        <v>139500</v>
      </c>
      <c r="BN24" s="42">
        <v>0</v>
      </c>
      <c r="BO24" s="42">
        <f t="shared" si="18"/>
        <v>139500</v>
      </c>
      <c r="BP24" s="42">
        <f t="shared" si="19"/>
        <v>239500</v>
      </c>
      <c r="BQ24" s="69">
        <f t="shared" si="20"/>
        <v>1000000</v>
      </c>
      <c r="BR24" s="37"/>
      <c r="BS24" s="36"/>
      <c r="BT24" s="36"/>
      <c r="BU24" s="36"/>
    </row>
    <row r="25" spans="1:73">
      <c r="A25" s="15">
        <f t="shared" si="0"/>
        <v>21</v>
      </c>
      <c r="B25" s="48" t="s">
        <v>55</v>
      </c>
      <c r="C25" s="44" t="s">
        <v>56</v>
      </c>
      <c r="D25" s="44" t="s">
        <v>41</v>
      </c>
      <c r="E25" s="42">
        <v>2775000</v>
      </c>
      <c r="F25" s="17">
        <v>100000</v>
      </c>
      <c r="G25" s="17">
        <f>425000+214000</f>
        <v>639000</v>
      </c>
      <c r="H25" s="17">
        <f t="shared" ref="H25:H31" si="25">F25+G25</f>
        <v>739000</v>
      </c>
      <c r="I25" s="17">
        <v>100000</v>
      </c>
      <c r="J25" s="17">
        <f>425000+195000</f>
        <v>620000</v>
      </c>
      <c r="K25" s="17">
        <f t="shared" ref="K25:K31" si="26">I25+J25</f>
        <v>720000</v>
      </c>
      <c r="L25" s="17">
        <v>100000</v>
      </c>
      <c r="M25" s="17">
        <f>425000+240000</f>
        <v>665000</v>
      </c>
      <c r="N25" s="17">
        <f t="shared" ref="N25:N31" si="27">L25+M25</f>
        <v>765000</v>
      </c>
      <c r="O25" s="17">
        <v>100000</v>
      </c>
      <c r="P25" s="17">
        <f>425000+96000</f>
        <v>521000</v>
      </c>
      <c r="Q25" s="17">
        <f t="shared" si="21"/>
        <v>621000</v>
      </c>
      <c r="R25" s="17">
        <v>100000</v>
      </c>
      <c r="S25" s="17">
        <v>0</v>
      </c>
      <c r="T25" s="17">
        <f>260000+[7]System!$F$897</f>
        <v>589000</v>
      </c>
      <c r="U25" s="17">
        <v>0</v>
      </c>
      <c r="V25" s="17">
        <v>0</v>
      </c>
      <c r="W25" s="17">
        <f t="shared" si="5"/>
        <v>689000</v>
      </c>
      <c r="X25" s="17">
        <v>100000</v>
      </c>
      <c r="Y25" s="17"/>
      <c r="Z25" s="17">
        <f>[8]Credit!$E$1003</f>
        <v>329000</v>
      </c>
      <c r="AA25" s="17"/>
      <c r="AB25" s="17"/>
      <c r="AC25" s="17">
        <f t="shared" si="6"/>
        <v>329000</v>
      </c>
      <c r="AD25" s="17">
        <f t="shared" si="7"/>
        <v>429000</v>
      </c>
      <c r="AE25" s="17">
        <v>100000</v>
      </c>
      <c r="AF25" s="17"/>
      <c r="AG25" s="17">
        <f>[9]Credit!$F$630</f>
        <v>231000</v>
      </c>
      <c r="AH25" s="17"/>
      <c r="AI25" s="17"/>
      <c r="AJ25" s="17">
        <f t="shared" si="8"/>
        <v>231000</v>
      </c>
      <c r="AK25" s="17">
        <f t="shared" si="9"/>
        <v>331000</v>
      </c>
      <c r="AL25" s="17">
        <v>100000</v>
      </c>
      <c r="AM25" s="42">
        <v>0</v>
      </c>
      <c r="AN25" s="42">
        <f>[5]Credit!$E$1170</f>
        <v>388000</v>
      </c>
      <c r="AO25" s="42">
        <v>0</v>
      </c>
      <c r="AP25" s="17">
        <v>4000</v>
      </c>
      <c r="AQ25" s="17">
        <f t="shared" si="10"/>
        <v>392000</v>
      </c>
      <c r="AR25" s="17">
        <f t="shared" si="11"/>
        <v>492000</v>
      </c>
      <c r="AS25" s="42">
        <v>100000</v>
      </c>
      <c r="AT25" s="42">
        <v>0</v>
      </c>
      <c r="AU25" s="42">
        <f>[10]Credit!$E$1105</f>
        <v>495500</v>
      </c>
      <c r="AV25" s="42">
        <v>0</v>
      </c>
      <c r="AW25" s="17">
        <f t="shared" si="12"/>
        <v>495500</v>
      </c>
      <c r="AX25" s="42">
        <f t="shared" si="13"/>
        <v>595500</v>
      </c>
      <c r="AY25" s="42">
        <v>100000</v>
      </c>
      <c r="AZ25" s="42">
        <f>[6]Credit!$F$1118</f>
        <v>559500</v>
      </c>
      <c r="BA25" s="42"/>
      <c r="BB25" s="42"/>
      <c r="BC25" s="42">
        <f t="shared" si="14"/>
        <v>559500</v>
      </c>
      <c r="BD25" s="42">
        <f t="shared" si="15"/>
        <v>659500</v>
      </c>
      <c r="BE25" s="42">
        <v>100000</v>
      </c>
      <c r="BF25" s="42">
        <v>0</v>
      </c>
      <c r="BG25" s="42">
        <f>[11]Kredit!$E$1090</f>
        <v>611000</v>
      </c>
      <c r="BH25" s="42">
        <v>0</v>
      </c>
      <c r="BI25" s="42">
        <f t="shared" si="16"/>
        <v>611000</v>
      </c>
      <c r="BJ25" s="42">
        <f t="shared" si="17"/>
        <v>711000</v>
      </c>
      <c r="BK25" s="42">
        <v>100000</v>
      </c>
      <c r="BL25" s="42">
        <v>0</v>
      </c>
      <c r="BM25" s="42">
        <f>[12]Credit!$E$1008</f>
        <v>584000</v>
      </c>
      <c r="BN25" s="42">
        <v>0</v>
      </c>
      <c r="BO25" s="42">
        <f t="shared" si="18"/>
        <v>584000</v>
      </c>
      <c r="BP25" s="42">
        <f t="shared" si="19"/>
        <v>684000</v>
      </c>
      <c r="BQ25" s="69">
        <f t="shared" si="20"/>
        <v>3975000</v>
      </c>
      <c r="BR25" s="37"/>
    </row>
    <row r="26" spans="1:73" s="4" customFormat="1" ht="13">
      <c r="A26" s="15">
        <f t="shared" si="0"/>
        <v>22</v>
      </c>
      <c r="B26" s="43">
        <v>95120936</v>
      </c>
      <c r="C26" s="44" t="s">
        <v>57</v>
      </c>
      <c r="D26" s="44" t="s">
        <v>41</v>
      </c>
      <c r="E26" s="42">
        <v>2775000</v>
      </c>
      <c r="F26" s="17">
        <v>100000</v>
      </c>
      <c r="G26" s="17">
        <f>540000</f>
        <v>540000</v>
      </c>
      <c r="H26" s="17">
        <f t="shared" si="25"/>
        <v>640000</v>
      </c>
      <c r="I26" s="17">
        <v>100000</v>
      </c>
      <c r="J26" s="17">
        <f>540000</f>
        <v>540000</v>
      </c>
      <c r="K26" s="17">
        <f t="shared" si="26"/>
        <v>640000</v>
      </c>
      <c r="L26" s="17">
        <v>100000</v>
      </c>
      <c r="M26" s="17"/>
      <c r="N26" s="17">
        <f t="shared" si="27"/>
        <v>100000</v>
      </c>
      <c r="O26" s="17">
        <v>100000</v>
      </c>
      <c r="P26" s="17">
        <v>530000</v>
      </c>
      <c r="Q26" s="17">
        <f t="shared" si="21"/>
        <v>630000</v>
      </c>
      <c r="R26" s="17">
        <v>100000</v>
      </c>
      <c r="S26" s="17">
        <f>530000</f>
        <v>530000</v>
      </c>
      <c r="T26" s="17">
        <v>0</v>
      </c>
      <c r="U26" s="17">
        <v>0</v>
      </c>
      <c r="V26" s="17">
        <f>15000+30000</f>
        <v>45000</v>
      </c>
      <c r="W26" s="17">
        <f t="shared" si="5"/>
        <v>675000</v>
      </c>
      <c r="X26" s="17">
        <v>100000</v>
      </c>
      <c r="Y26" s="17">
        <v>530000</v>
      </c>
      <c r="Z26" s="17"/>
      <c r="AA26" s="17"/>
      <c r="AB26" s="17">
        <f>20000+10000</f>
        <v>30000</v>
      </c>
      <c r="AC26" s="17">
        <f t="shared" si="6"/>
        <v>560000</v>
      </c>
      <c r="AD26" s="17">
        <f t="shared" si="7"/>
        <v>660000</v>
      </c>
      <c r="AE26" s="17">
        <v>100000</v>
      </c>
      <c r="AF26" s="17">
        <v>530000</v>
      </c>
      <c r="AG26" s="17"/>
      <c r="AH26" s="17"/>
      <c r="AI26" s="17"/>
      <c r="AJ26" s="17">
        <f t="shared" si="8"/>
        <v>530000</v>
      </c>
      <c r="AK26" s="17">
        <f t="shared" si="9"/>
        <v>630000</v>
      </c>
      <c r="AL26" s="17">
        <v>100000</v>
      </c>
      <c r="AM26" s="42">
        <v>530000</v>
      </c>
      <c r="AN26" s="42">
        <v>0</v>
      </c>
      <c r="AO26" s="42">
        <v>0</v>
      </c>
      <c r="AP26" s="17"/>
      <c r="AQ26" s="17">
        <f t="shared" si="10"/>
        <v>530000</v>
      </c>
      <c r="AR26" s="17">
        <f t="shared" si="11"/>
        <v>630000</v>
      </c>
      <c r="AS26" s="42">
        <v>100000</v>
      </c>
      <c r="AT26" s="42">
        <v>530000</v>
      </c>
      <c r="AU26" s="42">
        <v>0</v>
      </c>
      <c r="AV26" s="42">
        <v>0</v>
      </c>
      <c r="AW26" s="17">
        <f t="shared" si="12"/>
        <v>530000</v>
      </c>
      <c r="AX26" s="42">
        <f t="shared" si="13"/>
        <v>630000</v>
      </c>
      <c r="AY26" s="42">
        <v>100000</v>
      </c>
      <c r="AZ26" s="42">
        <v>0</v>
      </c>
      <c r="BA26" s="42"/>
      <c r="BB26" s="42"/>
      <c r="BC26" s="42">
        <f t="shared" si="14"/>
        <v>0</v>
      </c>
      <c r="BD26" s="42">
        <f t="shared" si="15"/>
        <v>100000</v>
      </c>
      <c r="BE26" s="42">
        <v>100000</v>
      </c>
      <c r="BF26" s="42">
        <v>530000</v>
      </c>
      <c r="BG26" s="42">
        <f>[11]Kredit!$E$1110</f>
        <v>110000</v>
      </c>
      <c r="BH26" s="42">
        <v>0</v>
      </c>
      <c r="BI26" s="42">
        <f t="shared" si="16"/>
        <v>640000</v>
      </c>
      <c r="BJ26" s="42">
        <f t="shared" si="17"/>
        <v>740000</v>
      </c>
      <c r="BK26" s="42">
        <v>100000</v>
      </c>
      <c r="BL26" s="42">
        <v>530000</v>
      </c>
      <c r="BM26" s="42">
        <v>0</v>
      </c>
      <c r="BN26" s="42">
        <v>0</v>
      </c>
      <c r="BO26" s="42">
        <f t="shared" si="18"/>
        <v>530000</v>
      </c>
      <c r="BP26" s="42">
        <f t="shared" si="19"/>
        <v>630000</v>
      </c>
      <c r="BQ26" s="69">
        <f t="shared" si="20"/>
        <v>3975000</v>
      </c>
      <c r="BR26" s="37"/>
      <c r="BS26" s="36"/>
      <c r="BT26" s="36"/>
      <c r="BU26" s="36"/>
    </row>
    <row r="27" spans="1:73" s="4" customFormat="1" ht="13">
      <c r="A27" s="15">
        <f t="shared" si="0"/>
        <v>23</v>
      </c>
      <c r="B27" s="48" t="s">
        <v>289</v>
      </c>
      <c r="C27" s="44" t="s">
        <v>58</v>
      </c>
      <c r="D27" s="44" t="s">
        <v>41</v>
      </c>
      <c r="E27" s="42">
        <v>2775000</v>
      </c>
      <c r="F27" s="17">
        <v>100000</v>
      </c>
      <c r="G27" s="17">
        <f>530000</f>
        <v>530000</v>
      </c>
      <c r="H27" s="17">
        <f t="shared" si="25"/>
        <v>630000</v>
      </c>
      <c r="I27" s="17">
        <v>100000</v>
      </c>
      <c r="J27" s="17">
        <f>530000+98000</f>
        <v>628000</v>
      </c>
      <c r="K27" s="17">
        <f t="shared" si="26"/>
        <v>728000</v>
      </c>
      <c r="L27" s="17">
        <v>100000</v>
      </c>
      <c r="M27" s="17">
        <v>530000</v>
      </c>
      <c r="N27" s="17">
        <f t="shared" si="27"/>
        <v>630000</v>
      </c>
      <c r="O27" s="17">
        <v>100000</v>
      </c>
      <c r="P27" s="17">
        <f>530000+31000+111000</f>
        <v>672000</v>
      </c>
      <c r="Q27" s="17">
        <f t="shared" si="21"/>
        <v>772000</v>
      </c>
      <c r="R27" s="17">
        <v>100000</v>
      </c>
      <c r="S27" s="17">
        <f>530000</f>
        <v>530000</v>
      </c>
      <c r="T27" s="17">
        <f>46000+[7]System!$F$916</f>
        <v>109500</v>
      </c>
      <c r="U27" s="17">
        <v>0</v>
      </c>
      <c r="V27" s="17">
        <f>15000</f>
        <v>15000</v>
      </c>
      <c r="W27" s="17">
        <f t="shared" si="5"/>
        <v>754500</v>
      </c>
      <c r="X27" s="17">
        <v>100000</v>
      </c>
      <c r="Y27" s="17">
        <v>530000</v>
      </c>
      <c r="Z27" s="17">
        <f>[8]Credit!$E$1029</f>
        <v>181000</v>
      </c>
      <c r="AA27" s="17"/>
      <c r="AB27" s="17">
        <f>70000+20000</f>
        <v>90000</v>
      </c>
      <c r="AC27" s="17">
        <f t="shared" si="6"/>
        <v>801000</v>
      </c>
      <c r="AD27" s="17">
        <f t="shared" si="7"/>
        <v>901000</v>
      </c>
      <c r="AE27" s="17">
        <v>100000</v>
      </c>
      <c r="AF27" s="17">
        <v>530000</v>
      </c>
      <c r="AG27" s="17">
        <f>[9]Credit!$F$642</f>
        <v>61000</v>
      </c>
      <c r="AH27" s="17">
        <v>545000</v>
      </c>
      <c r="AI27" s="17"/>
      <c r="AJ27" s="17">
        <f t="shared" si="8"/>
        <v>1136000</v>
      </c>
      <c r="AK27" s="17">
        <f t="shared" si="9"/>
        <v>1236000</v>
      </c>
      <c r="AL27" s="17">
        <v>100000</v>
      </c>
      <c r="AM27" s="42">
        <v>530000</v>
      </c>
      <c r="AN27" s="42">
        <f>[5]Credit!$E$1190</f>
        <v>102000</v>
      </c>
      <c r="AO27" s="42">
        <v>545000</v>
      </c>
      <c r="AP27" s="17"/>
      <c r="AQ27" s="17">
        <f t="shared" si="10"/>
        <v>1177000</v>
      </c>
      <c r="AR27" s="17">
        <f t="shared" si="11"/>
        <v>1277000</v>
      </c>
      <c r="AS27" s="42">
        <v>100000</v>
      </c>
      <c r="AT27" s="42">
        <v>530000</v>
      </c>
      <c r="AU27" s="42">
        <f>[10]Credit!$E$1134</f>
        <v>103000</v>
      </c>
      <c r="AV27" s="42">
        <v>545000</v>
      </c>
      <c r="AW27" s="17">
        <f t="shared" si="12"/>
        <v>1178000</v>
      </c>
      <c r="AX27" s="42">
        <f t="shared" si="13"/>
        <v>1278000</v>
      </c>
      <c r="AY27" s="42">
        <v>100000</v>
      </c>
      <c r="AZ27" s="42">
        <f>[6]Credit!$F$1137</f>
        <v>135500</v>
      </c>
      <c r="BA27" s="42">
        <v>530000</v>
      </c>
      <c r="BB27" s="42">
        <v>545000</v>
      </c>
      <c r="BC27" s="42">
        <f t="shared" si="14"/>
        <v>1210500</v>
      </c>
      <c r="BD27" s="42">
        <f t="shared" si="15"/>
        <v>1310500</v>
      </c>
      <c r="BE27" s="42">
        <v>100000</v>
      </c>
      <c r="BF27" s="42">
        <v>530000</v>
      </c>
      <c r="BG27" s="42">
        <f>[11]Kredit!$E$1117</f>
        <v>118500</v>
      </c>
      <c r="BH27" s="42">
        <v>545000</v>
      </c>
      <c r="BI27" s="42">
        <f t="shared" si="16"/>
        <v>1193500</v>
      </c>
      <c r="BJ27" s="42">
        <f t="shared" si="17"/>
        <v>1293500</v>
      </c>
      <c r="BK27" s="42">
        <v>100000</v>
      </c>
      <c r="BL27" s="42">
        <v>530000</v>
      </c>
      <c r="BM27" s="42">
        <f>[12]Credit!$E$1028</f>
        <v>120000</v>
      </c>
      <c r="BN27" s="42">
        <v>537500</v>
      </c>
      <c r="BO27" s="42">
        <f t="shared" si="18"/>
        <v>1187500</v>
      </c>
      <c r="BP27" s="42">
        <f t="shared" si="19"/>
        <v>1287500</v>
      </c>
      <c r="BQ27" s="69">
        <f t="shared" si="20"/>
        <v>3975000</v>
      </c>
      <c r="BR27" s="38" t="s">
        <v>377</v>
      </c>
      <c r="BS27" s="36"/>
      <c r="BT27" s="36"/>
      <c r="BU27" s="36"/>
    </row>
    <row r="28" spans="1:73" s="4" customFormat="1" ht="13">
      <c r="A28" s="15">
        <f t="shared" si="0"/>
        <v>24</v>
      </c>
      <c r="B28" s="43">
        <v>97111476</v>
      </c>
      <c r="C28" s="44" t="s">
        <v>59</v>
      </c>
      <c r="D28" s="44" t="s">
        <v>41</v>
      </c>
      <c r="E28" s="42">
        <v>2775000</v>
      </c>
      <c r="F28" s="17">
        <v>100000</v>
      </c>
      <c r="G28" s="17">
        <f>648500</f>
        <v>648500</v>
      </c>
      <c r="H28" s="17">
        <f t="shared" si="25"/>
        <v>748500</v>
      </c>
      <c r="I28" s="17">
        <v>100000</v>
      </c>
      <c r="J28" s="17">
        <f>991000</f>
        <v>991000</v>
      </c>
      <c r="K28" s="17">
        <f t="shared" si="26"/>
        <v>1091000</v>
      </c>
      <c r="L28" s="17">
        <v>100000</v>
      </c>
      <c r="M28" s="17">
        <f>530000+965000</f>
        <v>1495000</v>
      </c>
      <c r="N28" s="17">
        <f t="shared" si="27"/>
        <v>1595000</v>
      </c>
      <c r="O28" s="17">
        <v>100000</v>
      </c>
      <c r="P28" s="17">
        <f>166000+530000+329250+228000</f>
        <v>1253250</v>
      </c>
      <c r="Q28" s="17">
        <f t="shared" si="21"/>
        <v>1353250</v>
      </c>
      <c r="R28" s="17">
        <v>100000</v>
      </c>
      <c r="S28" s="17">
        <f>530000</f>
        <v>530000</v>
      </c>
      <c r="T28" s="17">
        <f>25000+[7]System!$F$1050</f>
        <v>658000</v>
      </c>
      <c r="U28" s="17">
        <v>0</v>
      </c>
      <c r="V28" s="17">
        <f>21000</f>
        <v>21000</v>
      </c>
      <c r="W28" s="17">
        <f t="shared" si="5"/>
        <v>1309000</v>
      </c>
      <c r="X28" s="17">
        <v>100000</v>
      </c>
      <c r="Y28" s="17">
        <v>530000</v>
      </c>
      <c r="Z28" s="17">
        <f>[8]Credit!$E$1153</f>
        <v>679000</v>
      </c>
      <c r="AA28" s="17"/>
      <c r="AB28" s="17"/>
      <c r="AC28" s="17">
        <f t="shared" si="6"/>
        <v>1209000</v>
      </c>
      <c r="AD28" s="17">
        <f t="shared" si="7"/>
        <v>1309000</v>
      </c>
      <c r="AE28" s="17">
        <v>100000</v>
      </c>
      <c r="AF28" s="17">
        <v>530000</v>
      </c>
      <c r="AG28" s="17">
        <f>[9]Credit!$F$710</f>
        <v>824500</v>
      </c>
      <c r="AH28" s="17"/>
      <c r="AI28" s="17"/>
      <c r="AJ28" s="17">
        <f t="shared" si="8"/>
        <v>1354500</v>
      </c>
      <c r="AK28" s="17">
        <f t="shared" si="9"/>
        <v>1454500</v>
      </c>
      <c r="AL28" s="17">
        <v>100000</v>
      </c>
      <c r="AM28" s="42">
        <v>530000</v>
      </c>
      <c r="AN28" s="42">
        <f>[5]Credit!$E$1312</f>
        <v>758000</v>
      </c>
      <c r="AO28" s="42">
        <v>0</v>
      </c>
      <c r="AP28" s="17">
        <v>32000</v>
      </c>
      <c r="AQ28" s="17">
        <f t="shared" si="10"/>
        <v>1320000</v>
      </c>
      <c r="AR28" s="17">
        <f t="shared" si="11"/>
        <v>1420000</v>
      </c>
      <c r="AS28" s="42">
        <v>100000</v>
      </c>
      <c r="AT28" s="42">
        <v>0</v>
      </c>
      <c r="AU28" s="42">
        <f>[10]Credit!$E$1251</f>
        <v>871500</v>
      </c>
      <c r="AV28" s="42">
        <v>0</v>
      </c>
      <c r="AW28" s="17">
        <f t="shared" si="12"/>
        <v>871500</v>
      </c>
      <c r="AX28" s="42">
        <f t="shared" si="13"/>
        <v>971500</v>
      </c>
      <c r="AY28" s="42">
        <v>100000</v>
      </c>
      <c r="AZ28" s="42">
        <f>[6]Credit!$F$1247</f>
        <v>698500</v>
      </c>
      <c r="BA28" s="42">
        <v>530000</v>
      </c>
      <c r="BB28" s="42"/>
      <c r="BC28" s="42">
        <f t="shared" si="14"/>
        <v>1228500</v>
      </c>
      <c r="BD28" s="42">
        <f t="shared" si="15"/>
        <v>1328500</v>
      </c>
      <c r="BE28" s="42">
        <v>100000</v>
      </c>
      <c r="BF28" s="42">
        <v>530000</v>
      </c>
      <c r="BG28" s="42">
        <f>[11]Kredit!$E$1244</f>
        <v>882750</v>
      </c>
      <c r="BH28" s="42">
        <v>0</v>
      </c>
      <c r="BI28" s="42">
        <f t="shared" si="16"/>
        <v>1412750</v>
      </c>
      <c r="BJ28" s="42">
        <f t="shared" si="17"/>
        <v>1512750</v>
      </c>
      <c r="BK28" s="42">
        <v>100000</v>
      </c>
      <c r="BL28" s="42">
        <v>530000</v>
      </c>
      <c r="BM28" s="42">
        <f>[12]Credit!$E$1157</f>
        <v>998500</v>
      </c>
      <c r="BN28" s="42">
        <v>0</v>
      </c>
      <c r="BO28" s="42">
        <f t="shared" si="18"/>
        <v>1528500</v>
      </c>
      <c r="BP28" s="42">
        <f t="shared" si="19"/>
        <v>1628500</v>
      </c>
      <c r="BQ28" s="69">
        <f t="shared" si="20"/>
        <v>3975000</v>
      </c>
      <c r="BR28" s="37"/>
      <c r="BS28" s="36"/>
      <c r="BT28" s="36"/>
      <c r="BU28" s="36"/>
    </row>
    <row r="29" spans="1:73">
      <c r="A29" s="15">
        <f t="shared" si="0"/>
        <v>25</v>
      </c>
      <c r="B29" s="43">
        <v>10077776</v>
      </c>
      <c r="C29" s="44" t="s">
        <v>60</v>
      </c>
      <c r="D29" s="44" t="s">
        <v>41</v>
      </c>
      <c r="E29" s="42">
        <v>2775000</v>
      </c>
      <c r="F29" s="17">
        <v>100000</v>
      </c>
      <c r="G29" s="17">
        <f>175500</f>
        <v>175500</v>
      </c>
      <c r="H29" s="17">
        <f t="shared" si="25"/>
        <v>275500</v>
      </c>
      <c r="I29" s="17">
        <v>100000</v>
      </c>
      <c r="J29" s="17">
        <f>190500+119500</f>
        <v>310000</v>
      </c>
      <c r="K29" s="17">
        <f t="shared" si="26"/>
        <v>410000</v>
      </c>
      <c r="L29" s="17">
        <v>100000</v>
      </c>
      <c r="M29" s="17">
        <f>292500</f>
        <v>292500</v>
      </c>
      <c r="N29" s="17">
        <f t="shared" si="27"/>
        <v>392500</v>
      </c>
      <c r="O29" s="17">
        <v>100000</v>
      </c>
      <c r="P29" s="17">
        <f>173000+145000+213000</f>
        <v>531000</v>
      </c>
      <c r="Q29" s="17">
        <f t="shared" si="21"/>
        <v>631000</v>
      </c>
      <c r="R29" s="17">
        <v>100000</v>
      </c>
      <c r="S29" s="17">
        <v>0</v>
      </c>
      <c r="T29" s="17">
        <v>0</v>
      </c>
      <c r="U29" s="17">
        <v>0</v>
      </c>
      <c r="V29" s="17">
        <v>0</v>
      </c>
      <c r="W29" s="17">
        <f t="shared" si="5"/>
        <v>100000</v>
      </c>
      <c r="X29" s="17">
        <v>100000</v>
      </c>
      <c r="Y29" s="17">
        <v>795000</v>
      </c>
      <c r="Z29" s="17">
        <f>[8]Credit!$E$1158</f>
        <v>110000</v>
      </c>
      <c r="AA29" s="17"/>
      <c r="AB29" s="17">
        <v>10000</v>
      </c>
      <c r="AC29" s="17">
        <f t="shared" si="6"/>
        <v>915000</v>
      </c>
      <c r="AD29" s="17">
        <f t="shared" si="7"/>
        <v>1015000</v>
      </c>
      <c r="AE29" s="17">
        <v>100000</v>
      </c>
      <c r="AF29" s="17">
        <v>795000</v>
      </c>
      <c r="AG29" s="17">
        <f>[9]Credit!$F$716</f>
        <v>154000</v>
      </c>
      <c r="AH29" s="17"/>
      <c r="AI29" s="17"/>
      <c r="AJ29" s="17">
        <f t="shared" si="8"/>
        <v>949000</v>
      </c>
      <c r="AK29" s="17">
        <f t="shared" si="9"/>
        <v>1049000</v>
      </c>
      <c r="AL29" s="17">
        <v>100000</v>
      </c>
      <c r="AM29" s="42">
        <v>795000</v>
      </c>
      <c r="AN29" s="42">
        <f>[5]Credit!$E$1316</f>
        <v>19000</v>
      </c>
      <c r="AO29" s="42">
        <v>0</v>
      </c>
      <c r="AP29" s="17"/>
      <c r="AQ29" s="17">
        <f t="shared" si="10"/>
        <v>814000</v>
      </c>
      <c r="AR29" s="17">
        <f t="shared" si="11"/>
        <v>914000</v>
      </c>
      <c r="AS29" s="42">
        <v>100000</v>
      </c>
      <c r="AT29" s="42">
        <v>795000</v>
      </c>
      <c r="AU29" s="42">
        <f>[10]Credit!$E$1261</f>
        <v>195000</v>
      </c>
      <c r="AV29" s="42">
        <v>0</v>
      </c>
      <c r="AW29" s="17">
        <f t="shared" si="12"/>
        <v>990000</v>
      </c>
      <c r="AX29" s="42">
        <f t="shared" si="13"/>
        <v>1090000</v>
      </c>
      <c r="AY29" s="42">
        <v>100000</v>
      </c>
      <c r="AZ29" s="42">
        <f>[6]Credit!$F$1252</f>
        <v>159000</v>
      </c>
      <c r="BA29" s="42">
        <v>636000</v>
      </c>
      <c r="BB29" s="42"/>
      <c r="BC29" s="42">
        <f t="shared" si="14"/>
        <v>795000</v>
      </c>
      <c r="BD29" s="42">
        <f t="shared" si="15"/>
        <v>895000</v>
      </c>
      <c r="BE29" s="42">
        <v>100000</v>
      </c>
      <c r="BF29" s="42">
        <v>636000</v>
      </c>
      <c r="BG29" s="42">
        <f>[11]Kredit!$E$1252</f>
        <v>280000</v>
      </c>
      <c r="BH29" s="42">
        <v>0</v>
      </c>
      <c r="BI29" s="42">
        <f t="shared" si="16"/>
        <v>916000</v>
      </c>
      <c r="BJ29" s="42">
        <f t="shared" si="17"/>
        <v>1016000</v>
      </c>
      <c r="BK29" s="42">
        <v>100000</v>
      </c>
      <c r="BL29" s="42">
        <v>636000</v>
      </c>
      <c r="BM29" s="42">
        <f>[12]Credit!$E$1162</f>
        <v>93500</v>
      </c>
      <c r="BN29" s="42">
        <v>0</v>
      </c>
      <c r="BO29" s="42">
        <f t="shared" si="18"/>
        <v>729500</v>
      </c>
      <c r="BP29" s="42">
        <f t="shared" si="19"/>
        <v>829500</v>
      </c>
      <c r="BQ29" s="69">
        <f t="shared" si="20"/>
        <v>3975000</v>
      </c>
      <c r="BR29" s="37"/>
    </row>
    <row r="30" spans="1:73">
      <c r="A30" s="15">
        <f t="shared" si="0"/>
        <v>26</v>
      </c>
      <c r="B30" s="43">
        <v>99112036</v>
      </c>
      <c r="C30" s="44" t="s">
        <v>61</v>
      </c>
      <c r="D30" s="44" t="s">
        <v>41</v>
      </c>
      <c r="E30" s="42">
        <v>2775000</v>
      </c>
      <c r="F30" s="17">
        <v>100000</v>
      </c>
      <c r="G30" s="17"/>
      <c r="H30" s="17">
        <f t="shared" si="25"/>
        <v>100000</v>
      </c>
      <c r="I30" s="17">
        <v>100000</v>
      </c>
      <c r="J30" s="17"/>
      <c r="K30" s="17">
        <f t="shared" si="26"/>
        <v>100000</v>
      </c>
      <c r="L30" s="17">
        <v>100000</v>
      </c>
      <c r="M30" s="17"/>
      <c r="N30" s="17">
        <f t="shared" si="27"/>
        <v>100000</v>
      </c>
      <c r="O30" s="17">
        <v>100000</v>
      </c>
      <c r="P30" s="17">
        <f>84500+7000+270000</f>
        <v>361500</v>
      </c>
      <c r="Q30" s="17">
        <f t="shared" si="21"/>
        <v>461500</v>
      </c>
      <c r="R30" s="17">
        <v>100000</v>
      </c>
      <c r="S30" s="17">
        <v>0</v>
      </c>
      <c r="T30" s="17">
        <f>[7]System!$F$1069</f>
        <v>107500</v>
      </c>
      <c r="U30" s="17">
        <v>0</v>
      </c>
      <c r="V30" s="17">
        <v>0</v>
      </c>
      <c r="W30" s="17">
        <f t="shared" si="5"/>
        <v>207500</v>
      </c>
      <c r="X30" s="17">
        <v>100000</v>
      </c>
      <c r="Y30" s="17"/>
      <c r="Z30" s="17">
        <f>[8]Credit!$E$1163</f>
        <v>24000</v>
      </c>
      <c r="AA30" s="17"/>
      <c r="AB30" s="17"/>
      <c r="AC30" s="17">
        <f t="shared" si="6"/>
        <v>24000</v>
      </c>
      <c r="AD30" s="17">
        <f t="shared" si="7"/>
        <v>124000</v>
      </c>
      <c r="AE30" s="17">
        <v>100000</v>
      </c>
      <c r="AF30" s="17"/>
      <c r="AG30" s="17">
        <f>[9]Credit!$F$726</f>
        <v>68000</v>
      </c>
      <c r="AH30" s="17"/>
      <c r="AI30" s="17"/>
      <c r="AJ30" s="17">
        <f t="shared" si="8"/>
        <v>68000</v>
      </c>
      <c r="AK30" s="17">
        <f t="shared" si="9"/>
        <v>168000</v>
      </c>
      <c r="AL30" s="17">
        <v>100000</v>
      </c>
      <c r="AM30" s="42">
        <v>0</v>
      </c>
      <c r="AN30" s="42">
        <f>[5]Credit!$E$1327</f>
        <v>57000</v>
      </c>
      <c r="AO30" s="42">
        <v>0</v>
      </c>
      <c r="AP30" s="17"/>
      <c r="AQ30" s="17">
        <f t="shared" si="10"/>
        <v>57000</v>
      </c>
      <c r="AR30" s="17">
        <f t="shared" si="11"/>
        <v>157000</v>
      </c>
      <c r="AS30" s="42">
        <v>100000</v>
      </c>
      <c r="AT30" s="42">
        <v>0</v>
      </c>
      <c r="AU30" s="42">
        <f>[10]Credit!$E$1271</f>
        <v>72500</v>
      </c>
      <c r="AV30" s="42">
        <v>0</v>
      </c>
      <c r="AW30" s="17">
        <f t="shared" si="12"/>
        <v>72500</v>
      </c>
      <c r="AX30" s="42">
        <f t="shared" si="13"/>
        <v>172500</v>
      </c>
      <c r="AY30" s="42">
        <v>100000</v>
      </c>
      <c r="AZ30" s="42">
        <f>[6]Credit!$F$1264</f>
        <v>60000</v>
      </c>
      <c r="BA30" s="42"/>
      <c r="BB30" s="42"/>
      <c r="BC30" s="42">
        <f t="shared" si="14"/>
        <v>60000</v>
      </c>
      <c r="BD30" s="42">
        <f t="shared" si="15"/>
        <v>160000</v>
      </c>
      <c r="BE30" s="42">
        <v>100000</v>
      </c>
      <c r="BF30" s="42">
        <v>0</v>
      </c>
      <c r="BG30" s="42">
        <f>[11]Kredit!$E$1269</f>
        <v>104000</v>
      </c>
      <c r="BH30" s="42">
        <v>0</v>
      </c>
      <c r="BI30" s="42">
        <f t="shared" si="16"/>
        <v>104000</v>
      </c>
      <c r="BJ30" s="42">
        <f t="shared" si="17"/>
        <v>204000</v>
      </c>
      <c r="BK30" s="42">
        <v>100000</v>
      </c>
      <c r="BL30" s="42">
        <v>0</v>
      </c>
      <c r="BM30" s="42">
        <f>[12]Credit!$E$1176</f>
        <v>55500</v>
      </c>
      <c r="BN30" s="42">
        <v>0</v>
      </c>
      <c r="BO30" s="42">
        <f t="shared" si="18"/>
        <v>55500</v>
      </c>
      <c r="BP30" s="42">
        <f t="shared" si="19"/>
        <v>155500</v>
      </c>
      <c r="BQ30" s="69">
        <f t="shared" si="20"/>
        <v>3975000</v>
      </c>
      <c r="BR30" s="51" t="s">
        <v>379</v>
      </c>
    </row>
    <row r="31" spans="1:73">
      <c r="A31" s="15">
        <f t="shared" si="0"/>
        <v>27</v>
      </c>
      <c r="B31" s="66">
        <v>97111466</v>
      </c>
      <c r="C31" s="44" t="s">
        <v>62</v>
      </c>
      <c r="D31" s="44" t="s">
        <v>41</v>
      </c>
      <c r="E31" s="42">
        <v>2775000</v>
      </c>
      <c r="F31" s="17">
        <v>100000</v>
      </c>
      <c r="G31" s="17">
        <f>795000</f>
        <v>795000</v>
      </c>
      <c r="H31" s="17">
        <f t="shared" si="25"/>
        <v>895000</v>
      </c>
      <c r="I31" s="17">
        <v>100000</v>
      </c>
      <c r="J31" s="17">
        <f>795000</f>
        <v>795000</v>
      </c>
      <c r="K31" s="17">
        <f t="shared" si="26"/>
        <v>895000</v>
      </c>
      <c r="L31" s="17">
        <v>100000</v>
      </c>
      <c r="M31" s="17">
        <f>795000+190000</f>
        <v>985000</v>
      </c>
      <c r="N31" s="17">
        <f t="shared" si="27"/>
        <v>1085000</v>
      </c>
      <c r="O31" s="17">
        <v>100000</v>
      </c>
      <c r="P31" s="17">
        <f>107500+795000</f>
        <v>902500</v>
      </c>
      <c r="Q31" s="17">
        <f t="shared" si="21"/>
        <v>1002500</v>
      </c>
      <c r="R31" s="17">
        <v>100000</v>
      </c>
      <c r="S31" s="17">
        <f>795000</f>
        <v>795000</v>
      </c>
      <c r="T31" s="17">
        <f>[7]System!$F$1130</f>
        <v>191000</v>
      </c>
      <c r="U31" s="17">
        <v>0</v>
      </c>
      <c r="V31" s="17">
        <f>21000+30000+31000</f>
        <v>82000</v>
      </c>
      <c r="W31" s="17">
        <f t="shared" si="5"/>
        <v>1168000</v>
      </c>
      <c r="X31" s="17">
        <v>100000</v>
      </c>
      <c r="Y31" s="17">
        <v>795000</v>
      </c>
      <c r="Z31" s="17">
        <f>[8]Credit!$E$1239</f>
        <v>341000</v>
      </c>
      <c r="AA31" s="17">
        <v>363333</v>
      </c>
      <c r="AB31" s="17">
        <v>50000</v>
      </c>
      <c r="AC31" s="17">
        <f t="shared" si="6"/>
        <v>1549333</v>
      </c>
      <c r="AD31" s="17">
        <f t="shared" si="7"/>
        <v>1649333</v>
      </c>
      <c r="AE31" s="17">
        <v>100000</v>
      </c>
      <c r="AF31" s="17">
        <v>795000</v>
      </c>
      <c r="AG31" s="17">
        <f>[9]Credit!$F$765</f>
        <v>359000</v>
      </c>
      <c r="AH31" s="17">
        <v>363333</v>
      </c>
      <c r="AI31" s="17"/>
      <c r="AJ31" s="17">
        <f t="shared" si="8"/>
        <v>1517333</v>
      </c>
      <c r="AK31" s="17">
        <f t="shared" si="9"/>
        <v>1617333</v>
      </c>
      <c r="AL31" s="17">
        <v>100000</v>
      </c>
      <c r="AM31" s="42">
        <v>530000</v>
      </c>
      <c r="AN31" s="42">
        <f>[5]Credit!$E$1408</f>
        <v>90000</v>
      </c>
      <c r="AO31" s="42">
        <v>363333</v>
      </c>
      <c r="AP31" s="17"/>
      <c r="AQ31" s="17">
        <f t="shared" si="10"/>
        <v>983333</v>
      </c>
      <c r="AR31" s="17">
        <f t="shared" si="11"/>
        <v>1083333</v>
      </c>
      <c r="AS31" s="42">
        <v>100000</v>
      </c>
      <c r="AT31" s="42">
        <v>530000</v>
      </c>
      <c r="AU31" s="42">
        <f>[10]Credit!$E$1361</f>
        <v>303000</v>
      </c>
      <c r="AV31" s="42">
        <v>363333</v>
      </c>
      <c r="AW31" s="17">
        <f t="shared" si="12"/>
        <v>1196333</v>
      </c>
      <c r="AX31" s="42">
        <f t="shared" si="13"/>
        <v>1296333</v>
      </c>
      <c r="AY31" s="42">
        <v>100000</v>
      </c>
      <c r="AZ31" s="42">
        <f>[6]Credit!$F$1342</f>
        <v>240000</v>
      </c>
      <c r="BA31" s="42">
        <v>530000</v>
      </c>
      <c r="BB31" s="42">
        <v>363333</v>
      </c>
      <c r="BC31" s="42">
        <f t="shared" si="14"/>
        <v>1133333</v>
      </c>
      <c r="BD31" s="42">
        <f t="shared" si="15"/>
        <v>1233333</v>
      </c>
      <c r="BE31" s="42">
        <v>100000</v>
      </c>
      <c r="BF31" s="42">
        <v>530000</v>
      </c>
      <c r="BG31" s="42">
        <f>[11]Kredit!$E$1368</f>
        <v>442000</v>
      </c>
      <c r="BH31" s="42">
        <f>363333+363400</f>
        <v>726733</v>
      </c>
      <c r="BI31" s="42">
        <f t="shared" si="16"/>
        <v>1698733</v>
      </c>
      <c r="BJ31" s="42">
        <f t="shared" si="17"/>
        <v>1798733</v>
      </c>
      <c r="BK31" s="42">
        <v>100000</v>
      </c>
      <c r="BL31" s="42">
        <v>530000</v>
      </c>
      <c r="BM31" s="42">
        <f>[12]Credit!$E$1275</f>
        <v>319000</v>
      </c>
      <c r="BN31" s="42">
        <v>363400</v>
      </c>
      <c r="BO31" s="42">
        <f t="shared" si="18"/>
        <v>1212400</v>
      </c>
      <c r="BP31" s="42">
        <f t="shared" si="19"/>
        <v>1312400</v>
      </c>
      <c r="BQ31" s="69">
        <f t="shared" si="20"/>
        <v>3975000</v>
      </c>
      <c r="BR31" s="37" t="s">
        <v>381</v>
      </c>
    </row>
    <row r="32" spans="1:73" s="4" customFormat="1" ht="13">
      <c r="A32" s="15">
        <f t="shared" si="0"/>
        <v>28</v>
      </c>
      <c r="B32" s="55">
        <v>16080516</v>
      </c>
      <c r="C32" s="44" t="s">
        <v>378</v>
      </c>
      <c r="D32" s="44" t="s">
        <v>41</v>
      </c>
      <c r="E32" s="42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42"/>
      <c r="AN32" s="42"/>
      <c r="AO32" s="42"/>
      <c r="AP32" s="17"/>
      <c r="AQ32" s="17"/>
      <c r="AR32" s="17"/>
      <c r="AS32" s="42"/>
      <c r="AT32" s="42"/>
      <c r="AU32" s="42"/>
      <c r="AV32" s="42"/>
      <c r="AW32" s="17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>
        <v>200000</v>
      </c>
      <c r="BL32" s="42">
        <v>0</v>
      </c>
      <c r="BM32" s="42"/>
      <c r="BN32" s="42">
        <v>0</v>
      </c>
      <c r="BO32" s="42">
        <f t="shared" si="18"/>
        <v>0</v>
      </c>
      <c r="BP32" s="42">
        <f t="shared" si="19"/>
        <v>200000</v>
      </c>
      <c r="BQ32" s="69">
        <f t="shared" si="20"/>
        <v>200000</v>
      </c>
      <c r="BR32" s="37"/>
      <c r="BS32" s="36"/>
      <c r="BT32" s="36"/>
      <c r="BU32" s="36"/>
    </row>
    <row r="33" spans="1:73" s="4" customFormat="1" ht="13">
      <c r="A33" s="15">
        <f t="shared" si="0"/>
        <v>29</v>
      </c>
      <c r="B33" s="50">
        <v>14020489</v>
      </c>
      <c r="C33" s="44" t="s">
        <v>380</v>
      </c>
      <c r="D33" s="44" t="s">
        <v>65</v>
      </c>
      <c r="E33" s="42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>
        <v>200000</v>
      </c>
      <c r="S33" s="17">
        <v>0</v>
      </c>
      <c r="T33" s="17">
        <v>0</v>
      </c>
      <c r="U33" s="17">
        <v>0</v>
      </c>
      <c r="V33" s="17">
        <v>0</v>
      </c>
      <c r="W33" s="17">
        <f t="shared" ref="W33:W58" si="28">SUM(R33:V33)</f>
        <v>200000</v>
      </c>
      <c r="X33" s="17">
        <v>100000</v>
      </c>
      <c r="Y33" s="17"/>
      <c r="Z33" s="17">
        <f>[8]Credit!$E$12</f>
        <v>20500</v>
      </c>
      <c r="AA33" s="17"/>
      <c r="AB33" s="17"/>
      <c r="AC33" s="17">
        <f t="shared" ref="AC33:AC58" si="29">SUM(Y33:AB33)</f>
        <v>20500</v>
      </c>
      <c r="AD33" s="17">
        <f t="shared" ref="AD33:AD58" si="30">AC33+X33</f>
        <v>120500</v>
      </c>
      <c r="AE33" s="17">
        <v>100000</v>
      </c>
      <c r="AF33" s="17"/>
      <c r="AG33" s="17"/>
      <c r="AH33" s="17"/>
      <c r="AI33" s="17"/>
      <c r="AJ33" s="17">
        <f t="shared" ref="AJ33:AJ58" si="31">SUM(AF33:AI33)</f>
        <v>0</v>
      </c>
      <c r="AK33" s="17">
        <f t="shared" ref="AK33:AK58" si="32">AE33+AJ33</f>
        <v>100000</v>
      </c>
      <c r="AL33" s="17">
        <v>100000</v>
      </c>
      <c r="AM33" s="42">
        <v>0</v>
      </c>
      <c r="AN33" s="42">
        <v>0</v>
      </c>
      <c r="AO33" s="42">
        <v>0</v>
      </c>
      <c r="AP33" s="17"/>
      <c r="AQ33" s="17">
        <f t="shared" ref="AQ33:AQ58" si="33">SUM(AM33:AP33)</f>
        <v>0</v>
      </c>
      <c r="AR33" s="17">
        <f t="shared" ref="AR33:AR58" si="34">AL33+AQ33</f>
        <v>100000</v>
      </c>
      <c r="AS33" s="42">
        <v>100000</v>
      </c>
      <c r="AT33" s="42">
        <v>0</v>
      </c>
      <c r="AU33" s="42">
        <f>[10]Credit!$E$12</f>
        <v>138000</v>
      </c>
      <c r="AV33" s="42">
        <v>0</v>
      </c>
      <c r="AW33" s="17">
        <f t="shared" ref="AW33:AW58" si="35">SUM(AT33:AV33)</f>
        <v>138000</v>
      </c>
      <c r="AX33" s="42">
        <f t="shared" ref="AX33:AX58" si="36">AS33+AW33</f>
        <v>238000</v>
      </c>
      <c r="AY33" s="42">
        <v>100000</v>
      </c>
      <c r="AZ33" s="42">
        <f>[6]Credit!$F$13</f>
        <v>14000</v>
      </c>
      <c r="BA33" s="42"/>
      <c r="BB33" s="42"/>
      <c r="BC33" s="42">
        <f t="shared" ref="BC33:BC44" si="37">SUM(AZ33:BB33)</f>
        <v>14000</v>
      </c>
      <c r="BD33" s="42">
        <f t="shared" ref="BD33:BD58" si="38">AY33+BC33</f>
        <v>114000</v>
      </c>
      <c r="BE33" s="42">
        <v>100000</v>
      </c>
      <c r="BF33" s="42">
        <v>0</v>
      </c>
      <c r="BG33" s="42">
        <f>[11]Kredit!$E$16</f>
        <v>20000</v>
      </c>
      <c r="BH33" s="42">
        <v>0</v>
      </c>
      <c r="BI33" s="42">
        <f t="shared" ref="BI33:BI64" si="39">SUM(BF33:BH33)</f>
        <v>20000</v>
      </c>
      <c r="BJ33" s="42">
        <f t="shared" ref="BJ33:BJ64" si="40">BE33+BI33</f>
        <v>120000</v>
      </c>
      <c r="BK33" s="42">
        <v>100000</v>
      </c>
      <c r="BL33" s="42">
        <v>0</v>
      </c>
      <c r="BM33" s="42">
        <f>[12]Credit!$E$15</f>
        <v>8000</v>
      </c>
      <c r="BN33" s="42">
        <v>0</v>
      </c>
      <c r="BO33" s="42">
        <f t="shared" si="18"/>
        <v>8000</v>
      </c>
      <c r="BP33" s="42">
        <f t="shared" si="19"/>
        <v>108000</v>
      </c>
      <c r="BQ33" s="69">
        <f t="shared" si="20"/>
        <v>900000</v>
      </c>
      <c r="BR33" s="37"/>
      <c r="BS33" s="36"/>
      <c r="BT33" s="36"/>
      <c r="BU33" s="36"/>
    </row>
    <row r="34" spans="1:73" s="4" customFormat="1" ht="13">
      <c r="A34" s="15">
        <f t="shared" si="0"/>
        <v>30</v>
      </c>
      <c r="B34" s="43">
        <v>97031339</v>
      </c>
      <c r="C34" s="44" t="s">
        <v>67</v>
      </c>
      <c r="D34" s="44" t="s">
        <v>65</v>
      </c>
      <c r="E34" s="42">
        <v>2775000</v>
      </c>
      <c r="F34" s="17">
        <v>100000</v>
      </c>
      <c r="G34" s="17"/>
      <c r="H34" s="17">
        <f t="shared" ref="H34:H52" si="41">F34+G34</f>
        <v>100000</v>
      </c>
      <c r="I34" s="17">
        <v>100000</v>
      </c>
      <c r="J34" s="17">
        <f>225000</f>
        <v>225000</v>
      </c>
      <c r="K34" s="17">
        <f t="shared" ref="K34:K52" si="42">I34+J34</f>
        <v>325000</v>
      </c>
      <c r="L34" s="17">
        <v>100000</v>
      </c>
      <c r="M34" s="17">
        <v>166000</v>
      </c>
      <c r="N34" s="17">
        <f t="shared" ref="N34:N55" si="43">L34+M34</f>
        <v>266000</v>
      </c>
      <c r="O34" s="17">
        <v>100000</v>
      </c>
      <c r="P34" s="17">
        <f>242000</f>
        <v>242000</v>
      </c>
      <c r="Q34" s="17">
        <f t="shared" ref="Q34:Q58" si="44">O34+P34</f>
        <v>342000</v>
      </c>
      <c r="R34" s="17">
        <v>100000</v>
      </c>
      <c r="S34" s="17">
        <v>0</v>
      </c>
      <c r="T34" s="17">
        <f>[7]System!$F$476</f>
        <v>239000</v>
      </c>
      <c r="U34" s="17">
        <v>0</v>
      </c>
      <c r="V34" s="17">
        <v>0</v>
      </c>
      <c r="W34" s="17">
        <f t="shared" si="28"/>
        <v>339000</v>
      </c>
      <c r="X34" s="17">
        <v>100000</v>
      </c>
      <c r="Y34" s="17"/>
      <c r="Z34" s="17">
        <f>[8]Credit!$E$503</f>
        <v>246500</v>
      </c>
      <c r="AA34" s="17"/>
      <c r="AB34" s="17"/>
      <c r="AC34" s="17">
        <f t="shared" si="29"/>
        <v>246500</v>
      </c>
      <c r="AD34" s="17">
        <f t="shared" si="30"/>
        <v>346500</v>
      </c>
      <c r="AE34" s="17">
        <v>100000</v>
      </c>
      <c r="AF34" s="17"/>
      <c r="AG34" s="17">
        <f>[9]Credit!$F$327</f>
        <v>213500</v>
      </c>
      <c r="AH34" s="17"/>
      <c r="AI34" s="17"/>
      <c r="AJ34" s="17">
        <f t="shared" si="31"/>
        <v>213500</v>
      </c>
      <c r="AK34" s="17">
        <f t="shared" si="32"/>
        <v>313500</v>
      </c>
      <c r="AL34" s="17">
        <v>100000</v>
      </c>
      <c r="AM34" s="42">
        <v>0</v>
      </c>
      <c r="AN34" s="42">
        <f>[5]Credit!$E$581</f>
        <v>175000</v>
      </c>
      <c r="AO34" s="42">
        <v>545000</v>
      </c>
      <c r="AP34" s="17"/>
      <c r="AQ34" s="17">
        <f t="shared" si="33"/>
        <v>720000</v>
      </c>
      <c r="AR34" s="17">
        <f t="shared" si="34"/>
        <v>820000</v>
      </c>
      <c r="AS34" s="42">
        <v>100000</v>
      </c>
      <c r="AT34" s="42">
        <v>0</v>
      </c>
      <c r="AU34" s="42">
        <f>[10]Credit!$E$571</f>
        <v>260000</v>
      </c>
      <c r="AV34" s="42">
        <v>545000</v>
      </c>
      <c r="AW34" s="17">
        <f t="shared" si="35"/>
        <v>805000</v>
      </c>
      <c r="AX34" s="42">
        <f t="shared" si="36"/>
        <v>905000</v>
      </c>
      <c r="AY34" s="42">
        <v>100000</v>
      </c>
      <c r="AZ34" s="42">
        <f>[6]Credit!$F$579</f>
        <v>166000</v>
      </c>
      <c r="BA34" s="42"/>
      <c r="BB34" s="42">
        <v>545000</v>
      </c>
      <c r="BC34" s="42">
        <f t="shared" si="37"/>
        <v>711000</v>
      </c>
      <c r="BD34" s="42">
        <f t="shared" si="38"/>
        <v>811000</v>
      </c>
      <c r="BE34" s="42">
        <v>100000</v>
      </c>
      <c r="BF34" s="42">
        <v>0</v>
      </c>
      <c r="BG34" s="42">
        <f>[11]Kredit!$E$644</f>
        <v>172000</v>
      </c>
      <c r="BH34" s="42">
        <v>545000</v>
      </c>
      <c r="BI34" s="42">
        <f t="shared" si="39"/>
        <v>717000</v>
      </c>
      <c r="BJ34" s="42">
        <f t="shared" si="40"/>
        <v>817000</v>
      </c>
      <c r="BK34" s="42">
        <v>100000</v>
      </c>
      <c r="BL34" s="42">
        <v>0</v>
      </c>
      <c r="BM34" s="42">
        <f>[12]Credit!$E$618</f>
        <v>348000</v>
      </c>
      <c r="BN34" s="42">
        <v>545000</v>
      </c>
      <c r="BO34" s="42">
        <f t="shared" si="18"/>
        <v>893000</v>
      </c>
      <c r="BP34" s="42">
        <f t="shared" si="19"/>
        <v>993000</v>
      </c>
      <c r="BQ34" s="69">
        <f t="shared" si="20"/>
        <v>3975000</v>
      </c>
      <c r="BR34" s="38" t="s">
        <v>377</v>
      </c>
      <c r="BS34" s="36"/>
      <c r="BT34" s="36"/>
      <c r="BU34" s="36"/>
    </row>
    <row r="35" spans="1:73" s="4" customFormat="1" ht="13">
      <c r="A35" s="15">
        <f t="shared" si="0"/>
        <v>31</v>
      </c>
      <c r="B35" s="50" t="s">
        <v>71</v>
      </c>
      <c r="C35" s="44" t="s">
        <v>72</v>
      </c>
      <c r="D35" s="44" t="s">
        <v>65</v>
      </c>
      <c r="E35" s="42">
        <v>1900000</v>
      </c>
      <c r="F35" s="17">
        <v>100000</v>
      </c>
      <c r="G35" s="17">
        <f>65000</f>
        <v>65000</v>
      </c>
      <c r="H35" s="17">
        <f t="shared" si="41"/>
        <v>165000</v>
      </c>
      <c r="I35" s="17">
        <v>100000</v>
      </c>
      <c r="J35" s="17"/>
      <c r="K35" s="17">
        <f t="shared" si="42"/>
        <v>100000</v>
      </c>
      <c r="L35" s="17">
        <v>100000</v>
      </c>
      <c r="M35" s="17"/>
      <c r="N35" s="17">
        <f t="shared" si="43"/>
        <v>100000</v>
      </c>
      <c r="O35" s="17">
        <v>100000</v>
      </c>
      <c r="P35" s="17">
        <f>52000+23000</f>
        <v>75000</v>
      </c>
      <c r="Q35" s="17">
        <f t="shared" si="44"/>
        <v>175000</v>
      </c>
      <c r="R35" s="17">
        <v>100000</v>
      </c>
      <c r="S35" s="17">
        <v>0</v>
      </c>
      <c r="T35" s="17">
        <f>[7]System!$F$956</f>
        <v>32000</v>
      </c>
      <c r="U35" s="17">
        <v>0</v>
      </c>
      <c r="V35" s="17">
        <f>15000+21000</f>
        <v>36000</v>
      </c>
      <c r="W35" s="17">
        <f t="shared" si="28"/>
        <v>168000</v>
      </c>
      <c r="X35" s="17">
        <v>100000</v>
      </c>
      <c r="Y35" s="17"/>
      <c r="Z35" s="17">
        <f>[8]Credit!$E$1070</f>
        <v>18000</v>
      </c>
      <c r="AA35" s="17"/>
      <c r="AB35" s="17">
        <v>45000</v>
      </c>
      <c r="AC35" s="17">
        <f t="shared" si="29"/>
        <v>63000</v>
      </c>
      <c r="AD35" s="17">
        <f t="shared" si="30"/>
        <v>163000</v>
      </c>
      <c r="AE35" s="17">
        <v>100000</v>
      </c>
      <c r="AF35" s="17"/>
      <c r="AG35" s="17">
        <f>[9]Credit!$F$663</f>
        <v>150000</v>
      </c>
      <c r="AH35" s="17"/>
      <c r="AI35" s="17"/>
      <c r="AJ35" s="17">
        <f t="shared" si="31"/>
        <v>150000</v>
      </c>
      <c r="AK35" s="17">
        <f t="shared" si="32"/>
        <v>250000</v>
      </c>
      <c r="AL35" s="17">
        <v>100000</v>
      </c>
      <c r="AM35" s="42">
        <v>0</v>
      </c>
      <c r="AN35" s="42">
        <f>[5]Credit!$E$1204</f>
        <v>15000</v>
      </c>
      <c r="AO35" s="42">
        <v>0</v>
      </c>
      <c r="AP35" s="17"/>
      <c r="AQ35" s="17">
        <f t="shared" si="33"/>
        <v>15000</v>
      </c>
      <c r="AR35" s="17">
        <f t="shared" si="34"/>
        <v>115000</v>
      </c>
      <c r="AS35" s="42">
        <v>100000</v>
      </c>
      <c r="AT35" s="42">
        <v>1061000</v>
      </c>
      <c r="AU35" s="42">
        <f>[10]Credit!$E$1148</f>
        <v>31000</v>
      </c>
      <c r="AV35" s="42">
        <v>0</v>
      </c>
      <c r="AW35" s="17">
        <f t="shared" si="35"/>
        <v>1092000</v>
      </c>
      <c r="AX35" s="42">
        <f t="shared" si="36"/>
        <v>1192000</v>
      </c>
      <c r="AY35" s="42">
        <v>100000</v>
      </c>
      <c r="AZ35" s="42">
        <f>[6]Credit!$F$1160</f>
        <v>400000</v>
      </c>
      <c r="BA35" s="42">
        <v>1061000</v>
      </c>
      <c r="BB35" s="42"/>
      <c r="BC35" s="42">
        <f t="shared" si="37"/>
        <v>1461000</v>
      </c>
      <c r="BD35" s="42">
        <f t="shared" si="38"/>
        <v>1561000</v>
      </c>
      <c r="BE35" s="42">
        <v>100000</v>
      </c>
      <c r="BF35" s="42">
        <v>1061000</v>
      </c>
      <c r="BG35" s="42">
        <f>[11]Kredit!$E$1140</f>
        <v>350500</v>
      </c>
      <c r="BH35" s="42">
        <v>0</v>
      </c>
      <c r="BI35" s="42">
        <f t="shared" si="39"/>
        <v>1411500</v>
      </c>
      <c r="BJ35" s="42">
        <f t="shared" si="40"/>
        <v>1511500</v>
      </c>
      <c r="BK35" s="42">
        <v>100000</v>
      </c>
      <c r="BL35" s="42">
        <v>1061000</v>
      </c>
      <c r="BM35" s="42">
        <f>[12]Credit!$E$1063</f>
        <v>244500</v>
      </c>
      <c r="BN35" s="42">
        <v>0</v>
      </c>
      <c r="BO35" s="42">
        <f t="shared" si="18"/>
        <v>1305500</v>
      </c>
      <c r="BP35" s="42">
        <f t="shared" si="19"/>
        <v>1405500</v>
      </c>
      <c r="BQ35" s="69">
        <f t="shared" si="20"/>
        <v>3100000</v>
      </c>
      <c r="BR35" s="37"/>
      <c r="BS35" s="36"/>
      <c r="BT35" s="36"/>
      <c r="BU35" s="36"/>
    </row>
    <row r="36" spans="1:73" s="4" customFormat="1" ht="13">
      <c r="A36" s="15">
        <f t="shared" si="0"/>
        <v>32</v>
      </c>
      <c r="B36" s="43">
        <v>97081389</v>
      </c>
      <c r="C36" s="44" t="s">
        <v>73</v>
      </c>
      <c r="D36" s="44" t="s">
        <v>65</v>
      </c>
      <c r="E36" s="42">
        <v>2775000</v>
      </c>
      <c r="F36" s="17">
        <v>100000</v>
      </c>
      <c r="G36" s="17">
        <f>540000+273500</f>
        <v>813500</v>
      </c>
      <c r="H36" s="17">
        <f t="shared" si="41"/>
        <v>913500</v>
      </c>
      <c r="I36" s="17">
        <v>100000</v>
      </c>
      <c r="J36" s="17">
        <f>540000+417000</f>
        <v>957000</v>
      </c>
      <c r="K36" s="17">
        <f t="shared" si="42"/>
        <v>1057000</v>
      </c>
      <c r="L36" s="17">
        <v>100000</v>
      </c>
      <c r="M36" s="17">
        <f>540000+532000</f>
        <v>1072000</v>
      </c>
      <c r="N36" s="17">
        <f t="shared" si="43"/>
        <v>1172000</v>
      </c>
      <c r="O36" s="17">
        <v>100000</v>
      </c>
      <c r="P36" s="17">
        <v>708500</v>
      </c>
      <c r="Q36" s="17">
        <f t="shared" si="44"/>
        <v>808500</v>
      </c>
      <c r="R36" s="17">
        <v>100000</v>
      </c>
      <c r="S36" s="17">
        <f>708500</f>
        <v>708500</v>
      </c>
      <c r="T36" s="17">
        <v>0</v>
      </c>
      <c r="U36" s="17">
        <v>0</v>
      </c>
      <c r="V36" s="17">
        <v>0</v>
      </c>
      <c r="W36" s="17">
        <f t="shared" si="28"/>
        <v>808500</v>
      </c>
      <c r="X36" s="17">
        <v>100000</v>
      </c>
      <c r="Y36" s="17">
        <v>708500</v>
      </c>
      <c r="Z36" s="17">
        <f>[8]Credit!$E$1265</f>
        <v>12000</v>
      </c>
      <c r="AA36" s="17"/>
      <c r="AB36" s="17">
        <f>40000+20000+25000</f>
        <v>85000</v>
      </c>
      <c r="AC36" s="17">
        <f t="shared" si="29"/>
        <v>805500</v>
      </c>
      <c r="AD36" s="17">
        <f t="shared" si="30"/>
        <v>905500</v>
      </c>
      <c r="AE36" s="17">
        <v>100000</v>
      </c>
      <c r="AF36" s="17">
        <v>708500</v>
      </c>
      <c r="AG36" s="17"/>
      <c r="AH36" s="17"/>
      <c r="AI36" s="17"/>
      <c r="AJ36" s="17">
        <f t="shared" si="31"/>
        <v>708500</v>
      </c>
      <c r="AK36" s="17">
        <f t="shared" si="32"/>
        <v>808500</v>
      </c>
      <c r="AL36" s="17">
        <v>100000</v>
      </c>
      <c r="AM36" s="42">
        <v>708500</v>
      </c>
      <c r="AN36" s="42">
        <v>0</v>
      </c>
      <c r="AO36" s="42">
        <v>0</v>
      </c>
      <c r="AP36" s="17"/>
      <c r="AQ36" s="17">
        <f t="shared" si="33"/>
        <v>708500</v>
      </c>
      <c r="AR36" s="17">
        <f t="shared" si="34"/>
        <v>808500</v>
      </c>
      <c r="AS36" s="42">
        <v>100000</v>
      </c>
      <c r="AT36" s="42">
        <v>663125</v>
      </c>
      <c r="AU36" s="42">
        <f>[10]Credit!$E$1424</f>
        <v>361000</v>
      </c>
      <c r="AV36" s="42">
        <v>0</v>
      </c>
      <c r="AW36" s="17">
        <f t="shared" si="35"/>
        <v>1024125</v>
      </c>
      <c r="AX36" s="42">
        <f t="shared" si="36"/>
        <v>1124125</v>
      </c>
      <c r="AY36" s="42">
        <v>100000</v>
      </c>
      <c r="AZ36" s="42">
        <f>[6]Credit!$F$1411</f>
        <v>719500</v>
      </c>
      <c r="BA36" s="42">
        <v>663125</v>
      </c>
      <c r="BB36" s="42"/>
      <c r="BC36" s="42">
        <f t="shared" si="37"/>
        <v>1382625</v>
      </c>
      <c r="BD36" s="42">
        <f t="shared" si="38"/>
        <v>1482625</v>
      </c>
      <c r="BE36" s="42">
        <v>100000</v>
      </c>
      <c r="BF36" s="42">
        <v>663125</v>
      </c>
      <c r="BG36" s="42">
        <f>[11]Kredit!$E$1435</f>
        <v>672000</v>
      </c>
      <c r="BH36" s="42">
        <v>0</v>
      </c>
      <c r="BI36" s="42">
        <f t="shared" si="39"/>
        <v>1335125</v>
      </c>
      <c r="BJ36" s="42">
        <f t="shared" si="40"/>
        <v>1435125</v>
      </c>
      <c r="BK36" s="42">
        <v>100000</v>
      </c>
      <c r="BL36" s="42">
        <v>663125</v>
      </c>
      <c r="BM36" s="42">
        <f>[12]Credit!$E$1348</f>
        <v>581000</v>
      </c>
      <c r="BN36" s="42">
        <v>0</v>
      </c>
      <c r="BO36" s="42">
        <f t="shared" si="18"/>
        <v>1244125</v>
      </c>
      <c r="BP36" s="42">
        <f t="shared" si="19"/>
        <v>1344125</v>
      </c>
      <c r="BQ36" s="69">
        <f t="shared" si="20"/>
        <v>3975000</v>
      </c>
      <c r="BR36" s="37"/>
      <c r="BS36" s="36"/>
      <c r="BT36" s="36"/>
      <c r="BU36" s="36"/>
    </row>
    <row r="37" spans="1:73" s="4" customFormat="1" ht="13">
      <c r="A37" s="15">
        <f t="shared" si="0"/>
        <v>33</v>
      </c>
      <c r="B37" s="50">
        <v>95070489</v>
      </c>
      <c r="C37" s="44" t="s">
        <v>66</v>
      </c>
      <c r="D37" s="44" t="s">
        <v>74</v>
      </c>
      <c r="E37" s="42">
        <v>1900000</v>
      </c>
      <c r="F37" s="17">
        <v>100000</v>
      </c>
      <c r="G37" s="17"/>
      <c r="H37" s="17">
        <f t="shared" si="41"/>
        <v>100000</v>
      </c>
      <c r="I37" s="17">
        <v>100000</v>
      </c>
      <c r="J37" s="17"/>
      <c r="K37" s="17">
        <f t="shared" si="42"/>
        <v>100000</v>
      </c>
      <c r="L37" s="17">
        <v>100000</v>
      </c>
      <c r="M37" s="17"/>
      <c r="N37" s="17">
        <f t="shared" si="43"/>
        <v>100000</v>
      </c>
      <c r="O37" s="17">
        <v>100000</v>
      </c>
      <c r="P37" s="17"/>
      <c r="Q37" s="17">
        <f t="shared" si="44"/>
        <v>100000</v>
      </c>
      <c r="R37" s="17">
        <v>100000</v>
      </c>
      <c r="S37" s="17">
        <v>0</v>
      </c>
      <c r="T37" s="17">
        <v>0</v>
      </c>
      <c r="U37" s="17">
        <v>0</v>
      </c>
      <c r="V37" s="17">
        <v>0</v>
      </c>
      <c r="W37" s="17">
        <f t="shared" si="28"/>
        <v>100000</v>
      </c>
      <c r="X37" s="17">
        <v>100000</v>
      </c>
      <c r="Y37" s="17"/>
      <c r="Z37" s="17"/>
      <c r="AA37" s="17"/>
      <c r="AB37" s="17"/>
      <c r="AC37" s="17">
        <f t="shared" si="29"/>
        <v>0</v>
      </c>
      <c r="AD37" s="17">
        <f t="shared" si="30"/>
        <v>100000</v>
      </c>
      <c r="AE37" s="17">
        <v>100000</v>
      </c>
      <c r="AF37" s="17"/>
      <c r="AG37" s="17"/>
      <c r="AH37" s="17"/>
      <c r="AI37" s="17"/>
      <c r="AJ37" s="17">
        <f t="shared" si="31"/>
        <v>0</v>
      </c>
      <c r="AK37" s="17">
        <f t="shared" si="32"/>
        <v>100000</v>
      </c>
      <c r="AL37" s="17">
        <v>100000</v>
      </c>
      <c r="AM37" s="42">
        <v>0</v>
      </c>
      <c r="AN37" s="42">
        <v>0</v>
      </c>
      <c r="AO37" s="42">
        <v>0</v>
      </c>
      <c r="AP37" s="17"/>
      <c r="AQ37" s="17">
        <f t="shared" si="33"/>
        <v>0</v>
      </c>
      <c r="AR37" s="17">
        <f t="shared" si="34"/>
        <v>100000</v>
      </c>
      <c r="AS37" s="42">
        <v>100000</v>
      </c>
      <c r="AT37" s="42">
        <v>0</v>
      </c>
      <c r="AU37" s="42">
        <v>0</v>
      </c>
      <c r="AV37" s="42">
        <v>545000</v>
      </c>
      <c r="AW37" s="17">
        <f t="shared" si="35"/>
        <v>545000</v>
      </c>
      <c r="AX37" s="42">
        <f t="shared" si="36"/>
        <v>645000</v>
      </c>
      <c r="AY37" s="42">
        <v>100000</v>
      </c>
      <c r="AZ37" s="42">
        <v>0</v>
      </c>
      <c r="BA37" s="42"/>
      <c r="BB37" s="42">
        <v>545000</v>
      </c>
      <c r="BC37" s="42">
        <f t="shared" si="37"/>
        <v>545000</v>
      </c>
      <c r="BD37" s="42">
        <f t="shared" si="38"/>
        <v>645000</v>
      </c>
      <c r="BE37" s="42">
        <v>100000</v>
      </c>
      <c r="BF37" s="42">
        <v>0</v>
      </c>
      <c r="BG37" s="42"/>
      <c r="BH37" s="42">
        <v>545000</v>
      </c>
      <c r="BI37" s="42">
        <f t="shared" si="39"/>
        <v>545000</v>
      </c>
      <c r="BJ37" s="42">
        <f t="shared" si="40"/>
        <v>645000</v>
      </c>
      <c r="BK37" s="42">
        <v>100000</v>
      </c>
      <c r="BL37" s="42"/>
      <c r="BM37" s="42">
        <v>0</v>
      </c>
      <c r="BN37" s="42">
        <v>545000</v>
      </c>
      <c r="BO37" s="42">
        <f t="shared" ref="BO37:BO68" si="45">SUM(BL37:BN37)</f>
        <v>545000</v>
      </c>
      <c r="BP37" s="42">
        <f t="shared" ref="BP37:BP68" si="46">BK37+BO37</f>
        <v>645000</v>
      </c>
      <c r="BQ37" s="69">
        <f t="shared" ref="BQ37:BQ68" si="47">E37+F37+I37+L37+O37+R37+X37+AE37+AL37+AS37+AY37+BE37+BK37</f>
        <v>3100000</v>
      </c>
      <c r="BR37" s="37"/>
      <c r="BS37" s="36"/>
      <c r="BT37" s="36"/>
      <c r="BU37" s="36"/>
    </row>
    <row r="38" spans="1:73" s="4" customFormat="1" ht="13">
      <c r="A38" s="15">
        <f t="shared" si="0"/>
        <v>34</v>
      </c>
      <c r="B38" s="47">
        <v>97031329</v>
      </c>
      <c r="C38" s="44" t="s">
        <v>75</v>
      </c>
      <c r="D38" s="44" t="s">
        <v>74</v>
      </c>
      <c r="E38" s="42">
        <v>2775000</v>
      </c>
      <c r="F38" s="17">
        <v>100000</v>
      </c>
      <c r="G38" s="17">
        <f>540000+813000</f>
        <v>1353000</v>
      </c>
      <c r="H38" s="17">
        <f t="shared" si="41"/>
        <v>1453000</v>
      </c>
      <c r="I38" s="17">
        <v>100000</v>
      </c>
      <c r="J38" s="17">
        <f>540000+1303000</f>
        <v>1843000</v>
      </c>
      <c r="K38" s="17">
        <f t="shared" si="42"/>
        <v>1943000</v>
      </c>
      <c r="L38" s="17">
        <v>100000</v>
      </c>
      <c r="M38" s="17">
        <f>540000+831000</f>
        <v>1371000</v>
      </c>
      <c r="N38" s="17">
        <f t="shared" si="43"/>
        <v>1471000</v>
      </c>
      <c r="O38" s="17">
        <v>100000</v>
      </c>
      <c r="P38" s="17">
        <f>531000+530000+379000+428000</f>
        <v>1868000</v>
      </c>
      <c r="Q38" s="17">
        <f t="shared" si="44"/>
        <v>1968000</v>
      </c>
      <c r="R38" s="17">
        <v>100000</v>
      </c>
      <c r="S38" s="17">
        <f>530000</f>
        <v>530000</v>
      </c>
      <c r="T38" s="17">
        <f>136000+[7]System!$F$324</f>
        <v>1121500</v>
      </c>
      <c r="U38" s="17">
        <v>0</v>
      </c>
      <c r="V38" s="17">
        <v>0</v>
      </c>
      <c r="W38" s="17">
        <f t="shared" si="28"/>
        <v>1751500</v>
      </c>
      <c r="X38" s="17">
        <v>100000</v>
      </c>
      <c r="Y38" s="17">
        <v>530000</v>
      </c>
      <c r="Z38" s="17">
        <f>[8]Credit!$E$339</f>
        <v>843500</v>
      </c>
      <c r="AA38" s="17"/>
      <c r="AB38" s="17"/>
      <c r="AC38" s="17">
        <f t="shared" si="29"/>
        <v>1373500</v>
      </c>
      <c r="AD38" s="17">
        <f t="shared" si="30"/>
        <v>1473500</v>
      </c>
      <c r="AE38" s="17">
        <v>100000</v>
      </c>
      <c r="AF38" s="17">
        <v>530000</v>
      </c>
      <c r="AG38" s="17"/>
      <c r="AH38" s="17"/>
      <c r="AI38" s="17"/>
      <c r="AJ38" s="17">
        <f t="shared" si="31"/>
        <v>530000</v>
      </c>
      <c r="AK38" s="17">
        <f t="shared" si="32"/>
        <v>630000</v>
      </c>
      <c r="AL38" s="17">
        <v>100000</v>
      </c>
      <c r="AM38" s="42">
        <v>530000</v>
      </c>
      <c r="AN38" s="42">
        <f>[5]Credit!$E$404</f>
        <v>76000</v>
      </c>
      <c r="AO38" s="42">
        <v>428000</v>
      </c>
      <c r="AP38" s="17"/>
      <c r="AQ38" s="17">
        <f t="shared" si="33"/>
        <v>1034000</v>
      </c>
      <c r="AR38" s="17">
        <f t="shared" si="34"/>
        <v>1134000</v>
      </c>
      <c r="AS38" s="42">
        <v>100000</v>
      </c>
      <c r="AT38" s="42">
        <v>530000</v>
      </c>
      <c r="AU38" s="42">
        <f>[10]Credit!$E$388</f>
        <v>564000</v>
      </c>
      <c r="AV38" s="42">
        <v>428000</v>
      </c>
      <c r="AW38" s="17">
        <f t="shared" si="35"/>
        <v>1522000</v>
      </c>
      <c r="AX38" s="42">
        <f t="shared" si="36"/>
        <v>1622000</v>
      </c>
      <c r="AY38" s="42">
        <v>100000</v>
      </c>
      <c r="AZ38" s="42">
        <f>[6]Credit!$F$410</f>
        <v>580500</v>
      </c>
      <c r="BA38" s="42"/>
      <c r="BB38" s="42">
        <v>428000</v>
      </c>
      <c r="BC38" s="42">
        <f t="shared" si="37"/>
        <v>1008500</v>
      </c>
      <c r="BD38" s="42">
        <f t="shared" si="38"/>
        <v>1108500</v>
      </c>
      <c r="BE38" s="42">
        <v>100000</v>
      </c>
      <c r="BF38" s="42">
        <v>530000</v>
      </c>
      <c r="BG38" s="42">
        <f>[11]Kredit!$E$476</f>
        <v>359000</v>
      </c>
      <c r="BH38" s="42">
        <v>428000</v>
      </c>
      <c r="BI38" s="42">
        <f t="shared" si="39"/>
        <v>1317000</v>
      </c>
      <c r="BJ38" s="42">
        <f t="shared" si="40"/>
        <v>1417000</v>
      </c>
      <c r="BK38" s="42">
        <v>100000</v>
      </c>
      <c r="BL38" s="42">
        <v>530000</v>
      </c>
      <c r="BM38" s="42">
        <f>[12]Credit!$E$468</f>
        <v>498500</v>
      </c>
      <c r="BN38" s="42">
        <v>428000</v>
      </c>
      <c r="BO38" s="42">
        <f t="shared" si="45"/>
        <v>1456500</v>
      </c>
      <c r="BP38" s="42">
        <f t="shared" si="46"/>
        <v>1556500</v>
      </c>
      <c r="BQ38" s="69">
        <f t="shared" si="47"/>
        <v>3975000</v>
      </c>
      <c r="BR38" s="38" t="s">
        <v>382</v>
      </c>
      <c r="BS38" s="36"/>
      <c r="BT38" s="36"/>
      <c r="BU38" s="36"/>
    </row>
    <row r="39" spans="1:73" s="4" customFormat="1" ht="13">
      <c r="A39" s="15">
        <f t="shared" si="0"/>
        <v>35</v>
      </c>
      <c r="B39" s="43">
        <v>95070629</v>
      </c>
      <c r="C39" s="44" t="s">
        <v>77</v>
      </c>
      <c r="D39" s="44" t="s">
        <v>88</v>
      </c>
      <c r="E39" s="42">
        <v>2775000</v>
      </c>
      <c r="F39" s="17">
        <v>100000</v>
      </c>
      <c r="G39" s="17"/>
      <c r="H39" s="17">
        <f t="shared" si="41"/>
        <v>100000</v>
      </c>
      <c r="I39" s="17">
        <v>100000</v>
      </c>
      <c r="J39" s="17">
        <f>530000</f>
        <v>530000</v>
      </c>
      <c r="K39" s="17">
        <f t="shared" si="42"/>
        <v>630000</v>
      </c>
      <c r="L39" s="17">
        <v>100000</v>
      </c>
      <c r="M39" s="17">
        <f>530000+60000</f>
        <v>590000</v>
      </c>
      <c r="N39" s="17">
        <f t="shared" si="43"/>
        <v>690000</v>
      </c>
      <c r="O39" s="17">
        <v>100000</v>
      </c>
      <c r="P39" s="17">
        <f>130000+530000</f>
        <v>660000</v>
      </c>
      <c r="Q39" s="17">
        <f t="shared" si="44"/>
        <v>760000</v>
      </c>
      <c r="R39" s="17">
        <v>100000</v>
      </c>
      <c r="S39" s="17">
        <f>530000</f>
        <v>530000</v>
      </c>
      <c r="T39" s="17">
        <f>28000+[7]System!$F$973</f>
        <v>126000</v>
      </c>
      <c r="U39" s="17">
        <v>0</v>
      </c>
      <c r="V39" s="17">
        <v>0</v>
      </c>
      <c r="W39" s="17">
        <f t="shared" si="28"/>
        <v>756000</v>
      </c>
      <c r="X39" s="17">
        <v>100000</v>
      </c>
      <c r="Y39" s="17">
        <v>530000</v>
      </c>
      <c r="Z39" s="17">
        <f>[8]Credit!$E$1085</f>
        <v>42000</v>
      </c>
      <c r="AA39" s="17"/>
      <c r="AB39" s="17"/>
      <c r="AC39" s="17">
        <f t="shared" si="29"/>
        <v>572000</v>
      </c>
      <c r="AD39" s="17">
        <f t="shared" si="30"/>
        <v>672000</v>
      </c>
      <c r="AE39" s="17">
        <v>100000</v>
      </c>
      <c r="AF39" s="17">
        <v>530000</v>
      </c>
      <c r="AG39" s="17">
        <f>[9]Credit!$F$674</f>
        <v>63500</v>
      </c>
      <c r="AH39" s="17"/>
      <c r="AI39" s="17"/>
      <c r="AJ39" s="17">
        <f t="shared" si="31"/>
        <v>593500</v>
      </c>
      <c r="AK39" s="17">
        <f t="shared" si="32"/>
        <v>693500</v>
      </c>
      <c r="AL39" s="17">
        <v>100000</v>
      </c>
      <c r="AM39" s="42">
        <v>530000</v>
      </c>
      <c r="AN39" s="42">
        <f>[5]Credit!$E$1222</f>
        <v>8000</v>
      </c>
      <c r="AO39" s="42">
        <v>0</v>
      </c>
      <c r="AP39" s="17">
        <v>10000</v>
      </c>
      <c r="AQ39" s="17">
        <f t="shared" si="33"/>
        <v>548000</v>
      </c>
      <c r="AR39" s="17">
        <f t="shared" si="34"/>
        <v>648000</v>
      </c>
      <c r="AS39" s="42">
        <v>100000</v>
      </c>
      <c r="AT39" s="42">
        <v>530000</v>
      </c>
      <c r="AU39" s="42">
        <f>[10]Credit!$E$1176</f>
        <v>265000</v>
      </c>
      <c r="AV39" s="42">
        <v>0</v>
      </c>
      <c r="AW39" s="17">
        <f t="shared" si="35"/>
        <v>795000</v>
      </c>
      <c r="AX39" s="42">
        <f t="shared" si="36"/>
        <v>895000</v>
      </c>
      <c r="AY39" s="42">
        <v>100000</v>
      </c>
      <c r="AZ39" s="42">
        <v>0</v>
      </c>
      <c r="BA39" s="42">
        <v>530000</v>
      </c>
      <c r="BB39" s="42"/>
      <c r="BC39" s="42">
        <f t="shared" si="37"/>
        <v>530000</v>
      </c>
      <c r="BD39" s="42">
        <f t="shared" si="38"/>
        <v>630000</v>
      </c>
      <c r="BE39" s="42">
        <v>100000</v>
      </c>
      <c r="BF39" s="42">
        <v>530000</v>
      </c>
      <c r="BG39" s="42">
        <f>[11]Kredit!$E$1163</f>
        <v>200000</v>
      </c>
      <c r="BH39" s="42">
        <v>0</v>
      </c>
      <c r="BI39" s="42">
        <f t="shared" si="39"/>
        <v>730000</v>
      </c>
      <c r="BJ39" s="42">
        <f t="shared" si="40"/>
        <v>830000</v>
      </c>
      <c r="BK39" s="42">
        <v>100000</v>
      </c>
      <c r="BL39" s="42">
        <v>530000</v>
      </c>
      <c r="BM39" s="42">
        <v>0</v>
      </c>
      <c r="BN39" s="42">
        <v>0</v>
      </c>
      <c r="BO39" s="42">
        <f t="shared" si="45"/>
        <v>530000</v>
      </c>
      <c r="BP39" s="42">
        <f t="shared" si="46"/>
        <v>630000</v>
      </c>
      <c r="BQ39" s="69">
        <f t="shared" si="47"/>
        <v>3975000</v>
      </c>
      <c r="BR39" s="37"/>
      <c r="BS39" s="36"/>
      <c r="BT39" s="36"/>
      <c r="BU39" s="36"/>
    </row>
    <row r="40" spans="1:73" s="4" customFormat="1" ht="13">
      <c r="A40" s="15">
        <f t="shared" si="0"/>
        <v>36</v>
      </c>
      <c r="B40" s="53" t="s">
        <v>78</v>
      </c>
      <c r="C40" s="54" t="s">
        <v>79</v>
      </c>
      <c r="D40" s="44" t="s">
        <v>74</v>
      </c>
      <c r="E40" s="42">
        <v>2775000</v>
      </c>
      <c r="F40" s="17">
        <v>100000</v>
      </c>
      <c r="G40" s="17"/>
      <c r="H40" s="17">
        <f t="shared" si="41"/>
        <v>100000</v>
      </c>
      <c r="I40" s="17">
        <v>100000</v>
      </c>
      <c r="J40" s="17"/>
      <c r="K40" s="17">
        <f t="shared" si="42"/>
        <v>100000</v>
      </c>
      <c r="L40" s="17">
        <v>100000</v>
      </c>
      <c r="M40" s="17"/>
      <c r="N40" s="17">
        <f t="shared" si="43"/>
        <v>100000</v>
      </c>
      <c r="O40" s="17">
        <v>100000</v>
      </c>
      <c r="P40" s="17"/>
      <c r="Q40" s="17">
        <f t="shared" si="44"/>
        <v>100000</v>
      </c>
      <c r="R40" s="17">
        <v>100000</v>
      </c>
      <c r="S40" s="17">
        <v>0</v>
      </c>
      <c r="T40" s="17">
        <v>0</v>
      </c>
      <c r="U40" s="17">
        <v>0</v>
      </c>
      <c r="V40" s="17">
        <v>0</v>
      </c>
      <c r="W40" s="17">
        <f t="shared" si="28"/>
        <v>100000</v>
      </c>
      <c r="X40" s="17">
        <v>100000</v>
      </c>
      <c r="Y40" s="17"/>
      <c r="Z40" s="17"/>
      <c r="AA40" s="17"/>
      <c r="AB40" s="17"/>
      <c r="AC40" s="17">
        <f t="shared" si="29"/>
        <v>0</v>
      </c>
      <c r="AD40" s="17">
        <f t="shared" si="30"/>
        <v>100000</v>
      </c>
      <c r="AE40" s="17">
        <v>100000</v>
      </c>
      <c r="AF40" s="17"/>
      <c r="AG40" s="17"/>
      <c r="AH40" s="17"/>
      <c r="AI40" s="17"/>
      <c r="AJ40" s="17">
        <f t="shared" si="31"/>
        <v>0</v>
      </c>
      <c r="AK40" s="17">
        <f t="shared" si="32"/>
        <v>100000</v>
      </c>
      <c r="AL40" s="17">
        <v>100000</v>
      </c>
      <c r="AM40" s="42">
        <v>0</v>
      </c>
      <c r="AN40" s="42">
        <v>0</v>
      </c>
      <c r="AO40" s="42">
        <v>0</v>
      </c>
      <c r="AP40" s="17"/>
      <c r="AQ40" s="17">
        <f t="shared" si="33"/>
        <v>0</v>
      </c>
      <c r="AR40" s="17">
        <f t="shared" si="34"/>
        <v>100000</v>
      </c>
      <c r="AS40" s="42">
        <v>100000</v>
      </c>
      <c r="AT40" s="42">
        <v>0</v>
      </c>
      <c r="AU40" s="42">
        <v>0</v>
      </c>
      <c r="AV40" s="42">
        <v>0</v>
      </c>
      <c r="AW40" s="17">
        <f t="shared" si="35"/>
        <v>0</v>
      </c>
      <c r="AX40" s="42">
        <f t="shared" si="36"/>
        <v>100000</v>
      </c>
      <c r="AY40" s="42">
        <v>100000</v>
      </c>
      <c r="AZ40" s="42">
        <v>0</v>
      </c>
      <c r="BA40" s="42"/>
      <c r="BB40" s="42"/>
      <c r="BC40" s="42">
        <f t="shared" si="37"/>
        <v>0</v>
      </c>
      <c r="BD40" s="42">
        <f t="shared" si="38"/>
        <v>100000</v>
      </c>
      <c r="BE40" s="42">
        <v>100000</v>
      </c>
      <c r="BF40" s="42">
        <v>0</v>
      </c>
      <c r="BG40" s="42"/>
      <c r="BH40" s="42">
        <v>0</v>
      </c>
      <c r="BI40" s="42">
        <f t="shared" si="39"/>
        <v>0</v>
      </c>
      <c r="BJ40" s="42">
        <f t="shared" si="40"/>
        <v>100000</v>
      </c>
      <c r="BK40" s="42">
        <v>100000</v>
      </c>
      <c r="BL40" s="42">
        <v>0</v>
      </c>
      <c r="BM40" s="42">
        <v>0</v>
      </c>
      <c r="BN40" s="42">
        <v>0</v>
      </c>
      <c r="BO40" s="42">
        <f t="shared" si="45"/>
        <v>0</v>
      </c>
      <c r="BP40" s="42">
        <f t="shared" si="46"/>
        <v>100000</v>
      </c>
      <c r="BQ40" s="69">
        <f t="shared" si="47"/>
        <v>3975000</v>
      </c>
      <c r="BR40" s="51" t="s">
        <v>384</v>
      </c>
      <c r="BS40" s="36"/>
      <c r="BT40" s="36"/>
      <c r="BU40" s="36"/>
    </row>
    <row r="41" spans="1:73" s="4" customFormat="1" ht="13">
      <c r="A41" s="15">
        <f t="shared" si="0"/>
        <v>37</v>
      </c>
      <c r="B41" s="43">
        <v>97031349</v>
      </c>
      <c r="C41" s="44" t="s">
        <v>81</v>
      </c>
      <c r="D41" s="44" t="s">
        <v>82</v>
      </c>
      <c r="E41" s="42">
        <v>2775000</v>
      </c>
      <c r="F41" s="17">
        <v>100000</v>
      </c>
      <c r="G41" s="17">
        <f>440000</f>
        <v>440000</v>
      </c>
      <c r="H41" s="17">
        <f t="shared" si="41"/>
        <v>540000</v>
      </c>
      <c r="I41" s="17">
        <v>100000</v>
      </c>
      <c r="J41" s="17">
        <f>440000+91500</f>
        <v>531500</v>
      </c>
      <c r="K41" s="17">
        <f t="shared" si="42"/>
        <v>631500</v>
      </c>
      <c r="L41" s="17">
        <v>100000</v>
      </c>
      <c r="M41" s="17">
        <v>425000</v>
      </c>
      <c r="N41" s="17">
        <f t="shared" si="43"/>
        <v>525000</v>
      </c>
      <c r="O41" s="17">
        <v>100000</v>
      </c>
      <c r="P41" s="17">
        <f>425000+21000</f>
        <v>446000</v>
      </c>
      <c r="Q41" s="17">
        <f t="shared" si="44"/>
        <v>546000</v>
      </c>
      <c r="R41" s="17">
        <v>100000</v>
      </c>
      <c r="S41" s="17">
        <f>425000</f>
        <v>425000</v>
      </c>
      <c r="T41" s="17">
        <f>[7]System!$F$76</f>
        <v>13000</v>
      </c>
      <c r="U41" s="17">
        <v>0</v>
      </c>
      <c r="V41" s="17">
        <v>0</v>
      </c>
      <c r="W41" s="17">
        <f t="shared" si="28"/>
        <v>538000</v>
      </c>
      <c r="X41" s="17">
        <v>100000</v>
      </c>
      <c r="Y41" s="17">
        <v>425000</v>
      </c>
      <c r="Z41" s="17"/>
      <c r="AA41" s="17">
        <v>468475</v>
      </c>
      <c r="AB41" s="17">
        <v>25000</v>
      </c>
      <c r="AC41" s="17">
        <f t="shared" si="29"/>
        <v>918475</v>
      </c>
      <c r="AD41" s="17">
        <f t="shared" si="30"/>
        <v>1018475</v>
      </c>
      <c r="AE41" s="17">
        <v>100000</v>
      </c>
      <c r="AF41" s="17">
        <v>425000</v>
      </c>
      <c r="AG41" s="17"/>
      <c r="AH41" s="17">
        <v>468475</v>
      </c>
      <c r="AI41" s="17"/>
      <c r="AJ41" s="17">
        <f t="shared" si="31"/>
        <v>893475</v>
      </c>
      <c r="AK41" s="17">
        <f t="shared" si="32"/>
        <v>993475</v>
      </c>
      <c r="AL41" s="17">
        <v>100000</v>
      </c>
      <c r="AM41" s="42">
        <v>0</v>
      </c>
      <c r="AN41" s="42">
        <f>[5]Credit!$E$88</f>
        <v>143000</v>
      </c>
      <c r="AO41" s="42">
        <v>468475</v>
      </c>
      <c r="AP41" s="17"/>
      <c r="AQ41" s="17">
        <f t="shared" si="33"/>
        <v>611475</v>
      </c>
      <c r="AR41" s="17">
        <f t="shared" si="34"/>
        <v>711475</v>
      </c>
      <c r="AS41" s="42">
        <v>100000</v>
      </c>
      <c r="AT41" s="42">
        <v>530000</v>
      </c>
      <c r="AU41" s="42">
        <f>[10]Credit!$E$104</f>
        <v>115000</v>
      </c>
      <c r="AV41" s="42">
        <v>468475</v>
      </c>
      <c r="AW41" s="17">
        <f t="shared" si="35"/>
        <v>1113475</v>
      </c>
      <c r="AX41" s="42">
        <f t="shared" si="36"/>
        <v>1213475</v>
      </c>
      <c r="AY41" s="42">
        <v>100000</v>
      </c>
      <c r="AZ41" s="42">
        <f>[6]Credit!$F$97</f>
        <v>50000</v>
      </c>
      <c r="BA41" s="42">
        <v>530000</v>
      </c>
      <c r="BB41" s="42">
        <v>468475</v>
      </c>
      <c r="BC41" s="42">
        <f t="shared" si="37"/>
        <v>1048475</v>
      </c>
      <c r="BD41" s="42">
        <f t="shared" si="38"/>
        <v>1148475</v>
      </c>
      <c r="BE41" s="42">
        <v>100000</v>
      </c>
      <c r="BF41" s="42">
        <v>530000</v>
      </c>
      <c r="BG41" s="42">
        <f>[11]Kredit!$E$119</f>
        <v>157500</v>
      </c>
      <c r="BH41" s="42">
        <v>468475</v>
      </c>
      <c r="BI41" s="42">
        <f t="shared" si="39"/>
        <v>1155975</v>
      </c>
      <c r="BJ41" s="42">
        <f t="shared" si="40"/>
        <v>1255975</v>
      </c>
      <c r="BK41" s="42">
        <v>100000</v>
      </c>
      <c r="BL41" s="42">
        <v>530000</v>
      </c>
      <c r="BM41" s="42">
        <f>[12]Credit!$E$106</f>
        <v>182000</v>
      </c>
      <c r="BN41" s="42">
        <v>0</v>
      </c>
      <c r="BO41" s="42">
        <f t="shared" si="45"/>
        <v>712000</v>
      </c>
      <c r="BP41" s="42">
        <f t="shared" si="46"/>
        <v>812000</v>
      </c>
      <c r="BQ41" s="69">
        <f t="shared" si="47"/>
        <v>3975000</v>
      </c>
      <c r="BR41" s="37"/>
      <c r="BS41" s="36"/>
      <c r="BT41" s="36"/>
      <c r="BU41" s="36"/>
    </row>
    <row r="42" spans="1:73" s="4" customFormat="1" ht="13">
      <c r="A42" s="15">
        <f t="shared" si="0"/>
        <v>38</v>
      </c>
      <c r="B42" s="55">
        <v>15061649</v>
      </c>
      <c r="C42" s="44" t="s">
        <v>290</v>
      </c>
      <c r="D42" s="44" t="s">
        <v>82</v>
      </c>
      <c r="E42" s="42">
        <v>400000</v>
      </c>
      <c r="F42" s="17">
        <v>100000</v>
      </c>
      <c r="G42" s="17"/>
      <c r="H42" s="17">
        <f t="shared" si="41"/>
        <v>100000</v>
      </c>
      <c r="I42" s="17">
        <v>100000</v>
      </c>
      <c r="J42" s="17">
        <f>164000</f>
        <v>164000</v>
      </c>
      <c r="K42" s="17">
        <f t="shared" si="42"/>
        <v>264000</v>
      </c>
      <c r="L42" s="17">
        <v>100000</v>
      </c>
      <c r="M42" s="17">
        <v>171000</v>
      </c>
      <c r="N42" s="17">
        <f t="shared" si="43"/>
        <v>271000</v>
      </c>
      <c r="O42" s="17">
        <v>100000</v>
      </c>
      <c r="P42" s="17">
        <f>134000+139000</f>
        <v>273000</v>
      </c>
      <c r="Q42" s="17">
        <f t="shared" si="44"/>
        <v>373000</v>
      </c>
      <c r="R42" s="17">
        <v>100000</v>
      </c>
      <c r="S42" s="17">
        <f>531250</f>
        <v>531250</v>
      </c>
      <c r="T42" s="17">
        <f>158000+[7]System!$F$1236</f>
        <v>325500</v>
      </c>
      <c r="U42" s="17">
        <v>0</v>
      </c>
      <c r="V42" s="17">
        <v>0</v>
      </c>
      <c r="W42" s="17">
        <f t="shared" si="28"/>
        <v>956750</v>
      </c>
      <c r="X42" s="17">
        <v>100000</v>
      </c>
      <c r="Y42" s="17">
        <v>531250</v>
      </c>
      <c r="Z42" s="17">
        <f>[8]Credit!$E$1352</f>
        <v>176000</v>
      </c>
      <c r="AA42" s="17"/>
      <c r="AB42" s="17">
        <v>50000</v>
      </c>
      <c r="AC42" s="17">
        <f t="shared" si="29"/>
        <v>757250</v>
      </c>
      <c r="AD42" s="17">
        <f t="shared" si="30"/>
        <v>857250</v>
      </c>
      <c r="AE42" s="17">
        <v>100000</v>
      </c>
      <c r="AF42" s="17">
        <v>531250</v>
      </c>
      <c r="AG42" s="17">
        <f>[9]Credit!$F$832</f>
        <v>248000</v>
      </c>
      <c r="AH42" s="17"/>
      <c r="AI42" s="17"/>
      <c r="AJ42" s="17">
        <f t="shared" si="31"/>
        <v>779250</v>
      </c>
      <c r="AK42" s="17">
        <f t="shared" si="32"/>
        <v>879250</v>
      </c>
      <c r="AL42" s="17">
        <v>100000</v>
      </c>
      <c r="AM42" s="42">
        <f>531250+530000</f>
        <v>1061250</v>
      </c>
      <c r="AN42" s="42">
        <f>[5]Credit!$E$1551</f>
        <v>186000</v>
      </c>
      <c r="AO42" s="42">
        <v>0</v>
      </c>
      <c r="AP42" s="17"/>
      <c r="AQ42" s="17">
        <f t="shared" si="33"/>
        <v>1247250</v>
      </c>
      <c r="AR42" s="17">
        <f t="shared" si="34"/>
        <v>1347250</v>
      </c>
      <c r="AS42" s="42">
        <v>100000</v>
      </c>
      <c r="AT42" s="42">
        <v>530000</v>
      </c>
      <c r="AU42" s="42">
        <f>[10]Credit!$E$1504</f>
        <v>139000</v>
      </c>
      <c r="AV42" s="42">
        <v>0</v>
      </c>
      <c r="AW42" s="17">
        <f t="shared" si="35"/>
        <v>669000</v>
      </c>
      <c r="AX42" s="42">
        <f t="shared" si="36"/>
        <v>769000</v>
      </c>
      <c r="AY42" s="42">
        <v>100000</v>
      </c>
      <c r="AZ42" s="42">
        <f>[6]Credit!$F$1488</f>
        <v>88000</v>
      </c>
      <c r="BA42" s="42">
        <v>530000</v>
      </c>
      <c r="BB42" s="42"/>
      <c r="BC42" s="42">
        <f t="shared" si="37"/>
        <v>618000</v>
      </c>
      <c r="BD42" s="42">
        <f t="shared" si="38"/>
        <v>718000</v>
      </c>
      <c r="BE42" s="42">
        <v>100000</v>
      </c>
      <c r="BF42" s="42">
        <v>530000</v>
      </c>
      <c r="BG42" s="42">
        <f>[11]Kredit!$E$1545</f>
        <v>169500</v>
      </c>
      <c r="BH42" s="42">
        <v>450500</v>
      </c>
      <c r="BI42" s="42">
        <f t="shared" si="39"/>
        <v>1150000</v>
      </c>
      <c r="BJ42" s="42">
        <f t="shared" si="40"/>
        <v>1250000</v>
      </c>
      <c r="BK42" s="42">
        <v>100000</v>
      </c>
      <c r="BL42" s="42">
        <v>0</v>
      </c>
      <c r="BM42" s="42">
        <f>[12]Credit!$E$1430</f>
        <v>146500</v>
      </c>
      <c r="BN42" s="42">
        <v>450500</v>
      </c>
      <c r="BO42" s="42">
        <f t="shared" si="45"/>
        <v>597000</v>
      </c>
      <c r="BP42" s="42">
        <f t="shared" si="46"/>
        <v>697000</v>
      </c>
      <c r="BQ42" s="69">
        <f t="shared" si="47"/>
        <v>1600000</v>
      </c>
      <c r="BR42" s="38" t="s">
        <v>385</v>
      </c>
      <c r="BS42" s="36"/>
      <c r="BT42" s="36"/>
      <c r="BU42" s="36"/>
    </row>
    <row r="43" spans="1:73" s="4" customFormat="1" ht="13">
      <c r="A43" s="15">
        <f t="shared" si="0"/>
        <v>39</v>
      </c>
      <c r="B43" s="50">
        <v>13110179</v>
      </c>
      <c r="C43" s="44" t="s">
        <v>386</v>
      </c>
      <c r="D43" s="44" t="s">
        <v>85</v>
      </c>
      <c r="E43" s="42">
        <v>0</v>
      </c>
      <c r="F43" s="17">
        <v>200000</v>
      </c>
      <c r="G43" s="17"/>
      <c r="H43" s="17">
        <f t="shared" si="41"/>
        <v>200000</v>
      </c>
      <c r="I43" s="17">
        <v>100000</v>
      </c>
      <c r="J43" s="17"/>
      <c r="K43" s="17">
        <f t="shared" si="42"/>
        <v>100000</v>
      </c>
      <c r="L43" s="17">
        <v>100000</v>
      </c>
      <c r="M43" s="17">
        <v>300000</v>
      </c>
      <c r="N43" s="17">
        <f t="shared" si="43"/>
        <v>400000</v>
      </c>
      <c r="O43" s="17">
        <v>100000</v>
      </c>
      <c r="P43" s="17"/>
      <c r="Q43" s="17">
        <f t="shared" si="44"/>
        <v>100000</v>
      </c>
      <c r="R43" s="17">
        <v>100000</v>
      </c>
      <c r="S43" s="17">
        <v>0</v>
      </c>
      <c r="T43" s="17">
        <f>[7]System!$F$107</f>
        <v>60000</v>
      </c>
      <c r="U43" s="17">
        <v>0</v>
      </c>
      <c r="V43" s="17">
        <v>0</v>
      </c>
      <c r="W43" s="17">
        <f t="shared" si="28"/>
        <v>160000</v>
      </c>
      <c r="X43" s="17">
        <v>100000</v>
      </c>
      <c r="Y43" s="17"/>
      <c r="Z43" s="17">
        <f>[8]Credit!$E$96</f>
        <v>107000</v>
      </c>
      <c r="AA43" s="17"/>
      <c r="AB43" s="17"/>
      <c r="AC43" s="17">
        <f t="shared" si="29"/>
        <v>107000</v>
      </c>
      <c r="AD43" s="17">
        <f t="shared" si="30"/>
        <v>207000</v>
      </c>
      <c r="AE43" s="17">
        <v>100000</v>
      </c>
      <c r="AF43" s="17"/>
      <c r="AG43" s="17">
        <f>[9]Credit!$F$75</f>
        <v>164000</v>
      </c>
      <c r="AH43" s="17"/>
      <c r="AI43" s="17"/>
      <c r="AJ43" s="17">
        <f t="shared" si="31"/>
        <v>164000</v>
      </c>
      <c r="AK43" s="17">
        <f t="shared" si="32"/>
        <v>264000</v>
      </c>
      <c r="AL43" s="17">
        <v>100000</v>
      </c>
      <c r="AM43" s="42">
        <v>0</v>
      </c>
      <c r="AN43" s="42">
        <f>[5]Credit!$E$142</f>
        <v>136000</v>
      </c>
      <c r="AO43" s="42">
        <v>0</v>
      </c>
      <c r="AP43" s="17"/>
      <c r="AQ43" s="17">
        <f t="shared" si="33"/>
        <v>136000</v>
      </c>
      <c r="AR43" s="17">
        <f t="shared" si="34"/>
        <v>236000</v>
      </c>
      <c r="AS43" s="42">
        <v>100000</v>
      </c>
      <c r="AT43" s="42">
        <v>0</v>
      </c>
      <c r="AU43" s="42">
        <f>[10]Credit!$E$164</f>
        <v>225500</v>
      </c>
      <c r="AV43" s="42">
        <v>0</v>
      </c>
      <c r="AW43" s="17">
        <f t="shared" si="35"/>
        <v>225500</v>
      </c>
      <c r="AX43" s="42">
        <f t="shared" si="36"/>
        <v>325500</v>
      </c>
      <c r="AY43" s="42">
        <v>100000</v>
      </c>
      <c r="AZ43" s="42">
        <f>[6]Credit!$F$173</f>
        <v>300000</v>
      </c>
      <c r="BA43" s="42"/>
      <c r="BB43" s="42"/>
      <c r="BC43" s="42">
        <f t="shared" si="37"/>
        <v>300000</v>
      </c>
      <c r="BD43" s="42">
        <f t="shared" si="38"/>
        <v>400000</v>
      </c>
      <c r="BE43" s="42">
        <v>100000</v>
      </c>
      <c r="BF43" s="42">
        <v>0</v>
      </c>
      <c r="BG43" s="42">
        <f>[11]Kredit!$E$196</f>
        <v>342000</v>
      </c>
      <c r="BH43" s="42">
        <v>0</v>
      </c>
      <c r="BI43" s="42">
        <f t="shared" si="39"/>
        <v>342000</v>
      </c>
      <c r="BJ43" s="42">
        <f t="shared" si="40"/>
        <v>442000</v>
      </c>
      <c r="BK43" s="42">
        <v>100000</v>
      </c>
      <c r="BL43" s="42">
        <v>0</v>
      </c>
      <c r="BM43" s="42">
        <f>[12]Credit!$E$170</f>
        <v>308000</v>
      </c>
      <c r="BN43" s="42">
        <v>0</v>
      </c>
      <c r="BO43" s="42">
        <f t="shared" si="45"/>
        <v>308000</v>
      </c>
      <c r="BP43" s="42">
        <f t="shared" si="46"/>
        <v>408000</v>
      </c>
      <c r="BQ43" s="69">
        <f t="shared" si="47"/>
        <v>1300000</v>
      </c>
      <c r="BR43" s="37"/>
      <c r="BS43" s="36"/>
      <c r="BT43" s="36"/>
      <c r="BU43" s="36"/>
    </row>
    <row r="44" spans="1:73" s="4" customFormat="1" ht="13">
      <c r="A44" s="15">
        <f t="shared" si="0"/>
        <v>40</v>
      </c>
      <c r="B44" s="48" t="s">
        <v>83</v>
      </c>
      <c r="C44" s="44" t="s">
        <v>84</v>
      </c>
      <c r="D44" s="44" t="s">
        <v>85</v>
      </c>
      <c r="E44" s="42">
        <v>2775000</v>
      </c>
      <c r="F44" s="17">
        <v>100000</v>
      </c>
      <c r="G44" s="17"/>
      <c r="H44" s="17">
        <f t="shared" si="41"/>
        <v>100000</v>
      </c>
      <c r="I44" s="17">
        <v>100000</v>
      </c>
      <c r="J44" s="17"/>
      <c r="K44" s="17">
        <f t="shared" si="42"/>
        <v>100000</v>
      </c>
      <c r="L44" s="17">
        <v>100000</v>
      </c>
      <c r="M44" s="17"/>
      <c r="N44" s="17">
        <f t="shared" si="43"/>
        <v>100000</v>
      </c>
      <c r="O44" s="17">
        <v>100000</v>
      </c>
      <c r="P44" s="17"/>
      <c r="Q44" s="17">
        <f t="shared" si="44"/>
        <v>100000</v>
      </c>
      <c r="R44" s="17">
        <v>100000</v>
      </c>
      <c r="S44" s="17">
        <v>0</v>
      </c>
      <c r="T44" s="17">
        <f>[7]System!$F$647</f>
        <v>116900</v>
      </c>
      <c r="U44" s="17">
        <v>0</v>
      </c>
      <c r="V44" s="17">
        <v>0</v>
      </c>
      <c r="W44" s="17">
        <f t="shared" si="28"/>
        <v>216900</v>
      </c>
      <c r="X44" s="17">
        <v>100000</v>
      </c>
      <c r="Y44" s="17"/>
      <c r="Z44" s="17"/>
      <c r="AA44" s="17"/>
      <c r="AB44" s="17"/>
      <c r="AC44" s="17">
        <f t="shared" si="29"/>
        <v>0</v>
      </c>
      <c r="AD44" s="17">
        <f t="shared" si="30"/>
        <v>100000</v>
      </c>
      <c r="AE44" s="17">
        <v>100000</v>
      </c>
      <c r="AF44" s="17"/>
      <c r="AG44" s="17"/>
      <c r="AH44" s="17"/>
      <c r="AI44" s="17"/>
      <c r="AJ44" s="17">
        <f t="shared" si="31"/>
        <v>0</v>
      </c>
      <c r="AK44" s="17">
        <f t="shared" si="32"/>
        <v>100000</v>
      </c>
      <c r="AL44" s="17">
        <v>100000</v>
      </c>
      <c r="AM44" s="42">
        <v>0</v>
      </c>
      <c r="AN44" s="42">
        <v>0</v>
      </c>
      <c r="AO44" s="42">
        <v>0</v>
      </c>
      <c r="AP44" s="17"/>
      <c r="AQ44" s="17">
        <f t="shared" si="33"/>
        <v>0</v>
      </c>
      <c r="AR44" s="17">
        <f t="shared" si="34"/>
        <v>100000</v>
      </c>
      <c r="AS44" s="42">
        <v>100000</v>
      </c>
      <c r="AT44" s="42">
        <v>0</v>
      </c>
      <c r="AU44" s="42">
        <v>0</v>
      </c>
      <c r="AV44" s="42">
        <v>0</v>
      </c>
      <c r="AW44" s="17">
        <f t="shared" si="35"/>
        <v>0</v>
      </c>
      <c r="AX44" s="42">
        <f t="shared" si="36"/>
        <v>100000</v>
      </c>
      <c r="AY44" s="42">
        <v>100000</v>
      </c>
      <c r="AZ44" s="42">
        <v>0</v>
      </c>
      <c r="BA44" s="42"/>
      <c r="BB44" s="42"/>
      <c r="BC44" s="42">
        <f t="shared" si="37"/>
        <v>0</v>
      </c>
      <c r="BD44" s="42">
        <f t="shared" si="38"/>
        <v>100000</v>
      </c>
      <c r="BE44" s="42">
        <v>100000</v>
      </c>
      <c r="BF44" s="42">
        <v>0</v>
      </c>
      <c r="BG44" s="42"/>
      <c r="BH44" s="42">
        <v>0</v>
      </c>
      <c r="BI44" s="42">
        <f t="shared" si="39"/>
        <v>0</v>
      </c>
      <c r="BJ44" s="42">
        <f t="shared" si="40"/>
        <v>100000</v>
      </c>
      <c r="BK44" s="42">
        <v>100000</v>
      </c>
      <c r="BL44" s="42">
        <v>0</v>
      </c>
      <c r="BM44" s="42">
        <v>0</v>
      </c>
      <c r="BN44" s="42">
        <v>0</v>
      </c>
      <c r="BO44" s="42">
        <f t="shared" si="45"/>
        <v>0</v>
      </c>
      <c r="BP44" s="42">
        <f t="shared" si="46"/>
        <v>100000</v>
      </c>
      <c r="BQ44" s="69">
        <f t="shared" si="47"/>
        <v>3975000</v>
      </c>
      <c r="BR44" s="37" t="s">
        <v>387</v>
      </c>
      <c r="BS44" s="36"/>
      <c r="BT44" s="36"/>
      <c r="BU44" s="36"/>
    </row>
    <row r="45" spans="1:73" s="4" customFormat="1" ht="13">
      <c r="A45" s="15">
        <f t="shared" si="0"/>
        <v>41</v>
      </c>
      <c r="B45" s="52">
        <v>12109419</v>
      </c>
      <c r="C45" s="44" t="s">
        <v>86</v>
      </c>
      <c r="D45" s="44" t="s">
        <v>85</v>
      </c>
      <c r="E45" s="42">
        <v>1600000</v>
      </c>
      <c r="F45" s="17">
        <v>100000</v>
      </c>
      <c r="G45" s="17">
        <v>240000</v>
      </c>
      <c r="H45" s="17">
        <f t="shared" si="41"/>
        <v>340000</v>
      </c>
      <c r="I45" s="17">
        <v>100000</v>
      </c>
      <c r="J45" s="17">
        <f>636000+610000</f>
        <v>1246000</v>
      </c>
      <c r="K45" s="17">
        <f t="shared" si="42"/>
        <v>1346000</v>
      </c>
      <c r="L45" s="17">
        <v>100000</v>
      </c>
      <c r="M45" s="17">
        <v>636000</v>
      </c>
      <c r="N45" s="17">
        <f t="shared" si="43"/>
        <v>736000</v>
      </c>
      <c r="O45" s="17">
        <v>100000</v>
      </c>
      <c r="P45" s="17">
        <f>199500+636000+490500</f>
        <v>1326000</v>
      </c>
      <c r="Q45" s="17">
        <f t="shared" si="44"/>
        <v>1426000</v>
      </c>
      <c r="R45" s="17">
        <v>100000</v>
      </c>
      <c r="S45" s="17">
        <f>636000</f>
        <v>636000</v>
      </c>
      <c r="T45" s="17">
        <f>83000</f>
        <v>83000</v>
      </c>
      <c r="U45" s="17">
        <v>490500</v>
      </c>
      <c r="V45" s="17">
        <v>0</v>
      </c>
      <c r="W45" s="17">
        <f t="shared" si="28"/>
        <v>1309500</v>
      </c>
      <c r="X45" s="17">
        <v>100000</v>
      </c>
      <c r="Y45" s="17">
        <v>636000</v>
      </c>
      <c r="Z45" s="17">
        <f>[8]Credit!$E$830</f>
        <v>192500</v>
      </c>
      <c r="AA45" s="17">
        <v>490500</v>
      </c>
      <c r="AB45" s="17"/>
      <c r="AC45" s="17">
        <f t="shared" si="29"/>
        <v>1319000</v>
      </c>
      <c r="AD45" s="17">
        <f t="shared" si="30"/>
        <v>1419000</v>
      </c>
      <c r="AE45" s="17">
        <v>100000</v>
      </c>
      <c r="AF45" s="17"/>
      <c r="AG45" s="17">
        <f>[9]Credit!$F$513</f>
        <v>167000</v>
      </c>
      <c r="AH45" s="17">
        <v>490500</v>
      </c>
      <c r="AI45" s="17">
        <v>70000</v>
      </c>
      <c r="AJ45" s="17">
        <f t="shared" si="31"/>
        <v>727500</v>
      </c>
      <c r="AK45" s="17">
        <f t="shared" si="32"/>
        <v>827500</v>
      </c>
      <c r="AL45" s="17">
        <v>100000</v>
      </c>
      <c r="AM45" s="42">
        <v>636000</v>
      </c>
      <c r="AN45" s="42">
        <f>[5]Credit!$E$953</f>
        <v>263000</v>
      </c>
      <c r="AO45" s="42">
        <v>490500</v>
      </c>
      <c r="AP45" s="17"/>
      <c r="AQ45" s="17">
        <f t="shared" si="33"/>
        <v>1389500</v>
      </c>
      <c r="AR45" s="17">
        <f t="shared" si="34"/>
        <v>1489500</v>
      </c>
      <c r="AS45" s="42">
        <v>100000</v>
      </c>
      <c r="AT45" s="42">
        <f>636000+530000-AZ45</f>
        <v>994000</v>
      </c>
      <c r="AU45" s="42">
        <f>[10]Credit!$E$930</f>
        <v>211000</v>
      </c>
      <c r="AV45" s="42">
        <v>490500</v>
      </c>
      <c r="AW45" s="17">
        <f t="shared" si="35"/>
        <v>1695500</v>
      </c>
      <c r="AX45" s="42">
        <f t="shared" si="36"/>
        <v>1795500</v>
      </c>
      <c r="AY45" s="42">
        <v>100000</v>
      </c>
      <c r="AZ45" s="42">
        <f>[6]Credit!$F$962</f>
        <v>172000</v>
      </c>
      <c r="BA45" s="42">
        <f>636000+530000</f>
        <v>1166000</v>
      </c>
      <c r="BB45" s="42">
        <v>545000</v>
      </c>
      <c r="BC45" s="42">
        <f>SUM(AZ45:BB45)-383000</f>
        <v>1500000</v>
      </c>
      <c r="BD45" s="42">
        <f t="shared" si="38"/>
        <v>1600000</v>
      </c>
      <c r="BE45" s="42">
        <v>100000</v>
      </c>
      <c r="BF45" s="42">
        <v>636000</v>
      </c>
      <c r="BG45" s="42">
        <f>383000+[11]Kredit!$E$963</f>
        <v>444500</v>
      </c>
      <c r="BH45" s="42">
        <v>545000</v>
      </c>
      <c r="BI45" s="42">
        <f t="shared" si="39"/>
        <v>1625500</v>
      </c>
      <c r="BJ45" s="42">
        <f t="shared" si="40"/>
        <v>1725500</v>
      </c>
      <c r="BK45" s="42">
        <v>100000</v>
      </c>
      <c r="BL45" s="42">
        <v>636000</v>
      </c>
      <c r="BM45" s="42">
        <v>0</v>
      </c>
      <c r="BN45" s="42">
        <v>545000</v>
      </c>
      <c r="BO45" s="42">
        <f t="shared" si="45"/>
        <v>1181000</v>
      </c>
      <c r="BP45" s="42">
        <f t="shared" si="46"/>
        <v>1281000</v>
      </c>
      <c r="BQ45" s="69">
        <f t="shared" si="47"/>
        <v>2800000</v>
      </c>
      <c r="BR45" s="37"/>
      <c r="BS45" s="36"/>
      <c r="BT45" s="36"/>
      <c r="BU45" s="36"/>
    </row>
    <row r="46" spans="1:73" s="4" customFormat="1" ht="13">
      <c r="A46" s="15">
        <f t="shared" si="0"/>
        <v>42</v>
      </c>
      <c r="B46" s="43">
        <v>96091119</v>
      </c>
      <c r="C46" s="44" t="s">
        <v>87</v>
      </c>
      <c r="D46" s="44" t="s">
        <v>88</v>
      </c>
      <c r="E46" s="42">
        <v>2775000</v>
      </c>
      <c r="F46" s="17">
        <v>100000</v>
      </c>
      <c r="G46" s="17">
        <f>265000</f>
        <v>265000</v>
      </c>
      <c r="H46" s="17">
        <f t="shared" si="41"/>
        <v>365000</v>
      </c>
      <c r="I46" s="17">
        <v>100000</v>
      </c>
      <c r="J46" s="17">
        <f>265000</f>
        <v>265000</v>
      </c>
      <c r="K46" s="17">
        <f t="shared" si="42"/>
        <v>365000</v>
      </c>
      <c r="L46" s="17">
        <v>100000</v>
      </c>
      <c r="M46" s="17">
        <v>265000</v>
      </c>
      <c r="N46" s="17">
        <f t="shared" si="43"/>
        <v>365000</v>
      </c>
      <c r="O46" s="17">
        <v>100000</v>
      </c>
      <c r="P46" s="17">
        <f>265000</f>
        <v>265000</v>
      </c>
      <c r="Q46" s="17">
        <f t="shared" si="44"/>
        <v>365000</v>
      </c>
      <c r="R46" s="17">
        <v>100000</v>
      </c>
      <c r="S46" s="17">
        <f>265000</f>
        <v>265000</v>
      </c>
      <c r="T46" s="17">
        <v>0</v>
      </c>
      <c r="U46" s="17">
        <v>0</v>
      </c>
      <c r="V46" s="17">
        <v>0</v>
      </c>
      <c r="W46" s="17">
        <f t="shared" si="28"/>
        <v>365000</v>
      </c>
      <c r="X46" s="17">
        <v>100000</v>
      </c>
      <c r="Y46" s="17">
        <v>265000</v>
      </c>
      <c r="Z46" s="17"/>
      <c r="AA46" s="17"/>
      <c r="AB46" s="17"/>
      <c r="AC46" s="17">
        <f t="shared" si="29"/>
        <v>265000</v>
      </c>
      <c r="AD46" s="17">
        <f t="shared" si="30"/>
        <v>365000</v>
      </c>
      <c r="AE46" s="17">
        <v>100000</v>
      </c>
      <c r="AF46" s="17">
        <v>265000</v>
      </c>
      <c r="AG46" s="17"/>
      <c r="AH46" s="17"/>
      <c r="AI46" s="17"/>
      <c r="AJ46" s="17">
        <f t="shared" si="31"/>
        <v>265000</v>
      </c>
      <c r="AK46" s="17">
        <f t="shared" si="32"/>
        <v>365000</v>
      </c>
      <c r="AL46" s="17">
        <v>100000</v>
      </c>
      <c r="AM46" s="42">
        <v>265000</v>
      </c>
      <c r="AN46" s="42">
        <v>0</v>
      </c>
      <c r="AO46" s="42">
        <v>0</v>
      </c>
      <c r="AP46" s="17"/>
      <c r="AQ46" s="17">
        <f t="shared" si="33"/>
        <v>265000</v>
      </c>
      <c r="AR46" s="17">
        <f t="shared" si="34"/>
        <v>365000</v>
      </c>
      <c r="AS46" s="42">
        <v>100000</v>
      </c>
      <c r="AT46" s="42">
        <v>265000</v>
      </c>
      <c r="AU46" s="42">
        <v>0</v>
      </c>
      <c r="AV46" s="42">
        <v>0</v>
      </c>
      <c r="AW46" s="17">
        <f t="shared" si="35"/>
        <v>265000</v>
      </c>
      <c r="AX46" s="42">
        <f t="shared" si="36"/>
        <v>365000</v>
      </c>
      <c r="AY46" s="42">
        <v>100000</v>
      </c>
      <c r="AZ46" s="42">
        <v>0</v>
      </c>
      <c r="BA46" s="42"/>
      <c r="BB46" s="42"/>
      <c r="BC46" s="42">
        <f t="shared" ref="BC46:BC58" si="48">SUM(AZ46:BB46)</f>
        <v>0</v>
      </c>
      <c r="BD46" s="42">
        <f t="shared" si="38"/>
        <v>100000</v>
      </c>
      <c r="BE46" s="42">
        <v>100000</v>
      </c>
      <c r="BF46" s="42">
        <v>0</v>
      </c>
      <c r="BG46" s="42"/>
      <c r="BH46" s="42">
        <v>0</v>
      </c>
      <c r="BI46" s="42">
        <f t="shared" si="39"/>
        <v>0</v>
      </c>
      <c r="BJ46" s="42">
        <f t="shared" si="40"/>
        <v>100000</v>
      </c>
      <c r="BK46" s="42">
        <v>100000</v>
      </c>
      <c r="BL46" s="42">
        <v>0</v>
      </c>
      <c r="BM46" s="42">
        <v>0</v>
      </c>
      <c r="BN46" s="42">
        <v>0</v>
      </c>
      <c r="BO46" s="42">
        <f t="shared" si="45"/>
        <v>0</v>
      </c>
      <c r="BP46" s="42">
        <f t="shared" si="46"/>
        <v>100000</v>
      </c>
      <c r="BQ46" s="69">
        <f t="shared" si="47"/>
        <v>3975000</v>
      </c>
      <c r="BR46" s="37"/>
      <c r="BS46" s="36"/>
      <c r="BT46" s="36"/>
      <c r="BU46" s="36"/>
    </row>
    <row r="47" spans="1:73" s="4" customFormat="1" ht="13">
      <c r="A47" s="15">
        <f t="shared" si="0"/>
        <v>43</v>
      </c>
      <c r="B47" s="48" t="s">
        <v>89</v>
      </c>
      <c r="C47" s="44" t="s">
        <v>90</v>
      </c>
      <c r="D47" s="44" t="s">
        <v>88</v>
      </c>
      <c r="E47" s="42">
        <v>2775000</v>
      </c>
      <c r="F47" s="17">
        <v>100000</v>
      </c>
      <c r="G47" s="17"/>
      <c r="H47" s="17">
        <f t="shared" si="41"/>
        <v>100000</v>
      </c>
      <c r="I47" s="17">
        <v>100000</v>
      </c>
      <c r="J47" s="17"/>
      <c r="K47" s="17">
        <f t="shared" si="42"/>
        <v>100000</v>
      </c>
      <c r="L47" s="17">
        <v>100000</v>
      </c>
      <c r="M47" s="17"/>
      <c r="N47" s="17">
        <f t="shared" si="43"/>
        <v>100000</v>
      </c>
      <c r="O47" s="17">
        <v>100000</v>
      </c>
      <c r="P47" s="17"/>
      <c r="Q47" s="17">
        <f t="shared" si="44"/>
        <v>100000</v>
      </c>
      <c r="R47" s="17">
        <v>100000</v>
      </c>
      <c r="S47" s="17">
        <v>0</v>
      </c>
      <c r="T47" s="17">
        <f>[7]System!$F$337</f>
        <v>2028</v>
      </c>
      <c r="U47" s="17">
        <v>0</v>
      </c>
      <c r="V47" s="17">
        <v>0</v>
      </c>
      <c r="W47" s="17">
        <f t="shared" si="28"/>
        <v>102028</v>
      </c>
      <c r="X47" s="17">
        <v>100000</v>
      </c>
      <c r="Y47" s="17"/>
      <c r="Z47" s="17"/>
      <c r="AA47" s="17"/>
      <c r="AB47" s="17"/>
      <c r="AC47" s="17">
        <f t="shared" si="29"/>
        <v>0</v>
      </c>
      <c r="AD47" s="17">
        <f t="shared" si="30"/>
        <v>100000</v>
      </c>
      <c r="AE47" s="17">
        <v>100000</v>
      </c>
      <c r="AF47" s="17"/>
      <c r="AG47" s="17"/>
      <c r="AH47" s="17"/>
      <c r="AI47" s="17"/>
      <c r="AJ47" s="17">
        <f t="shared" si="31"/>
        <v>0</v>
      </c>
      <c r="AK47" s="17">
        <f t="shared" si="32"/>
        <v>100000</v>
      </c>
      <c r="AL47" s="17">
        <v>100000</v>
      </c>
      <c r="AM47" s="42">
        <v>0</v>
      </c>
      <c r="AN47" s="42">
        <v>0</v>
      </c>
      <c r="AO47" s="42">
        <v>0</v>
      </c>
      <c r="AP47" s="17"/>
      <c r="AQ47" s="17">
        <f t="shared" si="33"/>
        <v>0</v>
      </c>
      <c r="AR47" s="17">
        <f t="shared" si="34"/>
        <v>100000</v>
      </c>
      <c r="AS47" s="42">
        <v>100000</v>
      </c>
      <c r="AT47" s="42">
        <v>0</v>
      </c>
      <c r="AU47" s="42">
        <v>0</v>
      </c>
      <c r="AV47" s="42">
        <v>0</v>
      </c>
      <c r="AW47" s="17">
        <f t="shared" si="35"/>
        <v>0</v>
      </c>
      <c r="AX47" s="42">
        <f t="shared" si="36"/>
        <v>100000</v>
      </c>
      <c r="AY47" s="42">
        <v>100000</v>
      </c>
      <c r="AZ47" s="42">
        <v>0</v>
      </c>
      <c r="BA47" s="42"/>
      <c r="BB47" s="42"/>
      <c r="BC47" s="42">
        <f t="shared" si="48"/>
        <v>0</v>
      </c>
      <c r="BD47" s="42">
        <f t="shared" si="38"/>
        <v>100000</v>
      </c>
      <c r="BE47" s="42">
        <v>100000</v>
      </c>
      <c r="BF47" s="42">
        <v>0</v>
      </c>
      <c r="BG47" s="42"/>
      <c r="BH47" s="42">
        <v>0</v>
      </c>
      <c r="BI47" s="42">
        <f t="shared" si="39"/>
        <v>0</v>
      </c>
      <c r="BJ47" s="42">
        <f t="shared" si="40"/>
        <v>100000</v>
      </c>
      <c r="BK47" s="42">
        <v>100000</v>
      </c>
      <c r="BL47" s="42">
        <v>0</v>
      </c>
      <c r="BM47" s="42">
        <v>0</v>
      </c>
      <c r="BN47" s="42">
        <v>0</v>
      </c>
      <c r="BO47" s="42">
        <f t="shared" si="45"/>
        <v>0</v>
      </c>
      <c r="BP47" s="42">
        <f t="shared" si="46"/>
        <v>100000</v>
      </c>
      <c r="BQ47" s="69">
        <f t="shared" si="47"/>
        <v>3975000</v>
      </c>
      <c r="BR47" s="38" t="s">
        <v>377</v>
      </c>
      <c r="BS47" s="36"/>
      <c r="BT47" s="36"/>
      <c r="BU47" s="36"/>
    </row>
    <row r="48" spans="1:73" s="4" customFormat="1" ht="13">
      <c r="A48" s="15">
        <f t="shared" si="0"/>
        <v>44</v>
      </c>
      <c r="B48" s="43">
        <v>95070119</v>
      </c>
      <c r="C48" s="44" t="s">
        <v>91</v>
      </c>
      <c r="D48" s="44" t="s">
        <v>88</v>
      </c>
      <c r="E48" s="42">
        <v>2775000</v>
      </c>
      <c r="F48" s="17">
        <v>100000</v>
      </c>
      <c r="G48" s="17"/>
      <c r="H48" s="17">
        <f t="shared" si="41"/>
        <v>100000</v>
      </c>
      <c r="I48" s="17">
        <v>100000</v>
      </c>
      <c r="J48" s="17">
        <f>23000</f>
        <v>23000</v>
      </c>
      <c r="K48" s="17">
        <f t="shared" si="42"/>
        <v>123000</v>
      </c>
      <c r="L48" s="17">
        <v>100000</v>
      </c>
      <c r="M48" s="17"/>
      <c r="N48" s="17">
        <f t="shared" si="43"/>
        <v>100000</v>
      </c>
      <c r="O48" s="17">
        <v>100000</v>
      </c>
      <c r="P48" s="17"/>
      <c r="Q48" s="17">
        <f t="shared" si="44"/>
        <v>100000</v>
      </c>
      <c r="R48" s="17">
        <v>100000</v>
      </c>
      <c r="S48" s="17">
        <f>530000</f>
        <v>530000</v>
      </c>
      <c r="T48" s="17">
        <f>21000+[7]System!$F$473</f>
        <v>51000</v>
      </c>
      <c r="U48" s="17">
        <v>0</v>
      </c>
      <c r="V48" s="17">
        <v>0</v>
      </c>
      <c r="W48" s="17">
        <f t="shared" si="28"/>
        <v>681000</v>
      </c>
      <c r="X48" s="17">
        <v>100000</v>
      </c>
      <c r="Y48" s="17">
        <v>530000</v>
      </c>
      <c r="Z48" s="17"/>
      <c r="AA48" s="17"/>
      <c r="AB48" s="17"/>
      <c r="AC48" s="17">
        <f t="shared" si="29"/>
        <v>530000</v>
      </c>
      <c r="AD48" s="17">
        <f t="shared" si="30"/>
        <v>630000</v>
      </c>
      <c r="AE48" s="17">
        <v>100000</v>
      </c>
      <c r="AF48" s="17">
        <v>530000</v>
      </c>
      <c r="AG48" s="17"/>
      <c r="AH48" s="17"/>
      <c r="AI48" s="17"/>
      <c r="AJ48" s="17">
        <f t="shared" si="31"/>
        <v>530000</v>
      </c>
      <c r="AK48" s="17">
        <f t="shared" si="32"/>
        <v>630000</v>
      </c>
      <c r="AL48" s="17">
        <v>100000</v>
      </c>
      <c r="AM48" s="42">
        <v>530000</v>
      </c>
      <c r="AN48" s="42">
        <v>0</v>
      </c>
      <c r="AO48" s="42">
        <v>0</v>
      </c>
      <c r="AP48" s="17"/>
      <c r="AQ48" s="17">
        <f t="shared" si="33"/>
        <v>530000</v>
      </c>
      <c r="AR48" s="17">
        <f t="shared" si="34"/>
        <v>630000</v>
      </c>
      <c r="AS48" s="42">
        <v>100000</v>
      </c>
      <c r="AT48" s="42">
        <v>530000</v>
      </c>
      <c r="AU48" s="42">
        <v>0</v>
      </c>
      <c r="AV48" s="42">
        <v>0</v>
      </c>
      <c r="AW48" s="17">
        <f t="shared" si="35"/>
        <v>530000</v>
      </c>
      <c r="AX48" s="42">
        <f t="shared" si="36"/>
        <v>630000</v>
      </c>
      <c r="AY48" s="42">
        <v>100000</v>
      </c>
      <c r="AZ48" s="42">
        <v>0</v>
      </c>
      <c r="BA48" s="42">
        <v>663125</v>
      </c>
      <c r="BB48" s="42"/>
      <c r="BC48" s="42">
        <f t="shared" si="48"/>
        <v>663125</v>
      </c>
      <c r="BD48" s="42">
        <f t="shared" si="38"/>
        <v>763125</v>
      </c>
      <c r="BE48" s="42">
        <v>100000</v>
      </c>
      <c r="BF48" s="42">
        <v>663125</v>
      </c>
      <c r="BG48" s="42"/>
      <c r="BH48" s="42">
        <v>0</v>
      </c>
      <c r="BI48" s="42">
        <f t="shared" si="39"/>
        <v>663125</v>
      </c>
      <c r="BJ48" s="42">
        <f t="shared" si="40"/>
        <v>763125</v>
      </c>
      <c r="BK48" s="42">
        <v>100000</v>
      </c>
      <c r="BL48" s="42">
        <v>663125</v>
      </c>
      <c r="BM48" s="42">
        <f>[12]Credit!$E$612</f>
        <v>3000</v>
      </c>
      <c r="BN48" s="42">
        <v>0</v>
      </c>
      <c r="BO48" s="42">
        <f t="shared" si="45"/>
        <v>666125</v>
      </c>
      <c r="BP48" s="42">
        <f t="shared" si="46"/>
        <v>766125</v>
      </c>
      <c r="BQ48" s="69">
        <f t="shared" si="47"/>
        <v>3975000</v>
      </c>
      <c r="BR48" s="37"/>
      <c r="BS48" s="36"/>
      <c r="BT48" s="36"/>
      <c r="BU48" s="36"/>
    </row>
    <row r="49" spans="1:73" s="4" customFormat="1" ht="13">
      <c r="A49" s="15">
        <f t="shared" si="0"/>
        <v>45</v>
      </c>
      <c r="B49" s="43">
        <v>13120389</v>
      </c>
      <c r="C49" s="44" t="s">
        <v>92</v>
      </c>
      <c r="D49" s="44" t="s">
        <v>88</v>
      </c>
      <c r="E49" s="42">
        <v>2325000</v>
      </c>
      <c r="F49" s="17">
        <v>100000</v>
      </c>
      <c r="G49" s="17"/>
      <c r="H49" s="17">
        <f t="shared" si="41"/>
        <v>100000</v>
      </c>
      <c r="I49" s="17">
        <v>100000</v>
      </c>
      <c r="J49" s="17"/>
      <c r="K49" s="17">
        <f t="shared" si="42"/>
        <v>100000</v>
      </c>
      <c r="L49" s="17">
        <v>100000</v>
      </c>
      <c r="M49" s="17"/>
      <c r="N49" s="17">
        <f t="shared" si="43"/>
        <v>100000</v>
      </c>
      <c r="O49" s="17">
        <v>100000</v>
      </c>
      <c r="P49" s="17"/>
      <c r="Q49" s="17">
        <f t="shared" si="44"/>
        <v>100000</v>
      </c>
      <c r="R49" s="17">
        <v>100000</v>
      </c>
      <c r="S49" s="17">
        <v>0</v>
      </c>
      <c r="T49" s="17">
        <f>[7]System!$F$645</f>
        <v>52000</v>
      </c>
      <c r="U49" s="17">
        <v>0</v>
      </c>
      <c r="V49" s="17">
        <v>0</v>
      </c>
      <c r="W49" s="17">
        <f t="shared" si="28"/>
        <v>152000</v>
      </c>
      <c r="X49" s="17">
        <v>100000</v>
      </c>
      <c r="Y49" s="17"/>
      <c r="Z49" s="17">
        <f>[8]Credit!$E$705</f>
        <v>24000</v>
      </c>
      <c r="AA49" s="17"/>
      <c r="AB49" s="17"/>
      <c r="AC49" s="17">
        <f t="shared" si="29"/>
        <v>24000</v>
      </c>
      <c r="AD49" s="17">
        <f t="shared" si="30"/>
        <v>124000</v>
      </c>
      <c r="AE49" s="17">
        <v>100000</v>
      </c>
      <c r="AF49" s="17"/>
      <c r="AG49" s="17"/>
      <c r="AH49" s="17"/>
      <c r="AI49" s="17"/>
      <c r="AJ49" s="17">
        <f t="shared" si="31"/>
        <v>0</v>
      </c>
      <c r="AK49" s="17">
        <f t="shared" si="32"/>
        <v>100000</v>
      </c>
      <c r="AL49" s="17">
        <v>100000</v>
      </c>
      <c r="AM49" s="42">
        <v>265000</v>
      </c>
      <c r="AN49" s="42">
        <f>[5]Credit!$E$822</f>
        <v>23000</v>
      </c>
      <c r="AO49" s="42">
        <v>0</v>
      </c>
      <c r="AP49" s="17"/>
      <c r="AQ49" s="17">
        <f t="shared" si="33"/>
        <v>288000</v>
      </c>
      <c r="AR49" s="17">
        <f t="shared" si="34"/>
        <v>388000</v>
      </c>
      <c r="AS49" s="42">
        <v>100000</v>
      </c>
      <c r="AT49" s="42">
        <v>265000</v>
      </c>
      <c r="AU49" s="42">
        <f>[10]Credit!$E$795</f>
        <v>23000</v>
      </c>
      <c r="AV49" s="42">
        <v>0</v>
      </c>
      <c r="AW49" s="17">
        <f t="shared" si="35"/>
        <v>288000</v>
      </c>
      <c r="AX49" s="42">
        <f t="shared" si="36"/>
        <v>388000</v>
      </c>
      <c r="AY49" s="42">
        <v>100000</v>
      </c>
      <c r="AZ49" s="42">
        <v>0</v>
      </c>
      <c r="BA49" s="42">
        <v>265000</v>
      </c>
      <c r="BB49" s="42"/>
      <c r="BC49" s="42">
        <f t="shared" si="48"/>
        <v>265000</v>
      </c>
      <c r="BD49" s="42">
        <f t="shared" si="38"/>
        <v>365000</v>
      </c>
      <c r="BE49" s="42">
        <v>100000</v>
      </c>
      <c r="BF49" s="42">
        <v>265000</v>
      </c>
      <c r="BG49" s="42"/>
      <c r="BH49" s="42">
        <v>0</v>
      </c>
      <c r="BI49" s="42">
        <f t="shared" si="39"/>
        <v>265000</v>
      </c>
      <c r="BJ49" s="42">
        <f t="shared" si="40"/>
        <v>365000</v>
      </c>
      <c r="BK49" s="42">
        <v>100000</v>
      </c>
      <c r="BL49" s="42">
        <v>530000</v>
      </c>
      <c r="BM49" s="42">
        <v>0</v>
      </c>
      <c r="BN49" s="42">
        <v>0</v>
      </c>
      <c r="BO49" s="42">
        <f t="shared" si="45"/>
        <v>530000</v>
      </c>
      <c r="BP49" s="42">
        <f t="shared" si="46"/>
        <v>630000</v>
      </c>
      <c r="BQ49" s="69">
        <f t="shared" si="47"/>
        <v>3525000</v>
      </c>
      <c r="BR49" s="37"/>
      <c r="BS49" s="36"/>
      <c r="BT49" s="36"/>
      <c r="BU49" s="36"/>
    </row>
    <row r="50" spans="1:73" s="4" customFormat="1" ht="13">
      <c r="A50" s="15">
        <f t="shared" si="0"/>
        <v>46</v>
      </c>
      <c r="B50" s="53" t="s">
        <v>80</v>
      </c>
      <c r="C50" s="54" t="s">
        <v>93</v>
      </c>
      <c r="D50" s="44" t="s">
        <v>88</v>
      </c>
      <c r="E50" s="42">
        <v>2775000</v>
      </c>
      <c r="F50" s="17">
        <v>100000</v>
      </c>
      <c r="G50" s="17">
        <f>540000+350000</f>
        <v>890000</v>
      </c>
      <c r="H50" s="17">
        <f t="shared" si="41"/>
        <v>990000</v>
      </c>
      <c r="I50" s="17">
        <v>100000</v>
      </c>
      <c r="J50" s="17">
        <f>540000</f>
        <v>540000</v>
      </c>
      <c r="K50" s="17">
        <f t="shared" si="42"/>
        <v>640000</v>
      </c>
      <c r="L50" s="17">
        <v>100000</v>
      </c>
      <c r="M50" s="17">
        <f>540000+229000</f>
        <v>769000</v>
      </c>
      <c r="N50" s="17">
        <f t="shared" si="43"/>
        <v>869000</v>
      </c>
      <c r="O50" s="17">
        <v>100000</v>
      </c>
      <c r="P50" s="17">
        <f>530000+156500+231000</f>
        <v>917500</v>
      </c>
      <c r="Q50" s="17">
        <f t="shared" si="44"/>
        <v>1017500</v>
      </c>
      <c r="R50" s="17">
        <v>100000</v>
      </c>
      <c r="S50" s="17">
        <f>530000</f>
        <v>530000</v>
      </c>
      <c r="T50" s="17">
        <f>19000+[7]System!$F$1095</f>
        <v>387000</v>
      </c>
      <c r="U50" s="17">
        <v>0</v>
      </c>
      <c r="V50" s="17">
        <v>0</v>
      </c>
      <c r="W50" s="17">
        <f t="shared" si="28"/>
        <v>1017000</v>
      </c>
      <c r="X50" s="17">
        <v>100000</v>
      </c>
      <c r="Y50" s="17">
        <v>530000</v>
      </c>
      <c r="Z50" s="17">
        <f>[8]Credit!$E$1193</f>
        <v>389000</v>
      </c>
      <c r="AA50" s="17"/>
      <c r="AB50" s="17">
        <v>85000</v>
      </c>
      <c r="AC50" s="17">
        <f t="shared" si="29"/>
        <v>1004000</v>
      </c>
      <c r="AD50" s="17">
        <f t="shared" si="30"/>
        <v>1104000</v>
      </c>
      <c r="AE50" s="17">
        <v>100000</v>
      </c>
      <c r="AF50" s="17">
        <v>530000</v>
      </c>
      <c r="AG50" s="17">
        <f>[9]Credit!$F$737</f>
        <v>184500</v>
      </c>
      <c r="AH50" s="17"/>
      <c r="AI50" s="17"/>
      <c r="AJ50" s="17">
        <f t="shared" si="31"/>
        <v>714500</v>
      </c>
      <c r="AK50" s="17">
        <f t="shared" si="32"/>
        <v>814500</v>
      </c>
      <c r="AL50" s="17">
        <v>100000</v>
      </c>
      <c r="AM50" s="42">
        <v>530000</v>
      </c>
      <c r="AN50" s="42">
        <f>[5]Credit!$E$1361</f>
        <v>392500</v>
      </c>
      <c r="AO50" s="42">
        <v>0</v>
      </c>
      <c r="AP50" s="17"/>
      <c r="AQ50" s="17">
        <f t="shared" si="33"/>
        <v>922500</v>
      </c>
      <c r="AR50" s="17">
        <f t="shared" si="34"/>
        <v>1022500</v>
      </c>
      <c r="AS50" s="42">
        <v>100000</v>
      </c>
      <c r="AT50" s="42">
        <v>530000</v>
      </c>
      <c r="AU50" s="42">
        <f>[10]Credit!$E$1301</f>
        <v>582500</v>
      </c>
      <c r="AV50" s="42">
        <v>0</v>
      </c>
      <c r="AW50" s="17">
        <f t="shared" si="35"/>
        <v>1112500</v>
      </c>
      <c r="AX50" s="42">
        <f t="shared" si="36"/>
        <v>1212500</v>
      </c>
      <c r="AY50" s="42">
        <v>100000</v>
      </c>
      <c r="AZ50" s="42">
        <f>[6]Credit!$F$1289</f>
        <v>325500</v>
      </c>
      <c r="BA50" s="42">
        <v>530000</v>
      </c>
      <c r="BB50" s="42"/>
      <c r="BC50" s="42">
        <f t="shared" si="48"/>
        <v>855500</v>
      </c>
      <c r="BD50" s="42">
        <f t="shared" si="38"/>
        <v>955500</v>
      </c>
      <c r="BE50" s="42">
        <v>100000</v>
      </c>
      <c r="BF50" s="42">
        <v>530000</v>
      </c>
      <c r="BG50" s="42">
        <f>[11]Kredit!$E$1306</f>
        <v>406500</v>
      </c>
      <c r="BH50" s="42">
        <v>0</v>
      </c>
      <c r="BI50" s="42">
        <f t="shared" si="39"/>
        <v>936500</v>
      </c>
      <c r="BJ50" s="42">
        <f t="shared" si="40"/>
        <v>1036500</v>
      </c>
      <c r="BK50" s="42">
        <v>100000</v>
      </c>
      <c r="BL50" s="42">
        <v>530000</v>
      </c>
      <c r="BM50" s="42">
        <f>[12]Credit!$E$1212</f>
        <v>532500</v>
      </c>
      <c r="BN50" s="42">
        <v>0</v>
      </c>
      <c r="BO50" s="42">
        <f t="shared" si="45"/>
        <v>1062500</v>
      </c>
      <c r="BP50" s="42">
        <f t="shared" si="46"/>
        <v>1162500</v>
      </c>
      <c r="BQ50" s="69">
        <f t="shared" si="47"/>
        <v>3975000</v>
      </c>
      <c r="BR50" s="37"/>
      <c r="BS50" s="36"/>
      <c r="BT50" s="36"/>
      <c r="BU50" s="36"/>
    </row>
    <row r="51" spans="1:73" s="4" customFormat="1" ht="13">
      <c r="A51" s="15">
        <f t="shared" si="0"/>
        <v>47</v>
      </c>
      <c r="B51" s="43">
        <v>95070319</v>
      </c>
      <c r="C51" s="44" t="s">
        <v>94</v>
      </c>
      <c r="D51" s="44" t="s">
        <v>88</v>
      </c>
      <c r="E51" s="42">
        <v>2775000</v>
      </c>
      <c r="F51" s="17">
        <v>100000</v>
      </c>
      <c r="G51" s="17">
        <f>530000+115000</f>
        <v>645000</v>
      </c>
      <c r="H51" s="17">
        <f t="shared" si="41"/>
        <v>745000</v>
      </c>
      <c r="I51" s="17">
        <v>100000</v>
      </c>
      <c r="J51" s="17">
        <f>530000</f>
        <v>530000</v>
      </c>
      <c r="K51" s="17">
        <f t="shared" si="42"/>
        <v>630000</v>
      </c>
      <c r="L51" s="17">
        <v>100000</v>
      </c>
      <c r="M51" s="17">
        <f>530000+77000</f>
        <v>607000</v>
      </c>
      <c r="N51" s="17">
        <f t="shared" si="43"/>
        <v>707000</v>
      </c>
      <c r="O51" s="17">
        <v>100000</v>
      </c>
      <c r="P51" s="17">
        <f>530000+25000</f>
        <v>555000</v>
      </c>
      <c r="Q51" s="17">
        <f t="shared" si="44"/>
        <v>655000</v>
      </c>
      <c r="R51" s="17">
        <v>100000</v>
      </c>
      <c r="S51" s="17">
        <f>530000</f>
        <v>530000</v>
      </c>
      <c r="T51" s="17">
        <f>120000+[7]System!$F$1227</f>
        <v>237000</v>
      </c>
      <c r="U51" s="17">
        <v>0</v>
      </c>
      <c r="V51" s="17">
        <v>0</v>
      </c>
      <c r="W51" s="17">
        <f t="shared" si="28"/>
        <v>867000</v>
      </c>
      <c r="X51" s="17">
        <v>100000</v>
      </c>
      <c r="Y51" s="17">
        <v>530000</v>
      </c>
      <c r="Z51" s="17">
        <f>[8]Credit!$E$1335</f>
        <v>98000</v>
      </c>
      <c r="AA51" s="17"/>
      <c r="AB51" s="17"/>
      <c r="AC51" s="17">
        <f t="shared" si="29"/>
        <v>628000</v>
      </c>
      <c r="AD51" s="17">
        <f t="shared" si="30"/>
        <v>728000</v>
      </c>
      <c r="AE51" s="17">
        <v>100000</v>
      </c>
      <c r="AF51" s="17"/>
      <c r="AG51" s="17">
        <f>[9]Credit!$F$820</f>
        <v>86000</v>
      </c>
      <c r="AH51" s="17"/>
      <c r="AI51" s="17"/>
      <c r="AJ51" s="17">
        <f t="shared" si="31"/>
        <v>86000</v>
      </c>
      <c r="AK51" s="17">
        <f t="shared" si="32"/>
        <v>186000</v>
      </c>
      <c r="AL51" s="17">
        <v>100000</v>
      </c>
      <c r="AM51" s="42">
        <v>0</v>
      </c>
      <c r="AN51" s="42">
        <f>[5]Credit!$E$1536</f>
        <v>145000</v>
      </c>
      <c r="AO51" s="42">
        <v>0</v>
      </c>
      <c r="AP51" s="17">
        <v>9000</v>
      </c>
      <c r="AQ51" s="17">
        <f t="shared" si="33"/>
        <v>154000</v>
      </c>
      <c r="AR51" s="17">
        <f t="shared" si="34"/>
        <v>254000</v>
      </c>
      <c r="AS51" s="42">
        <v>100000</v>
      </c>
      <c r="AT51" s="42">
        <v>0</v>
      </c>
      <c r="AU51" s="42">
        <f>[10]Credit!$E$1496</f>
        <v>232000</v>
      </c>
      <c r="AV51" s="42">
        <v>0</v>
      </c>
      <c r="AW51" s="17">
        <f t="shared" si="35"/>
        <v>232000</v>
      </c>
      <c r="AX51" s="42">
        <f t="shared" si="36"/>
        <v>332000</v>
      </c>
      <c r="AY51" s="42">
        <v>100000</v>
      </c>
      <c r="AZ51" s="42">
        <f>[6]Credit!$F$1481</f>
        <v>133000</v>
      </c>
      <c r="BA51" s="42"/>
      <c r="BB51" s="42"/>
      <c r="BC51" s="42">
        <f t="shared" si="48"/>
        <v>133000</v>
      </c>
      <c r="BD51" s="42">
        <f t="shared" si="38"/>
        <v>233000</v>
      </c>
      <c r="BE51" s="42">
        <v>100000</v>
      </c>
      <c r="BF51" s="42">
        <v>0</v>
      </c>
      <c r="BG51" s="42">
        <f>[11]Kredit!$E$1539</f>
        <v>271000</v>
      </c>
      <c r="BH51" s="42">
        <v>0</v>
      </c>
      <c r="BI51" s="42">
        <f t="shared" si="39"/>
        <v>271000</v>
      </c>
      <c r="BJ51" s="42">
        <f t="shared" si="40"/>
        <v>371000</v>
      </c>
      <c r="BK51" s="42">
        <v>100000</v>
      </c>
      <c r="BL51" s="42">
        <v>0</v>
      </c>
      <c r="BM51" s="42">
        <f>[12]Credit!$E$1422</f>
        <v>133000</v>
      </c>
      <c r="BN51" s="42">
        <v>0</v>
      </c>
      <c r="BO51" s="42">
        <f t="shared" si="45"/>
        <v>133000</v>
      </c>
      <c r="BP51" s="42">
        <f t="shared" si="46"/>
        <v>233000</v>
      </c>
      <c r="BQ51" s="69">
        <f t="shared" si="47"/>
        <v>3975000</v>
      </c>
      <c r="BR51" s="38" t="s">
        <v>388</v>
      </c>
      <c r="BS51" s="36"/>
      <c r="BT51" s="36"/>
      <c r="BU51" s="36"/>
    </row>
    <row r="52" spans="1:73" s="4" customFormat="1" ht="13">
      <c r="A52" s="15">
        <f t="shared" si="0"/>
        <v>48</v>
      </c>
      <c r="B52" s="50">
        <v>97081399</v>
      </c>
      <c r="C52" s="44" t="s">
        <v>96</v>
      </c>
      <c r="D52" s="44" t="s">
        <v>95</v>
      </c>
      <c r="E52" s="42">
        <v>1900000</v>
      </c>
      <c r="F52" s="17">
        <v>100000</v>
      </c>
      <c r="G52" s="17">
        <f>540000</f>
        <v>540000</v>
      </c>
      <c r="H52" s="17">
        <f t="shared" si="41"/>
        <v>640000</v>
      </c>
      <c r="I52" s="17">
        <v>100000</v>
      </c>
      <c r="J52" s="17">
        <f>540000</f>
        <v>540000</v>
      </c>
      <c r="K52" s="17">
        <f t="shared" si="42"/>
        <v>640000</v>
      </c>
      <c r="L52" s="17">
        <v>100000</v>
      </c>
      <c r="M52" s="17">
        <v>540000</v>
      </c>
      <c r="N52" s="17">
        <f t="shared" si="43"/>
        <v>640000</v>
      </c>
      <c r="O52" s="17">
        <v>100000</v>
      </c>
      <c r="P52" s="17"/>
      <c r="Q52" s="17">
        <f t="shared" si="44"/>
        <v>100000</v>
      </c>
      <c r="R52" s="17">
        <v>100000</v>
      </c>
      <c r="S52" s="17">
        <f>425000</f>
        <v>425000</v>
      </c>
      <c r="T52" s="17">
        <v>0</v>
      </c>
      <c r="U52" s="17">
        <v>0</v>
      </c>
      <c r="V52" s="17">
        <v>0</v>
      </c>
      <c r="W52" s="17">
        <f t="shared" si="28"/>
        <v>525000</v>
      </c>
      <c r="X52" s="17">
        <v>100000</v>
      </c>
      <c r="Y52" s="17">
        <v>425000</v>
      </c>
      <c r="Z52" s="17"/>
      <c r="AA52" s="17"/>
      <c r="AB52" s="17"/>
      <c r="AC52" s="17">
        <f t="shared" si="29"/>
        <v>425000</v>
      </c>
      <c r="AD52" s="17">
        <f t="shared" si="30"/>
        <v>525000</v>
      </c>
      <c r="AE52" s="17">
        <v>100000</v>
      </c>
      <c r="AF52" s="17">
        <v>425000</v>
      </c>
      <c r="AG52" s="17"/>
      <c r="AH52" s="17"/>
      <c r="AI52" s="17"/>
      <c r="AJ52" s="17">
        <f t="shared" si="31"/>
        <v>425000</v>
      </c>
      <c r="AK52" s="17">
        <f t="shared" si="32"/>
        <v>525000</v>
      </c>
      <c r="AL52" s="17">
        <v>100000</v>
      </c>
      <c r="AM52" s="42">
        <v>425000</v>
      </c>
      <c r="AN52" s="42">
        <v>0</v>
      </c>
      <c r="AO52" s="42">
        <v>0</v>
      </c>
      <c r="AP52" s="17"/>
      <c r="AQ52" s="17">
        <f t="shared" si="33"/>
        <v>425000</v>
      </c>
      <c r="AR52" s="17">
        <f t="shared" si="34"/>
        <v>525000</v>
      </c>
      <c r="AS52" s="42">
        <v>100000</v>
      </c>
      <c r="AT52" s="42">
        <v>425000</v>
      </c>
      <c r="AU52" s="42">
        <v>0</v>
      </c>
      <c r="AV52" s="42">
        <v>0</v>
      </c>
      <c r="AW52" s="17">
        <f t="shared" si="35"/>
        <v>425000</v>
      </c>
      <c r="AX52" s="42">
        <f t="shared" si="36"/>
        <v>525000</v>
      </c>
      <c r="AY52" s="42">
        <v>100000</v>
      </c>
      <c r="AZ52" s="42">
        <v>0</v>
      </c>
      <c r="BA52" s="42">
        <v>530000</v>
      </c>
      <c r="BB52" s="42"/>
      <c r="BC52" s="42">
        <f t="shared" si="48"/>
        <v>530000</v>
      </c>
      <c r="BD52" s="42">
        <f t="shared" si="38"/>
        <v>630000</v>
      </c>
      <c r="BE52" s="42">
        <v>100000</v>
      </c>
      <c r="BF52" s="42">
        <v>530000</v>
      </c>
      <c r="BG52" s="42"/>
      <c r="BH52" s="42">
        <v>0</v>
      </c>
      <c r="BI52" s="42">
        <f t="shared" si="39"/>
        <v>530000</v>
      </c>
      <c r="BJ52" s="42">
        <f t="shared" si="40"/>
        <v>630000</v>
      </c>
      <c r="BK52" s="42">
        <v>100000</v>
      </c>
      <c r="BL52" s="42">
        <v>530000</v>
      </c>
      <c r="BM52" s="42">
        <v>0</v>
      </c>
      <c r="BN52" s="42">
        <v>0</v>
      </c>
      <c r="BO52" s="42">
        <f t="shared" si="45"/>
        <v>530000</v>
      </c>
      <c r="BP52" s="42">
        <f t="shared" si="46"/>
        <v>630000</v>
      </c>
      <c r="BQ52" s="69">
        <f t="shared" si="47"/>
        <v>3100000</v>
      </c>
      <c r="BR52" s="37"/>
      <c r="BS52" s="36"/>
      <c r="BT52" s="36"/>
      <c r="BU52" s="36"/>
    </row>
    <row r="53" spans="1:73" s="4" customFormat="1" ht="13">
      <c r="A53" s="15">
        <f t="shared" si="0"/>
        <v>49</v>
      </c>
      <c r="B53" s="50">
        <v>13110159</v>
      </c>
      <c r="C53" s="44" t="s">
        <v>389</v>
      </c>
      <c r="D53" s="44" t="s">
        <v>95</v>
      </c>
      <c r="E53" s="42">
        <v>0</v>
      </c>
      <c r="F53" s="17"/>
      <c r="G53" s="17"/>
      <c r="H53" s="17"/>
      <c r="I53" s="17"/>
      <c r="J53" s="17"/>
      <c r="K53" s="17"/>
      <c r="L53" s="17">
        <v>200000</v>
      </c>
      <c r="M53" s="17"/>
      <c r="N53" s="17">
        <f t="shared" si="43"/>
        <v>200000</v>
      </c>
      <c r="O53" s="17">
        <v>100000</v>
      </c>
      <c r="P53" s="17"/>
      <c r="Q53" s="17">
        <f t="shared" si="44"/>
        <v>100000</v>
      </c>
      <c r="R53" s="17">
        <v>100000</v>
      </c>
      <c r="S53" s="17">
        <v>0</v>
      </c>
      <c r="T53" s="17">
        <v>0</v>
      </c>
      <c r="U53" s="17">
        <v>0</v>
      </c>
      <c r="V53" s="17">
        <v>0</v>
      </c>
      <c r="W53" s="17">
        <f t="shared" si="28"/>
        <v>100000</v>
      </c>
      <c r="X53" s="17">
        <v>100000</v>
      </c>
      <c r="Y53" s="17"/>
      <c r="Z53" s="17">
        <f>[8]Credit!$E$295</f>
        <v>20000</v>
      </c>
      <c r="AA53" s="17"/>
      <c r="AB53" s="17"/>
      <c r="AC53" s="17">
        <f t="shared" si="29"/>
        <v>20000</v>
      </c>
      <c r="AD53" s="17">
        <f t="shared" si="30"/>
        <v>120000</v>
      </c>
      <c r="AE53" s="17">
        <v>100000</v>
      </c>
      <c r="AF53" s="17"/>
      <c r="AG53" s="17">
        <f>[9]Credit!$F$202</f>
        <v>67000</v>
      </c>
      <c r="AH53" s="17"/>
      <c r="AI53" s="17"/>
      <c r="AJ53" s="17">
        <f t="shared" si="31"/>
        <v>67000</v>
      </c>
      <c r="AK53" s="17">
        <f t="shared" si="32"/>
        <v>167000</v>
      </c>
      <c r="AL53" s="17">
        <v>100000</v>
      </c>
      <c r="AM53" s="42">
        <v>0</v>
      </c>
      <c r="AN53" s="42">
        <f>[5]Credit!$E$366</f>
        <v>87000</v>
      </c>
      <c r="AO53" s="42">
        <v>0</v>
      </c>
      <c r="AP53" s="17"/>
      <c r="AQ53" s="17">
        <f t="shared" si="33"/>
        <v>87000</v>
      </c>
      <c r="AR53" s="17">
        <f t="shared" si="34"/>
        <v>187000</v>
      </c>
      <c r="AS53" s="42">
        <v>100000</v>
      </c>
      <c r="AT53" s="42">
        <v>0</v>
      </c>
      <c r="AU53" s="42">
        <f>[10]Credit!$E$364</f>
        <v>39000</v>
      </c>
      <c r="AV53" s="42">
        <v>0</v>
      </c>
      <c r="AW53" s="17">
        <f t="shared" si="35"/>
        <v>39000</v>
      </c>
      <c r="AX53" s="42">
        <f t="shared" si="36"/>
        <v>139000</v>
      </c>
      <c r="AY53" s="42">
        <v>100000</v>
      </c>
      <c r="AZ53" s="42">
        <f>[6]Credit!$F$386</f>
        <v>26000</v>
      </c>
      <c r="BA53" s="42"/>
      <c r="BB53" s="42"/>
      <c r="BC53" s="42">
        <f t="shared" si="48"/>
        <v>26000</v>
      </c>
      <c r="BD53" s="42">
        <f t="shared" si="38"/>
        <v>126000</v>
      </c>
      <c r="BE53" s="42">
        <v>100000</v>
      </c>
      <c r="BF53" s="42">
        <v>0</v>
      </c>
      <c r="BG53" s="42">
        <f>[11]Kredit!$E$456</f>
        <v>74500</v>
      </c>
      <c r="BH53" s="42">
        <v>0</v>
      </c>
      <c r="BI53" s="42">
        <f t="shared" si="39"/>
        <v>74500</v>
      </c>
      <c r="BJ53" s="42">
        <f t="shared" si="40"/>
        <v>174500</v>
      </c>
      <c r="BK53" s="42">
        <v>100000</v>
      </c>
      <c r="BL53" s="42">
        <v>0</v>
      </c>
      <c r="BM53" s="42">
        <f>[12]Credit!$E$446</f>
        <v>78000</v>
      </c>
      <c r="BN53" s="42">
        <v>0</v>
      </c>
      <c r="BO53" s="42">
        <f t="shared" si="45"/>
        <v>78000</v>
      </c>
      <c r="BP53" s="42">
        <f t="shared" si="46"/>
        <v>178000</v>
      </c>
      <c r="BQ53" s="69">
        <f t="shared" si="47"/>
        <v>1100000</v>
      </c>
      <c r="BR53" s="37"/>
      <c r="BS53" s="36"/>
      <c r="BT53" s="36"/>
      <c r="BU53" s="36"/>
    </row>
    <row r="54" spans="1:73" s="58" customFormat="1" ht="13">
      <c r="A54" s="15">
        <f t="shared" si="0"/>
        <v>50</v>
      </c>
      <c r="B54" s="43">
        <v>96091129</v>
      </c>
      <c r="C54" s="44" t="s">
        <v>64</v>
      </c>
      <c r="D54" s="44" t="s">
        <v>97</v>
      </c>
      <c r="E54" s="42">
        <v>2625000</v>
      </c>
      <c r="F54" s="17">
        <v>100000</v>
      </c>
      <c r="G54" s="17">
        <f>530000+374000</f>
        <v>904000</v>
      </c>
      <c r="H54" s="17">
        <f>F54+G54</f>
        <v>1004000</v>
      </c>
      <c r="I54" s="17">
        <v>100000</v>
      </c>
      <c r="J54" s="17">
        <f>530000+759000</f>
        <v>1289000</v>
      </c>
      <c r="K54" s="17">
        <f>I54+J54</f>
        <v>1389000</v>
      </c>
      <c r="L54" s="17">
        <v>100000</v>
      </c>
      <c r="M54" s="17">
        <f>530000+238000</f>
        <v>768000</v>
      </c>
      <c r="N54" s="17">
        <f t="shared" si="43"/>
        <v>868000</v>
      </c>
      <c r="O54" s="17">
        <v>100000</v>
      </c>
      <c r="P54" s="17">
        <f>633500+530000+23000+160000</f>
        <v>1346500</v>
      </c>
      <c r="Q54" s="17">
        <f t="shared" si="44"/>
        <v>1446500</v>
      </c>
      <c r="R54" s="17">
        <v>100000</v>
      </c>
      <c r="S54" s="17">
        <f>530000</f>
        <v>530000</v>
      </c>
      <c r="T54" s="17">
        <f>[7]System!$F$96</f>
        <v>745200</v>
      </c>
      <c r="U54" s="17">
        <v>0</v>
      </c>
      <c r="V54" s="17">
        <v>0</v>
      </c>
      <c r="W54" s="17">
        <f t="shared" si="28"/>
        <v>1375200</v>
      </c>
      <c r="X54" s="17">
        <v>100000</v>
      </c>
      <c r="Y54" s="17">
        <v>530000</v>
      </c>
      <c r="Z54" s="17">
        <f>[8]Credit!$E$83</f>
        <v>388500</v>
      </c>
      <c r="AA54" s="17"/>
      <c r="AB54" s="17"/>
      <c r="AC54" s="17">
        <f t="shared" si="29"/>
        <v>918500</v>
      </c>
      <c r="AD54" s="17">
        <f t="shared" si="30"/>
        <v>1018500</v>
      </c>
      <c r="AE54" s="17">
        <v>100000</v>
      </c>
      <c r="AF54" s="17">
        <v>530000</v>
      </c>
      <c r="AG54" s="17">
        <f>[9]Credit!$F$54</f>
        <v>433000</v>
      </c>
      <c r="AH54" s="17"/>
      <c r="AI54" s="17">
        <f>(170000*2)-100000</f>
        <v>240000</v>
      </c>
      <c r="AJ54" s="17">
        <f t="shared" si="31"/>
        <v>1203000</v>
      </c>
      <c r="AK54" s="17">
        <f t="shared" si="32"/>
        <v>1303000</v>
      </c>
      <c r="AL54" s="17">
        <v>100000</v>
      </c>
      <c r="AM54" s="42">
        <v>530000</v>
      </c>
      <c r="AN54" s="42">
        <f>[5]Credit!$E$108</f>
        <v>384700</v>
      </c>
      <c r="AO54" s="42">
        <v>0</v>
      </c>
      <c r="AP54" s="17"/>
      <c r="AQ54" s="17">
        <f t="shared" si="33"/>
        <v>914700</v>
      </c>
      <c r="AR54" s="17">
        <f t="shared" si="34"/>
        <v>1014700</v>
      </c>
      <c r="AS54" s="42">
        <v>100000</v>
      </c>
      <c r="AT54" s="42">
        <v>530000</v>
      </c>
      <c r="AU54" s="42">
        <f>[10]Credit!$E$128</f>
        <v>468050</v>
      </c>
      <c r="AV54" s="42">
        <v>0</v>
      </c>
      <c r="AW54" s="17">
        <f t="shared" si="35"/>
        <v>998050</v>
      </c>
      <c r="AX54" s="42">
        <f t="shared" si="36"/>
        <v>1098050</v>
      </c>
      <c r="AY54" s="42">
        <v>100000</v>
      </c>
      <c r="AZ54" s="42">
        <f>[6]Credit!$F$121</f>
        <v>882500</v>
      </c>
      <c r="BA54" s="42">
        <v>530000</v>
      </c>
      <c r="BB54" s="42"/>
      <c r="BC54" s="42">
        <f t="shared" si="48"/>
        <v>1412500</v>
      </c>
      <c r="BD54" s="42">
        <f t="shared" si="38"/>
        <v>1512500</v>
      </c>
      <c r="BE54" s="42">
        <v>100000</v>
      </c>
      <c r="BF54" s="42">
        <v>530000</v>
      </c>
      <c r="BG54" s="42">
        <f>[11]Kredit!$E$149</f>
        <v>864500</v>
      </c>
      <c r="BH54" s="42">
        <v>0</v>
      </c>
      <c r="BI54" s="42">
        <f t="shared" si="39"/>
        <v>1394500</v>
      </c>
      <c r="BJ54" s="42">
        <f t="shared" si="40"/>
        <v>1494500</v>
      </c>
      <c r="BK54" s="42">
        <v>100000</v>
      </c>
      <c r="BL54" s="42">
        <f>530000+530000</f>
        <v>1060000</v>
      </c>
      <c r="BM54" s="42">
        <f>[12]Credit!$E$131</f>
        <v>622000</v>
      </c>
      <c r="BN54" s="42">
        <v>0</v>
      </c>
      <c r="BO54" s="42">
        <f t="shared" si="45"/>
        <v>1682000</v>
      </c>
      <c r="BP54" s="42">
        <f t="shared" si="46"/>
        <v>1782000</v>
      </c>
      <c r="BQ54" s="69">
        <f t="shared" si="47"/>
        <v>3825000</v>
      </c>
      <c r="BR54" s="37" t="s">
        <v>390</v>
      </c>
      <c r="BS54" s="57"/>
      <c r="BT54" s="57"/>
      <c r="BU54" s="57"/>
    </row>
    <row r="55" spans="1:73" s="4" customFormat="1" ht="13">
      <c r="A55" s="15">
        <f t="shared" si="0"/>
        <v>51</v>
      </c>
      <c r="B55" s="48" t="s">
        <v>98</v>
      </c>
      <c r="C55" s="44" t="s">
        <v>99</v>
      </c>
      <c r="D55" s="44" t="s">
        <v>97</v>
      </c>
      <c r="E55" s="42">
        <v>2775000</v>
      </c>
      <c r="F55" s="17">
        <v>100000</v>
      </c>
      <c r="G55" s="17">
        <f>178500</f>
        <v>178500</v>
      </c>
      <c r="H55" s="17">
        <f>F55+G55</f>
        <v>278500</v>
      </c>
      <c r="I55" s="17">
        <v>100000</v>
      </c>
      <c r="J55" s="17">
        <f>91000</f>
        <v>91000</v>
      </c>
      <c r="K55" s="17">
        <f>I55+J55</f>
        <v>191000</v>
      </c>
      <c r="L55" s="17">
        <v>100000</v>
      </c>
      <c r="M55" s="17">
        <f>530000+145500</f>
        <v>675500</v>
      </c>
      <c r="N55" s="17">
        <f t="shared" si="43"/>
        <v>775500</v>
      </c>
      <c r="O55" s="17">
        <v>100000</v>
      </c>
      <c r="P55" s="17">
        <f>530000+39000</f>
        <v>569000</v>
      </c>
      <c r="Q55" s="17">
        <f t="shared" si="44"/>
        <v>669000</v>
      </c>
      <c r="R55" s="17">
        <v>100000</v>
      </c>
      <c r="S55" s="17">
        <f>530000</f>
        <v>530000</v>
      </c>
      <c r="T55" s="17">
        <f>126000+[7]System!$F$867</f>
        <v>257000</v>
      </c>
      <c r="U55" s="17">
        <v>0</v>
      </c>
      <c r="V55" s="17">
        <v>0</v>
      </c>
      <c r="W55" s="17">
        <f t="shared" si="28"/>
        <v>887000</v>
      </c>
      <c r="X55" s="17">
        <v>100000</v>
      </c>
      <c r="Y55" s="17">
        <v>530000</v>
      </c>
      <c r="Z55" s="17">
        <f>[8]Credit!$E$974</f>
        <v>200500</v>
      </c>
      <c r="AA55" s="17"/>
      <c r="AB55" s="17"/>
      <c r="AC55" s="17">
        <f t="shared" si="29"/>
        <v>730500</v>
      </c>
      <c r="AD55" s="17">
        <f t="shared" si="30"/>
        <v>830500</v>
      </c>
      <c r="AE55" s="17">
        <v>100000</v>
      </c>
      <c r="AF55" s="17">
        <v>530000</v>
      </c>
      <c r="AG55" s="17">
        <f>[9]Credit!$F$608</f>
        <v>76000</v>
      </c>
      <c r="AH55" s="17"/>
      <c r="AI55" s="17"/>
      <c r="AJ55" s="17">
        <f t="shared" si="31"/>
        <v>606000</v>
      </c>
      <c r="AK55" s="17">
        <f t="shared" si="32"/>
        <v>706000</v>
      </c>
      <c r="AL55" s="17">
        <v>100000</v>
      </c>
      <c r="AM55" s="42">
        <v>530000</v>
      </c>
      <c r="AN55" s="42">
        <f>[5]Credit!$E$1124</f>
        <v>99500</v>
      </c>
      <c r="AO55" s="42">
        <v>0</v>
      </c>
      <c r="AP55" s="17">
        <v>88000</v>
      </c>
      <c r="AQ55" s="17">
        <f t="shared" si="33"/>
        <v>717500</v>
      </c>
      <c r="AR55" s="17">
        <f t="shared" si="34"/>
        <v>817500</v>
      </c>
      <c r="AS55" s="42">
        <v>100000</v>
      </c>
      <c r="AT55" s="42">
        <v>0</v>
      </c>
      <c r="AU55" s="42">
        <f>[10]Credit!$E$1065</f>
        <v>90000</v>
      </c>
      <c r="AV55" s="42">
        <v>0</v>
      </c>
      <c r="AW55" s="17">
        <f t="shared" si="35"/>
        <v>90000</v>
      </c>
      <c r="AX55" s="42">
        <f t="shared" si="36"/>
        <v>190000</v>
      </c>
      <c r="AY55" s="42">
        <v>100000</v>
      </c>
      <c r="AZ55" s="42">
        <f>[6]Credit!$F$1074</f>
        <v>8000</v>
      </c>
      <c r="BA55" s="42"/>
      <c r="BB55" s="42"/>
      <c r="BC55" s="42">
        <f t="shared" si="48"/>
        <v>8000</v>
      </c>
      <c r="BD55" s="42">
        <f t="shared" si="38"/>
        <v>108000</v>
      </c>
      <c r="BE55" s="42">
        <v>100000</v>
      </c>
      <c r="BF55" s="42">
        <v>530000</v>
      </c>
      <c r="BG55" s="42"/>
      <c r="BH55" s="42">
        <v>0</v>
      </c>
      <c r="BI55" s="42">
        <f t="shared" si="39"/>
        <v>530000</v>
      </c>
      <c r="BJ55" s="42">
        <f t="shared" si="40"/>
        <v>630000</v>
      </c>
      <c r="BK55" s="42">
        <v>100000</v>
      </c>
      <c r="BL55" s="42">
        <v>530000</v>
      </c>
      <c r="BM55" s="42">
        <f>[12]Credit!$E$959</f>
        <v>30000</v>
      </c>
      <c r="BN55" s="42">
        <v>0</v>
      </c>
      <c r="BO55" s="42">
        <f t="shared" si="45"/>
        <v>560000</v>
      </c>
      <c r="BP55" s="42">
        <f t="shared" si="46"/>
        <v>660000</v>
      </c>
      <c r="BQ55" s="69">
        <f t="shared" si="47"/>
        <v>3975000</v>
      </c>
      <c r="BR55" s="37"/>
      <c r="BS55" s="36"/>
      <c r="BT55" s="36"/>
      <c r="BU55" s="36"/>
    </row>
    <row r="56" spans="1:73">
      <c r="A56" s="15">
        <f t="shared" si="0"/>
        <v>52</v>
      </c>
      <c r="B56" s="50">
        <v>99101899</v>
      </c>
      <c r="C56" s="44" t="s">
        <v>391</v>
      </c>
      <c r="D56" s="44" t="s">
        <v>97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17">
        <v>200000</v>
      </c>
      <c r="P56" s="42">
        <v>0</v>
      </c>
      <c r="Q56" s="17">
        <f t="shared" si="44"/>
        <v>200000</v>
      </c>
      <c r="R56" s="17">
        <v>100000</v>
      </c>
      <c r="S56" s="17">
        <f>530000</f>
        <v>530000</v>
      </c>
      <c r="T56" s="17">
        <v>0</v>
      </c>
      <c r="U56" s="17">
        <v>0</v>
      </c>
      <c r="V56" s="17">
        <v>0</v>
      </c>
      <c r="W56" s="17">
        <f t="shared" si="28"/>
        <v>630000</v>
      </c>
      <c r="X56" s="17">
        <v>100000</v>
      </c>
      <c r="Y56" s="42">
        <v>530000</v>
      </c>
      <c r="Z56" s="42"/>
      <c r="AA56" s="42"/>
      <c r="AB56" s="42"/>
      <c r="AC56" s="17">
        <f t="shared" si="29"/>
        <v>530000</v>
      </c>
      <c r="AD56" s="17">
        <f t="shared" si="30"/>
        <v>630000</v>
      </c>
      <c r="AE56" s="17">
        <v>100000</v>
      </c>
      <c r="AF56" s="42">
        <v>530000</v>
      </c>
      <c r="AG56" s="42">
        <f>[9]Credit!$F$750</f>
        <v>6000</v>
      </c>
      <c r="AH56" s="42"/>
      <c r="AI56" s="42">
        <v>70000</v>
      </c>
      <c r="AJ56" s="17">
        <f t="shared" si="31"/>
        <v>606000</v>
      </c>
      <c r="AK56" s="17">
        <f t="shared" si="32"/>
        <v>706000</v>
      </c>
      <c r="AL56" s="17">
        <v>100000</v>
      </c>
      <c r="AM56" s="42">
        <v>530000</v>
      </c>
      <c r="AN56" s="42">
        <f>[5]Credit!$E$1387</f>
        <v>123000</v>
      </c>
      <c r="AO56" s="42">
        <v>0</v>
      </c>
      <c r="AP56" s="42"/>
      <c r="AQ56" s="17">
        <f t="shared" si="33"/>
        <v>653000</v>
      </c>
      <c r="AR56" s="17">
        <f t="shared" si="34"/>
        <v>753000</v>
      </c>
      <c r="AS56" s="42">
        <v>100000</v>
      </c>
      <c r="AT56" s="42">
        <v>530000</v>
      </c>
      <c r="AU56" s="42">
        <f>[10]Credit!$E$1331</f>
        <v>310000</v>
      </c>
      <c r="AV56" s="42">
        <v>0</v>
      </c>
      <c r="AW56" s="17">
        <f t="shared" si="35"/>
        <v>840000</v>
      </c>
      <c r="AX56" s="42">
        <f t="shared" si="36"/>
        <v>940000</v>
      </c>
      <c r="AY56" s="42">
        <v>100000</v>
      </c>
      <c r="AZ56" s="42">
        <f>[6]Credit!$F$1313</f>
        <v>477500</v>
      </c>
      <c r="BA56" s="42">
        <v>530000</v>
      </c>
      <c r="BB56" s="42"/>
      <c r="BC56" s="42">
        <f t="shared" si="48"/>
        <v>1007500</v>
      </c>
      <c r="BD56" s="42">
        <f t="shared" si="38"/>
        <v>1107500</v>
      </c>
      <c r="BE56" s="42">
        <v>100000</v>
      </c>
      <c r="BF56" s="42">
        <v>530000</v>
      </c>
      <c r="BG56" s="42">
        <f>[11]Kredit!$E$1342</f>
        <v>85000</v>
      </c>
      <c r="BH56" s="42">
        <v>0</v>
      </c>
      <c r="BI56" s="42">
        <f t="shared" si="39"/>
        <v>615000</v>
      </c>
      <c r="BJ56" s="42">
        <f t="shared" si="40"/>
        <v>715000</v>
      </c>
      <c r="BK56" s="42">
        <v>100000</v>
      </c>
      <c r="BL56" s="42">
        <v>530000</v>
      </c>
      <c r="BM56" s="42">
        <f>[12]Credit!$E$1242</f>
        <v>273000</v>
      </c>
      <c r="BN56" s="42">
        <v>0</v>
      </c>
      <c r="BO56" s="42">
        <f t="shared" si="45"/>
        <v>803000</v>
      </c>
      <c r="BP56" s="42">
        <f t="shared" si="46"/>
        <v>903000</v>
      </c>
      <c r="BQ56" s="69">
        <f t="shared" si="47"/>
        <v>1000000</v>
      </c>
      <c r="BR56" s="37"/>
    </row>
    <row r="57" spans="1:73">
      <c r="A57" s="15">
        <f t="shared" si="0"/>
        <v>53</v>
      </c>
      <c r="B57" s="48">
        <v>12018674</v>
      </c>
      <c r="C57" s="44" t="s">
        <v>101</v>
      </c>
      <c r="D57" s="44" t="s">
        <v>100</v>
      </c>
      <c r="E57" s="42">
        <v>2650000</v>
      </c>
      <c r="F57" s="17">
        <v>100000</v>
      </c>
      <c r="G57" s="17"/>
      <c r="H57" s="17">
        <f>F57+G57</f>
        <v>100000</v>
      </c>
      <c r="I57" s="17">
        <v>100000</v>
      </c>
      <c r="J57" s="17"/>
      <c r="K57" s="17">
        <f>I57+J57</f>
        <v>100000</v>
      </c>
      <c r="L57" s="17">
        <v>100000</v>
      </c>
      <c r="M57" s="17"/>
      <c r="N57" s="17">
        <f>L57+M57</f>
        <v>100000</v>
      </c>
      <c r="O57" s="17">
        <v>100000</v>
      </c>
      <c r="P57" s="17"/>
      <c r="Q57" s="17">
        <f t="shared" si="44"/>
        <v>100000</v>
      </c>
      <c r="R57" s="17">
        <v>100000</v>
      </c>
      <c r="S57" s="17">
        <v>0</v>
      </c>
      <c r="T57" s="17">
        <v>0</v>
      </c>
      <c r="U57" s="17">
        <v>0</v>
      </c>
      <c r="V57" s="17">
        <v>0</v>
      </c>
      <c r="W57" s="17">
        <f t="shared" si="28"/>
        <v>100000</v>
      </c>
      <c r="X57" s="17">
        <v>100000</v>
      </c>
      <c r="Y57" s="17">
        <v>530000</v>
      </c>
      <c r="Z57" s="17">
        <f>[8]Credit!$E$647</f>
        <v>13000</v>
      </c>
      <c r="AA57" s="17"/>
      <c r="AB57" s="17">
        <f>20000+20000</f>
        <v>40000</v>
      </c>
      <c r="AC57" s="17">
        <f t="shared" si="29"/>
        <v>583000</v>
      </c>
      <c r="AD57" s="17">
        <f t="shared" si="30"/>
        <v>683000</v>
      </c>
      <c r="AE57" s="17">
        <v>100000</v>
      </c>
      <c r="AF57" s="17">
        <v>530000</v>
      </c>
      <c r="AG57" s="17">
        <f>[9]Credit!$F$408</f>
        <v>510000</v>
      </c>
      <c r="AH57" s="17"/>
      <c r="AI57" s="17"/>
      <c r="AJ57" s="17">
        <f t="shared" si="31"/>
        <v>1040000</v>
      </c>
      <c r="AK57" s="17">
        <f t="shared" si="32"/>
        <v>1140000</v>
      </c>
      <c r="AL57" s="17">
        <v>100000</v>
      </c>
      <c r="AM57" s="42">
        <v>530000</v>
      </c>
      <c r="AN57" s="42">
        <v>0</v>
      </c>
      <c r="AO57" s="42">
        <v>0</v>
      </c>
      <c r="AP57" s="17"/>
      <c r="AQ57" s="17">
        <f t="shared" si="33"/>
        <v>530000</v>
      </c>
      <c r="AR57" s="17">
        <f t="shared" si="34"/>
        <v>630000</v>
      </c>
      <c r="AS57" s="42">
        <v>100000</v>
      </c>
      <c r="AT57" s="42">
        <v>530000</v>
      </c>
      <c r="AU57" s="42">
        <v>0</v>
      </c>
      <c r="AV57" s="42">
        <v>0</v>
      </c>
      <c r="AW57" s="17">
        <f t="shared" si="35"/>
        <v>530000</v>
      </c>
      <c r="AX57" s="42">
        <f t="shared" si="36"/>
        <v>630000</v>
      </c>
      <c r="AY57" s="42">
        <v>100000</v>
      </c>
      <c r="AZ57" s="42">
        <v>0</v>
      </c>
      <c r="BA57" s="42">
        <v>530000</v>
      </c>
      <c r="BB57" s="42"/>
      <c r="BC57" s="42">
        <f t="shared" si="48"/>
        <v>530000</v>
      </c>
      <c r="BD57" s="42">
        <f t="shared" si="38"/>
        <v>630000</v>
      </c>
      <c r="BE57" s="42">
        <v>100000</v>
      </c>
      <c r="BF57" s="42">
        <f>530000</f>
        <v>530000</v>
      </c>
      <c r="BG57" s="42"/>
      <c r="BH57" s="42">
        <v>0</v>
      </c>
      <c r="BI57" s="42">
        <f t="shared" si="39"/>
        <v>530000</v>
      </c>
      <c r="BJ57" s="42">
        <f t="shared" si="40"/>
        <v>630000</v>
      </c>
      <c r="BK57" s="42">
        <v>100000</v>
      </c>
      <c r="BL57" s="42">
        <v>0</v>
      </c>
      <c r="BM57" s="42">
        <v>0</v>
      </c>
      <c r="BN57" s="42">
        <v>0</v>
      </c>
      <c r="BO57" s="42">
        <f t="shared" si="45"/>
        <v>0</v>
      </c>
      <c r="BP57" s="42">
        <f t="shared" si="46"/>
        <v>100000</v>
      </c>
      <c r="BQ57" s="69">
        <f t="shared" si="47"/>
        <v>3850000</v>
      </c>
      <c r="BR57" s="37" t="s">
        <v>375</v>
      </c>
    </row>
    <row r="58" spans="1:73" s="4" customFormat="1" ht="13">
      <c r="A58" s="15">
        <f t="shared" si="0"/>
        <v>54</v>
      </c>
      <c r="B58" s="48">
        <v>10027364</v>
      </c>
      <c r="C58" s="44" t="s">
        <v>102</v>
      </c>
      <c r="D58" s="44" t="s">
        <v>103</v>
      </c>
      <c r="E58" s="42">
        <v>2775000</v>
      </c>
      <c r="F58" s="17">
        <v>100000</v>
      </c>
      <c r="G58" s="17"/>
      <c r="H58" s="17">
        <f>F58+G58</f>
        <v>100000</v>
      </c>
      <c r="I58" s="17">
        <v>100000</v>
      </c>
      <c r="J58" s="17"/>
      <c r="K58" s="17">
        <f>I58+J58</f>
        <v>100000</v>
      </c>
      <c r="L58" s="17">
        <v>100000</v>
      </c>
      <c r="M58" s="17">
        <v>286000</v>
      </c>
      <c r="N58" s="17">
        <f>L58+M58</f>
        <v>386000</v>
      </c>
      <c r="O58" s="17">
        <v>100000</v>
      </c>
      <c r="P58" s="17">
        <f>270000</f>
        <v>270000</v>
      </c>
      <c r="Q58" s="17">
        <f t="shared" si="44"/>
        <v>370000</v>
      </c>
      <c r="R58" s="17">
        <v>100000</v>
      </c>
      <c r="S58" s="17">
        <f>530000</f>
        <v>530000</v>
      </c>
      <c r="T58" s="17">
        <f>[7]System!$F$3</f>
        <v>270000</v>
      </c>
      <c r="U58" s="17">
        <v>0</v>
      </c>
      <c r="V58" s="17">
        <v>0</v>
      </c>
      <c r="W58" s="17">
        <f t="shared" si="28"/>
        <v>900000</v>
      </c>
      <c r="X58" s="17">
        <v>100000</v>
      </c>
      <c r="Y58" s="17">
        <v>530000</v>
      </c>
      <c r="Z58" s="17">
        <f>[8]Credit!$E$3</f>
        <v>270000</v>
      </c>
      <c r="AA58" s="17"/>
      <c r="AB58" s="17"/>
      <c r="AC58" s="17">
        <f t="shared" si="29"/>
        <v>800000</v>
      </c>
      <c r="AD58" s="17">
        <f t="shared" si="30"/>
        <v>900000</v>
      </c>
      <c r="AE58" s="17">
        <v>100000</v>
      </c>
      <c r="AF58" s="17">
        <v>530000</v>
      </c>
      <c r="AG58" s="17">
        <f>[9]Credit!$F$3</f>
        <v>270000</v>
      </c>
      <c r="AH58" s="17"/>
      <c r="AI58" s="17"/>
      <c r="AJ58" s="17">
        <f t="shared" si="31"/>
        <v>800000</v>
      </c>
      <c r="AK58" s="17">
        <f t="shared" si="32"/>
        <v>900000</v>
      </c>
      <c r="AL58" s="17">
        <v>100000</v>
      </c>
      <c r="AM58" s="42">
        <v>530000</v>
      </c>
      <c r="AN58" s="42">
        <f>[5]Credit!$E$3</f>
        <v>325500</v>
      </c>
      <c r="AO58" s="42">
        <v>0</v>
      </c>
      <c r="AP58" s="17"/>
      <c r="AQ58" s="17">
        <f t="shared" si="33"/>
        <v>855500</v>
      </c>
      <c r="AR58" s="17">
        <f t="shared" si="34"/>
        <v>955500</v>
      </c>
      <c r="AS58" s="42">
        <v>100000</v>
      </c>
      <c r="AT58" s="42">
        <v>530000</v>
      </c>
      <c r="AU58" s="42">
        <v>0</v>
      </c>
      <c r="AV58" s="42">
        <v>0</v>
      </c>
      <c r="AW58" s="17">
        <f t="shared" si="35"/>
        <v>530000</v>
      </c>
      <c r="AX58" s="42">
        <f t="shared" si="36"/>
        <v>630000</v>
      </c>
      <c r="AY58" s="42">
        <v>100000</v>
      </c>
      <c r="AZ58" s="42">
        <f>[6]Credit!$F$3</f>
        <v>42000</v>
      </c>
      <c r="BA58" s="42">
        <v>530500</v>
      </c>
      <c r="BB58" s="42"/>
      <c r="BC58" s="42">
        <f t="shared" si="48"/>
        <v>572500</v>
      </c>
      <c r="BD58" s="42">
        <f t="shared" si="38"/>
        <v>672500</v>
      </c>
      <c r="BE58" s="42">
        <v>100000</v>
      </c>
      <c r="BF58" s="42">
        <v>530500</v>
      </c>
      <c r="BG58" s="42">
        <f>[11]Kredit!$E$5</f>
        <v>341000</v>
      </c>
      <c r="BH58" s="42">
        <v>0</v>
      </c>
      <c r="BI58" s="42">
        <f t="shared" si="39"/>
        <v>871500</v>
      </c>
      <c r="BJ58" s="42">
        <f t="shared" si="40"/>
        <v>971500</v>
      </c>
      <c r="BK58" s="42">
        <v>100000</v>
      </c>
      <c r="BL58" s="42">
        <v>530500</v>
      </c>
      <c r="BM58" s="42">
        <f>[12]Credit!$E$5</f>
        <v>342000</v>
      </c>
      <c r="BN58" s="42">
        <v>0</v>
      </c>
      <c r="BO58" s="42">
        <f t="shared" si="45"/>
        <v>872500</v>
      </c>
      <c r="BP58" s="42">
        <f t="shared" si="46"/>
        <v>972500</v>
      </c>
      <c r="BQ58" s="69">
        <f t="shared" si="47"/>
        <v>3975000</v>
      </c>
      <c r="BR58" s="38" t="s">
        <v>377</v>
      </c>
      <c r="BS58" s="36"/>
      <c r="BT58" s="36"/>
      <c r="BU58" s="36"/>
    </row>
    <row r="59" spans="1:73" s="4" customFormat="1" ht="13">
      <c r="A59" s="15">
        <f t="shared" si="0"/>
        <v>55</v>
      </c>
      <c r="B59" s="55">
        <v>16100684</v>
      </c>
      <c r="C59" s="44" t="s">
        <v>392</v>
      </c>
      <c r="D59" s="44" t="s">
        <v>103</v>
      </c>
      <c r="E59" s="42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42"/>
      <c r="AN59" s="42"/>
      <c r="AO59" s="42"/>
      <c r="AP59" s="17"/>
      <c r="AQ59" s="17"/>
      <c r="AR59" s="17"/>
      <c r="AS59" s="42"/>
      <c r="AT59" s="42"/>
      <c r="AU59" s="42"/>
      <c r="AV59" s="42"/>
      <c r="AW59" s="17"/>
      <c r="AX59" s="42"/>
      <c r="AY59" s="42"/>
      <c r="AZ59" s="42"/>
      <c r="BA59" s="42"/>
      <c r="BB59" s="42"/>
      <c r="BC59" s="42"/>
      <c r="BD59" s="42"/>
      <c r="BE59" s="42">
        <v>200000</v>
      </c>
      <c r="BF59" s="42">
        <v>0</v>
      </c>
      <c r="BG59" s="42"/>
      <c r="BH59" s="42">
        <v>0</v>
      </c>
      <c r="BI59" s="42">
        <f t="shared" si="39"/>
        <v>0</v>
      </c>
      <c r="BJ59" s="42">
        <f t="shared" si="40"/>
        <v>200000</v>
      </c>
      <c r="BK59" s="42">
        <v>100000</v>
      </c>
      <c r="BL59" s="42">
        <v>0</v>
      </c>
      <c r="BM59" s="42"/>
      <c r="BN59" s="42">
        <v>0</v>
      </c>
      <c r="BO59" s="42">
        <f t="shared" si="45"/>
        <v>0</v>
      </c>
      <c r="BP59" s="42">
        <f t="shared" si="46"/>
        <v>100000</v>
      </c>
      <c r="BQ59" s="69">
        <f t="shared" si="47"/>
        <v>300000</v>
      </c>
      <c r="BR59" s="37"/>
      <c r="BS59" s="36"/>
      <c r="BT59" s="36"/>
      <c r="BU59" s="36"/>
    </row>
    <row r="60" spans="1:73" s="4" customFormat="1" ht="13">
      <c r="A60" s="15">
        <f t="shared" si="0"/>
        <v>56</v>
      </c>
      <c r="B60" s="48" t="s">
        <v>104</v>
      </c>
      <c r="C60" s="44" t="s">
        <v>105</v>
      </c>
      <c r="D60" s="44" t="s">
        <v>103</v>
      </c>
      <c r="E60" s="42">
        <v>2775000</v>
      </c>
      <c r="F60" s="17">
        <v>100000</v>
      </c>
      <c r="G60" s="17"/>
      <c r="H60" s="17">
        <f t="shared" ref="H60:H70" si="49">F60+G60</f>
        <v>100000</v>
      </c>
      <c r="I60" s="17">
        <v>100000</v>
      </c>
      <c r="J60" s="17"/>
      <c r="K60" s="17">
        <f t="shared" ref="K60:K70" si="50">I60+J60</f>
        <v>100000</v>
      </c>
      <c r="L60" s="17">
        <v>100000</v>
      </c>
      <c r="M60" s="17"/>
      <c r="N60" s="17">
        <f t="shared" ref="N60:N70" si="51">L60+M60</f>
        <v>100000</v>
      </c>
      <c r="O60" s="17">
        <v>100000</v>
      </c>
      <c r="P60" s="17"/>
      <c r="Q60" s="17">
        <f t="shared" ref="Q60:Q70" si="52">O60+P60</f>
        <v>100000</v>
      </c>
      <c r="R60" s="17">
        <v>100000</v>
      </c>
      <c r="S60" s="17">
        <v>0</v>
      </c>
      <c r="T60" s="17">
        <f>37000</f>
        <v>37000</v>
      </c>
      <c r="U60" s="17">
        <v>0</v>
      </c>
      <c r="V60" s="17">
        <v>0</v>
      </c>
      <c r="W60" s="17">
        <f t="shared" ref="W60:W81" si="53">SUM(R60:V60)</f>
        <v>137000</v>
      </c>
      <c r="X60" s="17">
        <v>100000</v>
      </c>
      <c r="Y60" s="17"/>
      <c r="Z60" s="17"/>
      <c r="AA60" s="17"/>
      <c r="AB60" s="17"/>
      <c r="AC60" s="17">
        <f t="shared" ref="AC60:AC81" si="54">SUM(Y60:AB60)</f>
        <v>0</v>
      </c>
      <c r="AD60" s="17">
        <f t="shared" ref="AD60:AD81" si="55">AC60+X60</f>
        <v>100000</v>
      </c>
      <c r="AE60" s="17">
        <v>100000</v>
      </c>
      <c r="AF60" s="17"/>
      <c r="AG60" s="17"/>
      <c r="AH60" s="17"/>
      <c r="AI60" s="17"/>
      <c r="AJ60" s="17">
        <f t="shared" ref="AJ60:AJ81" si="56">SUM(AF60:AI60)</f>
        <v>0</v>
      </c>
      <c r="AK60" s="17">
        <f t="shared" ref="AK60:AK81" si="57">AE60+AJ60</f>
        <v>100000</v>
      </c>
      <c r="AL60" s="17">
        <v>100000</v>
      </c>
      <c r="AM60" s="42">
        <v>0</v>
      </c>
      <c r="AN60" s="42">
        <f>[5]Credit!$E$290</f>
        <v>55500</v>
      </c>
      <c r="AO60" s="42">
        <v>0</v>
      </c>
      <c r="AP60" s="17"/>
      <c r="AQ60" s="17">
        <f t="shared" ref="AQ60:AQ81" si="58">SUM(AM60:AP60)</f>
        <v>55500</v>
      </c>
      <c r="AR60" s="17">
        <f t="shared" ref="AR60:AR81" si="59">AL60+AQ60</f>
        <v>155500</v>
      </c>
      <c r="AS60" s="42">
        <v>100000</v>
      </c>
      <c r="AT60" s="42">
        <v>0</v>
      </c>
      <c r="AU60" s="42">
        <v>0</v>
      </c>
      <c r="AV60" s="42">
        <v>0</v>
      </c>
      <c r="AW60" s="17">
        <f t="shared" ref="AW60:AW81" si="60">SUM(AT60:AV60)</f>
        <v>0</v>
      </c>
      <c r="AX60" s="42">
        <f t="shared" ref="AX60:AX81" si="61">AS60+AW60</f>
        <v>100000</v>
      </c>
      <c r="AY60" s="42">
        <v>100000</v>
      </c>
      <c r="AZ60" s="42">
        <v>0</v>
      </c>
      <c r="BA60" s="42"/>
      <c r="BB60" s="42"/>
      <c r="BC60" s="42">
        <f>SUM(AZ60:BB60)</f>
        <v>0</v>
      </c>
      <c r="BD60" s="42">
        <f t="shared" ref="BD60:BD91" si="62">AY60+BC60</f>
        <v>100000</v>
      </c>
      <c r="BE60" s="42">
        <v>100000</v>
      </c>
      <c r="BF60" s="42">
        <v>0</v>
      </c>
      <c r="BG60" s="42">
        <f>[11]Kredit!$E$345</f>
        <v>40000</v>
      </c>
      <c r="BH60" s="42">
        <v>0</v>
      </c>
      <c r="BI60" s="42">
        <f t="shared" si="39"/>
        <v>40000</v>
      </c>
      <c r="BJ60" s="42">
        <f t="shared" si="40"/>
        <v>140000</v>
      </c>
      <c r="BK60" s="42">
        <v>100000</v>
      </c>
      <c r="BL60" s="42">
        <v>0</v>
      </c>
      <c r="BM60" s="42">
        <f>[12]Credit!$E$355</f>
        <v>20000</v>
      </c>
      <c r="BN60" s="42">
        <v>0</v>
      </c>
      <c r="BO60" s="42">
        <f t="shared" si="45"/>
        <v>20000</v>
      </c>
      <c r="BP60" s="42">
        <f t="shared" si="46"/>
        <v>120000</v>
      </c>
      <c r="BQ60" s="69">
        <f t="shared" si="47"/>
        <v>3975000</v>
      </c>
      <c r="BR60" s="38">
        <v>1000000</v>
      </c>
      <c r="BS60" s="36"/>
      <c r="BT60" s="36"/>
      <c r="BU60" s="36"/>
    </row>
    <row r="61" spans="1:73" s="4" customFormat="1" ht="13">
      <c r="A61" s="15">
        <f t="shared" si="0"/>
        <v>57</v>
      </c>
      <c r="B61" s="48" t="s">
        <v>111</v>
      </c>
      <c r="C61" s="44" t="s">
        <v>112</v>
      </c>
      <c r="D61" s="44" t="s">
        <v>103</v>
      </c>
      <c r="E61" s="42">
        <v>2775000</v>
      </c>
      <c r="F61" s="17">
        <v>100000</v>
      </c>
      <c r="G61" s="17"/>
      <c r="H61" s="17">
        <f t="shared" si="49"/>
        <v>100000</v>
      </c>
      <c r="I61" s="17">
        <v>100000</v>
      </c>
      <c r="J61" s="17"/>
      <c r="K61" s="17">
        <f t="shared" si="50"/>
        <v>100000</v>
      </c>
      <c r="L61" s="17">
        <v>100000</v>
      </c>
      <c r="M61" s="17"/>
      <c r="N61" s="17">
        <f t="shared" si="51"/>
        <v>100000</v>
      </c>
      <c r="O61" s="17">
        <v>100000</v>
      </c>
      <c r="P61" s="17"/>
      <c r="Q61" s="17">
        <f t="shared" si="52"/>
        <v>100000</v>
      </c>
      <c r="R61" s="17">
        <v>100000</v>
      </c>
      <c r="S61" s="17">
        <v>0</v>
      </c>
      <c r="T61" s="17">
        <v>0</v>
      </c>
      <c r="U61" s="17">
        <v>0</v>
      </c>
      <c r="V61" s="17">
        <f>21000</f>
        <v>21000</v>
      </c>
      <c r="W61" s="17">
        <f t="shared" si="53"/>
        <v>121000</v>
      </c>
      <c r="X61" s="17">
        <v>100000</v>
      </c>
      <c r="Y61" s="17"/>
      <c r="Z61" s="17"/>
      <c r="AA61" s="17"/>
      <c r="AB61" s="17"/>
      <c r="AC61" s="17">
        <f t="shared" si="54"/>
        <v>0</v>
      </c>
      <c r="AD61" s="17">
        <f t="shared" si="55"/>
        <v>100000</v>
      </c>
      <c r="AE61" s="17">
        <v>100000</v>
      </c>
      <c r="AF61" s="17"/>
      <c r="AG61" s="17"/>
      <c r="AH61" s="17"/>
      <c r="AI61" s="17"/>
      <c r="AJ61" s="17">
        <f t="shared" si="56"/>
        <v>0</v>
      </c>
      <c r="AK61" s="17">
        <f t="shared" si="57"/>
        <v>100000</v>
      </c>
      <c r="AL61" s="17">
        <v>100000</v>
      </c>
      <c r="AM61" s="42">
        <v>0</v>
      </c>
      <c r="AN61" s="42">
        <v>0</v>
      </c>
      <c r="AO61" s="42">
        <v>0</v>
      </c>
      <c r="AP61" s="17"/>
      <c r="AQ61" s="17">
        <f t="shared" si="58"/>
        <v>0</v>
      </c>
      <c r="AR61" s="17">
        <f t="shared" si="59"/>
        <v>100000</v>
      </c>
      <c r="AS61" s="42">
        <v>100000</v>
      </c>
      <c r="AT61" s="42">
        <v>0</v>
      </c>
      <c r="AU61" s="42">
        <v>0</v>
      </c>
      <c r="AV61" s="42">
        <v>0</v>
      </c>
      <c r="AW61" s="17">
        <f t="shared" si="60"/>
        <v>0</v>
      </c>
      <c r="AX61" s="42">
        <f t="shared" si="61"/>
        <v>100000</v>
      </c>
      <c r="AY61" s="42">
        <v>100000</v>
      </c>
      <c r="AZ61" s="42">
        <v>0</v>
      </c>
      <c r="BA61" s="42"/>
      <c r="BB61" s="42"/>
      <c r="BC61" s="42">
        <f>SUM(AZ61:BB61)</f>
        <v>0</v>
      </c>
      <c r="BD61" s="42">
        <f t="shared" si="62"/>
        <v>100000</v>
      </c>
      <c r="BE61" s="42">
        <v>100000</v>
      </c>
      <c r="BF61" s="42">
        <v>0</v>
      </c>
      <c r="BG61" s="42"/>
      <c r="BH61" s="42">
        <v>0</v>
      </c>
      <c r="BI61" s="42">
        <f t="shared" si="39"/>
        <v>0</v>
      </c>
      <c r="BJ61" s="42">
        <f t="shared" si="40"/>
        <v>100000</v>
      </c>
      <c r="BK61" s="42">
        <v>100000</v>
      </c>
      <c r="BL61" s="42">
        <v>0</v>
      </c>
      <c r="BM61" s="42">
        <v>0</v>
      </c>
      <c r="BN61" s="42">
        <v>0</v>
      </c>
      <c r="BO61" s="42">
        <f t="shared" si="45"/>
        <v>0</v>
      </c>
      <c r="BP61" s="42">
        <f t="shared" si="46"/>
        <v>100000</v>
      </c>
      <c r="BQ61" s="69">
        <f t="shared" si="47"/>
        <v>3975000</v>
      </c>
      <c r="BR61" s="38" t="s">
        <v>388</v>
      </c>
      <c r="BS61" s="36"/>
      <c r="BT61" s="36"/>
      <c r="BU61" s="36"/>
    </row>
    <row r="62" spans="1:73" s="4" customFormat="1" ht="13">
      <c r="A62" s="15">
        <f t="shared" si="0"/>
        <v>58</v>
      </c>
      <c r="B62" s="48">
        <v>10107885</v>
      </c>
      <c r="C62" s="44" t="s">
        <v>161</v>
      </c>
      <c r="D62" s="44" t="s">
        <v>103</v>
      </c>
      <c r="E62" s="42">
        <v>2775000</v>
      </c>
      <c r="F62" s="17">
        <v>100000</v>
      </c>
      <c r="G62" s="17"/>
      <c r="H62" s="17">
        <f t="shared" si="49"/>
        <v>100000</v>
      </c>
      <c r="I62" s="17">
        <v>100000</v>
      </c>
      <c r="J62" s="17"/>
      <c r="K62" s="17">
        <f t="shared" si="50"/>
        <v>100000</v>
      </c>
      <c r="L62" s="17">
        <v>100000</v>
      </c>
      <c r="M62" s="17"/>
      <c r="N62" s="17">
        <f t="shared" si="51"/>
        <v>100000</v>
      </c>
      <c r="O62" s="17">
        <v>100000</v>
      </c>
      <c r="P62" s="17">
        <v>425000</v>
      </c>
      <c r="Q62" s="17">
        <f t="shared" si="52"/>
        <v>525000</v>
      </c>
      <c r="R62" s="17">
        <v>100000</v>
      </c>
      <c r="S62" s="17">
        <f>425000</f>
        <v>425000</v>
      </c>
      <c r="T62" s="17">
        <v>0</v>
      </c>
      <c r="U62" s="17">
        <v>0</v>
      </c>
      <c r="V62" s="17">
        <v>0</v>
      </c>
      <c r="W62" s="17">
        <f t="shared" si="53"/>
        <v>525000</v>
      </c>
      <c r="X62" s="17">
        <v>100000</v>
      </c>
      <c r="Y62" s="17">
        <v>425000</v>
      </c>
      <c r="Z62" s="17"/>
      <c r="AA62" s="17"/>
      <c r="AB62" s="17"/>
      <c r="AC62" s="17">
        <f t="shared" si="54"/>
        <v>425000</v>
      </c>
      <c r="AD62" s="17">
        <f t="shared" si="55"/>
        <v>525000</v>
      </c>
      <c r="AE62" s="17">
        <v>100000</v>
      </c>
      <c r="AF62" s="17">
        <v>425000</v>
      </c>
      <c r="AG62" s="17"/>
      <c r="AH62" s="17"/>
      <c r="AI62" s="17"/>
      <c r="AJ62" s="17">
        <f t="shared" si="56"/>
        <v>425000</v>
      </c>
      <c r="AK62" s="17">
        <f t="shared" si="57"/>
        <v>525000</v>
      </c>
      <c r="AL62" s="17">
        <v>100000</v>
      </c>
      <c r="AM62" s="42">
        <v>425000</v>
      </c>
      <c r="AN62" s="42">
        <v>0</v>
      </c>
      <c r="AO62" s="42">
        <v>0</v>
      </c>
      <c r="AP62" s="17"/>
      <c r="AQ62" s="17">
        <f t="shared" si="58"/>
        <v>425000</v>
      </c>
      <c r="AR62" s="17">
        <f t="shared" si="59"/>
        <v>525000</v>
      </c>
      <c r="AS62" s="42">
        <v>100000</v>
      </c>
      <c r="AT62" s="42">
        <v>0</v>
      </c>
      <c r="AU62" s="42">
        <v>0</v>
      </c>
      <c r="AV62" s="42">
        <v>0</v>
      </c>
      <c r="AW62" s="17">
        <f t="shared" si="60"/>
        <v>0</v>
      </c>
      <c r="AX62" s="42">
        <f t="shared" si="61"/>
        <v>100000</v>
      </c>
      <c r="AY62" s="42">
        <v>100000</v>
      </c>
      <c r="AZ62" s="42">
        <v>0</v>
      </c>
      <c r="BA62" s="42"/>
      <c r="BB62" s="42"/>
      <c r="BC62" s="42">
        <f>SUM(AZ62:BB62)</f>
        <v>0</v>
      </c>
      <c r="BD62" s="42">
        <f t="shared" si="62"/>
        <v>100000</v>
      </c>
      <c r="BE62" s="42">
        <v>100000</v>
      </c>
      <c r="BF62" s="42">
        <v>0</v>
      </c>
      <c r="BG62" s="42"/>
      <c r="BH62" s="42">
        <v>0</v>
      </c>
      <c r="BI62" s="42">
        <f t="shared" si="39"/>
        <v>0</v>
      </c>
      <c r="BJ62" s="42">
        <f t="shared" si="40"/>
        <v>100000</v>
      </c>
      <c r="BK62" s="42">
        <v>100000</v>
      </c>
      <c r="BL62" s="42">
        <v>530000</v>
      </c>
      <c r="BM62" s="42">
        <v>0</v>
      </c>
      <c r="BN62" s="42">
        <v>0</v>
      </c>
      <c r="BO62" s="42">
        <f t="shared" si="45"/>
        <v>530000</v>
      </c>
      <c r="BP62" s="42">
        <f t="shared" si="46"/>
        <v>630000</v>
      </c>
      <c r="BQ62" s="69">
        <f t="shared" si="47"/>
        <v>3975000</v>
      </c>
      <c r="BR62" s="37"/>
      <c r="BS62" s="36"/>
      <c r="BT62" s="36"/>
      <c r="BU62" s="36"/>
    </row>
    <row r="63" spans="1:73">
      <c r="A63" s="15">
        <f t="shared" si="0"/>
        <v>59</v>
      </c>
      <c r="B63" s="43">
        <v>95060024</v>
      </c>
      <c r="C63" s="44" t="s">
        <v>113</v>
      </c>
      <c r="D63" s="44" t="s">
        <v>103</v>
      </c>
      <c r="E63" s="42">
        <v>2775000</v>
      </c>
      <c r="F63" s="17">
        <v>100000</v>
      </c>
      <c r="G63" s="17">
        <f>530000</f>
        <v>530000</v>
      </c>
      <c r="H63" s="17">
        <f t="shared" si="49"/>
        <v>630000</v>
      </c>
      <c r="I63" s="17">
        <v>100000</v>
      </c>
      <c r="J63" s="17">
        <f>530000+202000</f>
        <v>732000</v>
      </c>
      <c r="K63" s="17">
        <f t="shared" si="50"/>
        <v>832000</v>
      </c>
      <c r="L63" s="17">
        <v>100000</v>
      </c>
      <c r="M63" s="17">
        <v>530000</v>
      </c>
      <c r="N63" s="17">
        <f t="shared" si="51"/>
        <v>630000</v>
      </c>
      <c r="O63" s="17">
        <v>100000</v>
      </c>
      <c r="P63" s="17">
        <f>530000+62000+217500</f>
        <v>809500</v>
      </c>
      <c r="Q63" s="17">
        <f t="shared" si="52"/>
        <v>909500</v>
      </c>
      <c r="R63" s="17">
        <v>100000</v>
      </c>
      <c r="S63" s="17">
        <f>530000</f>
        <v>530000</v>
      </c>
      <c r="T63" s="17">
        <v>0</v>
      </c>
      <c r="U63" s="17">
        <v>0</v>
      </c>
      <c r="V63" s="17">
        <f>21000+41000</f>
        <v>62000</v>
      </c>
      <c r="W63" s="17">
        <f t="shared" si="53"/>
        <v>692000</v>
      </c>
      <c r="X63" s="17">
        <v>100000</v>
      </c>
      <c r="Y63" s="17">
        <v>530000</v>
      </c>
      <c r="Z63" s="17">
        <f>[8]Credit!$E$815</f>
        <v>344000</v>
      </c>
      <c r="AA63" s="17"/>
      <c r="AB63" s="17">
        <f>30000+10000</f>
        <v>40000</v>
      </c>
      <c r="AC63" s="17">
        <f t="shared" si="54"/>
        <v>914000</v>
      </c>
      <c r="AD63" s="17">
        <f t="shared" si="55"/>
        <v>1014000</v>
      </c>
      <c r="AE63" s="17">
        <v>100000</v>
      </c>
      <c r="AF63" s="17">
        <v>530000</v>
      </c>
      <c r="AG63" s="17">
        <f>[9]Credit!$F$505</f>
        <v>56000</v>
      </c>
      <c r="AH63" s="17"/>
      <c r="AI63" s="17"/>
      <c r="AJ63" s="17">
        <f t="shared" si="56"/>
        <v>586000</v>
      </c>
      <c r="AK63" s="17">
        <f t="shared" si="57"/>
        <v>686000</v>
      </c>
      <c r="AL63" s="17">
        <v>100000</v>
      </c>
      <c r="AM63" s="42">
        <v>530000</v>
      </c>
      <c r="AN63" s="42">
        <f>[5]Credit!$E$937</f>
        <v>68000</v>
      </c>
      <c r="AO63" s="42">
        <v>0</v>
      </c>
      <c r="AP63" s="17"/>
      <c r="AQ63" s="17">
        <f t="shared" si="58"/>
        <v>598000</v>
      </c>
      <c r="AR63" s="17">
        <f t="shared" si="59"/>
        <v>698000</v>
      </c>
      <c r="AS63" s="42">
        <v>100000</v>
      </c>
      <c r="AT63" s="42">
        <v>530000</v>
      </c>
      <c r="AU63" s="42">
        <v>0</v>
      </c>
      <c r="AV63" s="42">
        <v>0</v>
      </c>
      <c r="AW63" s="17">
        <f t="shared" si="60"/>
        <v>530000</v>
      </c>
      <c r="AX63" s="42">
        <f t="shared" si="61"/>
        <v>630000</v>
      </c>
      <c r="AY63" s="42">
        <v>100000</v>
      </c>
      <c r="AZ63" s="42">
        <v>0</v>
      </c>
      <c r="BA63" s="42">
        <v>530000</v>
      </c>
      <c r="BB63" s="42"/>
      <c r="BC63" s="42">
        <f>SUM(AZ63:BB63)</f>
        <v>530000</v>
      </c>
      <c r="BD63" s="42">
        <f t="shared" si="62"/>
        <v>630000</v>
      </c>
      <c r="BE63" s="42">
        <v>100000</v>
      </c>
      <c r="BF63" s="42">
        <f>530000</f>
        <v>530000</v>
      </c>
      <c r="BG63" s="42"/>
      <c r="BH63" s="42">
        <v>0</v>
      </c>
      <c r="BI63" s="42">
        <f t="shared" si="39"/>
        <v>530000</v>
      </c>
      <c r="BJ63" s="42">
        <f t="shared" si="40"/>
        <v>630000</v>
      </c>
      <c r="BK63" s="42">
        <v>100000</v>
      </c>
      <c r="BL63" s="42">
        <v>0</v>
      </c>
      <c r="BM63" s="42">
        <v>0</v>
      </c>
      <c r="BN63" s="42">
        <v>0</v>
      </c>
      <c r="BO63" s="42">
        <f t="shared" si="45"/>
        <v>0</v>
      </c>
      <c r="BP63" s="42">
        <f t="shared" si="46"/>
        <v>100000</v>
      </c>
      <c r="BQ63" s="69">
        <f t="shared" si="47"/>
        <v>3975000</v>
      </c>
      <c r="BR63" s="38" t="s">
        <v>394</v>
      </c>
    </row>
    <row r="64" spans="1:73">
      <c r="A64" s="15">
        <f t="shared" si="0"/>
        <v>60</v>
      </c>
      <c r="B64" s="43">
        <v>95070331</v>
      </c>
      <c r="C64" s="44" t="s">
        <v>30</v>
      </c>
      <c r="D64" s="44" t="s">
        <v>103</v>
      </c>
      <c r="E64" s="42">
        <v>2775000</v>
      </c>
      <c r="F64" s="17">
        <v>100000</v>
      </c>
      <c r="G64" s="17">
        <f>365200+440000+266000</f>
        <v>1071200</v>
      </c>
      <c r="H64" s="17">
        <f t="shared" si="49"/>
        <v>1171200</v>
      </c>
      <c r="I64" s="17">
        <v>100000</v>
      </c>
      <c r="J64" s="17">
        <f>440000+358500</f>
        <v>798500</v>
      </c>
      <c r="K64" s="17">
        <f t="shared" si="50"/>
        <v>898500</v>
      </c>
      <c r="L64" s="17">
        <v>100000</v>
      </c>
      <c r="M64" s="17">
        <f>440000+407000</f>
        <v>847000</v>
      </c>
      <c r="N64" s="17">
        <f t="shared" si="51"/>
        <v>947000</v>
      </c>
      <c r="O64" s="17">
        <v>100000</v>
      </c>
      <c r="P64" s="17">
        <f>418500+440000+282500</f>
        <v>1141000</v>
      </c>
      <c r="Q64" s="17">
        <f t="shared" si="52"/>
        <v>1241000</v>
      </c>
      <c r="R64" s="17">
        <v>100000</v>
      </c>
      <c r="S64" s="17">
        <f>440000</f>
        <v>440000</v>
      </c>
      <c r="T64" s="17">
        <f>[7]System!$F$961</f>
        <v>748500</v>
      </c>
      <c r="U64" s="17">
        <v>0</v>
      </c>
      <c r="V64" s="17">
        <f>21000+35000+35000</f>
        <v>91000</v>
      </c>
      <c r="W64" s="17">
        <f t="shared" si="53"/>
        <v>1379500</v>
      </c>
      <c r="X64" s="17">
        <v>100000</v>
      </c>
      <c r="Y64" s="17">
        <v>440000</v>
      </c>
      <c r="Z64" s="17">
        <f>[8]Credit!$E$1073</f>
        <v>769000</v>
      </c>
      <c r="AA64" s="17"/>
      <c r="AB64" s="17">
        <v>30000</v>
      </c>
      <c r="AC64" s="17">
        <f t="shared" si="54"/>
        <v>1239000</v>
      </c>
      <c r="AD64" s="17">
        <f t="shared" si="55"/>
        <v>1339000</v>
      </c>
      <c r="AE64" s="17">
        <v>100000</v>
      </c>
      <c r="AF64" s="17">
        <v>663125</v>
      </c>
      <c r="AG64" s="17">
        <f>[9]Credit!$F$669</f>
        <v>913500</v>
      </c>
      <c r="AH64" s="17"/>
      <c r="AI64" s="17"/>
      <c r="AJ64" s="17">
        <f t="shared" si="56"/>
        <v>1576625</v>
      </c>
      <c r="AK64" s="17">
        <f t="shared" si="57"/>
        <v>1676625</v>
      </c>
      <c r="AL64" s="17">
        <v>100000</v>
      </c>
      <c r="AM64" s="42">
        <v>663125</v>
      </c>
      <c r="AN64" s="42">
        <f>[5]Credit!$E$1214</f>
        <v>930000</v>
      </c>
      <c r="AO64" s="42">
        <v>0</v>
      </c>
      <c r="AP64" s="17"/>
      <c r="AQ64" s="17">
        <f t="shared" si="58"/>
        <v>1593125</v>
      </c>
      <c r="AR64" s="17">
        <f t="shared" si="59"/>
        <v>1693125</v>
      </c>
      <c r="AS64" s="42">
        <v>100000</v>
      </c>
      <c r="AT64" s="42">
        <v>663125</v>
      </c>
      <c r="AU64" s="42">
        <f>[10]Credit!$E$1154-AZ64</f>
        <v>-153125</v>
      </c>
      <c r="AV64" s="42">
        <v>0</v>
      </c>
      <c r="AW64" s="17">
        <f t="shared" si="60"/>
        <v>510000</v>
      </c>
      <c r="AX64" s="42">
        <f t="shared" si="61"/>
        <v>610000</v>
      </c>
      <c r="AY64" s="42">
        <v>100000</v>
      </c>
      <c r="AZ64" s="42">
        <f>1725625-1600000+[6]Credit!$F$1165</f>
        <v>1115625</v>
      </c>
      <c r="BA64" s="42">
        <v>663125</v>
      </c>
      <c r="BB64" s="42"/>
      <c r="BC64" s="42">
        <f>SUM(AZ64:BB64)-278750</f>
        <v>1500000</v>
      </c>
      <c r="BD64" s="42">
        <f t="shared" si="62"/>
        <v>1600000</v>
      </c>
      <c r="BE64" s="42">
        <v>100000</v>
      </c>
      <c r="BF64" s="42">
        <f>663125</f>
        <v>663125</v>
      </c>
      <c r="BG64" s="42">
        <f>278750+[11]Kredit!$E$1142-154375</f>
        <v>936875</v>
      </c>
      <c r="BH64" s="42">
        <v>0</v>
      </c>
      <c r="BI64" s="42">
        <f t="shared" si="39"/>
        <v>1600000</v>
      </c>
      <c r="BJ64" s="42">
        <f t="shared" si="40"/>
        <v>1700000</v>
      </c>
      <c r="BK64" s="42">
        <v>100000</v>
      </c>
      <c r="BL64" s="42">
        <v>663125</v>
      </c>
      <c r="BM64" s="42">
        <f>154375+[12]Credit!$E$1067</f>
        <v>847875</v>
      </c>
      <c r="BN64" s="42"/>
      <c r="BO64" s="42">
        <f t="shared" si="45"/>
        <v>1511000</v>
      </c>
      <c r="BP64" s="42">
        <f t="shared" si="46"/>
        <v>1611000</v>
      </c>
      <c r="BQ64" s="69">
        <f t="shared" si="47"/>
        <v>3975000</v>
      </c>
      <c r="BR64" s="37"/>
    </row>
    <row r="65" spans="1:73" s="4" customFormat="1" ht="13">
      <c r="A65" s="15">
        <f t="shared" si="0"/>
        <v>61</v>
      </c>
      <c r="B65" s="43">
        <v>96020994</v>
      </c>
      <c r="C65" s="44" t="s">
        <v>115</v>
      </c>
      <c r="D65" s="44" t="s">
        <v>114</v>
      </c>
      <c r="E65" s="42">
        <v>2775000</v>
      </c>
      <c r="F65" s="17">
        <v>100000</v>
      </c>
      <c r="G65" s="17">
        <f>530000</f>
        <v>530000</v>
      </c>
      <c r="H65" s="17">
        <f t="shared" si="49"/>
        <v>630000</v>
      </c>
      <c r="I65" s="17">
        <v>100000</v>
      </c>
      <c r="J65" s="17">
        <f>530000</f>
        <v>530000</v>
      </c>
      <c r="K65" s="17">
        <f t="shared" si="50"/>
        <v>630000</v>
      </c>
      <c r="L65" s="17">
        <v>100000</v>
      </c>
      <c r="M65" s="17">
        <v>530000</v>
      </c>
      <c r="N65" s="17">
        <f t="shared" si="51"/>
        <v>630000</v>
      </c>
      <c r="O65" s="17">
        <v>100000</v>
      </c>
      <c r="P65" s="17">
        <f>530000</f>
        <v>530000</v>
      </c>
      <c r="Q65" s="17">
        <f t="shared" si="52"/>
        <v>630000</v>
      </c>
      <c r="R65" s="17">
        <v>100000</v>
      </c>
      <c r="S65" s="17">
        <f>530000</f>
        <v>530000</v>
      </c>
      <c r="T65" s="17">
        <f>[7]System!$F$268</f>
        <v>4000</v>
      </c>
      <c r="U65" s="17">
        <v>0</v>
      </c>
      <c r="V65" s="17">
        <v>0</v>
      </c>
      <c r="W65" s="17">
        <f t="shared" si="53"/>
        <v>634000</v>
      </c>
      <c r="X65" s="17">
        <v>100000</v>
      </c>
      <c r="Y65" s="17">
        <v>530000</v>
      </c>
      <c r="Z65" s="17">
        <f>[8]Credit!$E$276</f>
        <v>111500</v>
      </c>
      <c r="AA65" s="17"/>
      <c r="AB65" s="17"/>
      <c r="AC65" s="17">
        <f t="shared" si="54"/>
        <v>641500</v>
      </c>
      <c r="AD65" s="17">
        <f t="shared" si="55"/>
        <v>741500</v>
      </c>
      <c r="AE65" s="17">
        <v>100000</v>
      </c>
      <c r="AF65" s="17">
        <v>530000</v>
      </c>
      <c r="AG65" s="17"/>
      <c r="AH65" s="17"/>
      <c r="AI65" s="17"/>
      <c r="AJ65" s="17">
        <f t="shared" si="56"/>
        <v>530000</v>
      </c>
      <c r="AK65" s="17">
        <f t="shared" si="57"/>
        <v>630000</v>
      </c>
      <c r="AL65" s="17">
        <v>100000</v>
      </c>
      <c r="AM65" s="42">
        <v>530000</v>
      </c>
      <c r="AN65" s="42">
        <v>0</v>
      </c>
      <c r="AO65" s="42">
        <v>0</v>
      </c>
      <c r="AP65" s="17"/>
      <c r="AQ65" s="17">
        <f t="shared" si="58"/>
        <v>530000</v>
      </c>
      <c r="AR65" s="17">
        <f t="shared" si="59"/>
        <v>630000</v>
      </c>
      <c r="AS65" s="42">
        <v>100000</v>
      </c>
      <c r="AT65" s="42">
        <v>530000</v>
      </c>
      <c r="AU65" s="42">
        <v>0</v>
      </c>
      <c r="AV65" s="42">
        <v>0</v>
      </c>
      <c r="AW65" s="17">
        <f t="shared" si="60"/>
        <v>530000</v>
      </c>
      <c r="AX65" s="42">
        <f t="shared" si="61"/>
        <v>630000</v>
      </c>
      <c r="AY65" s="42">
        <v>100000</v>
      </c>
      <c r="AZ65" s="42">
        <f>[6]Credit!$F$353</f>
        <v>122000</v>
      </c>
      <c r="BA65" s="42">
        <v>530000</v>
      </c>
      <c r="BB65" s="42"/>
      <c r="BC65" s="42">
        <f t="shared" ref="BC65:BC96" si="63">SUM(AZ65:BB65)</f>
        <v>652000</v>
      </c>
      <c r="BD65" s="42">
        <f t="shared" si="62"/>
        <v>752000</v>
      </c>
      <c r="BE65" s="42">
        <v>100000</v>
      </c>
      <c r="BF65" s="42">
        <f>530000</f>
        <v>530000</v>
      </c>
      <c r="BG65" s="42">
        <f>[11]Kredit!$E$423</f>
        <v>273000</v>
      </c>
      <c r="BH65" s="42">
        <v>0</v>
      </c>
      <c r="BI65" s="42">
        <f t="shared" ref="BI65:BI96" si="64">SUM(BF65:BH65)</f>
        <v>803000</v>
      </c>
      <c r="BJ65" s="42">
        <f t="shared" ref="BJ65:BJ96" si="65">BE65+BI65</f>
        <v>903000</v>
      </c>
      <c r="BK65" s="42">
        <v>100000</v>
      </c>
      <c r="BL65" s="42">
        <v>530000</v>
      </c>
      <c r="BM65" s="42">
        <f>[12]Credit!$E$408</f>
        <v>78000</v>
      </c>
      <c r="BN65" s="42">
        <v>0</v>
      </c>
      <c r="BO65" s="42">
        <f t="shared" si="45"/>
        <v>608000</v>
      </c>
      <c r="BP65" s="42">
        <f t="shared" si="46"/>
        <v>708000</v>
      </c>
      <c r="BQ65" s="69">
        <f t="shared" si="47"/>
        <v>3975000</v>
      </c>
      <c r="BR65" s="37"/>
      <c r="BS65" s="36"/>
      <c r="BT65" s="36"/>
      <c r="BU65" s="36"/>
    </row>
    <row r="66" spans="1:73">
      <c r="A66" s="15">
        <f t="shared" si="0"/>
        <v>62</v>
      </c>
      <c r="B66" s="48">
        <v>10057644</v>
      </c>
      <c r="C66" s="44" t="s">
        <v>116</v>
      </c>
      <c r="D66" s="44" t="s">
        <v>114</v>
      </c>
      <c r="E66" s="42">
        <v>2475000</v>
      </c>
      <c r="F66" s="17">
        <v>100000</v>
      </c>
      <c r="G66" s="17">
        <f>425000</f>
        <v>425000</v>
      </c>
      <c r="H66" s="17">
        <f t="shared" si="49"/>
        <v>525000</v>
      </c>
      <c r="I66" s="17">
        <v>100000</v>
      </c>
      <c r="J66" s="17">
        <f>425000+196000</f>
        <v>621000</v>
      </c>
      <c r="K66" s="17">
        <f t="shared" si="50"/>
        <v>721000</v>
      </c>
      <c r="L66" s="17">
        <v>100000</v>
      </c>
      <c r="M66" s="17">
        <v>425000</v>
      </c>
      <c r="N66" s="17">
        <f t="shared" si="51"/>
        <v>525000</v>
      </c>
      <c r="O66" s="17">
        <v>100000</v>
      </c>
      <c r="P66" s="17">
        <f>425000+39000</f>
        <v>464000</v>
      </c>
      <c r="Q66" s="17">
        <f t="shared" si="52"/>
        <v>564000</v>
      </c>
      <c r="R66" s="17">
        <v>100000</v>
      </c>
      <c r="S66" s="17">
        <f>425000</f>
        <v>425000</v>
      </c>
      <c r="T66" s="17">
        <f>[7]System!$F$286</f>
        <v>60000</v>
      </c>
      <c r="U66" s="17">
        <v>0</v>
      </c>
      <c r="V66" s="17">
        <v>0</v>
      </c>
      <c r="W66" s="17">
        <f t="shared" si="53"/>
        <v>585000</v>
      </c>
      <c r="X66" s="17">
        <v>100000</v>
      </c>
      <c r="Y66" s="17"/>
      <c r="Z66" s="17">
        <f>[8]Credit!$E$298</f>
        <v>71000</v>
      </c>
      <c r="AA66" s="17"/>
      <c r="AB66" s="17"/>
      <c r="AC66" s="17">
        <f t="shared" si="54"/>
        <v>71000</v>
      </c>
      <c r="AD66" s="17">
        <f t="shared" si="55"/>
        <v>171000</v>
      </c>
      <c r="AE66" s="17">
        <v>100000</v>
      </c>
      <c r="AF66" s="17">
        <v>530000</v>
      </c>
      <c r="AG66" s="17">
        <f>[9]Credit!$F$206</f>
        <v>70000</v>
      </c>
      <c r="AH66" s="17"/>
      <c r="AI66" s="17"/>
      <c r="AJ66" s="17">
        <f t="shared" si="56"/>
        <v>600000</v>
      </c>
      <c r="AK66" s="17">
        <f t="shared" si="57"/>
        <v>700000</v>
      </c>
      <c r="AL66" s="17">
        <v>100000</v>
      </c>
      <c r="AM66" s="42">
        <v>530000</v>
      </c>
      <c r="AN66" s="42">
        <f>[5]Credit!$E$370</f>
        <v>57000</v>
      </c>
      <c r="AO66" s="42">
        <v>0</v>
      </c>
      <c r="AP66" s="17"/>
      <c r="AQ66" s="17">
        <f t="shared" si="58"/>
        <v>587000</v>
      </c>
      <c r="AR66" s="17">
        <f t="shared" si="59"/>
        <v>687000</v>
      </c>
      <c r="AS66" s="42">
        <v>100000</v>
      </c>
      <c r="AT66" s="42">
        <v>530000</v>
      </c>
      <c r="AU66" s="42">
        <f>[10]Credit!$E$367</f>
        <v>174000</v>
      </c>
      <c r="AV66" s="42">
        <v>0</v>
      </c>
      <c r="AW66" s="17">
        <f t="shared" si="60"/>
        <v>704000</v>
      </c>
      <c r="AX66" s="42">
        <f t="shared" si="61"/>
        <v>804000</v>
      </c>
      <c r="AY66" s="42">
        <v>100000</v>
      </c>
      <c r="AZ66" s="42">
        <f>[6]Credit!$F$389</f>
        <v>60000</v>
      </c>
      <c r="BA66" s="42">
        <v>530000</v>
      </c>
      <c r="BB66" s="42"/>
      <c r="BC66" s="42">
        <f t="shared" si="63"/>
        <v>590000</v>
      </c>
      <c r="BD66" s="42">
        <f t="shared" si="62"/>
        <v>690000</v>
      </c>
      <c r="BE66" s="42">
        <v>100000</v>
      </c>
      <c r="BF66" s="42">
        <v>530000</v>
      </c>
      <c r="BG66" s="42">
        <f>[11]Kredit!$E$461</f>
        <v>79000</v>
      </c>
      <c r="BH66" s="42">
        <v>0</v>
      </c>
      <c r="BI66" s="42">
        <f t="shared" si="64"/>
        <v>609000</v>
      </c>
      <c r="BJ66" s="42">
        <f t="shared" si="65"/>
        <v>709000</v>
      </c>
      <c r="BK66" s="42">
        <v>100000</v>
      </c>
      <c r="BL66" s="42">
        <v>530000</v>
      </c>
      <c r="BM66" s="42">
        <f>[12]Credit!$E$448</f>
        <v>66000</v>
      </c>
      <c r="BN66" s="42">
        <v>0</v>
      </c>
      <c r="BO66" s="42">
        <f t="shared" si="45"/>
        <v>596000</v>
      </c>
      <c r="BP66" s="42">
        <f t="shared" si="46"/>
        <v>696000</v>
      </c>
      <c r="BQ66" s="69">
        <f t="shared" si="47"/>
        <v>3675000</v>
      </c>
      <c r="BR66" s="38" t="s">
        <v>394</v>
      </c>
    </row>
    <row r="67" spans="1:73" s="4" customFormat="1" ht="13">
      <c r="A67" s="15">
        <f t="shared" si="0"/>
        <v>63</v>
      </c>
      <c r="B67" s="48" t="s">
        <v>117</v>
      </c>
      <c r="C67" s="44" t="s">
        <v>118</v>
      </c>
      <c r="D67" s="44" t="s">
        <v>114</v>
      </c>
      <c r="E67" s="42">
        <v>2775000</v>
      </c>
      <c r="F67" s="17">
        <v>100000</v>
      </c>
      <c r="G67" s="17">
        <f>265000</f>
        <v>265000</v>
      </c>
      <c r="H67" s="17">
        <f t="shared" si="49"/>
        <v>365000</v>
      </c>
      <c r="I67" s="17">
        <v>100000</v>
      </c>
      <c r="J67" s="17">
        <f>265000</f>
        <v>265000</v>
      </c>
      <c r="K67" s="17">
        <f t="shared" si="50"/>
        <v>365000</v>
      </c>
      <c r="L67" s="17">
        <v>100000</v>
      </c>
      <c r="M67" s="17">
        <v>265000</v>
      </c>
      <c r="N67" s="17">
        <f t="shared" si="51"/>
        <v>365000</v>
      </c>
      <c r="O67" s="17">
        <v>100000</v>
      </c>
      <c r="P67" s="17">
        <f>265000</f>
        <v>265000</v>
      </c>
      <c r="Q67" s="17">
        <f t="shared" si="52"/>
        <v>365000</v>
      </c>
      <c r="R67" s="17">
        <v>100000</v>
      </c>
      <c r="S67" s="17">
        <f>265000</f>
        <v>265000</v>
      </c>
      <c r="T67" s="17">
        <v>0</v>
      </c>
      <c r="U67" s="17">
        <v>0</v>
      </c>
      <c r="V67" s="17">
        <v>0</v>
      </c>
      <c r="W67" s="17">
        <f t="shared" si="53"/>
        <v>365000</v>
      </c>
      <c r="X67" s="17">
        <v>100000</v>
      </c>
      <c r="Y67" s="17">
        <v>265000</v>
      </c>
      <c r="Z67" s="17">
        <f>[8]Credit!$E$353</f>
        <v>4000</v>
      </c>
      <c r="AA67" s="17"/>
      <c r="AB67" s="17">
        <v>25000</v>
      </c>
      <c r="AC67" s="17">
        <f t="shared" si="54"/>
        <v>294000</v>
      </c>
      <c r="AD67" s="17">
        <f t="shared" si="55"/>
        <v>394000</v>
      </c>
      <c r="AE67" s="17">
        <v>100000</v>
      </c>
      <c r="AF67" s="17">
        <v>265000</v>
      </c>
      <c r="AG67" s="17"/>
      <c r="AH67" s="17"/>
      <c r="AI67" s="17">
        <v>70000</v>
      </c>
      <c r="AJ67" s="17">
        <f t="shared" si="56"/>
        <v>335000</v>
      </c>
      <c r="AK67" s="17">
        <f t="shared" si="57"/>
        <v>435000</v>
      </c>
      <c r="AL67" s="17">
        <v>100000</v>
      </c>
      <c r="AM67" s="42">
        <v>265000</v>
      </c>
      <c r="AN67" s="42">
        <f>[5]Credit!$E$413</f>
        <v>19000</v>
      </c>
      <c r="AO67" s="42">
        <v>0</v>
      </c>
      <c r="AP67" s="17"/>
      <c r="AQ67" s="17">
        <f t="shared" si="58"/>
        <v>284000</v>
      </c>
      <c r="AR67" s="17">
        <f t="shared" si="59"/>
        <v>384000</v>
      </c>
      <c r="AS67" s="42">
        <v>100000</v>
      </c>
      <c r="AT67" s="42">
        <v>425000</v>
      </c>
      <c r="AU67" s="42">
        <v>0</v>
      </c>
      <c r="AV67" s="42">
        <v>0</v>
      </c>
      <c r="AW67" s="17">
        <f t="shared" si="60"/>
        <v>425000</v>
      </c>
      <c r="AX67" s="42">
        <f t="shared" si="61"/>
        <v>525000</v>
      </c>
      <c r="AY67" s="42">
        <v>100000</v>
      </c>
      <c r="AZ67" s="42">
        <v>0</v>
      </c>
      <c r="BA67" s="42">
        <v>425000</v>
      </c>
      <c r="BB67" s="42"/>
      <c r="BC67" s="42">
        <f t="shared" si="63"/>
        <v>425000</v>
      </c>
      <c r="BD67" s="42">
        <f t="shared" si="62"/>
        <v>525000</v>
      </c>
      <c r="BE67" s="42">
        <v>100000</v>
      </c>
      <c r="BF67" s="42">
        <v>425000</v>
      </c>
      <c r="BG67" s="42"/>
      <c r="BH67" s="42">
        <v>0</v>
      </c>
      <c r="BI67" s="42">
        <f t="shared" si="64"/>
        <v>425000</v>
      </c>
      <c r="BJ67" s="42">
        <f t="shared" si="65"/>
        <v>525000</v>
      </c>
      <c r="BK67" s="42">
        <v>100000</v>
      </c>
      <c r="BL67" s="42">
        <v>425000</v>
      </c>
      <c r="BM67" s="42">
        <v>0</v>
      </c>
      <c r="BN67" s="42">
        <v>0</v>
      </c>
      <c r="BO67" s="42">
        <f t="shared" si="45"/>
        <v>425000</v>
      </c>
      <c r="BP67" s="42">
        <f t="shared" si="46"/>
        <v>525000</v>
      </c>
      <c r="BQ67" s="69">
        <f t="shared" si="47"/>
        <v>3975000</v>
      </c>
      <c r="BR67" s="38" t="s">
        <v>383</v>
      </c>
      <c r="BS67" s="36"/>
      <c r="BT67" s="36"/>
      <c r="BU67" s="36"/>
    </row>
    <row r="68" spans="1:73">
      <c r="A68" s="15">
        <f t="shared" si="0"/>
        <v>64</v>
      </c>
      <c r="B68" s="48" t="s">
        <v>119</v>
      </c>
      <c r="C68" s="44" t="s">
        <v>120</v>
      </c>
      <c r="D68" s="44" t="s">
        <v>114</v>
      </c>
      <c r="E68" s="42">
        <v>2775000</v>
      </c>
      <c r="F68" s="17">
        <v>100000</v>
      </c>
      <c r="G68" s="17"/>
      <c r="H68" s="17">
        <f t="shared" si="49"/>
        <v>100000</v>
      </c>
      <c r="I68" s="17">
        <v>100000</v>
      </c>
      <c r="J68" s="17"/>
      <c r="K68" s="17">
        <f t="shared" si="50"/>
        <v>100000</v>
      </c>
      <c r="L68" s="17">
        <v>100000</v>
      </c>
      <c r="M68" s="17">
        <v>1060000</v>
      </c>
      <c r="N68" s="17">
        <f t="shared" si="51"/>
        <v>1160000</v>
      </c>
      <c r="O68" s="17">
        <v>100000</v>
      </c>
      <c r="P68" s="17">
        <v>1060000</v>
      </c>
      <c r="Q68" s="17">
        <f t="shared" si="52"/>
        <v>1160000</v>
      </c>
      <c r="R68" s="17">
        <v>100000</v>
      </c>
      <c r="S68" s="17">
        <f>1060000</f>
        <v>1060000</v>
      </c>
      <c r="T68" s="17">
        <v>0</v>
      </c>
      <c r="U68" s="17">
        <v>0</v>
      </c>
      <c r="V68" s="17">
        <f>21000</f>
        <v>21000</v>
      </c>
      <c r="W68" s="17">
        <f t="shared" si="53"/>
        <v>1181000</v>
      </c>
      <c r="X68" s="17">
        <v>100000</v>
      </c>
      <c r="Y68" s="17"/>
      <c r="Z68" s="17"/>
      <c r="AA68" s="17"/>
      <c r="AB68" s="17"/>
      <c r="AC68" s="17">
        <f t="shared" si="54"/>
        <v>0</v>
      </c>
      <c r="AD68" s="17">
        <f t="shared" si="55"/>
        <v>100000</v>
      </c>
      <c r="AE68" s="17">
        <v>100000</v>
      </c>
      <c r="AF68" s="17">
        <v>1060000</v>
      </c>
      <c r="AG68" s="17"/>
      <c r="AH68" s="17"/>
      <c r="AI68" s="17"/>
      <c r="AJ68" s="17">
        <f t="shared" si="56"/>
        <v>1060000</v>
      </c>
      <c r="AK68" s="17">
        <f t="shared" si="57"/>
        <v>1160000</v>
      </c>
      <c r="AL68" s="17">
        <v>100000</v>
      </c>
      <c r="AM68" s="42">
        <v>1060000</v>
      </c>
      <c r="AN68" s="42">
        <v>0</v>
      </c>
      <c r="AO68" s="42">
        <v>0</v>
      </c>
      <c r="AP68" s="17"/>
      <c r="AQ68" s="17">
        <f t="shared" si="58"/>
        <v>1060000</v>
      </c>
      <c r="AR68" s="17">
        <f t="shared" si="59"/>
        <v>1160000</v>
      </c>
      <c r="AS68" s="42">
        <v>100000</v>
      </c>
      <c r="AT68" s="42">
        <v>1060000</v>
      </c>
      <c r="AU68" s="42">
        <v>0</v>
      </c>
      <c r="AV68" s="42">
        <v>0</v>
      </c>
      <c r="AW68" s="17">
        <f t="shared" si="60"/>
        <v>1060000</v>
      </c>
      <c r="AX68" s="42">
        <f t="shared" si="61"/>
        <v>1160000</v>
      </c>
      <c r="AY68" s="42">
        <v>100000</v>
      </c>
      <c r="AZ68" s="42">
        <f>[6]Credit!$F$617</f>
        <v>145000</v>
      </c>
      <c r="BA68" s="42">
        <v>530000</v>
      </c>
      <c r="BB68" s="42"/>
      <c r="BC68" s="42">
        <f t="shared" si="63"/>
        <v>675000</v>
      </c>
      <c r="BD68" s="42">
        <f t="shared" si="62"/>
        <v>775000</v>
      </c>
      <c r="BE68" s="42">
        <v>100000</v>
      </c>
      <c r="BF68" s="42">
        <v>530000</v>
      </c>
      <c r="BG68" s="42">
        <f>[11]Kredit!$E$650</f>
        <v>68000</v>
      </c>
      <c r="BH68" s="42">
        <v>0</v>
      </c>
      <c r="BI68" s="42">
        <f t="shared" si="64"/>
        <v>598000</v>
      </c>
      <c r="BJ68" s="42">
        <f t="shared" si="65"/>
        <v>698000</v>
      </c>
      <c r="BK68" s="42">
        <v>100000</v>
      </c>
      <c r="BL68" s="42">
        <v>530000</v>
      </c>
      <c r="BM68" s="42">
        <v>0</v>
      </c>
      <c r="BN68" s="42">
        <v>0</v>
      </c>
      <c r="BO68" s="42">
        <f t="shared" si="45"/>
        <v>530000</v>
      </c>
      <c r="BP68" s="42">
        <f t="shared" si="46"/>
        <v>630000</v>
      </c>
      <c r="BQ68" s="69">
        <f t="shared" si="47"/>
        <v>3975000</v>
      </c>
      <c r="BR68" s="37"/>
    </row>
    <row r="69" spans="1:73" s="4" customFormat="1" ht="13">
      <c r="A69" s="15">
        <f t="shared" ref="A69:A132" si="66">A68+1</f>
        <v>65</v>
      </c>
      <c r="B69" s="48" t="s">
        <v>121</v>
      </c>
      <c r="C69" s="44" t="s">
        <v>122</v>
      </c>
      <c r="D69" s="44" t="s">
        <v>114</v>
      </c>
      <c r="E69" s="42">
        <v>2775000</v>
      </c>
      <c r="F69" s="17">
        <v>100000</v>
      </c>
      <c r="G69" s="17">
        <f>135000</f>
        <v>135000</v>
      </c>
      <c r="H69" s="17">
        <f t="shared" si="49"/>
        <v>235000</v>
      </c>
      <c r="I69" s="17">
        <v>100000</v>
      </c>
      <c r="J69" s="17">
        <f>1350000-135000</f>
        <v>1215000</v>
      </c>
      <c r="K69" s="17">
        <f t="shared" si="50"/>
        <v>1315000</v>
      </c>
      <c r="L69" s="17">
        <v>100000</v>
      </c>
      <c r="M69" s="17"/>
      <c r="N69" s="17">
        <f t="shared" si="51"/>
        <v>100000</v>
      </c>
      <c r="O69" s="17">
        <v>100000</v>
      </c>
      <c r="P69" s="17">
        <f>270000+1060000</f>
        <v>1330000</v>
      </c>
      <c r="Q69" s="17">
        <f t="shared" si="52"/>
        <v>1430000</v>
      </c>
      <c r="R69" s="17">
        <v>100000</v>
      </c>
      <c r="S69" s="17">
        <f>1060000</f>
        <v>1060000</v>
      </c>
      <c r="T69" s="17">
        <v>0</v>
      </c>
      <c r="U69" s="17">
        <v>0</v>
      </c>
      <c r="V69" s="17">
        <v>0</v>
      </c>
      <c r="W69" s="17">
        <f t="shared" si="53"/>
        <v>1160000</v>
      </c>
      <c r="X69" s="17">
        <v>100000</v>
      </c>
      <c r="Y69" s="17">
        <v>1060000</v>
      </c>
      <c r="Z69" s="17"/>
      <c r="AA69" s="17"/>
      <c r="AB69" s="17"/>
      <c r="AC69" s="17">
        <f t="shared" si="54"/>
        <v>1060000</v>
      </c>
      <c r="AD69" s="17">
        <f t="shared" si="55"/>
        <v>1160000</v>
      </c>
      <c r="AE69" s="17">
        <v>100000</v>
      </c>
      <c r="AF69" s="17"/>
      <c r="AG69" s="17"/>
      <c r="AH69" s="17"/>
      <c r="AI69" s="17"/>
      <c r="AJ69" s="17">
        <f t="shared" si="56"/>
        <v>0</v>
      </c>
      <c r="AK69" s="17">
        <f t="shared" si="57"/>
        <v>100000</v>
      </c>
      <c r="AL69" s="17">
        <v>100000</v>
      </c>
      <c r="AM69" s="42">
        <v>0</v>
      </c>
      <c r="AN69" s="42">
        <v>0</v>
      </c>
      <c r="AO69" s="42">
        <v>0</v>
      </c>
      <c r="AP69" s="17"/>
      <c r="AQ69" s="17">
        <f t="shared" si="58"/>
        <v>0</v>
      </c>
      <c r="AR69" s="17">
        <f t="shared" si="59"/>
        <v>100000</v>
      </c>
      <c r="AS69" s="42">
        <v>100000</v>
      </c>
      <c r="AT69" s="42">
        <v>530000</v>
      </c>
      <c r="AU69" s="42">
        <v>0</v>
      </c>
      <c r="AV69" s="42">
        <v>0</v>
      </c>
      <c r="AW69" s="17">
        <f t="shared" si="60"/>
        <v>530000</v>
      </c>
      <c r="AX69" s="42">
        <f t="shared" si="61"/>
        <v>630000</v>
      </c>
      <c r="AY69" s="42">
        <v>100000</v>
      </c>
      <c r="AZ69" s="42">
        <v>0</v>
      </c>
      <c r="BA69" s="42">
        <v>530000</v>
      </c>
      <c r="BB69" s="42"/>
      <c r="BC69" s="42">
        <f t="shared" si="63"/>
        <v>530000</v>
      </c>
      <c r="BD69" s="42">
        <f t="shared" si="62"/>
        <v>630000</v>
      </c>
      <c r="BE69" s="42">
        <v>100000</v>
      </c>
      <c r="BF69" s="42"/>
      <c r="BG69" s="42"/>
      <c r="BH69" s="42">
        <v>0</v>
      </c>
      <c r="BI69" s="42">
        <f t="shared" si="64"/>
        <v>0</v>
      </c>
      <c r="BJ69" s="42">
        <f t="shared" si="65"/>
        <v>100000</v>
      </c>
      <c r="BK69" s="42">
        <v>100000</v>
      </c>
      <c r="BL69" s="42">
        <v>0</v>
      </c>
      <c r="BM69" s="42">
        <v>0</v>
      </c>
      <c r="BN69" s="42">
        <v>0</v>
      </c>
      <c r="BO69" s="42">
        <f t="shared" ref="BO69:BO100" si="67">SUM(BL69:BN69)</f>
        <v>0</v>
      </c>
      <c r="BP69" s="42">
        <f t="shared" ref="BP69:BP100" si="68">BK69+BO69</f>
        <v>100000</v>
      </c>
      <c r="BQ69" s="69">
        <f t="shared" ref="BQ69:BQ100" si="69">E69+F69+I69+L69+O69+R69+X69+AE69+AL69+AS69+AY69+BE69+BK69</f>
        <v>3975000</v>
      </c>
      <c r="BR69" s="38" t="s">
        <v>395</v>
      </c>
      <c r="BS69" s="36"/>
      <c r="BT69" s="36"/>
      <c r="BU69" s="36"/>
    </row>
    <row r="70" spans="1:73" s="4" customFormat="1" ht="13">
      <c r="A70" s="15">
        <f t="shared" si="66"/>
        <v>66</v>
      </c>
      <c r="B70" s="48">
        <v>11038134</v>
      </c>
      <c r="C70" s="44" t="s">
        <v>124</v>
      </c>
      <c r="D70" s="44" t="s">
        <v>114</v>
      </c>
      <c r="E70" s="42">
        <v>2775000</v>
      </c>
      <c r="F70" s="17">
        <v>100000</v>
      </c>
      <c r="G70" s="17">
        <f>1061000+324000</f>
        <v>1385000</v>
      </c>
      <c r="H70" s="17">
        <f t="shared" si="49"/>
        <v>1485000</v>
      </c>
      <c r="I70" s="17">
        <v>100000</v>
      </c>
      <c r="J70" s="17">
        <f>1061000+455000</f>
        <v>1516000</v>
      </c>
      <c r="K70" s="17">
        <f t="shared" si="50"/>
        <v>1616000</v>
      </c>
      <c r="L70" s="17">
        <v>100000</v>
      </c>
      <c r="M70" s="17">
        <f>1061000+601600</f>
        <v>1662600</v>
      </c>
      <c r="N70" s="17">
        <f t="shared" si="51"/>
        <v>1762600</v>
      </c>
      <c r="O70" s="17">
        <v>100000</v>
      </c>
      <c r="P70" s="17">
        <f>661000+1061000+73000</f>
        <v>1795000</v>
      </c>
      <c r="Q70" s="17">
        <f t="shared" si="52"/>
        <v>1895000</v>
      </c>
      <c r="R70" s="17">
        <v>100000</v>
      </c>
      <c r="S70" s="17">
        <f>530000</f>
        <v>530000</v>
      </c>
      <c r="T70" s="17">
        <f>362000+[7]System!$F$632</f>
        <v>784500</v>
      </c>
      <c r="U70" s="17">
        <v>0</v>
      </c>
      <c r="V70" s="17">
        <v>0</v>
      </c>
      <c r="W70" s="17">
        <f t="shared" si="53"/>
        <v>1414500</v>
      </c>
      <c r="X70" s="17">
        <v>100000</v>
      </c>
      <c r="Y70" s="17">
        <v>530000</v>
      </c>
      <c r="Z70" s="17">
        <f>[8]Credit!$E$687</f>
        <v>609500</v>
      </c>
      <c r="AA70" s="17"/>
      <c r="AB70" s="17">
        <v>35000</v>
      </c>
      <c r="AC70" s="17">
        <f t="shared" si="54"/>
        <v>1174500</v>
      </c>
      <c r="AD70" s="17">
        <f t="shared" si="55"/>
        <v>1274500</v>
      </c>
      <c r="AE70" s="17">
        <v>100000</v>
      </c>
      <c r="AF70" s="17">
        <v>530000</v>
      </c>
      <c r="AG70" s="17">
        <f>[9]Credit!$F$428</f>
        <v>711000</v>
      </c>
      <c r="AH70" s="17"/>
      <c r="AI70" s="17"/>
      <c r="AJ70" s="17">
        <f t="shared" si="56"/>
        <v>1241000</v>
      </c>
      <c r="AK70" s="17">
        <f t="shared" si="57"/>
        <v>1341000</v>
      </c>
      <c r="AL70" s="17">
        <v>100000</v>
      </c>
      <c r="AM70" s="42">
        <v>530000</v>
      </c>
      <c r="AN70" s="42">
        <f>[5]Credit!$E$797</f>
        <v>992000</v>
      </c>
      <c r="AO70" s="42">
        <v>0</v>
      </c>
      <c r="AP70" s="17">
        <v>7500</v>
      </c>
      <c r="AQ70" s="17">
        <f t="shared" si="58"/>
        <v>1529500</v>
      </c>
      <c r="AR70" s="17">
        <f t="shared" si="59"/>
        <v>1629500</v>
      </c>
      <c r="AS70" s="42">
        <v>100000</v>
      </c>
      <c r="AT70" s="42">
        <v>530000</v>
      </c>
      <c r="AU70" s="42">
        <f>[10]Credit!$E$780</f>
        <v>999250</v>
      </c>
      <c r="AV70" s="42">
        <v>0</v>
      </c>
      <c r="AW70" s="17">
        <f t="shared" si="60"/>
        <v>1529250</v>
      </c>
      <c r="AX70" s="42">
        <f t="shared" si="61"/>
        <v>1629250</v>
      </c>
      <c r="AY70" s="42">
        <v>100000</v>
      </c>
      <c r="AZ70" s="42">
        <f>[6]Credit!$F$807</f>
        <v>1021000</v>
      </c>
      <c r="BA70" s="42">
        <v>530000</v>
      </c>
      <c r="BB70" s="42"/>
      <c r="BC70" s="42">
        <f t="shared" si="63"/>
        <v>1551000</v>
      </c>
      <c r="BD70" s="42">
        <f t="shared" si="62"/>
        <v>1651000</v>
      </c>
      <c r="BE70" s="42">
        <v>100000</v>
      </c>
      <c r="BF70" s="42">
        <v>530000</v>
      </c>
      <c r="BG70" s="42">
        <f>[11]Kredit!$E$811</f>
        <v>858750</v>
      </c>
      <c r="BH70" s="42">
        <v>0</v>
      </c>
      <c r="BI70" s="42">
        <f t="shared" si="64"/>
        <v>1388750</v>
      </c>
      <c r="BJ70" s="42">
        <f t="shared" si="65"/>
        <v>1488750</v>
      </c>
      <c r="BK70" s="42">
        <v>100000</v>
      </c>
      <c r="BL70" s="42">
        <v>530000</v>
      </c>
      <c r="BM70" s="42">
        <f>[12]Credit!$E$745</f>
        <v>999000</v>
      </c>
      <c r="BN70" s="42">
        <v>0</v>
      </c>
      <c r="BO70" s="42">
        <f t="shared" si="67"/>
        <v>1529000</v>
      </c>
      <c r="BP70" s="42">
        <f t="shared" si="68"/>
        <v>1629000</v>
      </c>
      <c r="BQ70" s="69">
        <f t="shared" si="69"/>
        <v>3975000</v>
      </c>
      <c r="BR70" s="37"/>
      <c r="BS70" s="36"/>
      <c r="BT70" s="36"/>
      <c r="BU70" s="36"/>
    </row>
    <row r="71" spans="1:73" s="4" customFormat="1" ht="13">
      <c r="A71" s="15">
        <f t="shared" si="66"/>
        <v>67</v>
      </c>
      <c r="B71" s="50">
        <v>16040374</v>
      </c>
      <c r="C71" s="44" t="s">
        <v>396</v>
      </c>
      <c r="D71" s="44" t="s">
        <v>114</v>
      </c>
      <c r="E71" s="42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>
        <v>0</v>
      </c>
      <c r="S71" s="17">
        <v>0</v>
      </c>
      <c r="T71" s="17">
        <v>0</v>
      </c>
      <c r="U71" s="17">
        <v>0</v>
      </c>
      <c r="V71" s="17"/>
      <c r="W71" s="17">
        <f t="shared" si="53"/>
        <v>0</v>
      </c>
      <c r="X71" s="17">
        <v>200000</v>
      </c>
      <c r="Y71" s="17"/>
      <c r="Z71" s="17"/>
      <c r="AA71" s="17"/>
      <c r="AB71" s="17"/>
      <c r="AC71" s="17">
        <f t="shared" si="54"/>
        <v>0</v>
      </c>
      <c r="AD71" s="17">
        <f t="shared" si="55"/>
        <v>200000</v>
      </c>
      <c r="AE71" s="17">
        <v>100000</v>
      </c>
      <c r="AF71" s="17"/>
      <c r="AG71" s="17">
        <f>[9]Credit!$F$503</f>
        <v>70000</v>
      </c>
      <c r="AH71" s="17"/>
      <c r="AI71" s="17"/>
      <c r="AJ71" s="17">
        <f t="shared" si="56"/>
        <v>70000</v>
      </c>
      <c r="AK71" s="17">
        <f t="shared" si="57"/>
        <v>170000</v>
      </c>
      <c r="AL71" s="17">
        <v>100000</v>
      </c>
      <c r="AM71" s="42">
        <v>0</v>
      </c>
      <c r="AN71" s="42">
        <f>[5]Credit!$E$932</f>
        <v>133000</v>
      </c>
      <c r="AO71" s="42">
        <v>347000</v>
      </c>
      <c r="AP71" s="17"/>
      <c r="AQ71" s="17">
        <f t="shared" si="58"/>
        <v>480000</v>
      </c>
      <c r="AR71" s="17">
        <f t="shared" si="59"/>
        <v>580000</v>
      </c>
      <c r="AS71" s="42">
        <v>100000</v>
      </c>
      <c r="AT71" s="42">
        <v>0</v>
      </c>
      <c r="AU71" s="42">
        <v>0</v>
      </c>
      <c r="AV71" s="42">
        <v>347000</v>
      </c>
      <c r="AW71" s="17">
        <f t="shared" si="60"/>
        <v>347000</v>
      </c>
      <c r="AX71" s="42">
        <f t="shared" si="61"/>
        <v>447000</v>
      </c>
      <c r="AY71" s="42">
        <v>100000</v>
      </c>
      <c r="AZ71" s="42">
        <f>[6]Credit!$F$948</f>
        <v>69000</v>
      </c>
      <c r="BA71" s="42"/>
      <c r="BB71" s="42">
        <v>347000</v>
      </c>
      <c r="BC71" s="42">
        <f t="shared" si="63"/>
        <v>416000</v>
      </c>
      <c r="BD71" s="42">
        <f t="shared" si="62"/>
        <v>516000</v>
      </c>
      <c r="BE71" s="42">
        <v>100000</v>
      </c>
      <c r="BF71" s="42">
        <v>0</v>
      </c>
      <c r="BG71" s="42">
        <f>[11]Kredit!$E$957</f>
        <v>109500</v>
      </c>
      <c r="BH71" s="42">
        <v>0</v>
      </c>
      <c r="BI71" s="42">
        <f t="shared" si="64"/>
        <v>109500</v>
      </c>
      <c r="BJ71" s="42">
        <f t="shared" si="65"/>
        <v>209500</v>
      </c>
      <c r="BK71" s="42">
        <v>100000</v>
      </c>
      <c r="BL71" s="42">
        <v>530000</v>
      </c>
      <c r="BM71" s="42">
        <v>0</v>
      </c>
      <c r="BN71" s="42">
        <v>0</v>
      </c>
      <c r="BO71" s="42">
        <f t="shared" si="67"/>
        <v>530000</v>
      </c>
      <c r="BP71" s="42">
        <f t="shared" si="68"/>
        <v>630000</v>
      </c>
      <c r="BQ71" s="69">
        <f t="shared" si="69"/>
        <v>800000</v>
      </c>
      <c r="BR71" s="37"/>
      <c r="BS71" s="36"/>
      <c r="BT71" s="36"/>
      <c r="BU71" s="36"/>
    </row>
    <row r="72" spans="1:73" s="4" customFormat="1" ht="13">
      <c r="A72" s="15">
        <f t="shared" si="66"/>
        <v>68</v>
      </c>
      <c r="B72" s="48" t="s">
        <v>125</v>
      </c>
      <c r="C72" s="44" t="s">
        <v>126</v>
      </c>
      <c r="D72" s="44" t="s">
        <v>114</v>
      </c>
      <c r="E72" s="42">
        <v>2775000</v>
      </c>
      <c r="F72" s="17">
        <v>100000</v>
      </c>
      <c r="G72" s="42"/>
      <c r="H72" s="17">
        <f t="shared" ref="H72:H81" si="70">F72+G72</f>
        <v>100000</v>
      </c>
      <c r="I72" s="17">
        <v>100000</v>
      </c>
      <c r="J72" s="42"/>
      <c r="K72" s="17">
        <f t="shared" ref="K72:K81" si="71">I72+J72</f>
        <v>100000</v>
      </c>
      <c r="L72" s="17">
        <v>100000</v>
      </c>
      <c r="M72" s="42"/>
      <c r="N72" s="17">
        <f t="shared" ref="N72:N81" si="72">L72+M72</f>
        <v>100000</v>
      </c>
      <c r="O72" s="17">
        <v>100000</v>
      </c>
      <c r="P72" s="42">
        <f>1060000</f>
        <v>1060000</v>
      </c>
      <c r="Q72" s="17">
        <f t="shared" ref="Q72:Q81" si="73">O72+P72</f>
        <v>1160000</v>
      </c>
      <c r="R72" s="17">
        <v>100000</v>
      </c>
      <c r="S72" s="17">
        <f>1061000</f>
        <v>1061000</v>
      </c>
      <c r="T72" s="17">
        <v>0</v>
      </c>
      <c r="U72" s="17">
        <v>0</v>
      </c>
      <c r="V72" s="17">
        <f>21000</f>
        <v>21000</v>
      </c>
      <c r="W72" s="17">
        <f t="shared" si="53"/>
        <v>1182000</v>
      </c>
      <c r="X72" s="17">
        <v>100000</v>
      </c>
      <c r="Y72" s="42">
        <v>1060000</v>
      </c>
      <c r="Z72" s="42"/>
      <c r="AA72" s="42"/>
      <c r="AB72" s="42">
        <v>105000</v>
      </c>
      <c r="AC72" s="17">
        <f t="shared" si="54"/>
        <v>1165000</v>
      </c>
      <c r="AD72" s="17">
        <f t="shared" si="55"/>
        <v>1265000</v>
      </c>
      <c r="AE72" s="17">
        <v>100000</v>
      </c>
      <c r="AF72" s="42"/>
      <c r="AG72" s="42"/>
      <c r="AH72" s="42"/>
      <c r="AI72" s="42"/>
      <c r="AJ72" s="17">
        <f t="shared" si="56"/>
        <v>0</v>
      </c>
      <c r="AK72" s="17">
        <f t="shared" si="57"/>
        <v>100000</v>
      </c>
      <c r="AL72" s="17">
        <v>100000</v>
      </c>
      <c r="AM72" s="42">
        <v>1326250</v>
      </c>
      <c r="AN72" s="42">
        <v>0</v>
      </c>
      <c r="AO72" s="42">
        <v>0</v>
      </c>
      <c r="AP72" s="17"/>
      <c r="AQ72" s="17">
        <f t="shared" si="58"/>
        <v>1326250</v>
      </c>
      <c r="AR72" s="17">
        <f t="shared" si="59"/>
        <v>1426250</v>
      </c>
      <c r="AS72" s="42">
        <v>100000</v>
      </c>
      <c r="AT72" s="42">
        <v>1326250</v>
      </c>
      <c r="AU72" s="42">
        <v>0</v>
      </c>
      <c r="AV72" s="42">
        <v>0</v>
      </c>
      <c r="AW72" s="17">
        <f t="shared" si="60"/>
        <v>1326250</v>
      </c>
      <c r="AX72" s="42">
        <f t="shared" si="61"/>
        <v>1426250</v>
      </c>
      <c r="AY72" s="42">
        <v>100000</v>
      </c>
      <c r="AZ72" s="42">
        <v>0</v>
      </c>
      <c r="BA72" s="42">
        <v>1326250</v>
      </c>
      <c r="BB72" s="42"/>
      <c r="BC72" s="42">
        <f t="shared" si="63"/>
        <v>1326250</v>
      </c>
      <c r="BD72" s="42">
        <f t="shared" si="62"/>
        <v>1426250</v>
      </c>
      <c r="BE72" s="42">
        <v>100000</v>
      </c>
      <c r="BF72" s="42">
        <v>1326250</v>
      </c>
      <c r="BG72" s="42"/>
      <c r="BH72" s="42">
        <v>0</v>
      </c>
      <c r="BI72" s="42">
        <f t="shared" si="64"/>
        <v>1326250</v>
      </c>
      <c r="BJ72" s="42">
        <f t="shared" si="65"/>
        <v>1426250</v>
      </c>
      <c r="BK72" s="42">
        <v>100000</v>
      </c>
      <c r="BL72" s="42">
        <v>1061000</v>
      </c>
      <c r="BM72" s="42">
        <v>0</v>
      </c>
      <c r="BN72" s="42">
        <v>0</v>
      </c>
      <c r="BO72" s="42">
        <f t="shared" si="67"/>
        <v>1061000</v>
      </c>
      <c r="BP72" s="42">
        <f t="shared" si="68"/>
        <v>1161000</v>
      </c>
      <c r="BQ72" s="69">
        <f t="shared" si="69"/>
        <v>3975000</v>
      </c>
      <c r="BR72" s="38" t="s">
        <v>395</v>
      </c>
      <c r="BS72" s="36"/>
      <c r="BT72" s="36"/>
      <c r="BU72" s="36"/>
    </row>
    <row r="73" spans="1:73" s="46" customFormat="1">
      <c r="A73" s="15">
        <f t="shared" si="66"/>
        <v>69</v>
      </c>
      <c r="B73" s="59">
        <v>12119494</v>
      </c>
      <c r="C73" s="54" t="s">
        <v>127</v>
      </c>
      <c r="D73" s="44" t="s">
        <v>114</v>
      </c>
      <c r="E73" s="42">
        <v>1900000</v>
      </c>
      <c r="F73" s="17">
        <v>100000</v>
      </c>
      <c r="G73" s="17">
        <f>405000+232200</f>
        <v>637200</v>
      </c>
      <c r="H73" s="17">
        <f t="shared" si="70"/>
        <v>737200</v>
      </c>
      <c r="I73" s="17">
        <v>100000</v>
      </c>
      <c r="J73" s="17">
        <f>405000+636000+381500</f>
        <v>1422500</v>
      </c>
      <c r="K73" s="17">
        <f t="shared" si="71"/>
        <v>1522500</v>
      </c>
      <c r="L73" s="17">
        <v>100000</v>
      </c>
      <c r="M73" s="17">
        <f>636000+418500</f>
        <v>1054500</v>
      </c>
      <c r="N73" s="17">
        <f t="shared" si="72"/>
        <v>1154500</v>
      </c>
      <c r="O73" s="17">
        <v>100000</v>
      </c>
      <c r="P73" s="17">
        <f>636000+243500</f>
        <v>879500</v>
      </c>
      <c r="Q73" s="17">
        <f t="shared" si="73"/>
        <v>979500</v>
      </c>
      <c r="R73" s="17">
        <v>100000</v>
      </c>
      <c r="S73" s="17">
        <f>636000</f>
        <v>636000</v>
      </c>
      <c r="T73" s="17">
        <f>169000+[7]System!$F$1106</f>
        <v>311000</v>
      </c>
      <c r="U73" s="17">
        <v>0</v>
      </c>
      <c r="V73" s="17">
        <f>21000</f>
        <v>21000</v>
      </c>
      <c r="W73" s="17">
        <f t="shared" si="53"/>
        <v>1068000</v>
      </c>
      <c r="X73" s="17">
        <v>100000</v>
      </c>
      <c r="Y73" s="17">
        <v>636000</v>
      </c>
      <c r="Z73" s="17">
        <f>[8]Credit!$E$1210</f>
        <v>504000</v>
      </c>
      <c r="AA73" s="17"/>
      <c r="AB73" s="17">
        <v>35000</v>
      </c>
      <c r="AC73" s="17">
        <f t="shared" si="54"/>
        <v>1175000</v>
      </c>
      <c r="AD73" s="17">
        <f t="shared" si="55"/>
        <v>1275000</v>
      </c>
      <c r="AE73" s="17">
        <v>100000</v>
      </c>
      <c r="AF73" s="17">
        <v>530000</v>
      </c>
      <c r="AG73" s="17">
        <f>[9]Credit!$F$748</f>
        <v>203000</v>
      </c>
      <c r="AH73" s="17"/>
      <c r="AI73" s="17">
        <v>70000</v>
      </c>
      <c r="AJ73" s="17">
        <f t="shared" si="56"/>
        <v>803000</v>
      </c>
      <c r="AK73" s="17">
        <f t="shared" si="57"/>
        <v>903000</v>
      </c>
      <c r="AL73" s="17">
        <v>100000</v>
      </c>
      <c r="AM73" s="42">
        <v>530000</v>
      </c>
      <c r="AN73" s="42">
        <f>[5]Credit!$E$1381</f>
        <v>328500</v>
      </c>
      <c r="AO73" s="42">
        <v>0</v>
      </c>
      <c r="AP73" s="17">
        <v>7000</v>
      </c>
      <c r="AQ73" s="17">
        <f t="shared" si="58"/>
        <v>865500</v>
      </c>
      <c r="AR73" s="17">
        <f t="shared" si="59"/>
        <v>965500</v>
      </c>
      <c r="AS73" s="42">
        <v>100000</v>
      </c>
      <c r="AT73" s="42">
        <v>530000</v>
      </c>
      <c r="AU73" s="42">
        <f>[10]Credit!$E$1319</f>
        <v>415000</v>
      </c>
      <c r="AV73" s="42">
        <v>0</v>
      </c>
      <c r="AW73" s="17">
        <f t="shared" si="60"/>
        <v>945000</v>
      </c>
      <c r="AX73" s="42">
        <f t="shared" si="61"/>
        <v>1045000</v>
      </c>
      <c r="AY73" s="42">
        <v>100000</v>
      </c>
      <c r="AZ73" s="42">
        <f>[6]Credit!$F$1306</f>
        <v>350600</v>
      </c>
      <c r="BA73" s="42">
        <v>530000</v>
      </c>
      <c r="BB73" s="42"/>
      <c r="BC73" s="42">
        <f t="shared" si="63"/>
        <v>880600</v>
      </c>
      <c r="BD73" s="42">
        <f t="shared" si="62"/>
        <v>980600</v>
      </c>
      <c r="BE73" s="42">
        <v>100000</v>
      </c>
      <c r="BF73" s="42">
        <v>530000</v>
      </c>
      <c r="BG73" s="42">
        <f>[11]Kredit!$E$1336</f>
        <v>315000</v>
      </c>
      <c r="BH73" s="42">
        <v>0</v>
      </c>
      <c r="BI73" s="42">
        <f t="shared" si="64"/>
        <v>845000</v>
      </c>
      <c r="BJ73" s="42">
        <f t="shared" si="65"/>
        <v>945000</v>
      </c>
      <c r="BK73" s="42">
        <v>100000</v>
      </c>
      <c r="BL73" s="42">
        <f>530000</f>
        <v>530000</v>
      </c>
      <c r="BM73" s="42">
        <f>[12]Credit!$E$1237</f>
        <v>423100</v>
      </c>
      <c r="BN73" s="42">
        <v>0</v>
      </c>
      <c r="BO73" s="42">
        <f t="shared" si="67"/>
        <v>953100</v>
      </c>
      <c r="BP73" s="42">
        <f t="shared" si="68"/>
        <v>1053100</v>
      </c>
      <c r="BQ73" s="69">
        <f t="shared" si="69"/>
        <v>3100000</v>
      </c>
      <c r="BR73" s="37" t="s">
        <v>373</v>
      </c>
      <c r="BS73" s="45"/>
      <c r="BT73" s="45"/>
      <c r="BU73" s="45"/>
    </row>
    <row r="74" spans="1:73" s="4" customFormat="1" ht="13">
      <c r="A74" s="15">
        <f t="shared" si="66"/>
        <v>70</v>
      </c>
      <c r="B74" s="43">
        <v>95070454</v>
      </c>
      <c r="C74" s="44" t="s">
        <v>128</v>
      </c>
      <c r="D74" s="44" t="s">
        <v>129</v>
      </c>
      <c r="E74" s="42">
        <v>2775000</v>
      </c>
      <c r="F74" s="17">
        <v>100000</v>
      </c>
      <c r="G74" s="17">
        <f>425000</f>
        <v>425000</v>
      </c>
      <c r="H74" s="17">
        <f t="shared" si="70"/>
        <v>525000</v>
      </c>
      <c r="I74" s="17">
        <v>100000</v>
      </c>
      <c r="J74" s="17">
        <f>425000</f>
        <v>425000</v>
      </c>
      <c r="K74" s="17">
        <f t="shared" si="71"/>
        <v>525000</v>
      </c>
      <c r="L74" s="17">
        <v>100000</v>
      </c>
      <c r="M74" s="17">
        <v>425000</v>
      </c>
      <c r="N74" s="17">
        <f t="shared" si="72"/>
        <v>525000</v>
      </c>
      <c r="O74" s="17">
        <v>100000</v>
      </c>
      <c r="P74" s="17">
        <f>425000</f>
        <v>425000</v>
      </c>
      <c r="Q74" s="17">
        <f t="shared" si="73"/>
        <v>525000</v>
      </c>
      <c r="R74" s="17">
        <v>100000</v>
      </c>
      <c r="S74" s="17">
        <f>425000</f>
        <v>425000</v>
      </c>
      <c r="T74" s="17">
        <f>[7]System!$F$72</f>
        <v>15000</v>
      </c>
      <c r="U74" s="17">
        <v>0</v>
      </c>
      <c r="V74" s="17">
        <f>21000</f>
        <v>21000</v>
      </c>
      <c r="W74" s="17">
        <f t="shared" si="53"/>
        <v>561000</v>
      </c>
      <c r="X74" s="17">
        <v>100000</v>
      </c>
      <c r="Y74" s="17"/>
      <c r="Z74" s="17">
        <f>[8]Credit!$E$66</f>
        <v>73000</v>
      </c>
      <c r="AA74" s="17"/>
      <c r="AB74" s="17"/>
      <c r="AC74" s="17">
        <f t="shared" si="54"/>
        <v>73000</v>
      </c>
      <c r="AD74" s="17">
        <f t="shared" si="55"/>
        <v>173000</v>
      </c>
      <c r="AE74" s="17">
        <v>100000</v>
      </c>
      <c r="AF74" s="17"/>
      <c r="AG74" s="17"/>
      <c r="AH74" s="17"/>
      <c r="AI74" s="17">
        <v>70000</v>
      </c>
      <c r="AJ74" s="17">
        <f t="shared" si="56"/>
        <v>70000</v>
      </c>
      <c r="AK74" s="17">
        <f t="shared" si="57"/>
        <v>170000</v>
      </c>
      <c r="AL74" s="17">
        <v>100000</v>
      </c>
      <c r="AM74" s="42">
        <v>0</v>
      </c>
      <c r="AN74" s="42">
        <f>[5]Credit!$E$81</f>
        <v>137500</v>
      </c>
      <c r="AO74" s="42">
        <v>0</v>
      </c>
      <c r="AP74" s="17"/>
      <c r="AQ74" s="17">
        <f t="shared" si="58"/>
        <v>137500</v>
      </c>
      <c r="AR74" s="17">
        <f t="shared" si="59"/>
        <v>237500</v>
      </c>
      <c r="AS74" s="42">
        <v>100000</v>
      </c>
      <c r="AT74" s="42">
        <v>0</v>
      </c>
      <c r="AU74" s="42">
        <f>[10]Credit!$E$95</f>
        <v>88500</v>
      </c>
      <c r="AV74" s="42">
        <v>0</v>
      </c>
      <c r="AW74" s="17">
        <f t="shared" si="60"/>
        <v>88500</v>
      </c>
      <c r="AX74" s="42">
        <f t="shared" si="61"/>
        <v>188500</v>
      </c>
      <c r="AY74" s="42">
        <v>100000</v>
      </c>
      <c r="AZ74" s="42">
        <f>[6]Credit!$F$93</f>
        <v>33000</v>
      </c>
      <c r="BA74" s="42"/>
      <c r="BB74" s="42"/>
      <c r="BC74" s="42">
        <f t="shared" si="63"/>
        <v>33000</v>
      </c>
      <c r="BD74" s="42">
        <f t="shared" si="62"/>
        <v>133000</v>
      </c>
      <c r="BE74" s="42">
        <v>100000</v>
      </c>
      <c r="BF74" s="42">
        <v>0</v>
      </c>
      <c r="BG74" s="42">
        <f>[11]Kredit!$E$113</f>
        <v>56000</v>
      </c>
      <c r="BH74" s="42">
        <v>0</v>
      </c>
      <c r="BI74" s="42">
        <f t="shared" si="64"/>
        <v>56000</v>
      </c>
      <c r="BJ74" s="42">
        <f t="shared" si="65"/>
        <v>156000</v>
      </c>
      <c r="BK74" s="42">
        <v>100000</v>
      </c>
      <c r="BL74" s="42">
        <v>0</v>
      </c>
      <c r="BM74" s="42">
        <f>[12]Credit!$E$99</f>
        <v>67000</v>
      </c>
      <c r="BN74" s="42">
        <v>0</v>
      </c>
      <c r="BO74" s="42">
        <f t="shared" si="67"/>
        <v>67000</v>
      </c>
      <c r="BP74" s="42">
        <f t="shared" si="68"/>
        <v>167000</v>
      </c>
      <c r="BQ74" s="69">
        <f t="shared" si="69"/>
        <v>3975000</v>
      </c>
      <c r="BR74" s="38" t="s">
        <v>394</v>
      </c>
      <c r="BS74" s="36"/>
      <c r="BT74" s="36"/>
      <c r="BU74" s="36"/>
    </row>
    <row r="75" spans="1:73" s="4" customFormat="1" ht="13">
      <c r="A75" s="15">
        <f t="shared" si="66"/>
        <v>71</v>
      </c>
      <c r="B75" s="48" t="s">
        <v>130</v>
      </c>
      <c r="C75" s="44" t="s">
        <v>131</v>
      </c>
      <c r="D75" s="44" t="s">
        <v>129</v>
      </c>
      <c r="E75" s="42">
        <v>2775000</v>
      </c>
      <c r="F75" s="17">
        <v>100000</v>
      </c>
      <c r="G75" s="17"/>
      <c r="H75" s="17">
        <f t="shared" si="70"/>
        <v>100000</v>
      </c>
      <c r="I75" s="17">
        <v>100000</v>
      </c>
      <c r="J75" s="17"/>
      <c r="K75" s="17">
        <f t="shared" si="71"/>
        <v>100000</v>
      </c>
      <c r="L75" s="17">
        <v>100000</v>
      </c>
      <c r="M75" s="17"/>
      <c r="N75" s="17">
        <f t="shared" si="72"/>
        <v>100000</v>
      </c>
      <c r="O75" s="17">
        <v>100000</v>
      </c>
      <c r="P75" s="17"/>
      <c r="Q75" s="17">
        <f t="shared" si="73"/>
        <v>100000</v>
      </c>
      <c r="R75" s="17">
        <v>100000</v>
      </c>
      <c r="S75" s="17">
        <v>0</v>
      </c>
      <c r="T75" s="17">
        <f>[7]System!$F$150</f>
        <v>16500</v>
      </c>
      <c r="U75" s="17">
        <v>0</v>
      </c>
      <c r="V75" s="17">
        <v>0</v>
      </c>
      <c r="W75" s="17">
        <f t="shared" si="53"/>
        <v>116500</v>
      </c>
      <c r="X75" s="17">
        <v>100000</v>
      </c>
      <c r="Y75" s="17"/>
      <c r="Z75" s="17"/>
      <c r="AA75" s="17"/>
      <c r="AB75" s="17"/>
      <c r="AC75" s="17">
        <f t="shared" si="54"/>
        <v>0</v>
      </c>
      <c r="AD75" s="17">
        <f t="shared" si="55"/>
        <v>100000</v>
      </c>
      <c r="AE75" s="17">
        <v>100000</v>
      </c>
      <c r="AF75" s="17"/>
      <c r="AG75" s="17"/>
      <c r="AH75" s="17"/>
      <c r="AI75" s="17"/>
      <c r="AJ75" s="17">
        <f t="shared" si="56"/>
        <v>0</v>
      </c>
      <c r="AK75" s="17">
        <f t="shared" si="57"/>
        <v>100000</v>
      </c>
      <c r="AL75" s="17">
        <v>100000</v>
      </c>
      <c r="AM75" s="42">
        <v>0</v>
      </c>
      <c r="AN75" s="42">
        <f>[5]Credit!$E$202</f>
        <v>14000</v>
      </c>
      <c r="AO75" s="42">
        <v>0</v>
      </c>
      <c r="AP75" s="17"/>
      <c r="AQ75" s="17">
        <f t="shared" si="58"/>
        <v>14000</v>
      </c>
      <c r="AR75" s="17">
        <f t="shared" si="59"/>
        <v>114000</v>
      </c>
      <c r="AS75" s="42">
        <v>100000</v>
      </c>
      <c r="AT75" s="42">
        <v>850000</v>
      </c>
      <c r="AU75" s="42">
        <v>0</v>
      </c>
      <c r="AV75" s="42">
        <v>0</v>
      </c>
      <c r="AW75" s="17">
        <f t="shared" si="60"/>
        <v>850000</v>
      </c>
      <c r="AX75" s="42">
        <f t="shared" si="61"/>
        <v>950000</v>
      </c>
      <c r="AY75" s="42">
        <v>100000</v>
      </c>
      <c r="AZ75" s="42">
        <f>[6]Credit!$F$220</f>
        <v>14500</v>
      </c>
      <c r="BA75" s="42">
        <v>850000</v>
      </c>
      <c r="BB75" s="42"/>
      <c r="BC75" s="42">
        <f t="shared" si="63"/>
        <v>864500</v>
      </c>
      <c r="BD75" s="42">
        <f t="shared" si="62"/>
        <v>964500</v>
      </c>
      <c r="BE75" s="42">
        <v>100000</v>
      </c>
      <c r="BF75" s="42">
        <v>850000</v>
      </c>
      <c r="BG75" s="42"/>
      <c r="BH75" s="42">
        <v>0</v>
      </c>
      <c r="BI75" s="42">
        <f t="shared" si="64"/>
        <v>850000</v>
      </c>
      <c r="BJ75" s="42">
        <f t="shared" si="65"/>
        <v>950000</v>
      </c>
      <c r="BK75" s="42">
        <v>100000</v>
      </c>
      <c r="BL75" s="42">
        <v>850000</v>
      </c>
      <c r="BM75" s="42">
        <v>0</v>
      </c>
      <c r="BN75" s="42">
        <v>0</v>
      </c>
      <c r="BO75" s="42">
        <f t="shared" si="67"/>
        <v>850000</v>
      </c>
      <c r="BP75" s="42">
        <f t="shared" si="68"/>
        <v>950000</v>
      </c>
      <c r="BQ75" s="69">
        <f t="shared" si="69"/>
        <v>3975000</v>
      </c>
      <c r="BR75" s="37"/>
      <c r="BS75" s="36"/>
      <c r="BT75" s="36"/>
      <c r="BU75" s="36"/>
    </row>
    <row r="76" spans="1:73" s="4" customFormat="1" ht="13">
      <c r="A76" s="15">
        <f t="shared" si="66"/>
        <v>72</v>
      </c>
      <c r="B76" s="43">
        <v>14060964</v>
      </c>
      <c r="C76" s="44" t="s">
        <v>123</v>
      </c>
      <c r="D76" s="44" t="s">
        <v>129</v>
      </c>
      <c r="E76" s="42">
        <v>700000</v>
      </c>
      <c r="F76" s="17">
        <v>100000</v>
      </c>
      <c r="G76" s="17"/>
      <c r="H76" s="17">
        <f t="shared" si="70"/>
        <v>100000</v>
      </c>
      <c r="I76" s="17">
        <v>100000</v>
      </c>
      <c r="J76" s="17">
        <f>425000</f>
        <v>425000</v>
      </c>
      <c r="K76" s="17">
        <f t="shared" si="71"/>
        <v>525000</v>
      </c>
      <c r="L76" s="17">
        <v>100000</v>
      </c>
      <c r="M76" s="17">
        <v>425000</v>
      </c>
      <c r="N76" s="17">
        <f t="shared" si="72"/>
        <v>525000</v>
      </c>
      <c r="O76" s="17">
        <v>100000</v>
      </c>
      <c r="P76" s="17">
        <f>425000</f>
        <v>425000</v>
      </c>
      <c r="Q76" s="17">
        <f t="shared" si="73"/>
        <v>525000</v>
      </c>
      <c r="R76" s="17">
        <v>100000</v>
      </c>
      <c r="S76" s="17">
        <f>425000</f>
        <v>425000</v>
      </c>
      <c r="T76" s="17">
        <v>0</v>
      </c>
      <c r="U76" s="17">
        <v>0</v>
      </c>
      <c r="V76" s="17">
        <v>0</v>
      </c>
      <c r="W76" s="17">
        <f t="shared" si="53"/>
        <v>525000</v>
      </c>
      <c r="X76" s="17">
        <v>100000</v>
      </c>
      <c r="Y76" s="17">
        <v>425000</v>
      </c>
      <c r="Z76" s="17"/>
      <c r="AA76" s="17"/>
      <c r="AB76" s="17">
        <v>60000</v>
      </c>
      <c r="AC76" s="17">
        <f t="shared" si="54"/>
        <v>485000</v>
      </c>
      <c r="AD76" s="17">
        <f t="shared" si="55"/>
        <v>585000</v>
      </c>
      <c r="AE76" s="17">
        <v>100000</v>
      </c>
      <c r="AF76" s="17">
        <v>530000</v>
      </c>
      <c r="AG76" s="17"/>
      <c r="AH76" s="17"/>
      <c r="AI76" s="17"/>
      <c r="AJ76" s="17">
        <f t="shared" si="56"/>
        <v>530000</v>
      </c>
      <c r="AK76" s="17">
        <f t="shared" si="57"/>
        <v>630000</v>
      </c>
      <c r="AL76" s="17">
        <v>100000</v>
      </c>
      <c r="AM76" s="42">
        <v>530000</v>
      </c>
      <c r="AN76" s="42">
        <v>0</v>
      </c>
      <c r="AO76" s="42">
        <v>0</v>
      </c>
      <c r="AP76" s="17"/>
      <c r="AQ76" s="17">
        <f t="shared" si="58"/>
        <v>530000</v>
      </c>
      <c r="AR76" s="17">
        <f t="shared" si="59"/>
        <v>630000</v>
      </c>
      <c r="AS76" s="42">
        <v>100000</v>
      </c>
      <c r="AT76" s="42">
        <v>530000</v>
      </c>
      <c r="AU76" s="42">
        <v>0</v>
      </c>
      <c r="AV76" s="42">
        <v>0</v>
      </c>
      <c r="AW76" s="17">
        <f t="shared" si="60"/>
        <v>530000</v>
      </c>
      <c r="AX76" s="42">
        <f t="shared" si="61"/>
        <v>630000</v>
      </c>
      <c r="AY76" s="42">
        <v>100000</v>
      </c>
      <c r="AZ76" s="42">
        <v>0</v>
      </c>
      <c r="BA76" s="42">
        <v>530000</v>
      </c>
      <c r="BB76" s="42"/>
      <c r="BC76" s="42">
        <f t="shared" si="63"/>
        <v>530000</v>
      </c>
      <c r="BD76" s="42">
        <f t="shared" si="62"/>
        <v>630000</v>
      </c>
      <c r="BE76" s="42">
        <v>100000</v>
      </c>
      <c r="BF76" s="42">
        <v>530000</v>
      </c>
      <c r="BG76" s="42"/>
      <c r="BH76" s="42">
        <v>0</v>
      </c>
      <c r="BI76" s="42">
        <f t="shared" si="64"/>
        <v>530000</v>
      </c>
      <c r="BJ76" s="42">
        <f t="shared" si="65"/>
        <v>630000</v>
      </c>
      <c r="BK76" s="42">
        <v>100000</v>
      </c>
      <c r="BL76" s="42">
        <v>530000</v>
      </c>
      <c r="BM76" s="42">
        <v>0</v>
      </c>
      <c r="BN76" s="42">
        <v>0</v>
      </c>
      <c r="BO76" s="42">
        <f t="shared" si="67"/>
        <v>530000</v>
      </c>
      <c r="BP76" s="42">
        <f t="shared" si="68"/>
        <v>630000</v>
      </c>
      <c r="BQ76" s="69">
        <f t="shared" si="69"/>
        <v>1900000</v>
      </c>
      <c r="BR76" s="37"/>
      <c r="BS76" s="36"/>
      <c r="BT76" s="36"/>
      <c r="BU76" s="36"/>
    </row>
    <row r="77" spans="1:73" s="4" customFormat="1" ht="13">
      <c r="A77" s="15">
        <f t="shared" si="66"/>
        <v>73</v>
      </c>
      <c r="B77" s="50">
        <v>12109384</v>
      </c>
      <c r="C77" s="44" t="s">
        <v>133</v>
      </c>
      <c r="D77" s="44" t="s">
        <v>132</v>
      </c>
      <c r="E77" s="42">
        <v>1700000</v>
      </c>
      <c r="F77" s="17">
        <v>100000</v>
      </c>
      <c r="G77" s="17">
        <f>612000</f>
        <v>612000</v>
      </c>
      <c r="H77" s="17">
        <f t="shared" si="70"/>
        <v>712000</v>
      </c>
      <c r="I77" s="17">
        <v>100000</v>
      </c>
      <c r="J77" s="17">
        <f>614000</f>
        <v>614000</v>
      </c>
      <c r="K77" s="17">
        <f t="shared" si="71"/>
        <v>714000</v>
      </c>
      <c r="L77" s="17">
        <v>100000</v>
      </c>
      <c r="M77" s="17">
        <v>891500</v>
      </c>
      <c r="N77" s="17">
        <f t="shared" si="72"/>
        <v>991500</v>
      </c>
      <c r="O77" s="17">
        <v>100000</v>
      </c>
      <c r="P77" s="17">
        <f>582000+146000+242000</f>
        <v>970000</v>
      </c>
      <c r="Q77" s="17">
        <f t="shared" si="73"/>
        <v>1070000</v>
      </c>
      <c r="R77" s="17">
        <v>100000</v>
      </c>
      <c r="S77" s="17">
        <v>530000</v>
      </c>
      <c r="T77" s="17">
        <f>[7]System!$F$294</f>
        <v>616500</v>
      </c>
      <c r="U77" s="17">
        <v>0</v>
      </c>
      <c r="V77" s="17">
        <f>14000</f>
        <v>14000</v>
      </c>
      <c r="W77" s="17">
        <f t="shared" si="53"/>
        <v>1260500</v>
      </c>
      <c r="X77" s="17">
        <v>100000</v>
      </c>
      <c r="Y77" s="17">
        <v>530000</v>
      </c>
      <c r="Z77" s="17">
        <f>[8]Credit!$E$308</f>
        <v>886000</v>
      </c>
      <c r="AA77" s="17"/>
      <c r="AB77" s="17"/>
      <c r="AC77" s="17">
        <f t="shared" si="54"/>
        <v>1416000</v>
      </c>
      <c r="AD77" s="17">
        <f t="shared" si="55"/>
        <v>1516000</v>
      </c>
      <c r="AE77" s="17">
        <v>100000</v>
      </c>
      <c r="AF77" s="17">
        <v>530000</v>
      </c>
      <c r="AG77" s="17">
        <f>[9]Credit!$F$212</f>
        <v>676500</v>
      </c>
      <c r="AH77" s="17"/>
      <c r="AI77" s="17"/>
      <c r="AJ77" s="17">
        <f t="shared" si="56"/>
        <v>1206500</v>
      </c>
      <c r="AK77" s="17">
        <f t="shared" si="57"/>
        <v>1306500</v>
      </c>
      <c r="AL77" s="17">
        <v>100000</v>
      </c>
      <c r="AM77" s="42">
        <v>530000</v>
      </c>
      <c r="AN77" s="42">
        <f>[5]Credit!$E$385</f>
        <v>751500</v>
      </c>
      <c r="AO77" s="42">
        <v>0</v>
      </c>
      <c r="AP77" s="17"/>
      <c r="AQ77" s="17">
        <f t="shared" si="58"/>
        <v>1281500</v>
      </c>
      <c r="AR77" s="17">
        <f t="shared" si="59"/>
        <v>1381500</v>
      </c>
      <c r="AS77" s="42">
        <v>100000</v>
      </c>
      <c r="AT77" s="42">
        <v>530000</v>
      </c>
      <c r="AU77" s="42">
        <f>[10]Credit!$E$378</f>
        <v>910500</v>
      </c>
      <c r="AV77" s="42">
        <v>0</v>
      </c>
      <c r="AW77" s="17">
        <f t="shared" si="60"/>
        <v>1440500</v>
      </c>
      <c r="AX77" s="42">
        <f t="shared" si="61"/>
        <v>1540500</v>
      </c>
      <c r="AY77" s="42">
        <v>100000</v>
      </c>
      <c r="AZ77" s="42">
        <f>[6]Credit!$F$402</f>
        <v>896900</v>
      </c>
      <c r="BA77" s="42">
        <v>530000</v>
      </c>
      <c r="BB77" s="42"/>
      <c r="BC77" s="42">
        <f t="shared" si="63"/>
        <v>1426900</v>
      </c>
      <c r="BD77" s="42">
        <f t="shared" si="62"/>
        <v>1526900</v>
      </c>
      <c r="BE77" s="42">
        <v>100000</v>
      </c>
      <c r="BF77" s="42">
        <v>530000</v>
      </c>
      <c r="BG77" s="42">
        <f>[11]Kredit!$E$473</f>
        <v>671000</v>
      </c>
      <c r="BH77" s="42">
        <v>0</v>
      </c>
      <c r="BI77" s="42">
        <f t="shared" si="64"/>
        <v>1201000</v>
      </c>
      <c r="BJ77" s="42">
        <f t="shared" si="65"/>
        <v>1301000</v>
      </c>
      <c r="BK77" s="42">
        <v>100000</v>
      </c>
      <c r="BL77" s="42">
        <v>530000</v>
      </c>
      <c r="BM77" s="42">
        <f>[12]Credit!$E$461</f>
        <v>799400</v>
      </c>
      <c r="BN77" s="42">
        <v>0</v>
      </c>
      <c r="BO77" s="42">
        <f t="shared" si="67"/>
        <v>1329400</v>
      </c>
      <c r="BP77" s="42">
        <f t="shared" si="68"/>
        <v>1429400</v>
      </c>
      <c r="BQ77" s="69">
        <f t="shared" si="69"/>
        <v>2900000</v>
      </c>
      <c r="BR77" s="38" t="s">
        <v>385</v>
      </c>
      <c r="BS77" s="36"/>
      <c r="BT77" s="36"/>
      <c r="BU77" s="36"/>
    </row>
    <row r="78" spans="1:73" s="4" customFormat="1" ht="13">
      <c r="A78" s="15">
        <f t="shared" si="66"/>
        <v>74</v>
      </c>
      <c r="B78" s="43">
        <v>95070414</v>
      </c>
      <c r="C78" s="44" t="s">
        <v>134</v>
      </c>
      <c r="D78" s="44" t="s">
        <v>135</v>
      </c>
      <c r="E78" s="42">
        <v>2775000</v>
      </c>
      <c r="F78" s="17">
        <v>100000</v>
      </c>
      <c r="G78" s="17">
        <f>440000+265000+331500</f>
        <v>1036500</v>
      </c>
      <c r="H78" s="17">
        <f t="shared" si="70"/>
        <v>1136500</v>
      </c>
      <c r="I78" s="17">
        <v>100000</v>
      </c>
      <c r="J78" s="17">
        <f>265000+437000</f>
        <v>702000</v>
      </c>
      <c r="K78" s="17">
        <f t="shared" si="71"/>
        <v>802000</v>
      </c>
      <c r="L78" s="17">
        <v>100000</v>
      </c>
      <c r="M78" s="17">
        <f>265000+132000</f>
        <v>397000</v>
      </c>
      <c r="N78" s="17">
        <f t="shared" si="72"/>
        <v>497000</v>
      </c>
      <c r="O78" s="17">
        <v>100000</v>
      </c>
      <c r="P78" s="17">
        <f>265000+265000</f>
        <v>530000</v>
      </c>
      <c r="Q78" s="17">
        <f t="shared" si="73"/>
        <v>630000</v>
      </c>
      <c r="R78" s="17">
        <v>100000</v>
      </c>
      <c r="S78" s="17">
        <f>265000</f>
        <v>265000</v>
      </c>
      <c r="T78" s="17">
        <f>95000+[7]System!$F$62</f>
        <v>394500</v>
      </c>
      <c r="U78" s="17">
        <v>0</v>
      </c>
      <c r="V78" s="17">
        <f>145000</f>
        <v>145000</v>
      </c>
      <c r="W78" s="17">
        <f t="shared" si="53"/>
        <v>904500</v>
      </c>
      <c r="X78" s="17">
        <v>100000</v>
      </c>
      <c r="Y78" s="17">
        <v>265000</v>
      </c>
      <c r="Z78" s="17">
        <f>[8]Credit!$E$62</f>
        <v>242800</v>
      </c>
      <c r="AA78" s="17"/>
      <c r="AB78" s="17">
        <v>85000</v>
      </c>
      <c r="AC78" s="17">
        <f t="shared" si="54"/>
        <v>592800</v>
      </c>
      <c r="AD78" s="17">
        <f t="shared" si="55"/>
        <v>692800</v>
      </c>
      <c r="AE78" s="17">
        <v>100000</v>
      </c>
      <c r="AF78" s="17">
        <v>265000</v>
      </c>
      <c r="AG78" s="17">
        <f>[9]Credit!$F$39</f>
        <v>142500</v>
      </c>
      <c r="AH78" s="17"/>
      <c r="AI78" s="17"/>
      <c r="AJ78" s="17">
        <f t="shared" si="56"/>
        <v>407500</v>
      </c>
      <c r="AK78" s="17">
        <f t="shared" si="57"/>
        <v>507500</v>
      </c>
      <c r="AL78" s="17">
        <v>100000</v>
      </c>
      <c r="AM78" s="42">
        <v>530000</v>
      </c>
      <c r="AN78" s="42">
        <f>[5]Credit!$E$67</f>
        <v>247000</v>
      </c>
      <c r="AO78" s="42">
        <v>0</v>
      </c>
      <c r="AP78" s="17"/>
      <c r="AQ78" s="17">
        <f t="shared" si="58"/>
        <v>777000</v>
      </c>
      <c r="AR78" s="17">
        <f t="shared" si="59"/>
        <v>877000</v>
      </c>
      <c r="AS78" s="42">
        <v>100000</v>
      </c>
      <c r="AT78" s="42">
        <v>530000</v>
      </c>
      <c r="AU78" s="42">
        <f>[10]Credit!$E$83</f>
        <v>272500</v>
      </c>
      <c r="AV78" s="42">
        <v>0</v>
      </c>
      <c r="AW78" s="17">
        <f t="shared" si="60"/>
        <v>802500</v>
      </c>
      <c r="AX78" s="42">
        <f t="shared" si="61"/>
        <v>902500</v>
      </c>
      <c r="AY78" s="42">
        <v>100000</v>
      </c>
      <c r="AZ78" s="42">
        <f>[6]Credit!$F$86</f>
        <v>418000</v>
      </c>
      <c r="BA78" s="42">
        <v>530000</v>
      </c>
      <c r="BB78" s="42"/>
      <c r="BC78" s="42">
        <f t="shared" si="63"/>
        <v>948000</v>
      </c>
      <c r="BD78" s="42">
        <f t="shared" si="62"/>
        <v>1048000</v>
      </c>
      <c r="BE78" s="42">
        <v>100000</v>
      </c>
      <c r="BF78" s="42">
        <v>530000</v>
      </c>
      <c r="BG78" s="42">
        <f>[11]Kredit!$E$105</f>
        <v>153000</v>
      </c>
      <c r="BH78" s="42">
        <v>0</v>
      </c>
      <c r="BI78" s="42">
        <f t="shared" si="64"/>
        <v>683000</v>
      </c>
      <c r="BJ78" s="42">
        <f t="shared" si="65"/>
        <v>783000</v>
      </c>
      <c r="BK78" s="42">
        <v>100000</v>
      </c>
      <c r="BL78" s="42">
        <v>530000</v>
      </c>
      <c r="BM78" s="42">
        <f>[12]Credit!$E$94</f>
        <v>337500</v>
      </c>
      <c r="BN78" s="42">
        <v>0</v>
      </c>
      <c r="BO78" s="42">
        <f t="shared" si="67"/>
        <v>867500</v>
      </c>
      <c r="BP78" s="42">
        <f t="shared" si="68"/>
        <v>967500</v>
      </c>
      <c r="BQ78" s="69">
        <f t="shared" si="69"/>
        <v>3975000</v>
      </c>
      <c r="BR78" s="37"/>
      <c r="BS78" s="36"/>
      <c r="BT78" s="36"/>
      <c r="BU78" s="36"/>
    </row>
    <row r="79" spans="1:73" s="4" customFormat="1" ht="13">
      <c r="A79" s="15">
        <f t="shared" si="66"/>
        <v>75</v>
      </c>
      <c r="B79" s="48" t="s">
        <v>136</v>
      </c>
      <c r="C79" s="44" t="s">
        <v>137</v>
      </c>
      <c r="D79" s="44" t="s">
        <v>135</v>
      </c>
      <c r="E79" s="42">
        <v>2775000</v>
      </c>
      <c r="F79" s="17">
        <v>100000</v>
      </c>
      <c r="G79" s="17"/>
      <c r="H79" s="17">
        <f t="shared" si="70"/>
        <v>100000</v>
      </c>
      <c r="I79" s="17">
        <v>100000</v>
      </c>
      <c r="J79" s="17"/>
      <c r="K79" s="17">
        <f t="shared" si="71"/>
        <v>100000</v>
      </c>
      <c r="L79" s="17">
        <v>100000</v>
      </c>
      <c r="M79" s="17"/>
      <c r="N79" s="17">
        <f t="shared" si="72"/>
        <v>100000</v>
      </c>
      <c r="O79" s="17">
        <v>100000</v>
      </c>
      <c r="P79" s="17"/>
      <c r="Q79" s="17">
        <f t="shared" si="73"/>
        <v>100000</v>
      </c>
      <c r="R79" s="17">
        <v>100000</v>
      </c>
      <c r="S79" s="17">
        <v>0</v>
      </c>
      <c r="T79" s="17">
        <v>0</v>
      </c>
      <c r="U79" s="17">
        <v>0</v>
      </c>
      <c r="V79" s="17">
        <f>7000</f>
        <v>7000</v>
      </c>
      <c r="W79" s="17">
        <f t="shared" si="53"/>
        <v>107000</v>
      </c>
      <c r="X79" s="17">
        <v>100000</v>
      </c>
      <c r="Y79" s="17"/>
      <c r="Z79" s="17"/>
      <c r="AA79" s="17"/>
      <c r="AB79" s="17"/>
      <c r="AC79" s="17">
        <f t="shared" si="54"/>
        <v>0</v>
      </c>
      <c r="AD79" s="17">
        <f t="shared" si="55"/>
        <v>100000</v>
      </c>
      <c r="AE79" s="17">
        <v>100000</v>
      </c>
      <c r="AF79" s="17"/>
      <c r="AG79" s="17"/>
      <c r="AH79" s="17"/>
      <c r="AI79" s="17"/>
      <c r="AJ79" s="17">
        <f t="shared" si="56"/>
        <v>0</v>
      </c>
      <c r="AK79" s="17">
        <f t="shared" si="57"/>
        <v>100000</v>
      </c>
      <c r="AL79" s="17">
        <v>100000</v>
      </c>
      <c r="AM79" s="42">
        <v>0</v>
      </c>
      <c r="AN79" s="42">
        <v>0</v>
      </c>
      <c r="AO79" s="42">
        <v>0</v>
      </c>
      <c r="AP79" s="17"/>
      <c r="AQ79" s="17">
        <f t="shared" si="58"/>
        <v>0</v>
      </c>
      <c r="AR79" s="17">
        <f t="shared" si="59"/>
        <v>100000</v>
      </c>
      <c r="AS79" s="42">
        <v>100000</v>
      </c>
      <c r="AT79" s="42">
        <v>0</v>
      </c>
      <c r="AU79" s="42">
        <v>0</v>
      </c>
      <c r="AV79" s="42">
        <v>0</v>
      </c>
      <c r="AW79" s="17">
        <f t="shared" si="60"/>
        <v>0</v>
      </c>
      <c r="AX79" s="42">
        <f t="shared" si="61"/>
        <v>100000</v>
      </c>
      <c r="AY79" s="42">
        <v>100000</v>
      </c>
      <c r="AZ79" s="42">
        <v>0</v>
      </c>
      <c r="BA79" s="42"/>
      <c r="BB79" s="42"/>
      <c r="BC79" s="42">
        <f t="shared" si="63"/>
        <v>0</v>
      </c>
      <c r="BD79" s="42">
        <f t="shared" si="62"/>
        <v>100000</v>
      </c>
      <c r="BE79" s="42">
        <v>100000</v>
      </c>
      <c r="BF79" s="42">
        <v>0</v>
      </c>
      <c r="BG79" s="42"/>
      <c r="BH79" s="42">
        <v>0</v>
      </c>
      <c r="BI79" s="42">
        <f t="shared" si="64"/>
        <v>0</v>
      </c>
      <c r="BJ79" s="42">
        <f t="shared" si="65"/>
        <v>100000</v>
      </c>
      <c r="BK79" s="42">
        <v>100000</v>
      </c>
      <c r="BL79" s="42">
        <v>0</v>
      </c>
      <c r="BM79" s="42">
        <v>0</v>
      </c>
      <c r="BN79" s="42">
        <v>0</v>
      </c>
      <c r="BO79" s="42">
        <f t="shared" si="67"/>
        <v>0</v>
      </c>
      <c r="BP79" s="42">
        <f t="shared" si="68"/>
        <v>100000</v>
      </c>
      <c r="BQ79" s="69">
        <f t="shared" si="69"/>
        <v>3975000</v>
      </c>
      <c r="BR79" s="37"/>
      <c r="BS79" s="36"/>
      <c r="BT79" s="36"/>
      <c r="BU79" s="36"/>
    </row>
    <row r="80" spans="1:73" s="4" customFormat="1" ht="13">
      <c r="A80" s="15">
        <f t="shared" si="66"/>
        <v>76</v>
      </c>
      <c r="B80" s="50" t="s">
        <v>138</v>
      </c>
      <c r="C80" s="44" t="s">
        <v>139</v>
      </c>
      <c r="D80" s="44" t="s">
        <v>135</v>
      </c>
      <c r="E80" s="42">
        <v>2000000</v>
      </c>
      <c r="F80" s="17">
        <v>100000</v>
      </c>
      <c r="G80" s="17"/>
      <c r="H80" s="17">
        <f t="shared" si="70"/>
        <v>100000</v>
      </c>
      <c r="I80" s="17">
        <v>100000</v>
      </c>
      <c r="J80" s="17">
        <f>348000</f>
        <v>348000</v>
      </c>
      <c r="K80" s="17">
        <f t="shared" si="71"/>
        <v>448000</v>
      </c>
      <c r="L80" s="17">
        <v>100000</v>
      </c>
      <c r="M80" s="17">
        <v>504000</v>
      </c>
      <c r="N80" s="17">
        <f t="shared" si="72"/>
        <v>604000</v>
      </c>
      <c r="O80" s="17">
        <v>100000</v>
      </c>
      <c r="P80" s="17">
        <f>487000+28000</f>
        <v>515000</v>
      </c>
      <c r="Q80" s="17">
        <f t="shared" si="73"/>
        <v>615000</v>
      </c>
      <c r="R80" s="17">
        <v>100000</v>
      </c>
      <c r="S80" s="17">
        <v>0</v>
      </c>
      <c r="T80" s="17">
        <f>13000+[7]System!$F$81</f>
        <v>43000</v>
      </c>
      <c r="U80" s="17">
        <v>0</v>
      </c>
      <c r="V80" s="17">
        <v>0</v>
      </c>
      <c r="W80" s="17">
        <f t="shared" si="53"/>
        <v>143000</v>
      </c>
      <c r="X80" s="17">
        <v>100000</v>
      </c>
      <c r="Y80" s="17"/>
      <c r="Z80" s="17"/>
      <c r="AA80" s="17"/>
      <c r="AB80" s="17">
        <f>10000+45000</f>
        <v>55000</v>
      </c>
      <c r="AC80" s="17">
        <f t="shared" si="54"/>
        <v>55000</v>
      </c>
      <c r="AD80" s="17">
        <f t="shared" si="55"/>
        <v>155000</v>
      </c>
      <c r="AE80" s="17">
        <v>100000</v>
      </c>
      <c r="AF80" s="17"/>
      <c r="AG80" s="17">
        <f>[9]Credit!$F$44</f>
        <v>61000</v>
      </c>
      <c r="AH80" s="17"/>
      <c r="AI80" s="17"/>
      <c r="AJ80" s="17">
        <f t="shared" si="56"/>
        <v>61000</v>
      </c>
      <c r="AK80" s="17">
        <f t="shared" si="57"/>
        <v>161000</v>
      </c>
      <c r="AL80" s="17">
        <v>100000</v>
      </c>
      <c r="AM80" s="42">
        <v>0</v>
      </c>
      <c r="AN80" s="42">
        <f>[5]Credit!$E$92</f>
        <v>340000</v>
      </c>
      <c r="AO80" s="42">
        <v>0</v>
      </c>
      <c r="AP80" s="17"/>
      <c r="AQ80" s="17">
        <f t="shared" si="58"/>
        <v>340000</v>
      </c>
      <c r="AR80" s="17">
        <f t="shared" si="59"/>
        <v>440000</v>
      </c>
      <c r="AS80" s="42">
        <v>100000</v>
      </c>
      <c r="AT80" s="42">
        <v>0</v>
      </c>
      <c r="AU80" s="42">
        <f>[10]Credit!$E$110</f>
        <v>182000</v>
      </c>
      <c r="AV80" s="42">
        <v>0</v>
      </c>
      <c r="AW80" s="17">
        <f t="shared" si="60"/>
        <v>182000</v>
      </c>
      <c r="AX80" s="42">
        <f t="shared" si="61"/>
        <v>282000</v>
      </c>
      <c r="AY80" s="42">
        <v>100000</v>
      </c>
      <c r="AZ80" s="42">
        <f>[6]Credit!$F$103</f>
        <v>348000</v>
      </c>
      <c r="BA80" s="42"/>
      <c r="BB80" s="42"/>
      <c r="BC80" s="42">
        <f t="shared" si="63"/>
        <v>348000</v>
      </c>
      <c r="BD80" s="42">
        <f t="shared" si="62"/>
        <v>448000</v>
      </c>
      <c r="BE80" s="42">
        <v>100000</v>
      </c>
      <c r="BF80" s="42">
        <v>0</v>
      </c>
      <c r="BG80" s="42">
        <f>[11]Kredit!$E$127</f>
        <v>390000</v>
      </c>
      <c r="BH80" s="42">
        <v>0</v>
      </c>
      <c r="BI80" s="42">
        <f t="shared" si="64"/>
        <v>390000</v>
      </c>
      <c r="BJ80" s="42">
        <f t="shared" si="65"/>
        <v>490000</v>
      </c>
      <c r="BK80" s="42">
        <v>100000</v>
      </c>
      <c r="BL80" s="42">
        <v>0</v>
      </c>
      <c r="BM80" s="42">
        <f>[12]Credit!$E$111</f>
        <v>91500</v>
      </c>
      <c r="BN80" s="42">
        <v>0</v>
      </c>
      <c r="BO80" s="42">
        <f t="shared" si="67"/>
        <v>91500</v>
      </c>
      <c r="BP80" s="42">
        <f t="shared" si="68"/>
        <v>191500</v>
      </c>
      <c r="BQ80" s="69">
        <f t="shared" si="69"/>
        <v>3200000</v>
      </c>
      <c r="BR80" s="37"/>
      <c r="BS80" s="36"/>
      <c r="BT80" s="36"/>
      <c r="BU80" s="36"/>
    </row>
    <row r="81" spans="1:73" s="4" customFormat="1" ht="13">
      <c r="A81" s="15">
        <f t="shared" si="66"/>
        <v>77</v>
      </c>
      <c r="B81" s="50">
        <v>12038915</v>
      </c>
      <c r="C81" s="44" t="s">
        <v>291</v>
      </c>
      <c r="D81" s="44" t="s">
        <v>135</v>
      </c>
      <c r="E81" s="42">
        <v>400000</v>
      </c>
      <c r="F81" s="17">
        <v>100000</v>
      </c>
      <c r="G81" s="17">
        <f>99500</f>
        <v>99500</v>
      </c>
      <c r="H81" s="17">
        <f t="shared" si="70"/>
        <v>199500</v>
      </c>
      <c r="I81" s="17">
        <v>100000</v>
      </c>
      <c r="J81" s="17">
        <f>260000+388000</f>
        <v>648000</v>
      </c>
      <c r="K81" s="17">
        <f t="shared" si="71"/>
        <v>748000</v>
      </c>
      <c r="L81" s="17">
        <v>100000</v>
      </c>
      <c r="M81" s="17">
        <f>260000+381000</f>
        <v>641000</v>
      </c>
      <c r="N81" s="17">
        <f t="shared" si="72"/>
        <v>741000</v>
      </c>
      <c r="O81" s="17">
        <v>100000</v>
      </c>
      <c r="P81" s="17">
        <f>78000+75000</f>
        <v>153000</v>
      </c>
      <c r="Q81" s="17">
        <f t="shared" si="73"/>
        <v>253000</v>
      </c>
      <c r="R81" s="17">
        <v>100000</v>
      </c>
      <c r="S81" s="17">
        <v>425000</v>
      </c>
      <c r="T81" s="17">
        <f>[7]System!$F$101</f>
        <v>271750</v>
      </c>
      <c r="U81" s="17">
        <v>0</v>
      </c>
      <c r="V81" s="17">
        <f>14000</f>
        <v>14000</v>
      </c>
      <c r="W81" s="17">
        <f t="shared" si="53"/>
        <v>810750</v>
      </c>
      <c r="X81" s="17">
        <v>100000</v>
      </c>
      <c r="Y81" s="17">
        <v>425000</v>
      </c>
      <c r="Z81" s="17">
        <f>[8]Credit!$E$88</f>
        <v>125500</v>
      </c>
      <c r="AA81" s="17"/>
      <c r="AB81" s="17">
        <v>80000</v>
      </c>
      <c r="AC81" s="17">
        <f t="shared" si="54"/>
        <v>630500</v>
      </c>
      <c r="AD81" s="17">
        <f t="shared" si="55"/>
        <v>730500</v>
      </c>
      <c r="AE81" s="17">
        <v>100000</v>
      </c>
      <c r="AF81" s="17">
        <v>425000</v>
      </c>
      <c r="AG81" s="17">
        <f>[9]Credit!$F$62</f>
        <v>231000</v>
      </c>
      <c r="AH81" s="17"/>
      <c r="AI81" s="17"/>
      <c r="AJ81" s="17">
        <f t="shared" si="56"/>
        <v>656000</v>
      </c>
      <c r="AK81" s="17">
        <f t="shared" si="57"/>
        <v>756000</v>
      </c>
      <c r="AL81" s="17">
        <v>100000</v>
      </c>
      <c r="AM81" s="42">
        <v>425000</v>
      </c>
      <c r="AN81" s="42">
        <f>[5]Credit!$E$118</f>
        <v>402000</v>
      </c>
      <c r="AO81" s="42">
        <v>0</v>
      </c>
      <c r="AP81" s="17"/>
      <c r="AQ81" s="17">
        <f t="shared" si="58"/>
        <v>827000</v>
      </c>
      <c r="AR81" s="17">
        <f t="shared" si="59"/>
        <v>927000</v>
      </c>
      <c r="AS81" s="42">
        <v>100000</v>
      </c>
      <c r="AT81" s="42">
        <v>425000</v>
      </c>
      <c r="AU81" s="42">
        <f>[10]Credit!$E$138</f>
        <v>252000</v>
      </c>
      <c r="AV81" s="42">
        <v>0</v>
      </c>
      <c r="AW81" s="17">
        <f t="shared" si="60"/>
        <v>677000</v>
      </c>
      <c r="AX81" s="42">
        <f t="shared" si="61"/>
        <v>777000</v>
      </c>
      <c r="AY81" s="42">
        <v>100000</v>
      </c>
      <c r="AZ81" s="42">
        <f>[6]Credit!$F$134</f>
        <v>348500</v>
      </c>
      <c r="BA81" s="42"/>
      <c r="BB81" s="42"/>
      <c r="BC81" s="42">
        <f t="shared" si="63"/>
        <v>348500</v>
      </c>
      <c r="BD81" s="42">
        <f t="shared" si="62"/>
        <v>448500</v>
      </c>
      <c r="BE81" s="42">
        <v>100000</v>
      </c>
      <c r="BF81" s="42">
        <v>0</v>
      </c>
      <c r="BG81" s="42">
        <f>[11]Kredit!$E$160</f>
        <v>304000</v>
      </c>
      <c r="BH81" s="42">
        <v>0</v>
      </c>
      <c r="BI81" s="42">
        <f t="shared" si="64"/>
        <v>304000</v>
      </c>
      <c r="BJ81" s="42">
        <f t="shared" si="65"/>
        <v>404000</v>
      </c>
      <c r="BK81" s="42">
        <v>100000</v>
      </c>
      <c r="BL81" s="42">
        <v>530000</v>
      </c>
      <c r="BM81" s="42">
        <f>[12]Credit!$E$138</f>
        <v>214000</v>
      </c>
      <c r="BN81" s="42">
        <v>0</v>
      </c>
      <c r="BO81" s="42">
        <f t="shared" si="67"/>
        <v>744000</v>
      </c>
      <c r="BP81" s="42">
        <f t="shared" si="68"/>
        <v>844000</v>
      </c>
      <c r="BQ81" s="69">
        <f t="shared" si="69"/>
        <v>1600000</v>
      </c>
      <c r="BR81" s="37"/>
      <c r="BS81" s="36"/>
      <c r="BT81" s="36"/>
      <c r="BU81" s="36"/>
    </row>
    <row r="82" spans="1:73" s="4" customFormat="1" ht="13">
      <c r="A82" s="15">
        <f t="shared" si="66"/>
        <v>78</v>
      </c>
      <c r="B82" s="55">
        <v>16080545</v>
      </c>
      <c r="C82" s="44" t="s">
        <v>397</v>
      </c>
      <c r="D82" s="44" t="s">
        <v>135</v>
      </c>
      <c r="E82" s="42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42"/>
      <c r="AN82" s="42"/>
      <c r="AO82" s="42"/>
      <c r="AP82" s="17"/>
      <c r="AQ82" s="17"/>
      <c r="AR82" s="17"/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200000</v>
      </c>
      <c r="AZ82" s="42">
        <v>0</v>
      </c>
      <c r="BA82" s="42">
        <v>0</v>
      </c>
      <c r="BB82" s="42">
        <v>0</v>
      </c>
      <c r="BC82" s="42">
        <f t="shared" si="63"/>
        <v>0</v>
      </c>
      <c r="BD82" s="42">
        <f t="shared" si="62"/>
        <v>200000</v>
      </c>
      <c r="BE82" s="42">
        <v>100000</v>
      </c>
      <c r="BF82" s="42">
        <v>0</v>
      </c>
      <c r="BG82" s="42">
        <f>[11]Kredit!$E$223</f>
        <v>113000</v>
      </c>
      <c r="BH82" s="42">
        <v>0</v>
      </c>
      <c r="BI82" s="42">
        <f t="shared" si="64"/>
        <v>113000</v>
      </c>
      <c r="BJ82" s="42">
        <f t="shared" si="65"/>
        <v>213000</v>
      </c>
      <c r="BK82" s="42">
        <v>100000</v>
      </c>
      <c r="BL82" s="42">
        <v>425000</v>
      </c>
      <c r="BM82" s="42">
        <f>[12]Credit!$E$194</f>
        <v>45000</v>
      </c>
      <c r="BN82" s="42">
        <v>0</v>
      </c>
      <c r="BO82" s="42">
        <f t="shared" si="67"/>
        <v>470000</v>
      </c>
      <c r="BP82" s="42">
        <f t="shared" si="68"/>
        <v>570000</v>
      </c>
      <c r="BQ82" s="69">
        <f t="shared" si="69"/>
        <v>400000</v>
      </c>
      <c r="BR82" s="37"/>
      <c r="BS82" s="36"/>
      <c r="BT82" s="36"/>
      <c r="BU82" s="36"/>
    </row>
    <row r="83" spans="1:73" s="4" customFormat="1" ht="13">
      <c r="A83" s="15">
        <f t="shared" si="66"/>
        <v>79</v>
      </c>
      <c r="B83" s="48" t="s">
        <v>140</v>
      </c>
      <c r="C83" s="44" t="s">
        <v>141</v>
      </c>
      <c r="D83" s="44" t="s">
        <v>135</v>
      </c>
      <c r="E83" s="42">
        <v>2775000</v>
      </c>
      <c r="F83" s="17">
        <v>100000</v>
      </c>
      <c r="G83" s="17"/>
      <c r="H83" s="17">
        <f>F83+G83</f>
        <v>100000</v>
      </c>
      <c r="I83" s="17">
        <v>100000</v>
      </c>
      <c r="J83" s="17"/>
      <c r="K83" s="17">
        <f>I83+J83</f>
        <v>100000</v>
      </c>
      <c r="L83" s="17">
        <v>100000</v>
      </c>
      <c r="M83" s="17"/>
      <c r="N83" s="17">
        <f>L83+M83</f>
        <v>100000</v>
      </c>
      <c r="O83" s="17">
        <v>100000</v>
      </c>
      <c r="P83" s="17">
        <v>96000</v>
      </c>
      <c r="Q83" s="17">
        <f t="shared" ref="Q83:Q114" si="74">O83+P83</f>
        <v>196000</v>
      </c>
      <c r="R83" s="17">
        <v>100000</v>
      </c>
      <c r="S83" s="17">
        <v>530000</v>
      </c>
      <c r="T83" s="17">
        <f>[7]System!$F$153</f>
        <v>172000</v>
      </c>
      <c r="U83" s="17">
        <v>0</v>
      </c>
      <c r="V83" s="17">
        <v>0</v>
      </c>
      <c r="W83" s="17">
        <f t="shared" ref="W83:W114" si="75">SUM(R83:V83)</f>
        <v>802000</v>
      </c>
      <c r="X83" s="17">
        <v>100000</v>
      </c>
      <c r="Y83" s="17">
        <v>530000</v>
      </c>
      <c r="Z83" s="17">
        <f>[8]Credit!$E$148</f>
        <v>147500</v>
      </c>
      <c r="AA83" s="17"/>
      <c r="AB83" s="17">
        <v>25000</v>
      </c>
      <c r="AC83" s="17">
        <f t="shared" ref="AC83:AC114" si="76">SUM(Y83:AB83)</f>
        <v>702500</v>
      </c>
      <c r="AD83" s="17">
        <f t="shared" ref="AD83:AD114" si="77">AC83+X83</f>
        <v>802500</v>
      </c>
      <c r="AE83" s="17">
        <v>100000</v>
      </c>
      <c r="AF83" s="17">
        <v>530000</v>
      </c>
      <c r="AG83" s="17">
        <f>[9]Credit!$F$110</f>
        <v>76000</v>
      </c>
      <c r="AH83" s="17"/>
      <c r="AI83" s="17">
        <v>240000</v>
      </c>
      <c r="AJ83" s="17">
        <f t="shared" ref="AJ83:AJ114" si="78">SUM(AF83:AI83)</f>
        <v>846000</v>
      </c>
      <c r="AK83" s="17">
        <f t="shared" ref="AK83:AK114" si="79">AE83+AJ83</f>
        <v>946000</v>
      </c>
      <c r="AL83" s="17">
        <v>100000</v>
      </c>
      <c r="AM83" s="42">
        <v>530000</v>
      </c>
      <c r="AN83" s="42">
        <f>[5]Credit!$E$206</f>
        <v>195000</v>
      </c>
      <c r="AO83" s="42">
        <v>0</v>
      </c>
      <c r="AP83" s="17"/>
      <c r="AQ83" s="17">
        <f t="shared" ref="AQ83:AQ114" si="80">SUM(AM83:AP83)</f>
        <v>725000</v>
      </c>
      <c r="AR83" s="17">
        <f t="shared" ref="AR83:AR114" si="81">AL83+AQ83</f>
        <v>825000</v>
      </c>
      <c r="AS83" s="42">
        <v>100000</v>
      </c>
      <c r="AT83" s="42">
        <v>530000</v>
      </c>
      <c r="AU83" s="42">
        <f>[10]Credit!$E$212</f>
        <v>138000</v>
      </c>
      <c r="AV83" s="42">
        <v>0</v>
      </c>
      <c r="AW83" s="17">
        <f t="shared" ref="AW83:AW114" si="82">SUM(AT83:AV83)</f>
        <v>668000</v>
      </c>
      <c r="AX83" s="42">
        <f t="shared" ref="AX83:AX114" si="83">AS83+AW83</f>
        <v>768000</v>
      </c>
      <c r="AY83" s="42">
        <v>100000</v>
      </c>
      <c r="AZ83" s="42">
        <f>[6]Credit!$F$224</f>
        <v>164500</v>
      </c>
      <c r="BA83" s="42">
        <v>530000</v>
      </c>
      <c r="BB83" s="42"/>
      <c r="BC83" s="42">
        <f t="shared" si="63"/>
        <v>694500</v>
      </c>
      <c r="BD83" s="42">
        <f t="shared" si="62"/>
        <v>794500</v>
      </c>
      <c r="BE83" s="42">
        <v>100000</v>
      </c>
      <c r="BF83" s="42">
        <v>0</v>
      </c>
      <c r="BG83" s="42">
        <f>[11]Kredit!$E$257</f>
        <v>208500</v>
      </c>
      <c r="BH83" s="42">
        <v>0</v>
      </c>
      <c r="BI83" s="42">
        <f t="shared" si="64"/>
        <v>208500</v>
      </c>
      <c r="BJ83" s="42">
        <f t="shared" si="65"/>
        <v>308500</v>
      </c>
      <c r="BK83" s="42">
        <v>100000</v>
      </c>
      <c r="BL83" s="42">
        <v>0</v>
      </c>
      <c r="BM83" s="42">
        <f>[12]Credit!$E$238</f>
        <v>317500</v>
      </c>
      <c r="BN83" s="42">
        <v>0</v>
      </c>
      <c r="BO83" s="42">
        <f t="shared" si="67"/>
        <v>317500</v>
      </c>
      <c r="BP83" s="42">
        <f t="shared" si="68"/>
        <v>417500</v>
      </c>
      <c r="BQ83" s="69">
        <f t="shared" si="69"/>
        <v>3975000</v>
      </c>
      <c r="BR83" s="37"/>
      <c r="BS83" s="36"/>
      <c r="BT83" s="36"/>
      <c r="BU83" s="36"/>
    </row>
    <row r="84" spans="1:73" s="4" customFormat="1" ht="13">
      <c r="A84" s="15">
        <f t="shared" si="66"/>
        <v>80</v>
      </c>
      <c r="B84" s="43">
        <v>97021295</v>
      </c>
      <c r="C84" s="44" t="s">
        <v>142</v>
      </c>
      <c r="D84" s="44" t="s">
        <v>135</v>
      </c>
      <c r="E84" s="42">
        <v>2775000</v>
      </c>
      <c r="F84" s="17">
        <v>100000</v>
      </c>
      <c r="G84" s="17">
        <f>540000+90000</f>
        <v>630000</v>
      </c>
      <c r="H84" s="17">
        <f>F84+G84</f>
        <v>730000</v>
      </c>
      <c r="I84" s="17">
        <v>100000</v>
      </c>
      <c r="J84" s="17"/>
      <c r="K84" s="17">
        <f>I84+J84</f>
        <v>100000</v>
      </c>
      <c r="L84" s="17">
        <v>100000</v>
      </c>
      <c r="M84" s="17">
        <v>90000</v>
      </c>
      <c r="N84" s="17">
        <f>L84+M84</f>
        <v>190000</v>
      </c>
      <c r="O84" s="17">
        <v>100000</v>
      </c>
      <c r="P84" s="17"/>
      <c r="Q84" s="17">
        <f t="shared" si="74"/>
        <v>100000</v>
      </c>
      <c r="R84" s="17">
        <v>100000</v>
      </c>
      <c r="S84" s="17">
        <v>0</v>
      </c>
      <c r="T84" s="17">
        <f>114000+[7]System!$F$157</f>
        <v>167000</v>
      </c>
      <c r="U84" s="17">
        <v>0</v>
      </c>
      <c r="V84" s="17">
        <v>0</v>
      </c>
      <c r="W84" s="17">
        <f t="shared" si="75"/>
        <v>267000</v>
      </c>
      <c r="X84" s="17">
        <v>100000</v>
      </c>
      <c r="Y84" s="17"/>
      <c r="Z84" s="17">
        <f>[8]Credit!$E$150</f>
        <v>119500</v>
      </c>
      <c r="AA84" s="17"/>
      <c r="AB84" s="17">
        <f>25000+10000</f>
        <v>35000</v>
      </c>
      <c r="AC84" s="17">
        <f t="shared" si="76"/>
        <v>154500</v>
      </c>
      <c r="AD84" s="17">
        <f t="shared" si="77"/>
        <v>254500</v>
      </c>
      <c r="AE84" s="17">
        <v>100000</v>
      </c>
      <c r="AF84" s="17"/>
      <c r="AG84" s="17">
        <f>[9]Credit!$F$113</f>
        <v>308000</v>
      </c>
      <c r="AH84" s="17"/>
      <c r="AI84" s="17"/>
      <c r="AJ84" s="17">
        <f t="shared" si="78"/>
        <v>308000</v>
      </c>
      <c r="AK84" s="17">
        <f t="shared" si="79"/>
        <v>408000</v>
      </c>
      <c r="AL84" s="17">
        <v>100000</v>
      </c>
      <c r="AM84" s="42">
        <v>0</v>
      </c>
      <c r="AN84" s="42">
        <f>[5]Credit!$E$219</f>
        <v>384000</v>
      </c>
      <c r="AO84" s="42">
        <v>0</v>
      </c>
      <c r="AP84" s="17"/>
      <c r="AQ84" s="17">
        <f t="shared" si="80"/>
        <v>384000</v>
      </c>
      <c r="AR84" s="17">
        <f t="shared" si="81"/>
        <v>484000</v>
      </c>
      <c r="AS84" s="42">
        <v>100000</v>
      </c>
      <c r="AT84" s="42">
        <v>530000</v>
      </c>
      <c r="AU84" s="42">
        <f>[10]Credit!$E$220</f>
        <v>194000</v>
      </c>
      <c r="AV84" s="42">
        <v>0</v>
      </c>
      <c r="AW84" s="17">
        <f t="shared" si="82"/>
        <v>724000</v>
      </c>
      <c r="AX84" s="42">
        <f t="shared" si="83"/>
        <v>824000</v>
      </c>
      <c r="AY84" s="42">
        <v>100000</v>
      </c>
      <c r="AZ84" s="42">
        <f>[6]Credit!$F$232</f>
        <v>186000</v>
      </c>
      <c r="BA84" s="42">
        <v>530000</v>
      </c>
      <c r="BB84" s="42"/>
      <c r="BC84" s="42">
        <f t="shared" si="63"/>
        <v>716000</v>
      </c>
      <c r="BD84" s="42">
        <f t="shared" si="62"/>
        <v>816000</v>
      </c>
      <c r="BE84" s="42">
        <v>100000</v>
      </c>
      <c r="BF84" s="42">
        <v>530000</v>
      </c>
      <c r="BG84" s="42">
        <f>[11]Kredit!$E$266</f>
        <v>390000</v>
      </c>
      <c r="BH84" s="42">
        <v>0</v>
      </c>
      <c r="BI84" s="42">
        <f t="shared" si="64"/>
        <v>920000</v>
      </c>
      <c r="BJ84" s="42">
        <f t="shared" si="65"/>
        <v>1020000</v>
      </c>
      <c r="BK84" s="42">
        <v>100000</v>
      </c>
      <c r="BL84" s="42">
        <v>530000</v>
      </c>
      <c r="BM84" s="42">
        <f>[12]Credit!$E$244</f>
        <v>244500</v>
      </c>
      <c r="BN84" s="42">
        <v>0</v>
      </c>
      <c r="BO84" s="42">
        <f t="shared" si="67"/>
        <v>774500</v>
      </c>
      <c r="BP84" s="42">
        <f t="shared" si="68"/>
        <v>874500</v>
      </c>
      <c r="BQ84" s="69">
        <f t="shared" si="69"/>
        <v>3975000</v>
      </c>
      <c r="BR84" s="37" t="s">
        <v>398</v>
      </c>
      <c r="BS84" s="36"/>
      <c r="BT84" s="36"/>
      <c r="BU84" s="36"/>
    </row>
    <row r="85" spans="1:73" s="4" customFormat="1" ht="13">
      <c r="A85" s="15">
        <f t="shared" si="66"/>
        <v>81</v>
      </c>
      <c r="B85" s="48" t="s">
        <v>143</v>
      </c>
      <c r="C85" s="44" t="s">
        <v>144</v>
      </c>
      <c r="D85" s="44" t="s">
        <v>135</v>
      </c>
      <c r="E85" s="42">
        <v>2775000</v>
      </c>
      <c r="F85" s="17">
        <v>100000</v>
      </c>
      <c r="G85" s="17">
        <f>550000</f>
        <v>550000</v>
      </c>
      <c r="H85" s="17">
        <f>F85+G85</f>
        <v>650000</v>
      </c>
      <c r="I85" s="17">
        <v>100000</v>
      </c>
      <c r="J85" s="17">
        <v>84000</v>
      </c>
      <c r="K85" s="17">
        <f>I85+J85</f>
        <v>184000</v>
      </c>
      <c r="L85" s="17">
        <v>100000</v>
      </c>
      <c r="M85" s="17">
        <f>270000</f>
        <v>270000</v>
      </c>
      <c r="N85" s="17">
        <f>L85+M85</f>
        <v>370000</v>
      </c>
      <c r="O85" s="17">
        <v>100000</v>
      </c>
      <c r="P85" s="17">
        <v>530000</v>
      </c>
      <c r="Q85" s="17">
        <f t="shared" si="74"/>
        <v>630000</v>
      </c>
      <c r="R85" s="17">
        <v>100000</v>
      </c>
      <c r="S85" s="17">
        <f>530000</f>
        <v>530000</v>
      </c>
      <c r="T85" s="17">
        <f>[7]System!$F$229</f>
        <v>26000</v>
      </c>
      <c r="U85" s="17">
        <v>0</v>
      </c>
      <c r="V85" s="17">
        <f>16000</f>
        <v>16000</v>
      </c>
      <c r="W85" s="17">
        <f t="shared" si="75"/>
        <v>672000</v>
      </c>
      <c r="X85" s="17">
        <v>100000</v>
      </c>
      <c r="Y85" s="17">
        <v>530000</v>
      </c>
      <c r="Z85" s="17">
        <f>[8]Credit!$E$219</f>
        <v>130000</v>
      </c>
      <c r="AA85" s="17"/>
      <c r="AB85" s="17">
        <f>20000+20000</f>
        <v>40000</v>
      </c>
      <c r="AC85" s="17">
        <f t="shared" si="76"/>
        <v>700000</v>
      </c>
      <c r="AD85" s="17">
        <f t="shared" si="77"/>
        <v>800000</v>
      </c>
      <c r="AE85" s="17">
        <v>100000</v>
      </c>
      <c r="AF85" s="17">
        <v>530000</v>
      </c>
      <c r="AG85" s="17">
        <f>[9]Credit!$F$156</f>
        <v>15000</v>
      </c>
      <c r="AH85" s="17"/>
      <c r="AI85" s="17"/>
      <c r="AJ85" s="17">
        <f t="shared" si="78"/>
        <v>545000</v>
      </c>
      <c r="AK85" s="17">
        <f t="shared" si="79"/>
        <v>645000</v>
      </c>
      <c r="AL85" s="17">
        <v>100000</v>
      </c>
      <c r="AM85" s="42">
        <v>530000</v>
      </c>
      <c r="AN85" s="42">
        <v>0</v>
      </c>
      <c r="AO85" s="42">
        <v>0</v>
      </c>
      <c r="AP85" s="17"/>
      <c r="AQ85" s="17">
        <f t="shared" si="80"/>
        <v>530000</v>
      </c>
      <c r="AR85" s="17">
        <f t="shared" si="81"/>
        <v>630000</v>
      </c>
      <c r="AS85" s="42">
        <v>100000</v>
      </c>
      <c r="AT85" s="42">
        <v>530000</v>
      </c>
      <c r="AU85" s="42">
        <v>0</v>
      </c>
      <c r="AV85" s="42">
        <v>0</v>
      </c>
      <c r="AW85" s="17">
        <f t="shared" si="82"/>
        <v>530000</v>
      </c>
      <c r="AX85" s="42">
        <f t="shared" si="83"/>
        <v>630000</v>
      </c>
      <c r="AY85" s="42">
        <v>100000</v>
      </c>
      <c r="AZ85" s="42">
        <f>[6]Credit!$F$311</f>
        <v>425000</v>
      </c>
      <c r="BA85" s="42"/>
      <c r="BB85" s="42"/>
      <c r="BC85" s="42">
        <f t="shared" si="63"/>
        <v>425000</v>
      </c>
      <c r="BD85" s="42">
        <f t="shared" si="62"/>
        <v>525000</v>
      </c>
      <c r="BE85" s="42">
        <v>100000</v>
      </c>
      <c r="BF85" s="42">
        <v>0</v>
      </c>
      <c r="BG85" s="42">
        <f>[11]Kredit!$E$353</f>
        <v>295000</v>
      </c>
      <c r="BH85" s="42">
        <v>0</v>
      </c>
      <c r="BI85" s="42">
        <f t="shared" si="64"/>
        <v>295000</v>
      </c>
      <c r="BJ85" s="42">
        <f t="shared" si="65"/>
        <v>395000</v>
      </c>
      <c r="BK85" s="42">
        <v>100000</v>
      </c>
      <c r="BL85" s="42">
        <v>0</v>
      </c>
      <c r="BM85" s="42">
        <f>[12]Credit!$E$362</f>
        <v>70000</v>
      </c>
      <c r="BN85" s="42">
        <v>0</v>
      </c>
      <c r="BO85" s="42">
        <f t="shared" si="67"/>
        <v>70000</v>
      </c>
      <c r="BP85" s="42">
        <f t="shared" si="68"/>
        <v>170000</v>
      </c>
      <c r="BQ85" s="69">
        <f t="shared" si="69"/>
        <v>3975000</v>
      </c>
      <c r="BR85" s="37"/>
      <c r="BS85" s="36"/>
      <c r="BT85" s="36"/>
      <c r="BU85" s="36"/>
    </row>
    <row r="86" spans="1:73" s="4" customFormat="1" ht="13">
      <c r="A86" s="15">
        <f t="shared" si="66"/>
        <v>82</v>
      </c>
      <c r="B86" s="55">
        <v>15101815</v>
      </c>
      <c r="C86" s="44" t="s">
        <v>399</v>
      </c>
      <c r="D86" s="44" t="s">
        <v>135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17">
        <v>200000</v>
      </c>
      <c r="P86" s="42">
        <v>0</v>
      </c>
      <c r="Q86" s="17">
        <f t="shared" si="74"/>
        <v>200000</v>
      </c>
      <c r="R86" s="17">
        <v>100000</v>
      </c>
      <c r="S86" s="17">
        <v>0</v>
      </c>
      <c r="T86" s="17">
        <f>13000+[7]System!$F$246</f>
        <v>486500</v>
      </c>
      <c r="U86" s="17">
        <v>0</v>
      </c>
      <c r="V86" s="17">
        <v>0</v>
      </c>
      <c r="W86" s="17">
        <f t="shared" si="75"/>
        <v>586500</v>
      </c>
      <c r="X86" s="17">
        <v>100000</v>
      </c>
      <c r="Y86" s="42">
        <v>0</v>
      </c>
      <c r="Z86" s="42">
        <f>[8]Credit!$E$242</f>
        <v>274700</v>
      </c>
      <c r="AA86" s="42"/>
      <c r="AB86" s="42">
        <f>35000+25000</f>
        <v>60000</v>
      </c>
      <c r="AC86" s="17">
        <f t="shared" si="76"/>
        <v>334700</v>
      </c>
      <c r="AD86" s="17">
        <f t="shared" si="77"/>
        <v>434700</v>
      </c>
      <c r="AE86" s="17">
        <v>100000</v>
      </c>
      <c r="AF86" s="42">
        <v>270000</v>
      </c>
      <c r="AG86" s="42">
        <f>[9]Credit!$F$168</f>
        <v>209500</v>
      </c>
      <c r="AH86" s="42"/>
      <c r="AI86" s="42"/>
      <c r="AJ86" s="17">
        <f t="shared" si="78"/>
        <v>479500</v>
      </c>
      <c r="AK86" s="17">
        <f t="shared" si="79"/>
        <v>579500</v>
      </c>
      <c r="AL86" s="17">
        <v>100000</v>
      </c>
      <c r="AM86" s="42">
        <v>270000</v>
      </c>
      <c r="AN86" s="42">
        <f>[5]Credit!$E$311</f>
        <v>337000</v>
      </c>
      <c r="AO86" s="42">
        <v>0</v>
      </c>
      <c r="AP86" s="42">
        <v>42000</v>
      </c>
      <c r="AQ86" s="17">
        <f t="shared" si="80"/>
        <v>649000</v>
      </c>
      <c r="AR86" s="17">
        <f t="shared" si="81"/>
        <v>749000</v>
      </c>
      <c r="AS86" s="42">
        <v>100000</v>
      </c>
      <c r="AT86" s="42">
        <v>270000</v>
      </c>
      <c r="AU86" s="42">
        <f>[10]Credit!$E$321</f>
        <v>523500</v>
      </c>
      <c r="AV86" s="42">
        <v>0</v>
      </c>
      <c r="AW86" s="17">
        <f t="shared" si="82"/>
        <v>793500</v>
      </c>
      <c r="AX86" s="42">
        <f t="shared" si="83"/>
        <v>893500</v>
      </c>
      <c r="AY86" s="42">
        <v>100000</v>
      </c>
      <c r="AZ86" s="42">
        <f>[6]Credit!$F$325</f>
        <v>297000</v>
      </c>
      <c r="BA86" s="42">
        <f>270000</f>
        <v>270000</v>
      </c>
      <c r="BB86" s="42"/>
      <c r="BC86" s="42">
        <f t="shared" si="63"/>
        <v>567000</v>
      </c>
      <c r="BD86" s="42">
        <f t="shared" si="62"/>
        <v>667000</v>
      </c>
      <c r="BE86" s="42">
        <v>100000</v>
      </c>
      <c r="BF86" s="42">
        <v>0</v>
      </c>
      <c r="BG86" s="42">
        <f>[11]Kredit!$E$366</f>
        <v>140000</v>
      </c>
      <c r="BH86" s="42">
        <v>0</v>
      </c>
      <c r="BI86" s="42">
        <f t="shared" si="64"/>
        <v>140000</v>
      </c>
      <c r="BJ86" s="42">
        <f t="shared" si="65"/>
        <v>240000</v>
      </c>
      <c r="BK86" s="42">
        <v>100000</v>
      </c>
      <c r="BL86" s="42">
        <v>540000</v>
      </c>
      <c r="BM86" s="42">
        <f>[12]Credit!$E$377</f>
        <v>403500</v>
      </c>
      <c r="BN86" s="42">
        <v>0</v>
      </c>
      <c r="BO86" s="42">
        <f t="shared" si="67"/>
        <v>943500</v>
      </c>
      <c r="BP86" s="42">
        <f t="shared" si="68"/>
        <v>1043500</v>
      </c>
      <c r="BQ86" s="69">
        <f t="shared" si="69"/>
        <v>1000000</v>
      </c>
      <c r="BR86" s="37"/>
      <c r="BS86" s="36"/>
      <c r="BT86" s="36"/>
      <c r="BU86" s="36"/>
    </row>
    <row r="87" spans="1:73" s="4" customFormat="1" ht="13">
      <c r="A87" s="15">
        <f t="shared" si="66"/>
        <v>83</v>
      </c>
      <c r="B87" s="50" t="s">
        <v>145</v>
      </c>
      <c r="C87" s="44" t="s">
        <v>146</v>
      </c>
      <c r="D87" s="44" t="s">
        <v>135</v>
      </c>
      <c r="E87" s="42">
        <v>2000000</v>
      </c>
      <c r="F87" s="17">
        <v>100000</v>
      </c>
      <c r="G87" s="17"/>
      <c r="H87" s="17">
        <f t="shared" ref="H87:H118" si="84">F87+G87</f>
        <v>100000</v>
      </c>
      <c r="I87" s="17">
        <v>100000</v>
      </c>
      <c r="J87" s="17">
        <v>65000</v>
      </c>
      <c r="K87" s="17">
        <f t="shared" ref="K87:K118" si="85">I87+J87</f>
        <v>165000</v>
      </c>
      <c r="L87" s="17">
        <v>100000</v>
      </c>
      <c r="M87" s="17"/>
      <c r="N87" s="17">
        <f t="shared" ref="N87:N118" si="86">L87+M87</f>
        <v>100000</v>
      </c>
      <c r="O87" s="17">
        <v>100000</v>
      </c>
      <c r="P87" s="17">
        <f>104000+13000</f>
        <v>117000</v>
      </c>
      <c r="Q87" s="17">
        <f t="shared" si="74"/>
        <v>217000</v>
      </c>
      <c r="R87" s="17">
        <v>100000</v>
      </c>
      <c r="S87" s="17">
        <v>530000</v>
      </c>
      <c r="T87" s="17">
        <f>26000</f>
        <v>26000</v>
      </c>
      <c r="U87" s="17">
        <v>0</v>
      </c>
      <c r="V87" s="17">
        <v>0</v>
      </c>
      <c r="W87" s="17">
        <f t="shared" si="75"/>
        <v>656000</v>
      </c>
      <c r="X87" s="17">
        <v>100000</v>
      </c>
      <c r="Y87" s="17">
        <v>530000</v>
      </c>
      <c r="Z87" s="17"/>
      <c r="AA87" s="17"/>
      <c r="AB87" s="17"/>
      <c r="AC87" s="17">
        <f t="shared" si="76"/>
        <v>530000</v>
      </c>
      <c r="AD87" s="17">
        <f t="shared" si="77"/>
        <v>630000</v>
      </c>
      <c r="AE87" s="17">
        <v>100000</v>
      </c>
      <c r="AF87" s="17">
        <v>530000</v>
      </c>
      <c r="AG87" s="17"/>
      <c r="AH87" s="17"/>
      <c r="AI87" s="17"/>
      <c r="AJ87" s="17">
        <f t="shared" si="78"/>
        <v>530000</v>
      </c>
      <c r="AK87" s="17">
        <f t="shared" si="79"/>
        <v>630000</v>
      </c>
      <c r="AL87" s="17">
        <v>100000</v>
      </c>
      <c r="AM87" s="42">
        <v>530000</v>
      </c>
      <c r="AN87" s="42">
        <v>0</v>
      </c>
      <c r="AO87" s="42">
        <v>0</v>
      </c>
      <c r="AP87" s="17"/>
      <c r="AQ87" s="17">
        <f t="shared" si="80"/>
        <v>530000</v>
      </c>
      <c r="AR87" s="17">
        <f t="shared" si="81"/>
        <v>630000</v>
      </c>
      <c r="AS87" s="42">
        <v>100000</v>
      </c>
      <c r="AT87" s="42">
        <v>530000</v>
      </c>
      <c r="AU87" s="42">
        <v>0</v>
      </c>
      <c r="AV87" s="42">
        <v>0</v>
      </c>
      <c r="AW87" s="17">
        <f t="shared" si="82"/>
        <v>530000</v>
      </c>
      <c r="AX87" s="42">
        <f t="shared" si="83"/>
        <v>630000</v>
      </c>
      <c r="AY87" s="42">
        <v>100000</v>
      </c>
      <c r="AZ87" s="42">
        <f>[6]Credit!$F$331</f>
        <v>87000</v>
      </c>
      <c r="BA87" s="42">
        <v>530000</v>
      </c>
      <c r="BB87" s="42"/>
      <c r="BC87" s="42">
        <f t="shared" si="63"/>
        <v>617000</v>
      </c>
      <c r="BD87" s="42">
        <f t="shared" si="62"/>
        <v>717000</v>
      </c>
      <c r="BE87" s="42">
        <v>100000</v>
      </c>
      <c r="BF87" s="42">
        <v>0</v>
      </c>
      <c r="BG87" s="42">
        <f>[11]Kredit!$E$377</f>
        <v>105000</v>
      </c>
      <c r="BH87" s="42">
        <v>0</v>
      </c>
      <c r="BI87" s="42">
        <f t="shared" si="64"/>
        <v>105000</v>
      </c>
      <c r="BJ87" s="42">
        <f t="shared" si="65"/>
        <v>205000</v>
      </c>
      <c r="BK87" s="42">
        <v>100000</v>
      </c>
      <c r="BL87" s="42">
        <v>0</v>
      </c>
      <c r="BM87" s="42">
        <f>[12]Credit!$E$382</f>
        <v>90000</v>
      </c>
      <c r="BN87" s="42">
        <v>0</v>
      </c>
      <c r="BO87" s="42">
        <f t="shared" si="67"/>
        <v>90000</v>
      </c>
      <c r="BP87" s="42">
        <f t="shared" si="68"/>
        <v>190000</v>
      </c>
      <c r="BQ87" s="69">
        <f t="shared" si="69"/>
        <v>3200000</v>
      </c>
      <c r="BR87" s="37"/>
      <c r="BS87" s="36"/>
      <c r="BT87" s="36"/>
      <c r="BU87" s="36"/>
    </row>
    <row r="88" spans="1:73">
      <c r="A88" s="15">
        <f t="shared" si="66"/>
        <v>84</v>
      </c>
      <c r="B88" s="67" t="s">
        <v>147</v>
      </c>
      <c r="C88" s="44" t="s">
        <v>148</v>
      </c>
      <c r="D88" s="44" t="s">
        <v>135</v>
      </c>
      <c r="E88" s="42">
        <v>2775000</v>
      </c>
      <c r="F88" s="17">
        <v>100000</v>
      </c>
      <c r="G88" s="17"/>
      <c r="H88" s="17">
        <f t="shared" si="84"/>
        <v>100000</v>
      </c>
      <c r="I88" s="17">
        <v>100000</v>
      </c>
      <c r="J88" s="17"/>
      <c r="K88" s="17">
        <f t="shared" si="85"/>
        <v>100000</v>
      </c>
      <c r="L88" s="17">
        <v>100000</v>
      </c>
      <c r="M88" s="17"/>
      <c r="N88" s="17">
        <f t="shared" si="86"/>
        <v>100000</v>
      </c>
      <c r="O88" s="17">
        <v>100000</v>
      </c>
      <c r="P88" s="17"/>
      <c r="Q88" s="17">
        <f t="shared" si="74"/>
        <v>100000</v>
      </c>
      <c r="R88" s="17">
        <v>100000</v>
      </c>
      <c r="S88" s="17">
        <v>0</v>
      </c>
      <c r="T88" s="17">
        <f>[7]System!$F$264</f>
        <v>19000</v>
      </c>
      <c r="U88" s="17">
        <v>0</v>
      </c>
      <c r="V88" s="17">
        <f>14000</f>
        <v>14000</v>
      </c>
      <c r="W88" s="17">
        <f t="shared" si="75"/>
        <v>133000</v>
      </c>
      <c r="X88" s="17">
        <v>100000</v>
      </c>
      <c r="Y88" s="17"/>
      <c r="Z88" s="17">
        <f>[8]Credit!$E$266</f>
        <v>118000</v>
      </c>
      <c r="AA88" s="17"/>
      <c r="AB88" s="17">
        <f>25000+10000</f>
        <v>35000</v>
      </c>
      <c r="AC88" s="17">
        <f t="shared" si="76"/>
        <v>153000</v>
      </c>
      <c r="AD88" s="17">
        <f t="shared" si="77"/>
        <v>253000</v>
      </c>
      <c r="AE88" s="17">
        <v>100000</v>
      </c>
      <c r="AF88" s="17"/>
      <c r="AG88" s="17">
        <f>[9]Credit!$F$179</f>
        <v>73000</v>
      </c>
      <c r="AH88" s="17"/>
      <c r="AI88" s="17"/>
      <c r="AJ88" s="17">
        <f t="shared" si="78"/>
        <v>73000</v>
      </c>
      <c r="AK88" s="17">
        <f t="shared" si="79"/>
        <v>173000</v>
      </c>
      <c r="AL88" s="17">
        <v>100000</v>
      </c>
      <c r="AM88" s="42">
        <v>0</v>
      </c>
      <c r="AN88" s="42">
        <f>[5]Credit!$E$333</f>
        <v>230000</v>
      </c>
      <c r="AO88" s="42">
        <v>0</v>
      </c>
      <c r="AP88" s="17"/>
      <c r="AQ88" s="17">
        <f t="shared" si="80"/>
        <v>230000</v>
      </c>
      <c r="AR88" s="17">
        <f t="shared" si="81"/>
        <v>330000</v>
      </c>
      <c r="AS88" s="42">
        <v>100000</v>
      </c>
      <c r="AT88" s="42">
        <v>531250</v>
      </c>
      <c r="AU88" s="42">
        <f>[10]Credit!$E$339</f>
        <v>219000</v>
      </c>
      <c r="AV88" s="42">
        <v>0</v>
      </c>
      <c r="AW88" s="17">
        <f t="shared" si="82"/>
        <v>750250</v>
      </c>
      <c r="AX88" s="42">
        <f t="shared" si="83"/>
        <v>850250</v>
      </c>
      <c r="AY88" s="42">
        <v>100000</v>
      </c>
      <c r="AZ88" s="42">
        <f>[6]Credit!$F$348</f>
        <v>181000</v>
      </c>
      <c r="BA88" s="42">
        <v>531250</v>
      </c>
      <c r="BB88" s="42"/>
      <c r="BC88" s="42">
        <f t="shared" si="63"/>
        <v>712250</v>
      </c>
      <c r="BD88" s="42">
        <f t="shared" si="62"/>
        <v>812250</v>
      </c>
      <c r="BE88" s="42">
        <v>100000</v>
      </c>
      <c r="BF88" s="42">
        <v>531250</v>
      </c>
      <c r="BG88" s="42">
        <f>[11]Kredit!$E$393</f>
        <v>124000</v>
      </c>
      <c r="BH88" s="42">
        <v>0</v>
      </c>
      <c r="BI88" s="42">
        <f t="shared" si="64"/>
        <v>655250</v>
      </c>
      <c r="BJ88" s="42">
        <f t="shared" si="65"/>
        <v>755250</v>
      </c>
      <c r="BK88" s="42">
        <v>100000</v>
      </c>
      <c r="BL88" s="42">
        <v>531250</v>
      </c>
      <c r="BM88" s="42">
        <f>[12]Credit!$E$398</f>
        <v>157500</v>
      </c>
      <c r="BN88" s="42">
        <v>0</v>
      </c>
      <c r="BO88" s="42">
        <f t="shared" si="67"/>
        <v>688750</v>
      </c>
      <c r="BP88" s="42">
        <f t="shared" si="68"/>
        <v>788750</v>
      </c>
      <c r="BQ88" s="69">
        <f t="shared" si="69"/>
        <v>3975000</v>
      </c>
      <c r="BR88" s="37" t="s">
        <v>375</v>
      </c>
    </row>
    <row r="89" spans="1:73" s="4" customFormat="1" ht="13">
      <c r="A89" s="15">
        <f t="shared" si="66"/>
        <v>85</v>
      </c>
      <c r="B89" s="48" t="s">
        <v>149</v>
      </c>
      <c r="C89" s="44" t="s">
        <v>150</v>
      </c>
      <c r="D89" s="44" t="s">
        <v>135</v>
      </c>
      <c r="E89" s="42">
        <v>2775000</v>
      </c>
      <c r="F89" s="17">
        <v>100000</v>
      </c>
      <c r="G89" s="17">
        <f>270000</f>
        <v>270000</v>
      </c>
      <c r="H89" s="17">
        <f t="shared" si="84"/>
        <v>370000</v>
      </c>
      <c r="I89" s="17">
        <v>100000</v>
      </c>
      <c r="J89" s="17">
        <f>270000</f>
        <v>270000</v>
      </c>
      <c r="K89" s="17">
        <f t="shared" si="85"/>
        <v>370000</v>
      </c>
      <c r="L89" s="17">
        <v>100000</v>
      </c>
      <c r="M89" s="17">
        <v>81000</v>
      </c>
      <c r="N89" s="17">
        <f t="shared" si="86"/>
        <v>181000</v>
      </c>
      <c r="O89" s="17">
        <v>100000</v>
      </c>
      <c r="P89" s="17">
        <f>89000+67500</f>
        <v>156500</v>
      </c>
      <c r="Q89" s="17">
        <f t="shared" si="74"/>
        <v>256500</v>
      </c>
      <c r="R89" s="17">
        <v>100000</v>
      </c>
      <c r="S89" s="17">
        <f>530000</f>
        <v>530000</v>
      </c>
      <c r="T89" s="17">
        <v>0</v>
      </c>
      <c r="U89" s="17">
        <v>0</v>
      </c>
      <c r="V89" s="17">
        <f>7000</f>
        <v>7000</v>
      </c>
      <c r="W89" s="17">
        <f t="shared" si="75"/>
        <v>637000</v>
      </c>
      <c r="X89" s="17">
        <v>100000</v>
      </c>
      <c r="Y89" s="17">
        <v>530000</v>
      </c>
      <c r="Z89" s="17"/>
      <c r="AA89" s="17"/>
      <c r="AB89" s="17"/>
      <c r="AC89" s="17">
        <f t="shared" si="76"/>
        <v>530000</v>
      </c>
      <c r="AD89" s="17">
        <f t="shared" si="77"/>
        <v>630000</v>
      </c>
      <c r="AE89" s="17">
        <v>100000</v>
      </c>
      <c r="AF89" s="17">
        <v>530000</v>
      </c>
      <c r="AG89" s="17"/>
      <c r="AH89" s="17"/>
      <c r="AI89" s="17"/>
      <c r="AJ89" s="17">
        <f t="shared" si="78"/>
        <v>530000</v>
      </c>
      <c r="AK89" s="17">
        <f t="shared" si="79"/>
        <v>630000</v>
      </c>
      <c r="AL89" s="17">
        <v>100000</v>
      </c>
      <c r="AM89" s="42">
        <v>530000</v>
      </c>
      <c r="AN89" s="42">
        <v>0</v>
      </c>
      <c r="AO89" s="42">
        <v>0</v>
      </c>
      <c r="AP89" s="17"/>
      <c r="AQ89" s="17">
        <f t="shared" si="80"/>
        <v>530000</v>
      </c>
      <c r="AR89" s="17">
        <f t="shared" si="81"/>
        <v>630000</v>
      </c>
      <c r="AS89" s="42">
        <v>100000</v>
      </c>
      <c r="AT89" s="42">
        <v>530000</v>
      </c>
      <c r="AU89" s="42">
        <v>0</v>
      </c>
      <c r="AV89" s="42">
        <v>0</v>
      </c>
      <c r="AW89" s="17">
        <f t="shared" si="82"/>
        <v>530000</v>
      </c>
      <c r="AX89" s="42">
        <f t="shared" si="83"/>
        <v>630000</v>
      </c>
      <c r="AY89" s="42">
        <v>100000</v>
      </c>
      <c r="AZ89" s="42">
        <v>0</v>
      </c>
      <c r="BA89" s="42">
        <v>530000</v>
      </c>
      <c r="BB89" s="42"/>
      <c r="BC89" s="42">
        <f t="shared" si="63"/>
        <v>530000</v>
      </c>
      <c r="BD89" s="42">
        <f t="shared" si="62"/>
        <v>630000</v>
      </c>
      <c r="BE89" s="42">
        <v>100000</v>
      </c>
      <c r="BF89" s="42">
        <v>530000</v>
      </c>
      <c r="BG89" s="42"/>
      <c r="BH89" s="42">
        <v>0</v>
      </c>
      <c r="BI89" s="42">
        <f t="shared" si="64"/>
        <v>530000</v>
      </c>
      <c r="BJ89" s="42">
        <f t="shared" si="65"/>
        <v>630000</v>
      </c>
      <c r="BK89" s="42">
        <v>100000</v>
      </c>
      <c r="BL89" s="42">
        <v>530000</v>
      </c>
      <c r="BM89" s="42">
        <v>0</v>
      </c>
      <c r="BN89" s="42">
        <v>0</v>
      </c>
      <c r="BO89" s="42">
        <f t="shared" si="67"/>
        <v>530000</v>
      </c>
      <c r="BP89" s="42">
        <f t="shared" si="68"/>
        <v>630000</v>
      </c>
      <c r="BQ89" s="69">
        <f t="shared" si="69"/>
        <v>3975000</v>
      </c>
      <c r="BR89" s="37"/>
      <c r="BS89" s="36"/>
      <c r="BT89" s="36"/>
      <c r="BU89" s="36"/>
    </row>
    <row r="90" spans="1:73" s="4" customFormat="1" ht="13">
      <c r="A90" s="15">
        <f t="shared" si="66"/>
        <v>86</v>
      </c>
      <c r="B90" s="48">
        <v>10128015</v>
      </c>
      <c r="C90" s="44" t="s">
        <v>151</v>
      </c>
      <c r="D90" s="44" t="s">
        <v>135</v>
      </c>
      <c r="E90" s="42">
        <v>2325000</v>
      </c>
      <c r="F90" s="17">
        <v>100000</v>
      </c>
      <c r="G90" s="17">
        <f>636000+364000</f>
        <v>1000000</v>
      </c>
      <c r="H90" s="17">
        <f t="shared" si="84"/>
        <v>1100000</v>
      </c>
      <c r="I90" s="17">
        <v>100000</v>
      </c>
      <c r="J90" s="17">
        <f>636000+561000</f>
        <v>1197000</v>
      </c>
      <c r="K90" s="17">
        <f t="shared" si="85"/>
        <v>1297000</v>
      </c>
      <c r="L90" s="17">
        <v>100000</v>
      </c>
      <c r="M90" s="17">
        <f>636000+440000</f>
        <v>1076000</v>
      </c>
      <c r="N90" s="17">
        <f t="shared" si="86"/>
        <v>1176000</v>
      </c>
      <c r="O90" s="17">
        <v>100000</v>
      </c>
      <c r="P90" s="17">
        <f>261000+636000+90000</f>
        <v>987000</v>
      </c>
      <c r="Q90" s="17">
        <f t="shared" si="74"/>
        <v>1087000</v>
      </c>
      <c r="R90" s="17">
        <v>100000</v>
      </c>
      <c r="S90" s="17">
        <f>636000</f>
        <v>636000</v>
      </c>
      <c r="T90" s="17">
        <f>337750+[7]System!$F$363</f>
        <v>946750</v>
      </c>
      <c r="U90" s="17">
        <v>0</v>
      </c>
      <c r="V90" s="17">
        <v>0</v>
      </c>
      <c r="W90" s="17">
        <f t="shared" si="75"/>
        <v>1682750</v>
      </c>
      <c r="X90" s="17">
        <v>100000</v>
      </c>
      <c r="Y90" s="17"/>
      <c r="Z90" s="17">
        <f>[8]Credit!$E$369</f>
        <v>395500</v>
      </c>
      <c r="AA90" s="17"/>
      <c r="AB90" s="17">
        <v>35000</v>
      </c>
      <c r="AC90" s="17">
        <f t="shared" si="76"/>
        <v>430500</v>
      </c>
      <c r="AD90" s="17">
        <f t="shared" si="77"/>
        <v>530500</v>
      </c>
      <c r="AE90" s="17">
        <v>100000</v>
      </c>
      <c r="AF90" s="17">
        <v>530000</v>
      </c>
      <c r="AG90" s="17">
        <f>[9]Credit!$F$245</f>
        <v>149000</v>
      </c>
      <c r="AH90" s="17"/>
      <c r="AI90" s="17">
        <v>70000</v>
      </c>
      <c r="AJ90" s="17">
        <f t="shared" si="78"/>
        <v>749000</v>
      </c>
      <c r="AK90" s="17">
        <f t="shared" si="79"/>
        <v>849000</v>
      </c>
      <c r="AL90" s="17">
        <v>100000</v>
      </c>
      <c r="AM90" s="42">
        <v>530000</v>
      </c>
      <c r="AN90" s="42">
        <f>[5]Credit!$E$428</f>
        <v>506500</v>
      </c>
      <c r="AO90" s="42">
        <v>0</v>
      </c>
      <c r="AP90" s="17">
        <f>79000+30000</f>
        <v>109000</v>
      </c>
      <c r="AQ90" s="17">
        <f t="shared" si="80"/>
        <v>1145500</v>
      </c>
      <c r="AR90" s="17">
        <f t="shared" si="81"/>
        <v>1245500</v>
      </c>
      <c r="AS90" s="42">
        <v>100000</v>
      </c>
      <c r="AT90" s="42">
        <v>530000</v>
      </c>
      <c r="AU90" s="42">
        <f>[10]Credit!$E$427</f>
        <v>861000</v>
      </c>
      <c r="AV90" s="42">
        <v>0</v>
      </c>
      <c r="AW90" s="17">
        <f t="shared" si="82"/>
        <v>1391000</v>
      </c>
      <c r="AX90" s="42">
        <f t="shared" si="83"/>
        <v>1491000</v>
      </c>
      <c r="AY90" s="42">
        <v>100000</v>
      </c>
      <c r="AZ90" s="42">
        <f>[6]Credit!$F$447</f>
        <v>988500</v>
      </c>
      <c r="BA90" s="42">
        <v>530000</v>
      </c>
      <c r="BB90" s="42"/>
      <c r="BC90" s="42">
        <f t="shared" si="63"/>
        <v>1518500</v>
      </c>
      <c r="BD90" s="42">
        <f t="shared" si="62"/>
        <v>1618500</v>
      </c>
      <c r="BE90" s="42">
        <v>100000</v>
      </c>
      <c r="BF90" s="42">
        <v>530000</v>
      </c>
      <c r="BG90" s="42">
        <f>[11]Kredit!$E$515</f>
        <v>997900</v>
      </c>
      <c r="BH90" s="42">
        <v>0</v>
      </c>
      <c r="BI90" s="42">
        <f t="shared" si="64"/>
        <v>1527900</v>
      </c>
      <c r="BJ90" s="42">
        <f t="shared" si="65"/>
        <v>1627900</v>
      </c>
      <c r="BK90" s="42">
        <v>100000</v>
      </c>
      <c r="BL90" s="42">
        <v>530000</v>
      </c>
      <c r="BM90" s="42">
        <f>[12]Credit!$E$502</f>
        <v>740500</v>
      </c>
      <c r="BN90" s="42">
        <v>0</v>
      </c>
      <c r="BO90" s="42">
        <f t="shared" si="67"/>
        <v>1270500</v>
      </c>
      <c r="BP90" s="42">
        <f t="shared" si="68"/>
        <v>1370500</v>
      </c>
      <c r="BQ90" s="69">
        <f t="shared" si="69"/>
        <v>3525000</v>
      </c>
      <c r="BR90" s="37"/>
      <c r="BS90" s="36"/>
      <c r="BT90" s="36"/>
      <c r="BU90" s="36"/>
    </row>
    <row r="91" spans="1:73" s="4" customFormat="1" ht="13">
      <c r="A91" s="15">
        <f t="shared" si="66"/>
        <v>87</v>
      </c>
      <c r="B91" s="50">
        <v>11048215</v>
      </c>
      <c r="C91" s="44" t="s">
        <v>152</v>
      </c>
      <c r="D91" s="44" t="s">
        <v>135</v>
      </c>
      <c r="E91" s="42">
        <v>1800000</v>
      </c>
      <c r="F91" s="17">
        <v>100000</v>
      </c>
      <c r="G91" s="17">
        <f>530000+156000</f>
        <v>686000</v>
      </c>
      <c r="H91" s="17">
        <f t="shared" si="84"/>
        <v>786000</v>
      </c>
      <c r="I91" s="17">
        <v>100000</v>
      </c>
      <c r="J91" s="17">
        <f>530000</f>
        <v>530000</v>
      </c>
      <c r="K91" s="17">
        <f t="shared" si="85"/>
        <v>630000</v>
      </c>
      <c r="L91" s="17">
        <v>100000</v>
      </c>
      <c r="M91" s="17">
        <f>530000+130000</f>
        <v>660000</v>
      </c>
      <c r="N91" s="17">
        <f t="shared" si="86"/>
        <v>760000</v>
      </c>
      <c r="O91" s="17">
        <v>100000</v>
      </c>
      <c r="P91" s="17">
        <f>135500+530000</f>
        <v>665500</v>
      </c>
      <c r="Q91" s="17">
        <f t="shared" si="74"/>
        <v>765500</v>
      </c>
      <c r="R91" s="17">
        <v>100000</v>
      </c>
      <c r="S91" s="17">
        <f>530000</f>
        <v>530000</v>
      </c>
      <c r="T91" s="17">
        <f>[7]System!$F$379</f>
        <v>180000</v>
      </c>
      <c r="U91" s="17">
        <v>0</v>
      </c>
      <c r="V91" s="17">
        <f>21000</f>
        <v>21000</v>
      </c>
      <c r="W91" s="17">
        <f t="shared" si="75"/>
        <v>831000</v>
      </c>
      <c r="X91" s="17">
        <v>100000</v>
      </c>
      <c r="Y91" s="17">
        <v>530000</v>
      </c>
      <c r="Z91" s="17">
        <f>[8]Credit!$E$390</f>
        <v>263000</v>
      </c>
      <c r="AA91" s="17"/>
      <c r="AB91" s="17">
        <f>10000+25000</f>
        <v>35000</v>
      </c>
      <c r="AC91" s="17">
        <f t="shared" si="76"/>
        <v>828000</v>
      </c>
      <c r="AD91" s="17">
        <f t="shared" si="77"/>
        <v>928000</v>
      </c>
      <c r="AE91" s="17">
        <v>100000</v>
      </c>
      <c r="AF91" s="17">
        <v>530000</v>
      </c>
      <c r="AG91" s="17">
        <f>[9]Credit!$F$254</f>
        <v>192250</v>
      </c>
      <c r="AH91" s="17"/>
      <c r="AI91" s="17"/>
      <c r="AJ91" s="17">
        <f t="shared" si="78"/>
        <v>722250</v>
      </c>
      <c r="AK91" s="17">
        <f t="shared" si="79"/>
        <v>822250</v>
      </c>
      <c r="AL91" s="17">
        <v>100000</v>
      </c>
      <c r="AM91" s="42">
        <v>530000</v>
      </c>
      <c r="AN91" s="42">
        <f>[5]Credit!$E$435</f>
        <v>138500</v>
      </c>
      <c r="AO91" s="42">
        <v>0</v>
      </c>
      <c r="AP91" s="17"/>
      <c r="AQ91" s="17">
        <f t="shared" si="80"/>
        <v>668500</v>
      </c>
      <c r="AR91" s="17">
        <f t="shared" si="81"/>
        <v>768500</v>
      </c>
      <c r="AS91" s="42">
        <v>100000</v>
      </c>
      <c r="AT91" s="42">
        <v>530000</v>
      </c>
      <c r="AU91" s="42">
        <f>[10]Credit!$E$443</f>
        <v>278000</v>
      </c>
      <c r="AV91" s="42">
        <v>0</v>
      </c>
      <c r="AW91" s="17">
        <f t="shared" si="82"/>
        <v>808000</v>
      </c>
      <c r="AX91" s="42">
        <f t="shared" si="83"/>
        <v>908000</v>
      </c>
      <c r="AY91" s="42">
        <v>100000</v>
      </c>
      <c r="AZ91" s="42">
        <f>[6]Credit!$F$464</f>
        <v>325500</v>
      </c>
      <c r="BA91" s="42">
        <v>530000</v>
      </c>
      <c r="BB91" s="42">
        <v>538641</v>
      </c>
      <c r="BC91" s="42">
        <f t="shared" si="63"/>
        <v>1394141</v>
      </c>
      <c r="BD91" s="42">
        <f t="shared" si="62"/>
        <v>1494141</v>
      </c>
      <c r="BE91" s="42">
        <v>100000</v>
      </c>
      <c r="BF91" s="42">
        <v>530000</v>
      </c>
      <c r="BG91" s="42">
        <f>[11]Kredit!$E$544</f>
        <v>301000</v>
      </c>
      <c r="BH91" s="42">
        <v>538641</v>
      </c>
      <c r="BI91" s="42">
        <f t="shared" si="64"/>
        <v>1369641</v>
      </c>
      <c r="BJ91" s="42">
        <f t="shared" si="65"/>
        <v>1469641</v>
      </c>
      <c r="BK91" s="42">
        <v>100000</v>
      </c>
      <c r="BL91" s="42">
        <v>530000</v>
      </c>
      <c r="BM91" s="42">
        <f>[12]Credit!$E$525</f>
        <v>129000</v>
      </c>
      <c r="BN91" s="42">
        <v>538641</v>
      </c>
      <c r="BO91" s="42">
        <f t="shared" si="67"/>
        <v>1197641</v>
      </c>
      <c r="BP91" s="42">
        <f t="shared" si="68"/>
        <v>1297641</v>
      </c>
      <c r="BQ91" s="69">
        <f t="shared" si="69"/>
        <v>3000000</v>
      </c>
      <c r="BR91" s="37"/>
      <c r="BS91" s="36"/>
      <c r="BT91" s="36"/>
      <c r="BU91" s="36"/>
    </row>
    <row r="92" spans="1:73" s="4" customFormat="1" ht="13">
      <c r="A92" s="15">
        <f t="shared" si="66"/>
        <v>88</v>
      </c>
      <c r="B92" s="48" t="s">
        <v>153</v>
      </c>
      <c r="C92" s="44" t="s">
        <v>154</v>
      </c>
      <c r="D92" s="44" t="s">
        <v>135</v>
      </c>
      <c r="E92" s="42">
        <v>2775000</v>
      </c>
      <c r="F92" s="17">
        <v>100000</v>
      </c>
      <c r="G92" s="17">
        <f>540000</f>
        <v>540000</v>
      </c>
      <c r="H92" s="17">
        <f t="shared" si="84"/>
        <v>640000</v>
      </c>
      <c r="I92" s="17">
        <v>100000</v>
      </c>
      <c r="J92" s="17">
        <f>767000</f>
        <v>767000</v>
      </c>
      <c r="K92" s="17">
        <f t="shared" si="85"/>
        <v>867000</v>
      </c>
      <c r="L92" s="17">
        <v>100000</v>
      </c>
      <c r="M92" s="17">
        <f>530000+370000</f>
        <v>900000</v>
      </c>
      <c r="N92" s="17">
        <f t="shared" si="86"/>
        <v>1000000</v>
      </c>
      <c r="O92" s="17">
        <v>100000</v>
      </c>
      <c r="P92" s="17">
        <f>530000+15000+372000</f>
        <v>917000</v>
      </c>
      <c r="Q92" s="17">
        <f t="shared" si="74"/>
        <v>1017000</v>
      </c>
      <c r="R92" s="17">
        <v>100000</v>
      </c>
      <c r="S92" s="17">
        <f>530000</f>
        <v>530000</v>
      </c>
      <c r="T92" s="17">
        <f>21000+[7]System!$F$386</f>
        <v>441500</v>
      </c>
      <c r="U92" s="17">
        <v>0</v>
      </c>
      <c r="V92" s="17">
        <f>21000+14000</f>
        <v>35000</v>
      </c>
      <c r="W92" s="17">
        <f t="shared" si="75"/>
        <v>1106500</v>
      </c>
      <c r="X92" s="17">
        <v>100000</v>
      </c>
      <c r="Y92" s="17">
        <v>530000</v>
      </c>
      <c r="Z92" s="17">
        <f>[8]Credit!$E$398</f>
        <v>429000</v>
      </c>
      <c r="AA92" s="17"/>
      <c r="AB92" s="17">
        <v>35000</v>
      </c>
      <c r="AC92" s="17">
        <f t="shared" si="76"/>
        <v>994000</v>
      </c>
      <c r="AD92" s="17">
        <f t="shared" si="77"/>
        <v>1094000</v>
      </c>
      <c r="AE92" s="17">
        <v>100000</v>
      </c>
      <c r="AF92" s="17">
        <v>530000</v>
      </c>
      <c r="AG92" s="17">
        <f>[9]Credit!$F$262</f>
        <v>140000</v>
      </c>
      <c r="AH92" s="17"/>
      <c r="AI92" s="17">
        <v>240000</v>
      </c>
      <c r="AJ92" s="17">
        <f t="shared" si="78"/>
        <v>910000</v>
      </c>
      <c r="AK92" s="17">
        <f t="shared" si="79"/>
        <v>1010000</v>
      </c>
      <c r="AL92" s="17">
        <v>100000</v>
      </c>
      <c r="AM92" s="42">
        <v>530000</v>
      </c>
      <c r="AN92" s="42">
        <f>[5]Credit!$E$445</f>
        <v>502000</v>
      </c>
      <c r="AO92" s="42">
        <v>0</v>
      </c>
      <c r="AP92" s="17"/>
      <c r="AQ92" s="17">
        <f t="shared" si="80"/>
        <v>1032000</v>
      </c>
      <c r="AR92" s="17">
        <f t="shared" si="81"/>
        <v>1132000</v>
      </c>
      <c r="AS92" s="42">
        <v>100000</v>
      </c>
      <c r="AT92" s="42">
        <v>530000</v>
      </c>
      <c r="AU92" s="42">
        <f>[10]Credit!$E$454</f>
        <v>688000</v>
      </c>
      <c r="AV92" s="42">
        <v>0</v>
      </c>
      <c r="AW92" s="17">
        <f t="shared" si="82"/>
        <v>1218000</v>
      </c>
      <c r="AX92" s="42">
        <f t="shared" si="83"/>
        <v>1318000</v>
      </c>
      <c r="AY92" s="42">
        <v>100000</v>
      </c>
      <c r="AZ92" s="42">
        <f>[6]Credit!$F$471</f>
        <v>195000</v>
      </c>
      <c r="BA92" s="42">
        <v>530000</v>
      </c>
      <c r="BB92" s="42"/>
      <c r="BC92" s="42">
        <f t="shared" si="63"/>
        <v>725000</v>
      </c>
      <c r="BD92" s="42">
        <f t="shared" ref="BD92:BD123" si="87">AY92+BC92</f>
        <v>825000</v>
      </c>
      <c r="BE92" s="42">
        <v>100000</v>
      </c>
      <c r="BF92" s="42">
        <v>530000</v>
      </c>
      <c r="BG92" s="42">
        <f>[11]Kredit!$E$558</f>
        <v>792000</v>
      </c>
      <c r="BH92" s="42">
        <v>0</v>
      </c>
      <c r="BI92" s="42">
        <f t="shared" si="64"/>
        <v>1322000</v>
      </c>
      <c r="BJ92" s="42">
        <f t="shared" si="65"/>
        <v>1422000</v>
      </c>
      <c r="BK92" s="42">
        <v>100000</v>
      </c>
      <c r="BL92" s="42">
        <v>530000</v>
      </c>
      <c r="BM92" s="42">
        <f>[12]Credit!$E$537</f>
        <v>517000</v>
      </c>
      <c r="BN92" s="42">
        <v>0</v>
      </c>
      <c r="BO92" s="42">
        <f t="shared" si="67"/>
        <v>1047000</v>
      </c>
      <c r="BP92" s="42">
        <f t="shared" si="68"/>
        <v>1147000</v>
      </c>
      <c r="BQ92" s="69">
        <f t="shared" si="69"/>
        <v>3975000</v>
      </c>
      <c r="BR92" s="37"/>
      <c r="BS92" s="36"/>
      <c r="BT92" s="36"/>
      <c r="BU92" s="36"/>
    </row>
    <row r="93" spans="1:73" s="4" customFormat="1" ht="13">
      <c r="A93" s="15">
        <f t="shared" si="66"/>
        <v>89</v>
      </c>
      <c r="B93" s="50">
        <v>12129565</v>
      </c>
      <c r="C93" s="44" t="s">
        <v>400</v>
      </c>
      <c r="D93" s="44" t="s">
        <v>135</v>
      </c>
      <c r="E93" s="42">
        <v>0</v>
      </c>
      <c r="F93" s="17">
        <v>200000</v>
      </c>
      <c r="G93" s="17"/>
      <c r="H93" s="17">
        <f t="shared" si="84"/>
        <v>200000</v>
      </c>
      <c r="I93" s="17">
        <v>100000</v>
      </c>
      <c r="J93" s="17"/>
      <c r="K93" s="17">
        <f t="shared" si="85"/>
        <v>100000</v>
      </c>
      <c r="L93" s="17">
        <v>100000</v>
      </c>
      <c r="M93" s="17">
        <v>530000</v>
      </c>
      <c r="N93" s="17">
        <f t="shared" si="86"/>
        <v>630000</v>
      </c>
      <c r="O93" s="17">
        <v>100000</v>
      </c>
      <c r="P93" s="17">
        <f>66000+530000+30000</f>
        <v>626000</v>
      </c>
      <c r="Q93" s="17">
        <f t="shared" si="74"/>
        <v>726000</v>
      </c>
      <c r="R93" s="17">
        <v>100000</v>
      </c>
      <c r="S93" s="17">
        <f>530000</f>
        <v>530000</v>
      </c>
      <c r="T93" s="17">
        <f>54000+[7]System!$F$396</f>
        <v>184000</v>
      </c>
      <c r="U93" s="17">
        <v>0</v>
      </c>
      <c r="V93" s="71">
        <f>15000</f>
        <v>15000</v>
      </c>
      <c r="W93" s="17">
        <f t="shared" si="75"/>
        <v>829000</v>
      </c>
      <c r="X93" s="17">
        <v>100000</v>
      </c>
      <c r="Y93" s="17">
        <v>530000</v>
      </c>
      <c r="Z93" s="17">
        <f>[8]Credit!$E$409</f>
        <v>198500</v>
      </c>
      <c r="AA93" s="17"/>
      <c r="AB93" s="17"/>
      <c r="AC93" s="17">
        <f t="shared" si="76"/>
        <v>728500</v>
      </c>
      <c r="AD93" s="17">
        <f t="shared" si="77"/>
        <v>828500</v>
      </c>
      <c r="AE93" s="17">
        <v>100000</v>
      </c>
      <c r="AF93" s="17">
        <v>530000</v>
      </c>
      <c r="AG93" s="17">
        <f>[9]Credit!$F$268</f>
        <v>73000</v>
      </c>
      <c r="AH93" s="17"/>
      <c r="AI93" s="17"/>
      <c r="AJ93" s="17">
        <f t="shared" si="78"/>
        <v>603000</v>
      </c>
      <c r="AK93" s="17">
        <f t="shared" si="79"/>
        <v>703000</v>
      </c>
      <c r="AL93" s="17">
        <v>100000</v>
      </c>
      <c r="AM93" s="42">
        <v>530000</v>
      </c>
      <c r="AN93" s="42">
        <f>[5]Credit!$E$461</f>
        <v>255000</v>
      </c>
      <c r="AO93" s="42">
        <v>0</v>
      </c>
      <c r="AP93" s="17"/>
      <c r="AQ93" s="17">
        <f t="shared" si="80"/>
        <v>785000</v>
      </c>
      <c r="AR93" s="17">
        <f t="shared" si="81"/>
        <v>885000</v>
      </c>
      <c r="AS93" s="42">
        <v>100000</v>
      </c>
      <c r="AT93" s="42">
        <v>530000</v>
      </c>
      <c r="AU93" s="42">
        <f>[10]Credit!$E$466</f>
        <v>174000</v>
      </c>
      <c r="AV93" s="42">
        <v>0</v>
      </c>
      <c r="AW93" s="17">
        <f t="shared" si="82"/>
        <v>704000</v>
      </c>
      <c r="AX93" s="42">
        <f t="shared" si="83"/>
        <v>804000</v>
      </c>
      <c r="AY93" s="42">
        <v>100000</v>
      </c>
      <c r="AZ93" s="42">
        <f>[6]Credit!$F$487</f>
        <v>259000</v>
      </c>
      <c r="BA93" s="42">
        <v>530000</v>
      </c>
      <c r="BB93" s="42"/>
      <c r="BC93" s="42">
        <f t="shared" si="63"/>
        <v>789000</v>
      </c>
      <c r="BD93" s="42">
        <f t="shared" si="87"/>
        <v>889000</v>
      </c>
      <c r="BE93" s="42">
        <v>100000</v>
      </c>
      <c r="BF93" s="42">
        <v>530000</v>
      </c>
      <c r="BG93" s="42">
        <f>[11]Kredit!$E$569</f>
        <v>217000</v>
      </c>
      <c r="BH93" s="42">
        <v>0</v>
      </c>
      <c r="BI93" s="42">
        <f t="shared" si="64"/>
        <v>747000</v>
      </c>
      <c r="BJ93" s="42">
        <f t="shared" si="65"/>
        <v>847000</v>
      </c>
      <c r="BK93" s="42">
        <v>100000</v>
      </c>
      <c r="BL93" s="42">
        <v>530000</v>
      </c>
      <c r="BM93" s="42">
        <f>[12]Credit!$E$548</f>
        <v>223500</v>
      </c>
      <c r="BN93" s="42">
        <v>0</v>
      </c>
      <c r="BO93" s="42">
        <f t="shared" si="67"/>
        <v>753500</v>
      </c>
      <c r="BP93" s="42">
        <f t="shared" si="68"/>
        <v>853500</v>
      </c>
      <c r="BQ93" s="69">
        <f t="shared" si="69"/>
        <v>1300000</v>
      </c>
      <c r="BR93" s="37"/>
      <c r="BS93" s="36"/>
      <c r="BT93" s="36"/>
      <c r="BU93" s="36"/>
    </row>
    <row r="94" spans="1:73" s="4" customFormat="1" ht="13">
      <c r="A94" s="15">
        <f t="shared" si="66"/>
        <v>90</v>
      </c>
      <c r="B94" s="50" t="s">
        <v>155</v>
      </c>
      <c r="C94" s="44" t="s">
        <v>156</v>
      </c>
      <c r="D94" s="44" t="s">
        <v>135</v>
      </c>
      <c r="E94" s="42">
        <v>2000000</v>
      </c>
      <c r="F94" s="17">
        <v>100000</v>
      </c>
      <c r="G94" s="17">
        <f>530000</f>
        <v>530000</v>
      </c>
      <c r="H94" s="17">
        <f t="shared" si="84"/>
        <v>630000</v>
      </c>
      <c r="I94" s="17">
        <v>100000</v>
      </c>
      <c r="J94" s="17">
        <f>530000</f>
        <v>530000</v>
      </c>
      <c r="K94" s="17">
        <f t="shared" si="85"/>
        <v>630000</v>
      </c>
      <c r="L94" s="17">
        <v>100000</v>
      </c>
      <c r="M94" s="17">
        <v>530000</v>
      </c>
      <c r="N94" s="17">
        <f t="shared" si="86"/>
        <v>630000</v>
      </c>
      <c r="O94" s="17">
        <v>100000</v>
      </c>
      <c r="P94" s="17">
        <f>530000</f>
        <v>530000</v>
      </c>
      <c r="Q94" s="17">
        <f t="shared" si="74"/>
        <v>630000</v>
      </c>
      <c r="R94" s="17">
        <v>100000</v>
      </c>
      <c r="S94" s="17">
        <f>530000</f>
        <v>530000</v>
      </c>
      <c r="T94" s="17">
        <v>0</v>
      </c>
      <c r="U94" s="17">
        <v>0</v>
      </c>
      <c r="V94" s="17">
        <f>7000</f>
        <v>7000</v>
      </c>
      <c r="W94" s="17">
        <f t="shared" si="75"/>
        <v>637000</v>
      </c>
      <c r="X94" s="17">
        <v>100000</v>
      </c>
      <c r="Y94" s="17">
        <v>530000</v>
      </c>
      <c r="Z94" s="17">
        <f>[8]Credit!$E$417</f>
        <v>172500</v>
      </c>
      <c r="AA94" s="17"/>
      <c r="AB94" s="17">
        <v>50000</v>
      </c>
      <c r="AC94" s="17">
        <f t="shared" si="76"/>
        <v>752500</v>
      </c>
      <c r="AD94" s="17">
        <f t="shared" si="77"/>
        <v>852500</v>
      </c>
      <c r="AE94" s="17">
        <v>100000</v>
      </c>
      <c r="AF94" s="17">
        <v>530000</v>
      </c>
      <c r="AG94" s="17"/>
      <c r="AH94" s="17"/>
      <c r="AI94" s="17"/>
      <c r="AJ94" s="17">
        <f t="shared" si="78"/>
        <v>530000</v>
      </c>
      <c r="AK94" s="17">
        <f t="shared" si="79"/>
        <v>630000</v>
      </c>
      <c r="AL94" s="17">
        <v>100000</v>
      </c>
      <c r="AM94" s="42">
        <v>530000</v>
      </c>
      <c r="AN94" s="42">
        <f>[5]Credit!$E$470</f>
        <v>106000</v>
      </c>
      <c r="AO94" s="42">
        <v>0</v>
      </c>
      <c r="AP94" s="17">
        <v>10000</v>
      </c>
      <c r="AQ94" s="17">
        <f t="shared" si="80"/>
        <v>646000</v>
      </c>
      <c r="AR94" s="17">
        <f t="shared" si="81"/>
        <v>746000</v>
      </c>
      <c r="AS94" s="42">
        <v>100000</v>
      </c>
      <c r="AT94" s="42">
        <v>530000</v>
      </c>
      <c r="AU94" s="42">
        <f>[10]Credit!$E$478</f>
        <v>185000</v>
      </c>
      <c r="AV94" s="42">
        <v>0</v>
      </c>
      <c r="AW94" s="17">
        <f t="shared" si="82"/>
        <v>715000</v>
      </c>
      <c r="AX94" s="42">
        <f t="shared" si="83"/>
        <v>815000</v>
      </c>
      <c r="AY94" s="42">
        <v>100000</v>
      </c>
      <c r="AZ94" s="42">
        <f>[6]Credit!$F$500</f>
        <v>470000</v>
      </c>
      <c r="BA94" s="42">
        <v>530000</v>
      </c>
      <c r="BB94" s="42"/>
      <c r="BC94" s="42">
        <f t="shared" si="63"/>
        <v>1000000</v>
      </c>
      <c r="BD94" s="42">
        <f t="shared" si="87"/>
        <v>1100000</v>
      </c>
      <c r="BE94" s="42">
        <v>100000</v>
      </c>
      <c r="BF94" s="42">
        <f>530000</f>
        <v>530000</v>
      </c>
      <c r="BG94" s="42">
        <f>[11]Kredit!$E$584</f>
        <v>40000</v>
      </c>
      <c r="BH94" s="42">
        <v>0</v>
      </c>
      <c r="BI94" s="42">
        <f t="shared" si="64"/>
        <v>570000</v>
      </c>
      <c r="BJ94" s="42">
        <f t="shared" si="65"/>
        <v>670000</v>
      </c>
      <c r="BK94" s="42">
        <v>100000</v>
      </c>
      <c r="BL94" s="42">
        <v>0</v>
      </c>
      <c r="BM94" s="42">
        <f>[12]Credit!$E$565</f>
        <v>477500</v>
      </c>
      <c r="BN94" s="42">
        <v>0</v>
      </c>
      <c r="BO94" s="42">
        <f t="shared" si="67"/>
        <v>477500</v>
      </c>
      <c r="BP94" s="42">
        <f t="shared" si="68"/>
        <v>577500</v>
      </c>
      <c r="BQ94" s="69">
        <f t="shared" si="69"/>
        <v>3200000</v>
      </c>
      <c r="BR94" s="37" t="s">
        <v>387</v>
      </c>
      <c r="BS94" s="36"/>
      <c r="BT94" s="36"/>
      <c r="BU94" s="36"/>
    </row>
    <row r="95" spans="1:73" s="4" customFormat="1" ht="13">
      <c r="A95" s="15">
        <f t="shared" si="66"/>
        <v>91</v>
      </c>
      <c r="B95" s="50">
        <v>12099315</v>
      </c>
      <c r="C95" s="44" t="s">
        <v>292</v>
      </c>
      <c r="D95" s="44" t="s">
        <v>135</v>
      </c>
      <c r="E95" s="42">
        <v>400000</v>
      </c>
      <c r="F95" s="17">
        <v>100000</v>
      </c>
      <c r="G95" s="17"/>
      <c r="H95" s="17">
        <f t="shared" si="84"/>
        <v>100000</v>
      </c>
      <c r="I95" s="17">
        <v>100000</v>
      </c>
      <c r="J95" s="17"/>
      <c r="K95" s="17">
        <f t="shared" si="85"/>
        <v>100000</v>
      </c>
      <c r="L95" s="17">
        <v>100000</v>
      </c>
      <c r="M95" s="17"/>
      <c r="N95" s="17">
        <f t="shared" si="86"/>
        <v>100000</v>
      </c>
      <c r="O95" s="17">
        <v>100000</v>
      </c>
      <c r="P95" s="17"/>
      <c r="Q95" s="17">
        <f t="shared" si="74"/>
        <v>100000</v>
      </c>
      <c r="R95" s="17">
        <v>100000</v>
      </c>
      <c r="S95" s="17">
        <v>0</v>
      </c>
      <c r="T95" s="17">
        <f>[7]System!$F$431</f>
        <v>19500</v>
      </c>
      <c r="U95" s="17">
        <v>0</v>
      </c>
      <c r="V95" s="17">
        <f>7000</f>
        <v>7000</v>
      </c>
      <c r="W95" s="17">
        <f t="shared" si="75"/>
        <v>126500</v>
      </c>
      <c r="X95" s="17">
        <v>100000</v>
      </c>
      <c r="Y95" s="17"/>
      <c r="Z95" s="17">
        <f>[8]Credit!$E$458</f>
        <v>17000</v>
      </c>
      <c r="AA95" s="17"/>
      <c r="AB95" s="17"/>
      <c r="AC95" s="17">
        <f t="shared" si="76"/>
        <v>17000</v>
      </c>
      <c r="AD95" s="17">
        <f t="shared" si="77"/>
        <v>117000</v>
      </c>
      <c r="AE95" s="17">
        <v>100000</v>
      </c>
      <c r="AF95" s="17"/>
      <c r="AG95" s="17"/>
      <c r="AH95" s="17"/>
      <c r="AI95" s="17"/>
      <c r="AJ95" s="17">
        <f t="shared" si="78"/>
        <v>0</v>
      </c>
      <c r="AK95" s="17">
        <f t="shared" si="79"/>
        <v>100000</v>
      </c>
      <c r="AL95" s="17">
        <v>100000</v>
      </c>
      <c r="AM95" s="42">
        <v>0</v>
      </c>
      <c r="AN95" s="42">
        <v>0</v>
      </c>
      <c r="AO95" s="42">
        <v>0</v>
      </c>
      <c r="AP95" s="17"/>
      <c r="AQ95" s="17">
        <f t="shared" si="80"/>
        <v>0</v>
      </c>
      <c r="AR95" s="17">
        <f t="shared" si="81"/>
        <v>100000</v>
      </c>
      <c r="AS95" s="42">
        <v>100000</v>
      </c>
      <c r="AT95" s="42">
        <v>530000</v>
      </c>
      <c r="AU95" s="42">
        <f>[10]Credit!$E$530</f>
        <v>14000</v>
      </c>
      <c r="AV95" s="42">
        <v>0</v>
      </c>
      <c r="AW95" s="17">
        <f t="shared" si="82"/>
        <v>544000</v>
      </c>
      <c r="AX95" s="42">
        <f t="shared" si="83"/>
        <v>644000</v>
      </c>
      <c r="AY95" s="42">
        <v>100000</v>
      </c>
      <c r="AZ95" s="42">
        <f>[6]Credit!$F$547</f>
        <v>9000</v>
      </c>
      <c r="BA95" s="42">
        <v>530000</v>
      </c>
      <c r="BB95" s="42"/>
      <c r="BC95" s="42">
        <f t="shared" si="63"/>
        <v>539000</v>
      </c>
      <c r="BD95" s="42">
        <f t="shared" si="87"/>
        <v>639000</v>
      </c>
      <c r="BE95" s="42">
        <v>100000</v>
      </c>
      <c r="BF95" s="42">
        <v>530000</v>
      </c>
      <c r="BG95" s="42"/>
      <c r="BH95" s="42">
        <v>0</v>
      </c>
      <c r="BI95" s="42">
        <f t="shared" si="64"/>
        <v>530000</v>
      </c>
      <c r="BJ95" s="42">
        <f t="shared" si="65"/>
        <v>630000</v>
      </c>
      <c r="BK95" s="42">
        <v>100000</v>
      </c>
      <c r="BL95" s="42">
        <v>530000</v>
      </c>
      <c r="BM95" s="42">
        <v>0</v>
      </c>
      <c r="BN95" s="42">
        <v>0</v>
      </c>
      <c r="BO95" s="42">
        <f t="shared" si="67"/>
        <v>530000</v>
      </c>
      <c r="BP95" s="42">
        <f t="shared" si="68"/>
        <v>630000</v>
      </c>
      <c r="BQ95" s="69">
        <f t="shared" si="69"/>
        <v>1600000</v>
      </c>
      <c r="BR95" s="37"/>
      <c r="BS95" s="36"/>
      <c r="BT95" s="36"/>
      <c r="BU95" s="36"/>
    </row>
    <row r="96" spans="1:73" s="4" customFormat="1" ht="13">
      <c r="A96" s="15">
        <f t="shared" si="66"/>
        <v>92</v>
      </c>
      <c r="B96" s="48" t="s">
        <v>157</v>
      </c>
      <c r="C96" s="44" t="s">
        <v>158</v>
      </c>
      <c r="D96" s="44" t="s">
        <v>135</v>
      </c>
      <c r="E96" s="42">
        <v>2775000</v>
      </c>
      <c r="F96" s="17">
        <v>100000</v>
      </c>
      <c r="G96" s="17">
        <f>195000</f>
        <v>195000</v>
      </c>
      <c r="H96" s="17">
        <f t="shared" si="84"/>
        <v>295000</v>
      </c>
      <c r="I96" s="17">
        <v>100000</v>
      </c>
      <c r="J96" s="17">
        <v>67000</v>
      </c>
      <c r="K96" s="17">
        <f t="shared" si="85"/>
        <v>167000</v>
      </c>
      <c r="L96" s="17">
        <v>100000</v>
      </c>
      <c r="M96" s="17"/>
      <c r="N96" s="17">
        <f t="shared" si="86"/>
        <v>100000</v>
      </c>
      <c r="O96" s="17">
        <v>100000</v>
      </c>
      <c r="P96" s="17">
        <f>134000+84000</f>
        <v>218000</v>
      </c>
      <c r="Q96" s="17">
        <f t="shared" si="74"/>
        <v>318000</v>
      </c>
      <c r="R96" s="17">
        <v>100000</v>
      </c>
      <c r="S96" s="17">
        <v>0</v>
      </c>
      <c r="T96" s="17">
        <f>190000+[7]System!$F$449</f>
        <v>459000</v>
      </c>
      <c r="U96" s="17">
        <v>0</v>
      </c>
      <c r="V96" s="17">
        <v>0</v>
      </c>
      <c r="W96" s="17">
        <f t="shared" si="75"/>
        <v>559000</v>
      </c>
      <c r="X96" s="17">
        <v>100000</v>
      </c>
      <c r="Y96" s="17"/>
      <c r="Z96" s="17">
        <f>[8]Credit!$E$486</f>
        <v>297000</v>
      </c>
      <c r="AA96" s="17"/>
      <c r="AB96" s="17">
        <f>20000+10000</f>
        <v>30000</v>
      </c>
      <c r="AC96" s="17">
        <f t="shared" si="76"/>
        <v>327000</v>
      </c>
      <c r="AD96" s="17">
        <f t="shared" si="77"/>
        <v>427000</v>
      </c>
      <c r="AE96" s="17">
        <v>100000</v>
      </c>
      <c r="AF96" s="17"/>
      <c r="AG96" s="17">
        <f>[9]Credit!$F$315</f>
        <v>166000</v>
      </c>
      <c r="AH96" s="17"/>
      <c r="AI96" s="17">
        <v>70000</v>
      </c>
      <c r="AJ96" s="17">
        <f t="shared" si="78"/>
        <v>236000</v>
      </c>
      <c r="AK96" s="17">
        <f t="shared" si="79"/>
        <v>336000</v>
      </c>
      <c r="AL96" s="17">
        <v>100000</v>
      </c>
      <c r="AM96" s="42">
        <v>0</v>
      </c>
      <c r="AN96" s="42">
        <f>[5]Credit!$E$545</f>
        <v>311000</v>
      </c>
      <c r="AO96" s="42">
        <v>0</v>
      </c>
      <c r="AP96" s="17">
        <v>22000</v>
      </c>
      <c r="AQ96" s="17">
        <f t="shared" si="80"/>
        <v>333000</v>
      </c>
      <c r="AR96" s="17">
        <f t="shared" si="81"/>
        <v>433000</v>
      </c>
      <c r="AS96" s="42">
        <v>100000</v>
      </c>
      <c r="AT96" s="42">
        <v>0</v>
      </c>
      <c r="AU96" s="42">
        <f>[10]Credit!$E$553</f>
        <v>477000</v>
      </c>
      <c r="AV96" s="42">
        <v>0</v>
      </c>
      <c r="AW96" s="17">
        <f t="shared" si="82"/>
        <v>477000</v>
      </c>
      <c r="AX96" s="42">
        <f t="shared" si="83"/>
        <v>577000</v>
      </c>
      <c r="AY96" s="42">
        <v>100000</v>
      </c>
      <c r="AZ96" s="42">
        <f>[6]Credit!$F$568</f>
        <v>416000</v>
      </c>
      <c r="BA96" s="42"/>
      <c r="BB96" s="42"/>
      <c r="BC96" s="42">
        <f t="shared" si="63"/>
        <v>416000</v>
      </c>
      <c r="BD96" s="42">
        <f t="shared" si="87"/>
        <v>516000</v>
      </c>
      <c r="BE96" s="42">
        <v>100000</v>
      </c>
      <c r="BF96" s="42">
        <v>0</v>
      </c>
      <c r="BG96" s="42">
        <f>[11]Kredit!$E$636</f>
        <v>396500</v>
      </c>
      <c r="BH96" s="42">
        <v>0</v>
      </c>
      <c r="BI96" s="42">
        <f t="shared" si="64"/>
        <v>396500</v>
      </c>
      <c r="BJ96" s="42">
        <f t="shared" si="65"/>
        <v>496500</v>
      </c>
      <c r="BK96" s="42">
        <v>100000</v>
      </c>
      <c r="BL96" s="42">
        <v>0</v>
      </c>
      <c r="BM96" s="42">
        <f>[12]Credit!$E$610</f>
        <v>392500</v>
      </c>
      <c r="BN96" s="42">
        <v>0</v>
      </c>
      <c r="BO96" s="42">
        <f t="shared" si="67"/>
        <v>392500</v>
      </c>
      <c r="BP96" s="42">
        <f t="shared" si="68"/>
        <v>492500</v>
      </c>
      <c r="BQ96" s="69">
        <f t="shared" si="69"/>
        <v>3975000</v>
      </c>
      <c r="BR96" s="37"/>
      <c r="BS96" s="36"/>
      <c r="BT96" s="36"/>
      <c r="BU96" s="36"/>
    </row>
    <row r="97" spans="1:73" s="4" customFormat="1" ht="13">
      <c r="A97" s="15">
        <f t="shared" si="66"/>
        <v>93</v>
      </c>
      <c r="B97" s="55">
        <v>15081685</v>
      </c>
      <c r="C97" s="44" t="s">
        <v>293</v>
      </c>
      <c r="D97" s="44" t="s">
        <v>135</v>
      </c>
      <c r="E97" s="42">
        <v>300000</v>
      </c>
      <c r="F97" s="17">
        <v>100000</v>
      </c>
      <c r="G97" s="17">
        <f>66000</f>
        <v>66000</v>
      </c>
      <c r="H97" s="17">
        <f t="shared" si="84"/>
        <v>166000</v>
      </c>
      <c r="I97" s="17">
        <v>100000</v>
      </c>
      <c r="J97" s="17">
        <v>366000</v>
      </c>
      <c r="K97" s="17">
        <f t="shared" si="85"/>
        <v>466000</v>
      </c>
      <c r="L97" s="17">
        <v>100000</v>
      </c>
      <c r="M97" s="17">
        <v>520500</v>
      </c>
      <c r="N97" s="17">
        <f t="shared" si="86"/>
        <v>620500</v>
      </c>
      <c r="O97" s="17">
        <v>100000</v>
      </c>
      <c r="P97" s="17">
        <f>534500+397500+209000</f>
        <v>1141000</v>
      </c>
      <c r="Q97" s="17">
        <f t="shared" si="74"/>
        <v>1241000</v>
      </c>
      <c r="R97" s="17">
        <v>100000</v>
      </c>
      <c r="S97" s="17">
        <v>0</v>
      </c>
      <c r="T97" s="17">
        <f>8000+[7]System!$F$547</f>
        <v>794500</v>
      </c>
      <c r="U97" s="17">
        <v>397500</v>
      </c>
      <c r="V97" s="17">
        <v>0</v>
      </c>
      <c r="W97" s="17">
        <f t="shared" si="75"/>
        <v>1292000</v>
      </c>
      <c r="X97" s="17">
        <v>100000</v>
      </c>
      <c r="Y97" s="17"/>
      <c r="Z97" s="17">
        <f>[8]Credit!$E$576</f>
        <v>855000</v>
      </c>
      <c r="AA97" s="17">
        <v>397500</v>
      </c>
      <c r="AB97" s="17"/>
      <c r="AC97" s="17">
        <f t="shared" si="76"/>
        <v>1252500</v>
      </c>
      <c r="AD97" s="17">
        <f t="shared" si="77"/>
        <v>1352500</v>
      </c>
      <c r="AE97" s="17">
        <v>100000</v>
      </c>
      <c r="AF97" s="17"/>
      <c r="AG97" s="17">
        <f>[9]Credit!$F$379</f>
        <v>521000</v>
      </c>
      <c r="AH97" s="17">
        <v>397500</v>
      </c>
      <c r="AI97" s="17">
        <v>70000</v>
      </c>
      <c r="AJ97" s="17">
        <f t="shared" si="78"/>
        <v>988500</v>
      </c>
      <c r="AK97" s="17">
        <f t="shared" si="79"/>
        <v>1088500</v>
      </c>
      <c r="AL97" s="17">
        <v>100000</v>
      </c>
      <c r="AM97" s="42">
        <v>265000</v>
      </c>
      <c r="AN97" s="42">
        <f>[5]Credit!$E$685</f>
        <v>995000</v>
      </c>
      <c r="AO97" s="42">
        <v>0</v>
      </c>
      <c r="AP97" s="17">
        <v>22000</v>
      </c>
      <c r="AQ97" s="17">
        <f t="shared" si="80"/>
        <v>1282000</v>
      </c>
      <c r="AR97" s="17">
        <f t="shared" si="81"/>
        <v>1382000</v>
      </c>
      <c r="AS97" s="42">
        <v>100000</v>
      </c>
      <c r="AT97" s="42">
        <v>265000</v>
      </c>
      <c r="AU97" s="42">
        <f>[10]Credit!$E$672</f>
        <v>780750</v>
      </c>
      <c r="AV97" s="42">
        <v>0</v>
      </c>
      <c r="AW97" s="17">
        <f t="shared" si="82"/>
        <v>1045750</v>
      </c>
      <c r="AX97" s="42">
        <f t="shared" si="83"/>
        <v>1145750</v>
      </c>
      <c r="AY97" s="42">
        <v>100000</v>
      </c>
      <c r="AZ97" s="42">
        <f>[6]Credit!$F$695</f>
        <v>859000</v>
      </c>
      <c r="BA97" s="42">
        <v>265000</v>
      </c>
      <c r="BB97" s="42"/>
      <c r="BC97" s="42">
        <f t="shared" ref="BC97:BC128" si="88">SUM(AZ97:BB97)</f>
        <v>1124000</v>
      </c>
      <c r="BD97" s="42">
        <f t="shared" si="87"/>
        <v>1224000</v>
      </c>
      <c r="BE97" s="42">
        <v>100000</v>
      </c>
      <c r="BF97" s="42">
        <v>265000</v>
      </c>
      <c r="BG97" s="42">
        <f>[11]Kredit!$E$698</f>
        <v>999500</v>
      </c>
      <c r="BH97" s="42">
        <v>0</v>
      </c>
      <c r="BI97" s="42">
        <f t="shared" ref="BI97:BI128" si="89">SUM(BF97:BH97)</f>
        <v>1264500</v>
      </c>
      <c r="BJ97" s="42">
        <f t="shared" ref="BJ97:BJ128" si="90">BE97+BI97</f>
        <v>1364500</v>
      </c>
      <c r="BK97" s="42">
        <v>100000</v>
      </c>
      <c r="BL97" s="42">
        <v>0</v>
      </c>
      <c r="BM97" s="42">
        <f>[12]Credit!$E$653</f>
        <v>992250</v>
      </c>
      <c r="BN97" s="42">
        <v>522500</v>
      </c>
      <c r="BO97" s="42">
        <f t="shared" si="67"/>
        <v>1514750</v>
      </c>
      <c r="BP97" s="42">
        <f t="shared" si="68"/>
        <v>1614750</v>
      </c>
      <c r="BQ97" s="69">
        <f t="shared" si="69"/>
        <v>1500000</v>
      </c>
      <c r="BR97" s="37"/>
      <c r="BS97" s="36"/>
      <c r="BT97" s="36"/>
      <c r="BU97" s="36"/>
    </row>
    <row r="98" spans="1:73">
      <c r="A98" s="15">
        <f t="shared" si="66"/>
        <v>94</v>
      </c>
      <c r="B98" s="48" t="s">
        <v>159</v>
      </c>
      <c r="C98" s="44" t="s">
        <v>160</v>
      </c>
      <c r="D98" s="44" t="s">
        <v>135</v>
      </c>
      <c r="E98" s="42">
        <v>2225000</v>
      </c>
      <c r="F98" s="17">
        <v>100000</v>
      </c>
      <c r="G98" s="17">
        <f>648000</f>
        <v>648000</v>
      </c>
      <c r="H98" s="17">
        <f t="shared" si="84"/>
        <v>748000</v>
      </c>
      <c r="I98" s="17">
        <v>100000</v>
      </c>
      <c r="J98" s="17">
        <f>648000+95000</f>
        <v>743000</v>
      </c>
      <c r="K98" s="17">
        <f t="shared" si="85"/>
        <v>843000</v>
      </c>
      <c r="L98" s="17">
        <v>100000</v>
      </c>
      <c r="M98" s="17">
        <f>636000+381000</f>
        <v>1017000</v>
      </c>
      <c r="N98" s="17">
        <f t="shared" si="86"/>
        <v>1117000</v>
      </c>
      <c r="O98" s="17">
        <v>100000</v>
      </c>
      <c r="P98" s="17">
        <f>296000+636000+22000</f>
        <v>954000</v>
      </c>
      <c r="Q98" s="17">
        <f t="shared" si="74"/>
        <v>1054000</v>
      </c>
      <c r="R98" s="17">
        <v>100000</v>
      </c>
      <c r="S98" s="17">
        <f>636000</f>
        <v>636000</v>
      </c>
      <c r="T98" s="17">
        <f>[7]System!$F$559</f>
        <v>78500</v>
      </c>
      <c r="U98" s="17">
        <v>0</v>
      </c>
      <c r="V98" s="17">
        <f>22000+15000</f>
        <v>37000</v>
      </c>
      <c r="W98" s="17">
        <f t="shared" si="75"/>
        <v>851500</v>
      </c>
      <c r="X98" s="17">
        <v>100000</v>
      </c>
      <c r="Y98" s="17">
        <v>636000</v>
      </c>
      <c r="Z98" s="17">
        <f>[8]Credit!$E$587</f>
        <v>91000</v>
      </c>
      <c r="AA98" s="17"/>
      <c r="AB98" s="17">
        <v>10000</v>
      </c>
      <c r="AC98" s="17">
        <f t="shared" si="76"/>
        <v>737000</v>
      </c>
      <c r="AD98" s="17">
        <f t="shared" si="77"/>
        <v>837000</v>
      </c>
      <c r="AE98" s="17">
        <v>100000</v>
      </c>
      <c r="AF98" s="17">
        <v>636000</v>
      </c>
      <c r="AG98" s="17"/>
      <c r="AH98" s="17"/>
      <c r="AI98" s="17">
        <v>70000</v>
      </c>
      <c r="AJ98" s="17">
        <f t="shared" si="78"/>
        <v>706000</v>
      </c>
      <c r="AK98" s="17">
        <f t="shared" si="79"/>
        <v>806000</v>
      </c>
      <c r="AL98" s="17">
        <v>100000</v>
      </c>
      <c r="AM98" s="42">
        <v>0</v>
      </c>
      <c r="AN98" s="42">
        <f>[5]Credit!$E$699</f>
        <v>163500</v>
      </c>
      <c r="AO98" s="42">
        <v>0</v>
      </c>
      <c r="AP98" s="17"/>
      <c r="AQ98" s="17">
        <f t="shared" si="80"/>
        <v>163500</v>
      </c>
      <c r="AR98" s="17">
        <f t="shared" si="81"/>
        <v>263500</v>
      </c>
      <c r="AS98" s="42">
        <v>100000</v>
      </c>
      <c r="AT98" s="42">
        <v>425000</v>
      </c>
      <c r="AU98" s="42">
        <f>[10]Credit!$E$682</f>
        <v>71000</v>
      </c>
      <c r="AV98" s="42">
        <v>0</v>
      </c>
      <c r="AW98" s="17">
        <f t="shared" si="82"/>
        <v>496000</v>
      </c>
      <c r="AX98" s="42">
        <f t="shared" si="83"/>
        <v>596000</v>
      </c>
      <c r="AY98" s="42">
        <v>100000</v>
      </c>
      <c r="AZ98" s="42">
        <f>[6]Credit!$F$709</f>
        <v>102000</v>
      </c>
      <c r="BA98" s="42">
        <v>425000</v>
      </c>
      <c r="BB98" s="42"/>
      <c r="BC98" s="42">
        <f t="shared" si="88"/>
        <v>527000</v>
      </c>
      <c r="BD98" s="42">
        <f t="shared" si="87"/>
        <v>627000</v>
      </c>
      <c r="BE98" s="42">
        <v>100000</v>
      </c>
      <c r="BF98" s="42">
        <v>425000</v>
      </c>
      <c r="BG98" s="42">
        <f>[11]Kredit!$E$718</f>
        <v>275500</v>
      </c>
      <c r="BH98" s="42">
        <v>0</v>
      </c>
      <c r="BI98" s="42">
        <f t="shared" si="89"/>
        <v>700500</v>
      </c>
      <c r="BJ98" s="42">
        <f t="shared" si="90"/>
        <v>800500</v>
      </c>
      <c r="BK98" s="42">
        <v>100000</v>
      </c>
      <c r="BL98" s="42">
        <v>425000</v>
      </c>
      <c r="BM98" s="42">
        <f>[12]Credit!$E$664</f>
        <v>256000</v>
      </c>
      <c r="BN98" s="42">
        <v>0</v>
      </c>
      <c r="BO98" s="42">
        <f t="shared" si="67"/>
        <v>681000</v>
      </c>
      <c r="BP98" s="42">
        <f t="shared" si="68"/>
        <v>781000</v>
      </c>
      <c r="BQ98" s="69">
        <f t="shared" si="69"/>
        <v>3425000</v>
      </c>
      <c r="BR98" s="37"/>
    </row>
    <row r="99" spans="1:73" s="4" customFormat="1" ht="13">
      <c r="A99" s="15">
        <f t="shared" si="66"/>
        <v>95</v>
      </c>
      <c r="B99" s="50" t="s">
        <v>162</v>
      </c>
      <c r="C99" s="44" t="s">
        <v>163</v>
      </c>
      <c r="D99" s="44" t="s">
        <v>135</v>
      </c>
      <c r="E99" s="42">
        <v>2000000</v>
      </c>
      <c r="F99" s="17">
        <v>100000</v>
      </c>
      <c r="G99" s="17">
        <f>440000+239000</f>
        <v>679000</v>
      </c>
      <c r="H99" s="17">
        <f t="shared" si="84"/>
        <v>779000</v>
      </c>
      <c r="I99" s="17">
        <v>100000</v>
      </c>
      <c r="J99" s="17">
        <f>425000+504000</f>
        <v>929000</v>
      </c>
      <c r="K99" s="17">
        <f t="shared" si="85"/>
        <v>1029000</v>
      </c>
      <c r="L99" s="17">
        <v>100000</v>
      </c>
      <c r="M99" s="17">
        <v>425000</v>
      </c>
      <c r="N99" s="17">
        <f t="shared" si="86"/>
        <v>525000</v>
      </c>
      <c r="O99" s="17">
        <v>100000</v>
      </c>
      <c r="P99" s="17">
        <f>275000+425000+102000</f>
        <v>802000</v>
      </c>
      <c r="Q99" s="17">
        <f t="shared" si="74"/>
        <v>902000</v>
      </c>
      <c r="R99" s="17">
        <v>100000</v>
      </c>
      <c r="S99" s="17">
        <f>425000</f>
        <v>425000</v>
      </c>
      <c r="T99" s="17">
        <f>229000+[7]System!$F$588</f>
        <v>587000</v>
      </c>
      <c r="U99" s="17">
        <v>0</v>
      </c>
      <c r="V99" s="17">
        <f>7000</f>
        <v>7000</v>
      </c>
      <c r="W99" s="17">
        <f t="shared" si="75"/>
        <v>1119000</v>
      </c>
      <c r="X99" s="17">
        <v>100000</v>
      </c>
      <c r="Y99" s="17">
        <v>425000</v>
      </c>
      <c r="Z99" s="17">
        <f>[8]Credit!$E$623</f>
        <v>338500</v>
      </c>
      <c r="AA99" s="17"/>
      <c r="AB99" s="17">
        <v>25000</v>
      </c>
      <c r="AC99" s="17">
        <f t="shared" si="76"/>
        <v>788500</v>
      </c>
      <c r="AD99" s="17">
        <f t="shared" si="77"/>
        <v>888500</v>
      </c>
      <c r="AE99" s="17">
        <v>100000</v>
      </c>
      <c r="AF99" s="17">
        <v>530000</v>
      </c>
      <c r="AG99" s="17">
        <f>[9]Credit!$F$393</f>
        <v>244250</v>
      </c>
      <c r="AH99" s="17"/>
      <c r="AI99" s="17"/>
      <c r="AJ99" s="17">
        <f t="shared" si="78"/>
        <v>774250</v>
      </c>
      <c r="AK99" s="17">
        <f t="shared" si="79"/>
        <v>874250</v>
      </c>
      <c r="AL99" s="17">
        <v>100000</v>
      </c>
      <c r="AM99" s="42">
        <v>530000</v>
      </c>
      <c r="AN99" s="42">
        <f>[5]Credit!$E$739</f>
        <v>511000</v>
      </c>
      <c r="AO99" s="42">
        <v>0</v>
      </c>
      <c r="AP99" s="17">
        <v>20000</v>
      </c>
      <c r="AQ99" s="17">
        <f t="shared" si="80"/>
        <v>1061000</v>
      </c>
      <c r="AR99" s="17">
        <f t="shared" si="81"/>
        <v>1161000</v>
      </c>
      <c r="AS99" s="42">
        <v>100000</v>
      </c>
      <c r="AT99" s="42">
        <v>530000</v>
      </c>
      <c r="AU99" s="42">
        <f>[10]Credit!$E$715</f>
        <v>448500</v>
      </c>
      <c r="AV99" s="42">
        <v>0</v>
      </c>
      <c r="AW99" s="17">
        <f t="shared" si="82"/>
        <v>978500</v>
      </c>
      <c r="AX99" s="42">
        <f t="shared" si="83"/>
        <v>1078500</v>
      </c>
      <c r="AY99" s="42">
        <v>100000</v>
      </c>
      <c r="AZ99" s="42">
        <f>[6]Credit!$F$746</f>
        <v>491000</v>
      </c>
      <c r="BA99" s="42">
        <v>530000</v>
      </c>
      <c r="BB99" s="42"/>
      <c r="BC99" s="42">
        <f t="shared" si="88"/>
        <v>1021000</v>
      </c>
      <c r="BD99" s="42">
        <f t="shared" si="87"/>
        <v>1121000</v>
      </c>
      <c r="BE99" s="42">
        <v>100000</v>
      </c>
      <c r="BF99" s="42">
        <v>530000</v>
      </c>
      <c r="BG99" s="42">
        <f>[11]Kredit!$E$742</f>
        <v>463000</v>
      </c>
      <c r="BH99" s="42">
        <v>0</v>
      </c>
      <c r="BI99" s="42">
        <f t="shared" si="89"/>
        <v>993000</v>
      </c>
      <c r="BJ99" s="42">
        <f t="shared" si="90"/>
        <v>1093000</v>
      </c>
      <c r="BK99" s="42">
        <v>100000</v>
      </c>
      <c r="BL99" s="42">
        <v>530000</v>
      </c>
      <c r="BM99" s="42">
        <f>[12]Credit!$E$691</f>
        <v>468000</v>
      </c>
      <c r="BN99" s="42">
        <v>0</v>
      </c>
      <c r="BO99" s="42">
        <f t="shared" si="67"/>
        <v>998000</v>
      </c>
      <c r="BP99" s="42">
        <f t="shared" si="68"/>
        <v>1098000</v>
      </c>
      <c r="BQ99" s="69">
        <f t="shared" si="69"/>
        <v>3200000</v>
      </c>
      <c r="BR99" s="37"/>
      <c r="BS99" s="36"/>
      <c r="BT99" s="36"/>
      <c r="BU99" s="36"/>
    </row>
    <row r="100" spans="1:73">
      <c r="A100" s="15">
        <f t="shared" si="66"/>
        <v>96</v>
      </c>
      <c r="B100" s="43">
        <v>96020975</v>
      </c>
      <c r="C100" s="44" t="s">
        <v>164</v>
      </c>
      <c r="D100" s="44" t="s">
        <v>135</v>
      </c>
      <c r="E100" s="42">
        <v>2775000</v>
      </c>
      <c r="F100" s="17">
        <v>100000</v>
      </c>
      <c r="G100" s="17">
        <f>540000</f>
        <v>540000</v>
      </c>
      <c r="H100" s="17">
        <f t="shared" si="84"/>
        <v>640000</v>
      </c>
      <c r="I100" s="17">
        <v>100000</v>
      </c>
      <c r="J100" s="17">
        <f>540000</f>
        <v>540000</v>
      </c>
      <c r="K100" s="17">
        <f t="shared" si="85"/>
        <v>640000</v>
      </c>
      <c r="L100" s="17">
        <v>100000</v>
      </c>
      <c r="M100" s="17">
        <f>540000+108500</f>
        <v>648500</v>
      </c>
      <c r="N100" s="17">
        <f t="shared" si="86"/>
        <v>748500</v>
      </c>
      <c r="O100" s="17">
        <v>100000</v>
      </c>
      <c r="P100" s="17">
        <f>540000</f>
        <v>540000</v>
      </c>
      <c r="Q100" s="17">
        <f t="shared" si="74"/>
        <v>640000</v>
      </c>
      <c r="R100" s="17">
        <v>100000</v>
      </c>
      <c r="S100" s="17">
        <v>0</v>
      </c>
      <c r="T100" s="17">
        <v>0</v>
      </c>
      <c r="U100" s="17">
        <v>0</v>
      </c>
      <c r="V100" s="17">
        <f>11000+14000</f>
        <v>25000</v>
      </c>
      <c r="W100" s="17">
        <f t="shared" si="75"/>
        <v>125000</v>
      </c>
      <c r="X100" s="17">
        <v>100000</v>
      </c>
      <c r="Y100" s="17"/>
      <c r="Z100" s="17"/>
      <c r="AA100" s="17"/>
      <c r="AB100" s="17">
        <v>45000</v>
      </c>
      <c r="AC100" s="17">
        <f t="shared" si="76"/>
        <v>45000</v>
      </c>
      <c r="AD100" s="17">
        <f t="shared" si="77"/>
        <v>145000</v>
      </c>
      <c r="AE100" s="17">
        <v>100000</v>
      </c>
      <c r="AF100" s="17"/>
      <c r="AG100" s="17">
        <f>[9]Credit!$F$430</f>
        <v>72500</v>
      </c>
      <c r="AH100" s="17"/>
      <c r="AI100" s="17"/>
      <c r="AJ100" s="17">
        <f t="shared" si="78"/>
        <v>72500</v>
      </c>
      <c r="AK100" s="17">
        <f t="shared" si="79"/>
        <v>172500</v>
      </c>
      <c r="AL100" s="17">
        <v>100000</v>
      </c>
      <c r="AM100" s="42">
        <v>0</v>
      </c>
      <c r="AN100" s="42">
        <v>0</v>
      </c>
      <c r="AO100" s="42">
        <v>0</v>
      </c>
      <c r="AP100" s="17"/>
      <c r="AQ100" s="17">
        <f t="shared" si="80"/>
        <v>0</v>
      </c>
      <c r="AR100" s="17">
        <f t="shared" si="81"/>
        <v>100000</v>
      </c>
      <c r="AS100" s="42">
        <v>100000</v>
      </c>
      <c r="AT100" s="42">
        <v>0</v>
      </c>
      <c r="AU100" s="42">
        <v>0</v>
      </c>
      <c r="AV100" s="42">
        <v>0</v>
      </c>
      <c r="AW100" s="17">
        <f t="shared" si="82"/>
        <v>0</v>
      </c>
      <c r="AX100" s="42">
        <f t="shared" si="83"/>
        <v>100000</v>
      </c>
      <c r="AY100" s="42">
        <v>100000</v>
      </c>
      <c r="AZ100" s="42">
        <f>[6]Credit!$F$810</f>
        <v>40050</v>
      </c>
      <c r="BA100" s="42"/>
      <c r="BB100" s="42"/>
      <c r="BC100" s="42">
        <f t="shared" si="88"/>
        <v>40050</v>
      </c>
      <c r="BD100" s="42">
        <f t="shared" si="87"/>
        <v>140050</v>
      </c>
      <c r="BE100" s="42">
        <v>100000</v>
      </c>
      <c r="BF100" s="42">
        <v>0</v>
      </c>
      <c r="BG100" s="42"/>
      <c r="BH100" s="42">
        <v>0</v>
      </c>
      <c r="BI100" s="42">
        <f t="shared" si="89"/>
        <v>0</v>
      </c>
      <c r="BJ100" s="42">
        <f t="shared" si="90"/>
        <v>100000</v>
      </c>
      <c r="BK100" s="42">
        <v>100000</v>
      </c>
      <c r="BL100" s="42">
        <v>0</v>
      </c>
      <c r="BM100" s="42">
        <v>0</v>
      </c>
      <c r="BN100" s="42">
        <v>0</v>
      </c>
      <c r="BO100" s="42">
        <f t="shared" si="67"/>
        <v>0</v>
      </c>
      <c r="BP100" s="42">
        <f t="shared" si="68"/>
        <v>100000</v>
      </c>
      <c r="BQ100" s="69">
        <f t="shared" si="69"/>
        <v>3975000</v>
      </c>
      <c r="BR100" s="37"/>
    </row>
    <row r="101" spans="1:73">
      <c r="A101" s="15">
        <f t="shared" si="66"/>
        <v>97</v>
      </c>
      <c r="B101" s="43">
        <v>96121225</v>
      </c>
      <c r="C101" s="44" t="s">
        <v>165</v>
      </c>
      <c r="D101" s="44" t="s">
        <v>135</v>
      </c>
      <c r="E101" s="42">
        <v>2775000</v>
      </c>
      <c r="F101" s="17">
        <v>100000</v>
      </c>
      <c r="G101" s="17">
        <f>324000</f>
        <v>324000</v>
      </c>
      <c r="H101" s="17">
        <f t="shared" si="84"/>
        <v>424000</v>
      </c>
      <c r="I101" s="17">
        <v>100000</v>
      </c>
      <c r="J101" s="17">
        <f>324000</f>
        <v>324000</v>
      </c>
      <c r="K101" s="17">
        <f t="shared" si="85"/>
        <v>424000</v>
      </c>
      <c r="L101" s="17">
        <v>100000</v>
      </c>
      <c r="M101" s="17">
        <v>324000</v>
      </c>
      <c r="N101" s="17">
        <f t="shared" si="86"/>
        <v>424000</v>
      </c>
      <c r="O101" s="17">
        <v>100000</v>
      </c>
      <c r="P101" s="17">
        <f>324000</f>
        <v>324000</v>
      </c>
      <c r="Q101" s="17">
        <f t="shared" si="74"/>
        <v>424000</v>
      </c>
      <c r="R101" s="17">
        <v>100000</v>
      </c>
      <c r="S101" s="17">
        <f>324000</f>
        <v>324000</v>
      </c>
      <c r="T101" s="17">
        <v>0</v>
      </c>
      <c r="U101" s="17">
        <v>0</v>
      </c>
      <c r="V101" s="17">
        <f>7000+10000+21000</f>
        <v>38000</v>
      </c>
      <c r="W101" s="17">
        <f t="shared" si="75"/>
        <v>462000</v>
      </c>
      <c r="X101" s="17">
        <v>100000</v>
      </c>
      <c r="Y101" s="17">
        <v>425000</v>
      </c>
      <c r="Z101" s="17"/>
      <c r="AA101" s="17"/>
      <c r="AB101" s="17">
        <v>60000</v>
      </c>
      <c r="AC101" s="17">
        <f t="shared" si="76"/>
        <v>485000</v>
      </c>
      <c r="AD101" s="17">
        <f t="shared" si="77"/>
        <v>585000</v>
      </c>
      <c r="AE101" s="17">
        <v>100000</v>
      </c>
      <c r="AF101" s="17">
        <v>425000</v>
      </c>
      <c r="AG101" s="17"/>
      <c r="AH101" s="17"/>
      <c r="AI101" s="17">
        <v>70000</v>
      </c>
      <c r="AJ101" s="17">
        <f t="shared" si="78"/>
        <v>495000</v>
      </c>
      <c r="AK101" s="17">
        <f t="shared" si="79"/>
        <v>595000</v>
      </c>
      <c r="AL101" s="17">
        <v>100000</v>
      </c>
      <c r="AM101" s="42">
        <v>425000</v>
      </c>
      <c r="AN101" s="42">
        <v>0</v>
      </c>
      <c r="AO101" s="42">
        <v>0</v>
      </c>
      <c r="AP101" s="17"/>
      <c r="AQ101" s="17">
        <f t="shared" si="80"/>
        <v>425000</v>
      </c>
      <c r="AR101" s="17">
        <f t="shared" si="81"/>
        <v>525000</v>
      </c>
      <c r="AS101" s="42">
        <v>100000</v>
      </c>
      <c r="AT101" s="42">
        <v>425000</v>
      </c>
      <c r="AU101" s="42">
        <v>0</v>
      </c>
      <c r="AV101" s="42">
        <v>0</v>
      </c>
      <c r="AW101" s="17">
        <f t="shared" si="82"/>
        <v>425000</v>
      </c>
      <c r="AX101" s="42">
        <f t="shared" si="83"/>
        <v>525000</v>
      </c>
      <c r="AY101" s="42">
        <v>100000</v>
      </c>
      <c r="AZ101" s="42">
        <v>0</v>
      </c>
      <c r="BA101" s="42">
        <v>425000</v>
      </c>
      <c r="BB101" s="42"/>
      <c r="BC101" s="42">
        <f t="shared" si="88"/>
        <v>425000</v>
      </c>
      <c r="BD101" s="42">
        <f t="shared" si="87"/>
        <v>525000</v>
      </c>
      <c r="BE101" s="42">
        <v>100000</v>
      </c>
      <c r="BF101" s="42">
        <v>0</v>
      </c>
      <c r="BG101" s="42"/>
      <c r="BH101" s="42">
        <v>0</v>
      </c>
      <c r="BI101" s="42">
        <f t="shared" si="89"/>
        <v>0</v>
      </c>
      <c r="BJ101" s="42">
        <f t="shared" si="90"/>
        <v>100000</v>
      </c>
      <c r="BK101" s="42">
        <v>100000</v>
      </c>
      <c r="BL101" s="42">
        <v>0</v>
      </c>
      <c r="BM101" s="42">
        <v>0</v>
      </c>
      <c r="BN101" s="42">
        <v>0</v>
      </c>
      <c r="BO101" s="42">
        <f t="shared" ref="BO101:BO132" si="91">SUM(BL101:BN101)</f>
        <v>0</v>
      </c>
      <c r="BP101" s="42">
        <f t="shared" ref="BP101:BP132" si="92">BK101+BO101</f>
        <v>100000</v>
      </c>
      <c r="BQ101" s="69">
        <f t="shared" ref="BQ101:BQ132" si="93">E101+F101+I101+L101+O101+R101+X101+AE101+AL101+AS101+AY101+BE101+BK101</f>
        <v>3975000</v>
      </c>
      <c r="BR101" s="37"/>
    </row>
    <row r="102" spans="1:73">
      <c r="A102" s="15">
        <f t="shared" si="66"/>
        <v>98</v>
      </c>
      <c r="B102" s="43">
        <v>96020985</v>
      </c>
      <c r="C102" s="44" t="s">
        <v>167</v>
      </c>
      <c r="D102" s="44" t="s">
        <v>135</v>
      </c>
      <c r="E102" s="42">
        <v>2775000</v>
      </c>
      <c r="F102" s="17">
        <v>100000</v>
      </c>
      <c r="G102" s="17"/>
      <c r="H102" s="17">
        <f t="shared" si="84"/>
        <v>100000</v>
      </c>
      <c r="I102" s="17">
        <v>100000</v>
      </c>
      <c r="J102" s="17">
        <v>195500</v>
      </c>
      <c r="K102" s="17">
        <f t="shared" si="85"/>
        <v>295500</v>
      </c>
      <c r="L102" s="17">
        <v>100000</v>
      </c>
      <c r="M102" s="17">
        <v>165000</v>
      </c>
      <c r="N102" s="17">
        <f t="shared" si="86"/>
        <v>265000</v>
      </c>
      <c r="O102" s="17">
        <v>100000</v>
      </c>
      <c r="P102" s="17">
        <f>223000</f>
        <v>223000</v>
      </c>
      <c r="Q102" s="17">
        <f t="shared" si="74"/>
        <v>323000</v>
      </c>
      <c r="R102" s="17">
        <v>100000</v>
      </c>
      <c r="S102" s="17">
        <v>0</v>
      </c>
      <c r="T102" s="17">
        <f>9000+[7]System!$F$674</f>
        <v>252000</v>
      </c>
      <c r="U102" s="17">
        <v>0</v>
      </c>
      <c r="V102" s="17">
        <f>37000+51000</f>
        <v>88000</v>
      </c>
      <c r="W102" s="17">
        <f t="shared" si="75"/>
        <v>440000</v>
      </c>
      <c r="X102" s="17">
        <v>100000</v>
      </c>
      <c r="Y102" s="17"/>
      <c r="Z102" s="17">
        <f>[8]Credit!$E$732</f>
        <v>70000</v>
      </c>
      <c r="AA102" s="17"/>
      <c r="AB102" s="17">
        <f>95000+10000</f>
        <v>105000</v>
      </c>
      <c r="AC102" s="17">
        <f t="shared" si="76"/>
        <v>175000</v>
      </c>
      <c r="AD102" s="17">
        <f t="shared" si="77"/>
        <v>275000</v>
      </c>
      <c r="AE102" s="17">
        <v>100000</v>
      </c>
      <c r="AF102" s="17"/>
      <c r="AG102" s="17">
        <f>[9]Credit!$F$457</f>
        <v>121000</v>
      </c>
      <c r="AH102" s="17"/>
      <c r="AI102" s="17">
        <v>70000</v>
      </c>
      <c r="AJ102" s="17">
        <f t="shared" si="78"/>
        <v>191000</v>
      </c>
      <c r="AK102" s="17">
        <f t="shared" si="79"/>
        <v>291000</v>
      </c>
      <c r="AL102" s="17">
        <v>100000</v>
      </c>
      <c r="AM102" s="42">
        <v>0</v>
      </c>
      <c r="AN102" s="42">
        <f>[5]Credit!$E$842</f>
        <v>186500</v>
      </c>
      <c r="AO102" s="42">
        <v>0</v>
      </c>
      <c r="AP102" s="17"/>
      <c r="AQ102" s="17">
        <f t="shared" si="80"/>
        <v>186500</v>
      </c>
      <c r="AR102" s="17">
        <f t="shared" si="81"/>
        <v>286500</v>
      </c>
      <c r="AS102" s="42">
        <v>100000</v>
      </c>
      <c r="AT102" s="42">
        <v>0</v>
      </c>
      <c r="AU102" s="42">
        <f>[10]Credit!$E$823</f>
        <v>162500</v>
      </c>
      <c r="AV102" s="42">
        <v>0</v>
      </c>
      <c r="AW102" s="17">
        <f t="shared" si="82"/>
        <v>162500</v>
      </c>
      <c r="AX102" s="42">
        <f t="shared" si="83"/>
        <v>262500</v>
      </c>
      <c r="AY102" s="42">
        <v>100000</v>
      </c>
      <c r="AZ102" s="42">
        <f>[6]Credit!$F$857</f>
        <v>493500</v>
      </c>
      <c r="BA102" s="42"/>
      <c r="BB102" s="42"/>
      <c r="BC102" s="42">
        <f t="shared" si="88"/>
        <v>493500</v>
      </c>
      <c r="BD102" s="42">
        <f t="shared" si="87"/>
        <v>593500</v>
      </c>
      <c r="BE102" s="42">
        <v>100000</v>
      </c>
      <c r="BF102" s="42">
        <v>0</v>
      </c>
      <c r="BG102" s="42">
        <f>[11]Kredit!$E$852</f>
        <v>283000</v>
      </c>
      <c r="BH102" s="42">
        <v>0</v>
      </c>
      <c r="BI102" s="42">
        <f t="shared" si="89"/>
        <v>283000</v>
      </c>
      <c r="BJ102" s="42">
        <f t="shared" si="90"/>
        <v>383000</v>
      </c>
      <c r="BK102" s="42">
        <v>100000</v>
      </c>
      <c r="BL102" s="42">
        <v>0</v>
      </c>
      <c r="BM102" s="42">
        <f>[12]Credit!$E$787</f>
        <v>269500</v>
      </c>
      <c r="BN102" s="42">
        <v>0</v>
      </c>
      <c r="BO102" s="42">
        <f t="shared" si="91"/>
        <v>269500</v>
      </c>
      <c r="BP102" s="42">
        <f t="shared" si="92"/>
        <v>369500</v>
      </c>
      <c r="BQ102" s="69">
        <f t="shared" si="93"/>
        <v>3975000</v>
      </c>
      <c r="BR102" s="37"/>
    </row>
    <row r="103" spans="1:73">
      <c r="A103" s="15">
        <f t="shared" si="66"/>
        <v>99</v>
      </c>
      <c r="B103" s="50">
        <v>13079825</v>
      </c>
      <c r="C103" s="44" t="s">
        <v>295</v>
      </c>
      <c r="D103" s="44" t="s">
        <v>135</v>
      </c>
      <c r="E103" s="42">
        <v>400000</v>
      </c>
      <c r="F103" s="17">
        <v>100000</v>
      </c>
      <c r="G103" s="17">
        <v>347000</v>
      </c>
      <c r="H103" s="17">
        <f t="shared" si="84"/>
        <v>447000</v>
      </c>
      <c r="I103" s="17">
        <v>100000</v>
      </c>
      <c r="J103" s="17">
        <f>260000+460000</f>
        <v>720000</v>
      </c>
      <c r="K103" s="17">
        <f t="shared" si="85"/>
        <v>820000</v>
      </c>
      <c r="L103" s="17">
        <v>100000</v>
      </c>
      <c r="M103" s="17">
        <f>260000+130000</f>
        <v>390000</v>
      </c>
      <c r="N103" s="17">
        <f t="shared" si="86"/>
        <v>490000</v>
      </c>
      <c r="O103" s="17">
        <v>100000</v>
      </c>
      <c r="P103" s="17">
        <f>330000+234000+165000</f>
        <v>729000</v>
      </c>
      <c r="Q103" s="17">
        <f t="shared" si="74"/>
        <v>829000</v>
      </c>
      <c r="R103" s="17">
        <v>100000</v>
      </c>
      <c r="S103" s="17">
        <v>0</v>
      </c>
      <c r="T103" s="17">
        <f>[7]System!$F$683</f>
        <v>530000</v>
      </c>
      <c r="U103" s="17">
        <v>0</v>
      </c>
      <c r="V103" s="17">
        <f>21000</f>
        <v>21000</v>
      </c>
      <c r="W103" s="17">
        <f t="shared" si="75"/>
        <v>651000</v>
      </c>
      <c r="X103" s="17">
        <v>100000</v>
      </c>
      <c r="Y103" s="17"/>
      <c r="Z103" s="17">
        <f>[8]Credit!$E$739</f>
        <v>372000</v>
      </c>
      <c r="AA103" s="17"/>
      <c r="AB103" s="17">
        <v>50000</v>
      </c>
      <c r="AC103" s="17">
        <f t="shared" si="76"/>
        <v>422000</v>
      </c>
      <c r="AD103" s="17">
        <f t="shared" si="77"/>
        <v>522000</v>
      </c>
      <c r="AE103" s="17">
        <v>100000</v>
      </c>
      <c r="AF103" s="17">
        <v>530000</v>
      </c>
      <c r="AG103" s="17">
        <f>[9]Credit!$F$463</f>
        <v>342500</v>
      </c>
      <c r="AH103" s="17"/>
      <c r="AI103" s="17">
        <v>70000</v>
      </c>
      <c r="AJ103" s="17">
        <f t="shared" si="78"/>
        <v>942500</v>
      </c>
      <c r="AK103" s="17">
        <f t="shared" si="79"/>
        <v>1042500</v>
      </c>
      <c r="AL103" s="17">
        <v>100000</v>
      </c>
      <c r="AM103" s="42">
        <v>530000</v>
      </c>
      <c r="AN103" s="42">
        <f>[5]Credit!$E$856</f>
        <v>370000</v>
      </c>
      <c r="AO103" s="42">
        <v>0</v>
      </c>
      <c r="AP103" s="17"/>
      <c r="AQ103" s="17">
        <f t="shared" si="80"/>
        <v>900000</v>
      </c>
      <c r="AR103" s="17">
        <f t="shared" si="81"/>
        <v>1000000</v>
      </c>
      <c r="AS103" s="42">
        <v>100000</v>
      </c>
      <c r="AT103" s="42">
        <v>530000</v>
      </c>
      <c r="AU103" s="42">
        <f>[10]Credit!$E$843</f>
        <v>374500</v>
      </c>
      <c r="AV103" s="42">
        <v>0</v>
      </c>
      <c r="AW103" s="17">
        <f t="shared" si="82"/>
        <v>904500</v>
      </c>
      <c r="AX103" s="42">
        <f t="shared" si="83"/>
        <v>1004500</v>
      </c>
      <c r="AY103" s="42">
        <v>100000</v>
      </c>
      <c r="AZ103" s="42">
        <f>[6]Credit!$F$877</f>
        <v>367500</v>
      </c>
      <c r="BA103" s="42">
        <v>530000</v>
      </c>
      <c r="BB103" s="42"/>
      <c r="BC103" s="42">
        <f t="shared" si="88"/>
        <v>897500</v>
      </c>
      <c r="BD103" s="42">
        <f t="shared" si="87"/>
        <v>997500</v>
      </c>
      <c r="BE103" s="42">
        <v>100000</v>
      </c>
      <c r="BF103" s="42">
        <v>530000</v>
      </c>
      <c r="BG103" s="42">
        <f>[11]Kredit!$E$877</f>
        <v>327000</v>
      </c>
      <c r="BH103" s="42">
        <v>0</v>
      </c>
      <c r="BI103" s="42">
        <f t="shared" si="89"/>
        <v>857000</v>
      </c>
      <c r="BJ103" s="42">
        <f t="shared" si="90"/>
        <v>957000</v>
      </c>
      <c r="BK103" s="42">
        <v>100000</v>
      </c>
      <c r="BL103" s="42">
        <v>530000</v>
      </c>
      <c r="BM103" s="42">
        <f>[12]Credit!$E$807</f>
        <v>393000</v>
      </c>
      <c r="BN103" s="42">
        <v>0</v>
      </c>
      <c r="BO103" s="42">
        <f t="shared" si="91"/>
        <v>923000</v>
      </c>
      <c r="BP103" s="42">
        <f t="shared" si="92"/>
        <v>1023000</v>
      </c>
      <c r="BQ103" s="69">
        <f t="shared" si="93"/>
        <v>1600000</v>
      </c>
      <c r="BR103" s="38" t="s">
        <v>401</v>
      </c>
    </row>
    <row r="104" spans="1:73">
      <c r="A104" s="15">
        <f t="shared" si="66"/>
        <v>100</v>
      </c>
      <c r="B104" s="43">
        <v>96031025</v>
      </c>
      <c r="C104" s="44" t="s">
        <v>168</v>
      </c>
      <c r="D104" s="44" t="s">
        <v>135</v>
      </c>
      <c r="E104" s="42">
        <v>2775000</v>
      </c>
      <c r="F104" s="17">
        <v>100000</v>
      </c>
      <c r="G104" s="17">
        <v>180000</v>
      </c>
      <c r="H104" s="17">
        <f t="shared" si="84"/>
        <v>280000</v>
      </c>
      <c r="I104" s="17">
        <v>100000</v>
      </c>
      <c r="J104" s="17"/>
      <c r="K104" s="17">
        <f t="shared" si="85"/>
        <v>100000</v>
      </c>
      <c r="L104" s="17">
        <v>100000</v>
      </c>
      <c r="M104" s="17"/>
      <c r="N104" s="17">
        <f t="shared" si="86"/>
        <v>100000</v>
      </c>
      <c r="O104" s="17">
        <v>100000</v>
      </c>
      <c r="P104" s="17">
        <f>380000</f>
        <v>380000</v>
      </c>
      <c r="Q104" s="17">
        <f t="shared" si="74"/>
        <v>480000</v>
      </c>
      <c r="R104" s="17">
        <v>100000</v>
      </c>
      <c r="S104" s="17">
        <v>0</v>
      </c>
      <c r="T104" s="17">
        <f>[7]System!$F$704</f>
        <v>230000</v>
      </c>
      <c r="U104" s="17">
        <v>0</v>
      </c>
      <c r="V104" s="17">
        <f>21000+20000</f>
        <v>41000</v>
      </c>
      <c r="W104" s="17">
        <f t="shared" si="75"/>
        <v>371000</v>
      </c>
      <c r="X104" s="17">
        <v>100000</v>
      </c>
      <c r="Y104" s="17"/>
      <c r="Z104" s="17">
        <f>[8]Credit!$E$767</f>
        <v>321000</v>
      </c>
      <c r="AA104" s="17"/>
      <c r="AB104" s="17">
        <f>95000+10000</f>
        <v>105000</v>
      </c>
      <c r="AC104" s="17">
        <f t="shared" si="76"/>
        <v>426000</v>
      </c>
      <c r="AD104" s="17">
        <f t="shared" si="77"/>
        <v>526000</v>
      </c>
      <c r="AE104" s="17">
        <v>100000</v>
      </c>
      <c r="AF104" s="17"/>
      <c r="AG104" s="17">
        <f>[9]Credit!$F$480</f>
        <v>19000</v>
      </c>
      <c r="AH104" s="17"/>
      <c r="AI104" s="17"/>
      <c r="AJ104" s="17">
        <f t="shared" si="78"/>
        <v>19000</v>
      </c>
      <c r="AK104" s="17">
        <f t="shared" si="79"/>
        <v>119000</v>
      </c>
      <c r="AL104" s="17">
        <v>100000</v>
      </c>
      <c r="AM104" s="42">
        <v>0</v>
      </c>
      <c r="AN104" s="42">
        <f>[5]Credit!$E$887</f>
        <v>407000</v>
      </c>
      <c r="AO104" s="42">
        <v>0</v>
      </c>
      <c r="AP104" s="17"/>
      <c r="AQ104" s="17">
        <f t="shared" si="80"/>
        <v>407000</v>
      </c>
      <c r="AR104" s="17">
        <f t="shared" si="81"/>
        <v>507000</v>
      </c>
      <c r="AS104" s="42">
        <v>100000</v>
      </c>
      <c r="AT104" s="42">
        <v>0</v>
      </c>
      <c r="AU104" s="42">
        <v>0</v>
      </c>
      <c r="AV104" s="42">
        <v>0</v>
      </c>
      <c r="AW104" s="17">
        <f t="shared" si="82"/>
        <v>0</v>
      </c>
      <c r="AX104" s="42">
        <f t="shared" si="83"/>
        <v>100000</v>
      </c>
      <c r="AY104" s="42">
        <v>100000</v>
      </c>
      <c r="AZ104" s="42">
        <v>0</v>
      </c>
      <c r="BA104" s="42"/>
      <c r="BB104" s="42"/>
      <c r="BC104" s="42">
        <f t="shared" si="88"/>
        <v>0</v>
      </c>
      <c r="BD104" s="42">
        <f t="shared" si="87"/>
        <v>100000</v>
      </c>
      <c r="BE104" s="42">
        <v>100000</v>
      </c>
      <c r="BF104" s="42">
        <v>0</v>
      </c>
      <c r="BG104" s="42">
        <f>[11]Kredit!$E$922</f>
        <v>386000</v>
      </c>
      <c r="BH104" s="42">
        <v>0</v>
      </c>
      <c r="BI104" s="42">
        <f t="shared" si="89"/>
        <v>386000</v>
      </c>
      <c r="BJ104" s="42">
        <f t="shared" si="90"/>
        <v>486000</v>
      </c>
      <c r="BK104" s="42">
        <v>100000</v>
      </c>
      <c r="BL104" s="42">
        <v>0</v>
      </c>
      <c r="BM104" s="42">
        <f>[12]Credit!$E$849</f>
        <v>385000</v>
      </c>
      <c r="BN104" s="42">
        <v>0</v>
      </c>
      <c r="BO104" s="42">
        <f t="shared" si="91"/>
        <v>385000</v>
      </c>
      <c r="BP104" s="42">
        <f t="shared" si="92"/>
        <v>485000</v>
      </c>
      <c r="BQ104" s="69">
        <f t="shared" si="93"/>
        <v>3975000</v>
      </c>
      <c r="BR104" s="37"/>
    </row>
    <row r="105" spans="1:73">
      <c r="A105" s="15">
        <f t="shared" si="66"/>
        <v>101</v>
      </c>
      <c r="B105" s="43">
        <v>95110885</v>
      </c>
      <c r="C105" s="44" t="s">
        <v>169</v>
      </c>
      <c r="D105" s="44" t="s">
        <v>135</v>
      </c>
      <c r="E105" s="42">
        <v>2775000</v>
      </c>
      <c r="F105" s="17">
        <v>100000</v>
      </c>
      <c r="G105" s="17">
        <f>270000</f>
        <v>270000</v>
      </c>
      <c r="H105" s="17">
        <f t="shared" si="84"/>
        <v>370000</v>
      </c>
      <c r="I105" s="17">
        <v>100000</v>
      </c>
      <c r="J105" s="17">
        <f>270000+92500</f>
        <v>362500</v>
      </c>
      <c r="K105" s="17">
        <f t="shared" si="85"/>
        <v>462500</v>
      </c>
      <c r="L105" s="17">
        <v>100000</v>
      </c>
      <c r="M105" s="17">
        <f>270000+128500</f>
        <v>398500</v>
      </c>
      <c r="N105" s="17">
        <f t="shared" si="86"/>
        <v>498500</v>
      </c>
      <c r="O105" s="17">
        <v>100000</v>
      </c>
      <c r="P105" s="17">
        <f>186500+270000+131500</f>
        <v>588000</v>
      </c>
      <c r="Q105" s="17">
        <f t="shared" si="74"/>
        <v>688000</v>
      </c>
      <c r="R105" s="17">
        <v>100000</v>
      </c>
      <c r="S105" s="17">
        <v>0</v>
      </c>
      <c r="T105" s="17">
        <v>0</v>
      </c>
      <c r="U105" s="17">
        <v>0</v>
      </c>
      <c r="V105" s="17">
        <f>21000+48000</f>
        <v>69000</v>
      </c>
      <c r="W105" s="17">
        <f t="shared" si="75"/>
        <v>169000</v>
      </c>
      <c r="X105" s="17">
        <v>100000</v>
      </c>
      <c r="Y105" s="17">
        <v>530000</v>
      </c>
      <c r="Z105" s="17"/>
      <c r="AA105" s="17"/>
      <c r="AB105" s="17">
        <v>25000</v>
      </c>
      <c r="AC105" s="17">
        <f t="shared" si="76"/>
        <v>555000</v>
      </c>
      <c r="AD105" s="17">
        <f t="shared" si="77"/>
        <v>655000</v>
      </c>
      <c r="AE105" s="17">
        <v>100000</v>
      </c>
      <c r="AF105" s="17">
        <v>530000</v>
      </c>
      <c r="AG105" s="17"/>
      <c r="AH105" s="17"/>
      <c r="AI105" s="17"/>
      <c r="AJ105" s="17">
        <f t="shared" si="78"/>
        <v>530000</v>
      </c>
      <c r="AK105" s="17">
        <f t="shared" si="79"/>
        <v>630000</v>
      </c>
      <c r="AL105" s="17">
        <v>100000</v>
      </c>
      <c r="AM105" s="42">
        <v>530000</v>
      </c>
      <c r="AN105" s="42">
        <v>0</v>
      </c>
      <c r="AO105" s="42">
        <v>0</v>
      </c>
      <c r="AP105" s="17"/>
      <c r="AQ105" s="17">
        <f t="shared" si="80"/>
        <v>530000</v>
      </c>
      <c r="AR105" s="17">
        <f t="shared" si="81"/>
        <v>630000</v>
      </c>
      <c r="AS105" s="42">
        <v>100000</v>
      </c>
      <c r="AT105" s="42">
        <v>530000</v>
      </c>
      <c r="AU105" s="42">
        <f>[10]Credit!$E$908</f>
        <v>225500</v>
      </c>
      <c r="AV105" s="42">
        <v>0</v>
      </c>
      <c r="AW105" s="17">
        <f t="shared" si="82"/>
        <v>755500</v>
      </c>
      <c r="AX105" s="42">
        <f t="shared" si="83"/>
        <v>855500</v>
      </c>
      <c r="AY105" s="42">
        <v>100000</v>
      </c>
      <c r="AZ105" s="42">
        <v>0</v>
      </c>
      <c r="BA105" s="42">
        <v>530000</v>
      </c>
      <c r="BB105" s="42"/>
      <c r="BC105" s="42">
        <f t="shared" si="88"/>
        <v>530000</v>
      </c>
      <c r="BD105" s="42">
        <f t="shared" si="87"/>
        <v>630000</v>
      </c>
      <c r="BE105" s="42">
        <v>100000</v>
      </c>
      <c r="BF105" s="42">
        <f>530000</f>
        <v>530000</v>
      </c>
      <c r="BG105" s="42">
        <f>[11]Kredit!$E$953</f>
        <v>130500</v>
      </c>
      <c r="BH105" s="42">
        <v>0</v>
      </c>
      <c r="BI105" s="42">
        <f t="shared" si="89"/>
        <v>660500</v>
      </c>
      <c r="BJ105" s="42">
        <f t="shared" si="90"/>
        <v>760500</v>
      </c>
      <c r="BK105" s="42">
        <v>100000</v>
      </c>
      <c r="BL105" s="42">
        <v>530000</v>
      </c>
      <c r="BM105" s="42">
        <v>0</v>
      </c>
      <c r="BN105" s="42">
        <v>0</v>
      </c>
      <c r="BO105" s="42">
        <f t="shared" si="91"/>
        <v>530000</v>
      </c>
      <c r="BP105" s="42">
        <f t="shared" si="92"/>
        <v>630000</v>
      </c>
      <c r="BQ105" s="69">
        <f t="shared" si="93"/>
        <v>3975000</v>
      </c>
      <c r="BR105" s="37"/>
    </row>
    <row r="106" spans="1:73">
      <c r="A106" s="15">
        <f t="shared" si="66"/>
        <v>102</v>
      </c>
      <c r="B106" s="48" t="s">
        <v>170</v>
      </c>
      <c r="C106" s="44" t="s">
        <v>171</v>
      </c>
      <c r="D106" s="44" t="s">
        <v>135</v>
      </c>
      <c r="E106" s="42">
        <v>2775000</v>
      </c>
      <c r="F106" s="17">
        <v>100000</v>
      </c>
      <c r="G106" s="17">
        <f>540000</f>
        <v>540000</v>
      </c>
      <c r="H106" s="17">
        <f t="shared" si="84"/>
        <v>640000</v>
      </c>
      <c r="I106" s="17">
        <v>100000</v>
      </c>
      <c r="J106" s="17">
        <f>540000</f>
        <v>540000</v>
      </c>
      <c r="K106" s="17">
        <f t="shared" si="85"/>
        <v>640000</v>
      </c>
      <c r="L106" s="17">
        <v>100000</v>
      </c>
      <c r="M106" s="17">
        <v>540000</v>
      </c>
      <c r="N106" s="17">
        <f t="shared" si="86"/>
        <v>640000</v>
      </c>
      <c r="O106" s="17">
        <v>100000</v>
      </c>
      <c r="P106" s="17">
        <f>540000</f>
        <v>540000</v>
      </c>
      <c r="Q106" s="17">
        <f t="shared" si="74"/>
        <v>640000</v>
      </c>
      <c r="R106" s="17">
        <v>100000</v>
      </c>
      <c r="S106" s="17">
        <v>530000</v>
      </c>
      <c r="T106" s="17">
        <v>0</v>
      </c>
      <c r="U106" s="17">
        <v>0</v>
      </c>
      <c r="V106" s="17">
        <v>0</v>
      </c>
      <c r="W106" s="17">
        <f t="shared" si="75"/>
        <v>630000</v>
      </c>
      <c r="X106" s="17">
        <v>100000</v>
      </c>
      <c r="Y106" s="17">
        <v>530000</v>
      </c>
      <c r="Z106" s="17"/>
      <c r="AA106" s="17"/>
      <c r="AB106" s="17"/>
      <c r="AC106" s="17">
        <f t="shared" si="76"/>
        <v>530000</v>
      </c>
      <c r="AD106" s="17">
        <f t="shared" si="77"/>
        <v>630000</v>
      </c>
      <c r="AE106" s="17">
        <v>100000</v>
      </c>
      <c r="AF106" s="17">
        <v>530000</v>
      </c>
      <c r="AG106" s="17"/>
      <c r="AH106" s="17"/>
      <c r="AI106" s="17"/>
      <c r="AJ106" s="17">
        <f t="shared" si="78"/>
        <v>530000</v>
      </c>
      <c r="AK106" s="17">
        <f t="shared" si="79"/>
        <v>630000</v>
      </c>
      <c r="AL106" s="17">
        <v>100000</v>
      </c>
      <c r="AM106" s="42">
        <v>530000</v>
      </c>
      <c r="AN106" s="42">
        <f>[5]Credit!$E$935</f>
        <v>214600</v>
      </c>
      <c r="AO106" s="42">
        <v>0</v>
      </c>
      <c r="AP106" s="17"/>
      <c r="AQ106" s="17">
        <f t="shared" si="80"/>
        <v>744600</v>
      </c>
      <c r="AR106" s="17">
        <f t="shared" si="81"/>
        <v>844600</v>
      </c>
      <c r="AS106" s="42">
        <v>100000</v>
      </c>
      <c r="AT106" s="42">
        <v>530000</v>
      </c>
      <c r="AU106" s="42">
        <v>0</v>
      </c>
      <c r="AV106" s="42">
        <v>0</v>
      </c>
      <c r="AW106" s="17">
        <f t="shared" si="82"/>
        <v>530000</v>
      </c>
      <c r="AX106" s="42">
        <f t="shared" si="83"/>
        <v>630000</v>
      </c>
      <c r="AY106" s="42">
        <v>100000</v>
      </c>
      <c r="AZ106" s="42">
        <v>0</v>
      </c>
      <c r="BA106" s="42">
        <v>530000</v>
      </c>
      <c r="BB106" s="42"/>
      <c r="BC106" s="42">
        <f t="shared" si="88"/>
        <v>530000</v>
      </c>
      <c r="BD106" s="42">
        <f t="shared" si="87"/>
        <v>630000</v>
      </c>
      <c r="BE106" s="42">
        <v>100000</v>
      </c>
      <c r="BF106" s="42">
        <v>0</v>
      </c>
      <c r="BG106" s="42"/>
      <c r="BH106" s="42">
        <v>0</v>
      </c>
      <c r="BI106" s="42">
        <f t="shared" si="89"/>
        <v>0</v>
      </c>
      <c r="BJ106" s="42">
        <f t="shared" si="90"/>
        <v>100000</v>
      </c>
      <c r="BK106" s="42">
        <v>100000</v>
      </c>
      <c r="BL106" s="42">
        <v>0</v>
      </c>
      <c r="BM106" s="42">
        <v>0</v>
      </c>
      <c r="BN106" s="42">
        <v>0</v>
      </c>
      <c r="BO106" s="42">
        <f t="shared" si="91"/>
        <v>0</v>
      </c>
      <c r="BP106" s="42">
        <f t="shared" si="92"/>
        <v>100000</v>
      </c>
      <c r="BQ106" s="69">
        <f t="shared" si="93"/>
        <v>3975000</v>
      </c>
      <c r="BR106" s="37"/>
    </row>
    <row r="107" spans="1:73" s="4" customFormat="1" ht="13">
      <c r="A107" s="15">
        <f t="shared" si="66"/>
        <v>103</v>
      </c>
      <c r="B107" s="48" t="s">
        <v>172</v>
      </c>
      <c r="C107" s="44" t="s">
        <v>403</v>
      </c>
      <c r="D107" s="44" t="s">
        <v>135</v>
      </c>
      <c r="E107" s="42">
        <v>2775000</v>
      </c>
      <c r="F107" s="17">
        <v>100000</v>
      </c>
      <c r="G107" s="17">
        <v>115000</v>
      </c>
      <c r="H107" s="17">
        <f t="shared" si="84"/>
        <v>215000</v>
      </c>
      <c r="I107" s="17">
        <v>100000</v>
      </c>
      <c r="J107" s="17">
        <v>100000</v>
      </c>
      <c r="K107" s="17">
        <f t="shared" si="85"/>
        <v>200000</v>
      </c>
      <c r="L107" s="17">
        <v>100000</v>
      </c>
      <c r="M107" s="17"/>
      <c r="N107" s="17">
        <f t="shared" si="86"/>
        <v>100000</v>
      </c>
      <c r="O107" s="17">
        <v>100000</v>
      </c>
      <c r="P107" s="17">
        <f>93000+570000</f>
        <v>663000</v>
      </c>
      <c r="Q107" s="17">
        <f t="shared" si="74"/>
        <v>763000</v>
      </c>
      <c r="R107" s="17">
        <v>100000</v>
      </c>
      <c r="S107" s="17">
        <v>0</v>
      </c>
      <c r="T107" s="17">
        <f>75000+[7]System!$F$950</f>
        <v>81000</v>
      </c>
      <c r="U107" s="17">
        <v>0</v>
      </c>
      <c r="V107" s="17">
        <f>21000</f>
        <v>21000</v>
      </c>
      <c r="W107" s="17">
        <f t="shared" si="75"/>
        <v>202000</v>
      </c>
      <c r="X107" s="17">
        <v>100000</v>
      </c>
      <c r="Y107" s="17"/>
      <c r="Z107" s="17">
        <f>[8]Credit!$E$1066</f>
        <v>32000</v>
      </c>
      <c r="AA107" s="17"/>
      <c r="AB107" s="17">
        <f>35000+25000</f>
        <v>60000</v>
      </c>
      <c r="AC107" s="17">
        <f t="shared" si="76"/>
        <v>92000</v>
      </c>
      <c r="AD107" s="17">
        <f t="shared" si="77"/>
        <v>192000</v>
      </c>
      <c r="AE107" s="17">
        <v>100000</v>
      </c>
      <c r="AF107" s="17"/>
      <c r="AG107" s="17"/>
      <c r="AH107" s="17"/>
      <c r="AI107" s="17">
        <v>70000</v>
      </c>
      <c r="AJ107" s="17">
        <f t="shared" si="78"/>
        <v>70000</v>
      </c>
      <c r="AK107" s="17">
        <f t="shared" si="79"/>
        <v>170000</v>
      </c>
      <c r="AL107" s="17">
        <v>100000</v>
      </c>
      <c r="AM107" s="42">
        <v>0</v>
      </c>
      <c r="AN107" s="42">
        <f>[5]Credit!$E$1200</f>
        <v>126000</v>
      </c>
      <c r="AO107" s="42">
        <v>0</v>
      </c>
      <c r="AP107" s="17"/>
      <c r="AQ107" s="17">
        <f t="shared" si="80"/>
        <v>126000</v>
      </c>
      <c r="AR107" s="17">
        <f t="shared" si="81"/>
        <v>226000</v>
      </c>
      <c r="AS107" s="42">
        <v>100000</v>
      </c>
      <c r="AT107" s="42">
        <v>0</v>
      </c>
      <c r="AU107" s="42">
        <f>[10]Credit!$E$1143</f>
        <v>106000</v>
      </c>
      <c r="AV107" s="42">
        <v>0</v>
      </c>
      <c r="AW107" s="17">
        <f t="shared" si="82"/>
        <v>106000</v>
      </c>
      <c r="AX107" s="42">
        <f t="shared" si="83"/>
        <v>206000</v>
      </c>
      <c r="AY107" s="42">
        <v>100000</v>
      </c>
      <c r="AZ107" s="42">
        <f>[6]Credit!$F$1150</f>
        <v>134500</v>
      </c>
      <c r="BA107" s="42"/>
      <c r="BB107" s="42"/>
      <c r="BC107" s="42">
        <f t="shared" si="88"/>
        <v>134500</v>
      </c>
      <c r="BD107" s="42">
        <f t="shared" si="87"/>
        <v>234500</v>
      </c>
      <c r="BE107" s="42">
        <v>100000</v>
      </c>
      <c r="BF107" s="42">
        <v>0</v>
      </c>
      <c r="BG107" s="42">
        <f>[11]Kredit!$E$1132</f>
        <v>132000</v>
      </c>
      <c r="BH107" s="42">
        <v>0</v>
      </c>
      <c r="BI107" s="42">
        <f t="shared" si="89"/>
        <v>132000</v>
      </c>
      <c r="BJ107" s="42">
        <f t="shared" si="90"/>
        <v>232000</v>
      </c>
      <c r="BK107" s="42">
        <v>100000</v>
      </c>
      <c r="BL107" s="42">
        <v>425000</v>
      </c>
      <c r="BM107" s="42">
        <f>[12]Credit!$E$1048</f>
        <v>154000</v>
      </c>
      <c r="BN107" s="42">
        <v>0</v>
      </c>
      <c r="BO107" s="42">
        <f t="shared" si="91"/>
        <v>579000</v>
      </c>
      <c r="BP107" s="42">
        <f t="shared" si="92"/>
        <v>679000</v>
      </c>
      <c r="BQ107" s="69">
        <f t="shared" si="93"/>
        <v>3975000</v>
      </c>
      <c r="BR107" s="37"/>
      <c r="BS107" s="36"/>
      <c r="BT107" s="36"/>
      <c r="BU107" s="36"/>
    </row>
    <row r="108" spans="1:73" s="4" customFormat="1" ht="13">
      <c r="A108" s="15">
        <f t="shared" si="66"/>
        <v>104</v>
      </c>
      <c r="B108" s="48" t="s">
        <v>173</v>
      </c>
      <c r="C108" s="44" t="s">
        <v>174</v>
      </c>
      <c r="D108" s="44" t="s">
        <v>135</v>
      </c>
      <c r="E108" s="42">
        <v>2775000</v>
      </c>
      <c r="F108" s="17">
        <v>100000</v>
      </c>
      <c r="G108" s="17">
        <f>18000</f>
        <v>18000</v>
      </c>
      <c r="H108" s="17">
        <f t="shared" si="84"/>
        <v>118000</v>
      </c>
      <c r="I108" s="17">
        <v>100000</v>
      </c>
      <c r="J108" s="17"/>
      <c r="K108" s="17">
        <f t="shared" si="85"/>
        <v>100000</v>
      </c>
      <c r="L108" s="17">
        <v>100000</v>
      </c>
      <c r="M108" s="17"/>
      <c r="N108" s="17">
        <f t="shared" si="86"/>
        <v>100000</v>
      </c>
      <c r="O108" s="17">
        <v>100000</v>
      </c>
      <c r="P108" s="17">
        <v>425000</v>
      </c>
      <c r="Q108" s="17">
        <f t="shared" si="74"/>
        <v>525000</v>
      </c>
      <c r="R108" s="17">
        <v>100000</v>
      </c>
      <c r="S108" s="17">
        <f>425000</f>
        <v>425000</v>
      </c>
      <c r="T108" s="17">
        <v>0</v>
      </c>
      <c r="U108" s="17">
        <v>0</v>
      </c>
      <c r="V108" s="17">
        <v>0</v>
      </c>
      <c r="W108" s="17">
        <f t="shared" si="75"/>
        <v>525000</v>
      </c>
      <c r="X108" s="17">
        <v>100000</v>
      </c>
      <c r="Y108" s="17">
        <v>425000</v>
      </c>
      <c r="Z108" s="17"/>
      <c r="AA108" s="17"/>
      <c r="AB108" s="17">
        <v>45000</v>
      </c>
      <c r="AC108" s="17">
        <f t="shared" si="76"/>
        <v>470000</v>
      </c>
      <c r="AD108" s="17">
        <f t="shared" si="77"/>
        <v>570000</v>
      </c>
      <c r="AE108" s="17">
        <v>100000</v>
      </c>
      <c r="AF108" s="17">
        <v>425000</v>
      </c>
      <c r="AG108" s="17"/>
      <c r="AH108" s="17"/>
      <c r="AI108" s="17">
        <v>70000</v>
      </c>
      <c r="AJ108" s="17">
        <f t="shared" si="78"/>
        <v>495000</v>
      </c>
      <c r="AK108" s="17">
        <f t="shared" si="79"/>
        <v>595000</v>
      </c>
      <c r="AL108" s="17">
        <v>100000</v>
      </c>
      <c r="AM108" s="42">
        <v>425000</v>
      </c>
      <c r="AN108" s="42">
        <v>0</v>
      </c>
      <c r="AO108" s="42">
        <v>0</v>
      </c>
      <c r="AP108" s="17"/>
      <c r="AQ108" s="17">
        <f t="shared" si="80"/>
        <v>425000</v>
      </c>
      <c r="AR108" s="17">
        <f t="shared" si="81"/>
        <v>525000</v>
      </c>
      <c r="AS108" s="42">
        <v>100000</v>
      </c>
      <c r="AT108" s="42">
        <v>531250</v>
      </c>
      <c r="AU108" s="42">
        <f>[10]Credit!$E$1156</f>
        <v>10000</v>
      </c>
      <c r="AV108" s="42">
        <v>0</v>
      </c>
      <c r="AW108" s="17">
        <f t="shared" si="82"/>
        <v>541250</v>
      </c>
      <c r="AX108" s="42">
        <f t="shared" si="83"/>
        <v>641250</v>
      </c>
      <c r="AY108" s="42">
        <v>100000</v>
      </c>
      <c r="AZ108" s="42">
        <f>[6]Credit!$F$1168</f>
        <v>16000</v>
      </c>
      <c r="BA108" s="42">
        <v>531250</v>
      </c>
      <c r="BB108" s="42"/>
      <c r="BC108" s="42">
        <f t="shared" si="88"/>
        <v>547250</v>
      </c>
      <c r="BD108" s="42">
        <f t="shared" si="87"/>
        <v>647250</v>
      </c>
      <c r="BE108" s="42">
        <v>100000</v>
      </c>
      <c r="BF108" s="42">
        <v>531250</v>
      </c>
      <c r="BG108" s="42">
        <f>[11]Kredit!$E$1144</f>
        <v>6000</v>
      </c>
      <c r="BH108" s="42">
        <v>0</v>
      </c>
      <c r="BI108" s="42">
        <f t="shared" si="89"/>
        <v>537250</v>
      </c>
      <c r="BJ108" s="42">
        <f t="shared" si="90"/>
        <v>637250</v>
      </c>
      <c r="BK108" s="42">
        <v>100000</v>
      </c>
      <c r="BL108" s="42">
        <v>531250</v>
      </c>
      <c r="BM108" s="42">
        <v>0</v>
      </c>
      <c r="BN108" s="42">
        <v>0</v>
      </c>
      <c r="BO108" s="42">
        <f t="shared" si="91"/>
        <v>531250</v>
      </c>
      <c r="BP108" s="42">
        <f t="shared" si="92"/>
        <v>631250</v>
      </c>
      <c r="BQ108" s="69">
        <f t="shared" si="93"/>
        <v>3975000</v>
      </c>
      <c r="BR108" s="37"/>
      <c r="BS108" s="36"/>
      <c r="BT108" s="36"/>
      <c r="BU108" s="36"/>
    </row>
    <row r="109" spans="1:73" s="4" customFormat="1" ht="13">
      <c r="A109" s="15">
        <f t="shared" si="66"/>
        <v>105</v>
      </c>
      <c r="B109" s="43">
        <v>95080705</v>
      </c>
      <c r="C109" s="44" t="s">
        <v>175</v>
      </c>
      <c r="D109" s="44" t="s">
        <v>135</v>
      </c>
      <c r="E109" s="42">
        <v>2775000</v>
      </c>
      <c r="F109" s="17">
        <v>100000</v>
      </c>
      <c r="G109" s="17">
        <f>530000+194500</f>
        <v>724500</v>
      </c>
      <c r="H109" s="17">
        <f t="shared" si="84"/>
        <v>824500</v>
      </c>
      <c r="I109" s="17">
        <v>100000</v>
      </c>
      <c r="J109" s="17">
        <f>530000+774000</f>
        <v>1304000</v>
      </c>
      <c r="K109" s="17">
        <f t="shared" si="85"/>
        <v>1404000</v>
      </c>
      <c r="L109" s="17">
        <v>100000</v>
      </c>
      <c r="M109" s="17">
        <f>530000+702000</f>
        <v>1232000</v>
      </c>
      <c r="N109" s="17">
        <f t="shared" si="86"/>
        <v>1332000</v>
      </c>
      <c r="O109" s="17">
        <v>100000</v>
      </c>
      <c r="P109" s="17">
        <f>881300+530000</f>
        <v>1411300</v>
      </c>
      <c r="Q109" s="17">
        <f t="shared" si="74"/>
        <v>1511300</v>
      </c>
      <c r="R109" s="17">
        <v>100000</v>
      </c>
      <c r="S109" s="17">
        <f>530000</f>
        <v>530000</v>
      </c>
      <c r="T109" s="17">
        <f>[7]System!$F$1062</f>
        <v>757500</v>
      </c>
      <c r="U109" s="17">
        <v>0</v>
      </c>
      <c r="V109" s="17">
        <v>0</v>
      </c>
      <c r="W109" s="17">
        <f t="shared" si="75"/>
        <v>1387500</v>
      </c>
      <c r="X109" s="17">
        <v>100000</v>
      </c>
      <c r="Y109" s="17">
        <v>530000</v>
      </c>
      <c r="Z109" s="17">
        <f>[8]Credit!$E$1160</f>
        <v>721500</v>
      </c>
      <c r="AA109" s="17"/>
      <c r="AB109" s="17">
        <v>95000</v>
      </c>
      <c r="AC109" s="17">
        <f t="shared" si="76"/>
        <v>1346500</v>
      </c>
      <c r="AD109" s="17">
        <f t="shared" si="77"/>
        <v>1446500</v>
      </c>
      <c r="AE109" s="17">
        <v>100000</v>
      </c>
      <c r="AF109" s="17">
        <v>530000</v>
      </c>
      <c r="AG109" s="17">
        <f>[9]Credit!$F$719</f>
        <v>726000</v>
      </c>
      <c r="AH109" s="17"/>
      <c r="AI109" s="17"/>
      <c r="AJ109" s="17">
        <f t="shared" si="78"/>
        <v>1256000</v>
      </c>
      <c r="AK109" s="17">
        <f t="shared" si="79"/>
        <v>1356000</v>
      </c>
      <c r="AL109" s="17">
        <v>100000</v>
      </c>
      <c r="AM109" s="42">
        <v>530000</v>
      </c>
      <c r="AN109" s="42">
        <f>[5]Credit!$E$1320</f>
        <v>598000</v>
      </c>
      <c r="AO109" s="42">
        <v>0</v>
      </c>
      <c r="AP109" s="17"/>
      <c r="AQ109" s="17">
        <f t="shared" si="80"/>
        <v>1128000</v>
      </c>
      <c r="AR109" s="17">
        <f t="shared" si="81"/>
        <v>1228000</v>
      </c>
      <c r="AS109" s="42">
        <v>100000</v>
      </c>
      <c r="AT109" s="42">
        <v>530000</v>
      </c>
      <c r="AU109" s="42">
        <f>[10]Credit!$E$1265</f>
        <v>808800</v>
      </c>
      <c r="AV109" s="42">
        <v>0</v>
      </c>
      <c r="AW109" s="17">
        <f t="shared" si="82"/>
        <v>1338800</v>
      </c>
      <c r="AX109" s="42">
        <f t="shared" si="83"/>
        <v>1438800</v>
      </c>
      <c r="AY109" s="42">
        <v>100000</v>
      </c>
      <c r="AZ109" s="42">
        <f>[6]Credit!$F$1258</f>
        <v>963000</v>
      </c>
      <c r="BA109" s="42">
        <v>530000</v>
      </c>
      <c r="BB109" s="42"/>
      <c r="BC109" s="42">
        <f t="shared" si="88"/>
        <v>1493000</v>
      </c>
      <c r="BD109" s="42">
        <f t="shared" si="87"/>
        <v>1593000</v>
      </c>
      <c r="BE109" s="42">
        <v>100000</v>
      </c>
      <c r="BF109" s="42">
        <v>530000</v>
      </c>
      <c r="BG109" s="42">
        <f>[11]Kredit!$E$1260</f>
        <v>983600</v>
      </c>
      <c r="BH109" s="42">
        <v>0</v>
      </c>
      <c r="BI109" s="42">
        <f t="shared" si="89"/>
        <v>1513600</v>
      </c>
      <c r="BJ109" s="42">
        <f t="shared" si="90"/>
        <v>1613600</v>
      </c>
      <c r="BK109" s="42">
        <v>100000</v>
      </c>
      <c r="BL109" s="42">
        <v>530000</v>
      </c>
      <c r="BM109" s="42">
        <f>[12]Credit!$E$1170</f>
        <v>812500</v>
      </c>
      <c r="BN109" s="42">
        <v>0</v>
      </c>
      <c r="BO109" s="42">
        <f t="shared" si="91"/>
        <v>1342500</v>
      </c>
      <c r="BP109" s="42">
        <f t="shared" si="92"/>
        <v>1442500</v>
      </c>
      <c r="BQ109" s="69">
        <f t="shared" si="93"/>
        <v>3975000</v>
      </c>
      <c r="BR109" s="37"/>
      <c r="BS109" s="36"/>
      <c r="BT109" s="36"/>
      <c r="BU109" s="36"/>
    </row>
    <row r="110" spans="1:73" s="4" customFormat="1" ht="13">
      <c r="A110" s="15">
        <f t="shared" si="66"/>
        <v>106</v>
      </c>
      <c r="B110" s="48" t="s">
        <v>176</v>
      </c>
      <c r="C110" s="44" t="s">
        <v>177</v>
      </c>
      <c r="D110" s="44" t="s">
        <v>135</v>
      </c>
      <c r="E110" s="42">
        <v>2775000</v>
      </c>
      <c r="F110" s="17">
        <v>100000</v>
      </c>
      <c r="G110" s="17">
        <f>540000</f>
        <v>540000</v>
      </c>
      <c r="H110" s="17">
        <f t="shared" si="84"/>
        <v>640000</v>
      </c>
      <c r="I110" s="17">
        <v>100000</v>
      </c>
      <c r="J110" s="17">
        <f>540000</f>
        <v>540000</v>
      </c>
      <c r="K110" s="17">
        <f t="shared" si="85"/>
        <v>640000</v>
      </c>
      <c r="L110" s="17">
        <v>100000</v>
      </c>
      <c r="M110" s="17">
        <v>540000</v>
      </c>
      <c r="N110" s="17">
        <f t="shared" si="86"/>
        <v>640000</v>
      </c>
      <c r="O110" s="17">
        <v>100000</v>
      </c>
      <c r="P110" s="17"/>
      <c r="Q110" s="17">
        <f t="shared" si="74"/>
        <v>100000</v>
      </c>
      <c r="R110" s="17">
        <v>100000</v>
      </c>
      <c r="S110" s="17">
        <v>0</v>
      </c>
      <c r="T110" s="17">
        <f>[7]System!$F$1111</f>
        <v>270000</v>
      </c>
      <c r="U110" s="17">
        <v>0</v>
      </c>
      <c r="V110" s="17">
        <v>0</v>
      </c>
      <c r="W110" s="17">
        <f t="shared" si="75"/>
        <v>370000</v>
      </c>
      <c r="X110" s="17">
        <v>100000</v>
      </c>
      <c r="Y110" s="17"/>
      <c r="Z110" s="17">
        <f>[8]Credit!$E$1216</f>
        <v>3000</v>
      </c>
      <c r="AA110" s="17"/>
      <c r="AB110" s="17">
        <v>45000</v>
      </c>
      <c r="AC110" s="17">
        <f t="shared" si="76"/>
        <v>48000</v>
      </c>
      <c r="AD110" s="17">
        <f t="shared" si="77"/>
        <v>148000</v>
      </c>
      <c r="AE110" s="17">
        <v>100000</v>
      </c>
      <c r="AF110" s="17"/>
      <c r="AG110" s="17"/>
      <c r="AH110" s="17"/>
      <c r="AI110" s="17"/>
      <c r="AJ110" s="17">
        <f t="shared" si="78"/>
        <v>0</v>
      </c>
      <c r="AK110" s="17">
        <f t="shared" si="79"/>
        <v>100000</v>
      </c>
      <c r="AL110" s="17">
        <v>100000</v>
      </c>
      <c r="AM110" s="42">
        <v>0</v>
      </c>
      <c r="AN110" s="42">
        <v>0</v>
      </c>
      <c r="AO110" s="42">
        <v>0</v>
      </c>
      <c r="AP110" s="17"/>
      <c r="AQ110" s="17">
        <f t="shared" si="80"/>
        <v>0</v>
      </c>
      <c r="AR110" s="17">
        <f t="shared" si="81"/>
        <v>100000</v>
      </c>
      <c r="AS110" s="42">
        <v>100000</v>
      </c>
      <c r="AT110" s="42">
        <v>0</v>
      </c>
      <c r="AU110" s="42">
        <f>[10]Credit!$E$1333</f>
        <v>2000</v>
      </c>
      <c r="AV110" s="42">
        <v>0</v>
      </c>
      <c r="AW110" s="17">
        <f t="shared" si="82"/>
        <v>2000</v>
      </c>
      <c r="AX110" s="42">
        <f t="shared" si="83"/>
        <v>102000</v>
      </c>
      <c r="AY110" s="42">
        <v>100000</v>
      </c>
      <c r="AZ110" s="42">
        <v>0</v>
      </c>
      <c r="BA110" s="42"/>
      <c r="BB110" s="42"/>
      <c r="BC110" s="42">
        <f t="shared" si="88"/>
        <v>0</v>
      </c>
      <c r="BD110" s="42">
        <f t="shared" si="87"/>
        <v>100000</v>
      </c>
      <c r="BE110" s="42">
        <v>100000</v>
      </c>
      <c r="BF110" s="42">
        <v>0</v>
      </c>
      <c r="BG110" s="42"/>
      <c r="BH110" s="42">
        <v>0</v>
      </c>
      <c r="BI110" s="42">
        <f t="shared" si="89"/>
        <v>0</v>
      </c>
      <c r="BJ110" s="42">
        <f t="shared" si="90"/>
        <v>100000</v>
      </c>
      <c r="BK110" s="42">
        <v>100000</v>
      </c>
      <c r="BL110" s="42">
        <v>0</v>
      </c>
      <c r="BM110" s="42">
        <v>0</v>
      </c>
      <c r="BN110" s="42">
        <v>0</v>
      </c>
      <c r="BO110" s="42">
        <f t="shared" si="91"/>
        <v>0</v>
      </c>
      <c r="BP110" s="42">
        <f t="shared" si="92"/>
        <v>100000</v>
      </c>
      <c r="BQ110" s="69">
        <f t="shared" si="93"/>
        <v>3975000</v>
      </c>
      <c r="BR110" s="38" t="s">
        <v>401</v>
      </c>
      <c r="BS110" s="36"/>
      <c r="BT110" s="36"/>
      <c r="BU110" s="36"/>
    </row>
    <row r="111" spans="1:73" s="4" customFormat="1" ht="13">
      <c r="A111" s="15">
        <f t="shared" si="66"/>
        <v>107</v>
      </c>
      <c r="B111" s="43">
        <v>95100795</v>
      </c>
      <c r="C111" s="44" t="s">
        <v>178</v>
      </c>
      <c r="D111" s="44" t="s">
        <v>135</v>
      </c>
      <c r="E111" s="42">
        <v>2325000</v>
      </c>
      <c r="F111" s="17">
        <v>100000</v>
      </c>
      <c r="G111" s="17">
        <f>530000+118500</f>
        <v>648500</v>
      </c>
      <c r="H111" s="17">
        <f t="shared" si="84"/>
        <v>748500</v>
      </c>
      <c r="I111" s="17">
        <v>100000</v>
      </c>
      <c r="J111" s="17">
        <f>530000+106000</f>
        <v>636000</v>
      </c>
      <c r="K111" s="17">
        <f t="shared" si="85"/>
        <v>736000</v>
      </c>
      <c r="L111" s="17">
        <v>100000</v>
      </c>
      <c r="M111" s="17">
        <f>530000+128000</f>
        <v>658000</v>
      </c>
      <c r="N111" s="17">
        <f t="shared" si="86"/>
        <v>758000</v>
      </c>
      <c r="O111" s="17">
        <v>100000</v>
      </c>
      <c r="P111" s="17">
        <f>146000+530000+32000</f>
        <v>708000</v>
      </c>
      <c r="Q111" s="17">
        <f t="shared" si="74"/>
        <v>808000</v>
      </c>
      <c r="R111" s="17">
        <v>100000</v>
      </c>
      <c r="S111" s="17">
        <f>530000</f>
        <v>530000</v>
      </c>
      <c r="T111" s="17">
        <f>[7]System!$F$1125</f>
        <v>147500</v>
      </c>
      <c r="U111" s="17">
        <v>0</v>
      </c>
      <c r="V111" s="17">
        <v>0</v>
      </c>
      <c r="W111" s="17">
        <f t="shared" si="75"/>
        <v>777500</v>
      </c>
      <c r="X111" s="17">
        <v>100000</v>
      </c>
      <c r="Y111" s="17">
        <v>663125</v>
      </c>
      <c r="Z111" s="17">
        <f>[8]Credit!$E$1230</f>
        <v>211000</v>
      </c>
      <c r="AA111" s="17"/>
      <c r="AB111" s="17">
        <v>60000</v>
      </c>
      <c r="AC111" s="17">
        <f t="shared" si="76"/>
        <v>934125</v>
      </c>
      <c r="AD111" s="17">
        <f t="shared" si="77"/>
        <v>1034125</v>
      </c>
      <c r="AE111" s="17">
        <v>100000</v>
      </c>
      <c r="AF111" s="17">
        <v>663125</v>
      </c>
      <c r="AG111" s="17">
        <f>[9]Credit!$F$757</f>
        <v>21000</v>
      </c>
      <c r="AH111" s="17"/>
      <c r="AI111" s="17">
        <v>70000</v>
      </c>
      <c r="AJ111" s="17">
        <f t="shared" si="78"/>
        <v>754125</v>
      </c>
      <c r="AK111" s="17">
        <f t="shared" si="79"/>
        <v>854125</v>
      </c>
      <c r="AL111" s="17">
        <v>100000</v>
      </c>
      <c r="AM111" s="42">
        <v>663125</v>
      </c>
      <c r="AN111" s="42">
        <f>[5]Credit!$E$1405</f>
        <v>253500</v>
      </c>
      <c r="AO111" s="42">
        <v>0</v>
      </c>
      <c r="AP111" s="17"/>
      <c r="AQ111" s="17">
        <f t="shared" si="80"/>
        <v>916625</v>
      </c>
      <c r="AR111" s="17">
        <f t="shared" si="81"/>
        <v>1016625</v>
      </c>
      <c r="AS111" s="42">
        <v>100000</v>
      </c>
      <c r="AT111" s="42">
        <v>663125</v>
      </c>
      <c r="AU111" s="42">
        <f>[10]Credit!$E$1351</f>
        <v>197000</v>
      </c>
      <c r="AV111" s="42">
        <v>0</v>
      </c>
      <c r="AW111" s="17">
        <f t="shared" si="82"/>
        <v>860125</v>
      </c>
      <c r="AX111" s="42">
        <f t="shared" si="83"/>
        <v>960125</v>
      </c>
      <c r="AY111" s="42">
        <v>100000</v>
      </c>
      <c r="AZ111" s="42">
        <f>[6]Credit!$F$1333</f>
        <v>223000</v>
      </c>
      <c r="BA111" s="42">
        <v>663125</v>
      </c>
      <c r="BB111" s="42"/>
      <c r="BC111" s="42">
        <f t="shared" si="88"/>
        <v>886125</v>
      </c>
      <c r="BD111" s="42">
        <f t="shared" si="87"/>
        <v>986125</v>
      </c>
      <c r="BE111" s="42">
        <v>100000</v>
      </c>
      <c r="BF111" s="42">
        <f>663125</f>
        <v>663125</v>
      </c>
      <c r="BG111" s="42">
        <f>[11]Kredit!$E$1355</f>
        <v>222000</v>
      </c>
      <c r="BH111" s="42">
        <v>0</v>
      </c>
      <c r="BI111" s="42">
        <f t="shared" si="89"/>
        <v>885125</v>
      </c>
      <c r="BJ111" s="42">
        <f t="shared" si="90"/>
        <v>985125</v>
      </c>
      <c r="BK111" s="42">
        <v>100000</v>
      </c>
      <c r="BL111" s="42">
        <v>663125</v>
      </c>
      <c r="BM111" s="42">
        <f>[12]Credit!$E$1264</f>
        <v>133500</v>
      </c>
      <c r="BN111" s="42">
        <v>0</v>
      </c>
      <c r="BO111" s="42">
        <f t="shared" si="91"/>
        <v>796625</v>
      </c>
      <c r="BP111" s="42">
        <f t="shared" si="92"/>
        <v>896625</v>
      </c>
      <c r="BQ111" s="69">
        <f t="shared" si="93"/>
        <v>3525000</v>
      </c>
      <c r="BR111" s="37"/>
      <c r="BS111" s="36"/>
      <c r="BT111" s="36"/>
      <c r="BU111" s="36"/>
    </row>
    <row r="112" spans="1:73" s="4" customFormat="1" ht="13">
      <c r="A112" s="15">
        <f t="shared" si="66"/>
        <v>108</v>
      </c>
      <c r="B112" s="43">
        <v>95070465</v>
      </c>
      <c r="C112" s="44" t="s">
        <v>179</v>
      </c>
      <c r="D112" s="44" t="s">
        <v>135</v>
      </c>
      <c r="E112" s="42">
        <v>2775000</v>
      </c>
      <c r="F112" s="17">
        <v>100000</v>
      </c>
      <c r="G112" s="17">
        <f>440000</f>
        <v>440000</v>
      </c>
      <c r="H112" s="17">
        <f t="shared" si="84"/>
        <v>540000</v>
      </c>
      <c r="I112" s="17">
        <v>100000</v>
      </c>
      <c r="J112" s="17">
        <f>440000+413000</f>
        <v>853000</v>
      </c>
      <c r="K112" s="17">
        <f t="shared" si="85"/>
        <v>953000</v>
      </c>
      <c r="L112" s="17">
        <v>100000</v>
      </c>
      <c r="M112" s="17">
        <f>530000+98600</f>
        <v>628600</v>
      </c>
      <c r="N112" s="17">
        <f t="shared" si="86"/>
        <v>728600</v>
      </c>
      <c r="O112" s="17">
        <v>100000</v>
      </c>
      <c r="P112" s="17">
        <f>288000+530000+11500</f>
        <v>829500</v>
      </c>
      <c r="Q112" s="17">
        <f t="shared" si="74"/>
        <v>929500</v>
      </c>
      <c r="R112" s="17">
        <v>100000</v>
      </c>
      <c r="S112" s="17">
        <f>530000</f>
        <v>530000</v>
      </c>
      <c r="T112" s="17">
        <f>[7]System!$F$1136</f>
        <v>155550</v>
      </c>
      <c r="U112" s="17">
        <v>0</v>
      </c>
      <c r="V112" s="17">
        <f>31000+14000+61000</f>
        <v>106000</v>
      </c>
      <c r="W112" s="17">
        <f t="shared" si="75"/>
        <v>891550</v>
      </c>
      <c r="X112" s="17">
        <v>100000</v>
      </c>
      <c r="Y112" s="17">
        <v>530000</v>
      </c>
      <c r="Z112" s="17">
        <f>[8]Credit!$E$1262</f>
        <v>325500</v>
      </c>
      <c r="AA112" s="17"/>
      <c r="AB112" s="17">
        <f>60000+10000+10000</f>
        <v>80000</v>
      </c>
      <c r="AC112" s="17">
        <f t="shared" si="76"/>
        <v>935500</v>
      </c>
      <c r="AD112" s="17">
        <f t="shared" si="77"/>
        <v>1035500</v>
      </c>
      <c r="AE112" s="17">
        <v>100000</v>
      </c>
      <c r="AF112" s="17">
        <v>530000</v>
      </c>
      <c r="AG112" s="17">
        <f>[9]Credit!$F$775</f>
        <v>255600</v>
      </c>
      <c r="AH112" s="17"/>
      <c r="AI112" s="17"/>
      <c r="AJ112" s="17">
        <f t="shared" si="78"/>
        <v>785600</v>
      </c>
      <c r="AK112" s="17">
        <f t="shared" si="79"/>
        <v>885600</v>
      </c>
      <c r="AL112" s="17">
        <v>100000</v>
      </c>
      <c r="AM112" s="42">
        <v>530000</v>
      </c>
      <c r="AN112" s="42">
        <f>[5]Credit!$E$1437</f>
        <v>246800</v>
      </c>
      <c r="AO112" s="42">
        <v>0</v>
      </c>
      <c r="AP112" s="17"/>
      <c r="AQ112" s="17">
        <f t="shared" si="80"/>
        <v>776800</v>
      </c>
      <c r="AR112" s="17">
        <f t="shared" si="81"/>
        <v>876800</v>
      </c>
      <c r="AS112" s="42">
        <v>100000</v>
      </c>
      <c r="AT112" s="42">
        <v>0</v>
      </c>
      <c r="AU112" s="42">
        <f>[10]Credit!$E$1389</f>
        <v>304000</v>
      </c>
      <c r="AV112" s="42">
        <v>0</v>
      </c>
      <c r="AW112" s="17">
        <f t="shared" si="82"/>
        <v>304000</v>
      </c>
      <c r="AX112" s="42">
        <f t="shared" si="83"/>
        <v>404000</v>
      </c>
      <c r="AY112" s="42">
        <v>100000</v>
      </c>
      <c r="AZ112" s="42">
        <f>[6]Credit!$F$1375</f>
        <v>501800</v>
      </c>
      <c r="BA112" s="42"/>
      <c r="BB112" s="42"/>
      <c r="BC112" s="42">
        <f t="shared" si="88"/>
        <v>501800</v>
      </c>
      <c r="BD112" s="42">
        <f t="shared" si="87"/>
        <v>601800</v>
      </c>
      <c r="BE112" s="42">
        <v>100000</v>
      </c>
      <c r="BF112" s="42">
        <v>0</v>
      </c>
      <c r="BG112" s="42">
        <f>[11]Kredit!$E$1397</f>
        <v>296100</v>
      </c>
      <c r="BH112" s="42">
        <v>0</v>
      </c>
      <c r="BI112" s="42">
        <f t="shared" si="89"/>
        <v>296100</v>
      </c>
      <c r="BJ112" s="42">
        <f t="shared" si="90"/>
        <v>396100</v>
      </c>
      <c r="BK112" s="42">
        <v>100000</v>
      </c>
      <c r="BL112" s="42">
        <v>530000</v>
      </c>
      <c r="BM112" s="42">
        <f>[12]Credit!$E$1311</f>
        <v>273500</v>
      </c>
      <c r="BN112" s="42">
        <v>0</v>
      </c>
      <c r="BO112" s="42">
        <f t="shared" si="91"/>
        <v>803500</v>
      </c>
      <c r="BP112" s="42">
        <f t="shared" si="92"/>
        <v>903500</v>
      </c>
      <c r="BQ112" s="69">
        <f t="shared" si="93"/>
        <v>3975000</v>
      </c>
      <c r="BR112" s="37"/>
      <c r="BS112" s="36"/>
      <c r="BT112" s="36"/>
      <c r="BU112" s="36"/>
    </row>
    <row r="113" spans="1:73" s="4" customFormat="1" ht="13">
      <c r="A113" s="15">
        <f t="shared" si="66"/>
        <v>109</v>
      </c>
      <c r="B113" s="50">
        <v>14020585</v>
      </c>
      <c r="C113" s="44" t="s">
        <v>180</v>
      </c>
      <c r="D113" s="44" t="s">
        <v>135</v>
      </c>
      <c r="E113" s="42">
        <v>1500000</v>
      </c>
      <c r="F113" s="17">
        <v>100000</v>
      </c>
      <c r="G113" s="17"/>
      <c r="H113" s="17">
        <f t="shared" si="84"/>
        <v>100000</v>
      </c>
      <c r="I113" s="17">
        <v>100000</v>
      </c>
      <c r="J113" s="17"/>
      <c r="K113" s="17">
        <f t="shared" si="85"/>
        <v>100000</v>
      </c>
      <c r="L113" s="17">
        <v>100000</v>
      </c>
      <c r="M113" s="17"/>
      <c r="N113" s="17">
        <f t="shared" si="86"/>
        <v>100000</v>
      </c>
      <c r="O113" s="17">
        <v>100000</v>
      </c>
      <c r="P113" s="17">
        <f>35500</f>
        <v>35500</v>
      </c>
      <c r="Q113" s="17">
        <f t="shared" si="74"/>
        <v>135500</v>
      </c>
      <c r="R113" s="17">
        <v>100000</v>
      </c>
      <c r="S113" s="17">
        <v>0</v>
      </c>
      <c r="T113" s="17">
        <f>[7]System!$F$1211</f>
        <v>347500</v>
      </c>
      <c r="U113" s="17">
        <v>0</v>
      </c>
      <c r="V113" s="17">
        <f>21000+7000</f>
        <v>28000</v>
      </c>
      <c r="W113" s="17">
        <f t="shared" si="75"/>
        <v>475500</v>
      </c>
      <c r="X113" s="17">
        <v>100000</v>
      </c>
      <c r="Y113" s="17"/>
      <c r="Z113" s="17">
        <f>[8]Credit!$E$1324</f>
        <v>71000</v>
      </c>
      <c r="AA113" s="17"/>
      <c r="AB113" s="17">
        <v>70000</v>
      </c>
      <c r="AC113" s="17">
        <f t="shared" si="76"/>
        <v>141000</v>
      </c>
      <c r="AD113" s="17">
        <f t="shared" si="77"/>
        <v>241000</v>
      </c>
      <c r="AE113" s="17">
        <v>100000</v>
      </c>
      <c r="AF113" s="17"/>
      <c r="AG113" s="17">
        <f>[9]Credit!$F$809</f>
        <v>59000</v>
      </c>
      <c r="AH113" s="17"/>
      <c r="AI113" s="17">
        <v>70000</v>
      </c>
      <c r="AJ113" s="17">
        <f t="shared" si="78"/>
        <v>129000</v>
      </c>
      <c r="AK113" s="17">
        <f t="shared" si="79"/>
        <v>229000</v>
      </c>
      <c r="AL113" s="17">
        <v>100000</v>
      </c>
      <c r="AM113" s="42">
        <v>0</v>
      </c>
      <c r="AN113" s="42">
        <f>[5]Credit!$E$1518</f>
        <v>319000</v>
      </c>
      <c r="AO113" s="42">
        <v>0</v>
      </c>
      <c r="AP113" s="17"/>
      <c r="AQ113" s="17">
        <f t="shared" si="80"/>
        <v>319000</v>
      </c>
      <c r="AR113" s="17">
        <f t="shared" si="81"/>
        <v>419000</v>
      </c>
      <c r="AS113" s="42">
        <v>100000</v>
      </c>
      <c r="AT113" s="42">
        <v>0</v>
      </c>
      <c r="AU113" s="42">
        <f>[10]Credit!$E$1475</f>
        <v>51000</v>
      </c>
      <c r="AV113" s="42">
        <v>0</v>
      </c>
      <c r="AW113" s="17">
        <f t="shared" si="82"/>
        <v>51000</v>
      </c>
      <c r="AX113" s="42">
        <f t="shared" si="83"/>
        <v>151000</v>
      </c>
      <c r="AY113" s="42">
        <v>100000</v>
      </c>
      <c r="AZ113" s="42">
        <f>[6]Credit!$F$1467</f>
        <v>340500</v>
      </c>
      <c r="BA113" s="42"/>
      <c r="BB113" s="42"/>
      <c r="BC113" s="42">
        <f t="shared" si="88"/>
        <v>340500</v>
      </c>
      <c r="BD113" s="42">
        <f t="shared" si="87"/>
        <v>440500</v>
      </c>
      <c r="BE113" s="42">
        <v>100000</v>
      </c>
      <c r="BF113" s="42">
        <v>0</v>
      </c>
      <c r="BG113" s="42">
        <f>[11]Kredit!$E$1513</f>
        <v>412500</v>
      </c>
      <c r="BH113" s="42">
        <v>0</v>
      </c>
      <c r="BI113" s="42">
        <f t="shared" si="89"/>
        <v>412500</v>
      </c>
      <c r="BJ113" s="42">
        <f t="shared" si="90"/>
        <v>512500</v>
      </c>
      <c r="BK113" s="42">
        <v>100000</v>
      </c>
      <c r="BL113" s="42"/>
      <c r="BM113" s="42">
        <f>[12]Credit!$E$1409</f>
        <v>155000</v>
      </c>
      <c r="BN113" s="42">
        <v>0</v>
      </c>
      <c r="BO113" s="42">
        <f t="shared" si="91"/>
        <v>155000</v>
      </c>
      <c r="BP113" s="42">
        <f t="shared" si="92"/>
        <v>255000</v>
      </c>
      <c r="BQ113" s="69">
        <f t="shared" si="93"/>
        <v>2700000</v>
      </c>
      <c r="BR113" s="37"/>
      <c r="BS113" s="36"/>
      <c r="BT113" s="36"/>
      <c r="BU113" s="36"/>
    </row>
    <row r="114" spans="1:73" s="4" customFormat="1" ht="13">
      <c r="A114" s="15">
        <f t="shared" si="66"/>
        <v>110</v>
      </c>
      <c r="B114" s="48" t="s">
        <v>181</v>
      </c>
      <c r="C114" s="44" t="s">
        <v>182</v>
      </c>
      <c r="D114" s="44" t="s">
        <v>135</v>
      </c>
      <c r="E114" s="42">
        <v>2775000</v>
      </c>
      <c r="F114" s="17">
        <v>100000</v>
      </c>
      <c r="G114" s="17"/>
      <c r="H114" s="17">
        <f t="shared" si="84"/>
        <v>100000</v>
      </c>
      <c r="I114" s="17">
        <v>100000</v>
      </c>
      <c r="J114" s="17"/>
      <c r="K114" s="17">
        <f t="shared" si="85"/>
        <v>100000</v>
      </c>
      <c r="L114" s="17">
        <v>100000</v>
      </c>
      <c r="M114" s="17"/>
      <c r="N114" s="17">
        <f t="shared" si="86"/>
        <v>100000</v>
      </c>
      <c r="O114" s="17">
        <v>100000</v>
      </c>
      <c r="P114" s="17">
        <f>516500+36000</f>
        <v>552500</v>
      </c>
      <c r="Q114" s="17">
        <f t="shared" si="74"/>
        <v>652500</v>
      </c>
      <c r="R114" s="17">
        <v>100000</v>
      </c>
      <c r="S114" s="17">
        <f>265000</f>
        <v>265000</v>
      </c>
      <c r="T114" s="17">
        <f>73000+[7]System!$F$1308</f>
        <v>626500</v>
      </c>
      <c r="U114" s="17">
        <v>0</v>
      </c>
      <c r="V114" s="17">
        <f>15000</f>
        <v>15000</v>
      </c>
      <c r="W114" s="17">
        <f t="shared" si="75"/>
        <v>1006500</v>
      </c>
      <c r="X114" s="17">
        <v>100000</v>
      </c>
      <c r="Y114" s="17">
        <v>265000</v>
      </c>
      <c r="Z114" s="17">
        <f>[8]Credit!$E$1415</f>
        <v>524500</v>
      </c>
      <c r="AA114" s="17"/>
      <c r="AB114" s="17">
        <v>50000</v>
      </c>
      <c r="AC114" s="17">
        <f t="shared" si="76"/>
        <v>839500</v>
      </c>
      <c r="AD114" s="17">
        <f t="shared" si="77"/>
        <v>939500</v>
      </c>
      <c r="AE114" s="17">
        <v>100000</v>
      </c>
      <c r="AF114" s="17">
        <v>265000</v>
      </c>
      <c r="AG114" s="17">
        <f>[9]Credit!$F$858</f>
        <v>500500</v>
      </c>
      <c r="AH114" s="17"/>
      <c r="AI114" s="17"/>
      <c r="AJ114" s="17">
        <f t="shared" si="78"/>
        <v>765500</v>
      </c>
      <c r="AK114" s="17">
        <f t="shared" si="79"/>
        <v>865500</v>
      </c>
      <c r="AL114" s="17">
        <v>100000</v>
      </c>
      <c r="AM114" s="42">
        <v>265000</v>
      </c>
      <c r="AN114" s="42">
        <f>[5]Credit!$E$1634</f>
        <v>409000</v>
      </c>
      <c r="AO114" s="42">
        <v>0</v>
      </c>
      <c r="AP114" s="17">
        <v>12000</v>
      </c>
      <c r="AQ114" s="17">
        <f t="shared" si="80"/>
        <v>686000</v>
      </c>
      <c r="AR114" s="17">
        <f t="shared" si="81"/>
        <v>786000</v>
      </c>
      <c r="AS114" s="42">
        <v>100000</v>
      </c>
      <c r="AT114" s="42">
        <v>0</v>
      </c>
      <c r="AU114" s="42">
        <f>[10]Credit!$E$1565</f>
        <v>246000</v>
      </c>
      <c r="AV114" s="42">
        <v>0</v>
      </c>
      <c r="AW114" s="17">
        <f t="shared" si="82"/>
        <v>246000</v>
      </c>
      <c r="AX114" s="42">
        <f t="shared" si="83"/>
        <v>346000</v>
      </c>
      <c r="AY114" s="42">
        <v>100000</v>
      </c>
      <c r="AZ114" s="42">
        <v>0</v>
      </c>
      <c r="BA114" s="42"/>
      <c r="BB114" s="42"/>
      <c r="BC114" s="42">
        <f t="shared" si="88"/>
        <v>0</v>
      </c>
      <c r="BD114" s="42">
        <f t="shared" si="87"/>
        <v>100000</v>
      </c>
      <c r="BE114" s="42">
        <v>100000</v>
      </c>
      <c r="BF114" s="42">
        <v>0</v>
      </c>
      <c r="BG114" s="42">
        <f>[11]Kredit!$E$1623</f>
        <v>239000</v>
      </c>
      <c r="BH114" s="42">
        <v>0</v>
      </c>
      <c r="BI114" s="42">
        <f t="shared" si="89"/>
        <v>239000</v>
      </c>
      <c r="BJ114" s="42">
        <f t="shared" si="90"/>
        <v>339000</v>
      </c>
      <c r="BK114" s="42">
        <v>100000</v>
      </c>
      <c r="BL114" s="42">
        <v>0</v>
      </c>
      <c r="BM114" s="42">
        <f>[12]Credit!$E$1527</f>
        <v>414000</v>
      </c>
      <c r="BN114" s="42">
        <v>0</v>
      </c>
      <c r="BO114" s="42">
        <f t="shared" si="91"/>
        <v>414000</v>
      </c>
      <c r="BP114" s="42">
        <f t="shared" si="92"/>
        <v>514000</v>
      </c>
      <c r="BQ114" s="69">
        <f t="shared" si="93"/>
        <v>3975000</v>
      </c>
      <c r="BR114" s="37"/>
      <c r="BS114" s="36"/>
      <c r="BT114" s="36"/>
      <c r="BU114" s="36"/>
    </row>
    <row r="115" spans="1:73" s="4" customFormat="1" ht="13">
      <c r="A115" s="15">
        <f t="shared" si="66"/>
        <v>111</v>
      </c>
      <c r="B115" s="50">
        <v>99071521</v>
      </c>
      <c r="C115" s="44" t="s">
        <v>184</v>
      </c>
      <c r="D115" s="44" t="s">
        <v>183</v>
      </c>
      <c r="E115" s="42">
        <v>1500000</v>
      </c>
      <c r="F115" s="17">
        <v>100000</v>
      </c>
      <c r="G115" s="17">
        <f>440000</f>
        <v>440000</v>
      </c>
      <c r="H115" s="17">
        <f t="shared" si="84"/>
        <v>540000</v>
      </c>
      <c r="I115" s="17">
        <v>100000</v>
      </c>
      <c r="J115" s="17">
        <f>440000</f>
        <v>440000</v>
      </c>
      <c r="K115" s="17">
        <f t="shared" si="85"/>
        <v>540000</v>
      </c>
      <c r="L115" s="17">
        <v>100000</v>
      </c>
      <c r="M115" s="17">
        <f>531250+270000</f>
        <v>801250</v>
      </c>
      <c r="N115" s="17">
        <f t="shared" si="86"/>
        <v>901250</v>
      </c>
      <c r="O115" s="17">
        <v>100000</v>
      </c>
      <c r="P115" s="17">
        <f>364000+531250</f>
        <v>895250</v>
      </c>
      <c r="Q115" s="17">
        <f t="shared" ref="Q115:Q146" si="94">O115+P115</f>
        <v>995250</v>
      </c>
      <c r="R115" s="17">
        <v>100000</v>
      </c>
      <c r="S115" s="17">
        <f>531250</f>
        <v>531250</v>
      </c>
      <c r="T115" s="17">
        <v>0</v>
      </c>
      <c r="U115" s="17">
        <v>0</v>
      </c>
      <c r="V115" s="17">
        <f>33000+27000</f>
        <v>60000</v>
      </c>
      <c r="W115" s="17">
        <f t="shared" ref="W115:W146" si="95">SUM(R115:V115)</f>
        <v>691250</v>
      </c>
      <c r="X115" s="17">
        <v>100000</v>
      </c>
      <c r="Y115" s="17">
        <v>531250</v>
      </c>
      <c r="Z115" s="17">
        <f>[8]Credit!$E$456</f>
        <v>101000</v>
      </c>
      <c r="AA115" s="17"/>
      <c r="AB115" s="17">
        <v>70000</v>
      </c>
      <c r="AC115" s="17">
        <f t="shared" ref="AC115:AC146" si="96">SUM(Y115:AB115)</f>
        <v>702250</v>
      </c>
      <c r="AD115" s="17">
        <f t="shared" ref="AD115:AD146" si="97">AC115+X115</f>
        <v>802250</v>
      </c>
      <c r="AE115" s="17">
        <v>100000</v>
      </c>
      <c r="AF115" s="17">
        <v>531250</v>
      </c>
      <c r="AG115" s="17"/>
      <c r="AH115" s="17"/>
      <c r="AI115" s="17">
        <v>70000</v>
      </c>
      <c r="AJ115" s="17">
        <f t="shared" ref="AJ115:AJ146" si="98">SUM(AF115:AI115)</f>
        <v>601250</v>
      </c>
      <c r="AK115" s="17">
        <f t="shared" ref="AK115:AK146" si="99">AE115+AJ115</f>
        <v>701250</v>
      </c>
      <c r="AL115" s="17">
        <v>100000</v>
      </c>
      <c r="AM115" s="42">
        <v>531250</v>
      </c>
      <c r="AN115" s="42">
        <f>[5]Credit!$E$519</f>
        <v>408000</v>
      </c>
      <c r="AO115" s="42">
        <v>0</v>
      </c>
      <c r="AP115" s="17"/>
      <c r="AQ115" s="17">
        <f t="shared" ref="AQ115:AQ146" si="100">SUM(AM115:AP115)</f>
        <v>939250</v>
      </c>
      <c r="AR115" s="17">
        <f t="shared" ref="AR115:AR146" si="101">AL115+AQ115</f>
        <v>1039250</v>
      </c>
      <c r="AS115" s="42">
        <v>100000</v>
      </c>
      <c r="AT115" s="42">
        <v>531250</v>
      </c>
      <c r="AU115" s="42">
        <v>0</v>
      </c>
      <c r="AV115" s="42">
        <v>0</v>
      </c>
      <c r="AW115" s="17">
        <f t="shared" ref="AW115:AW146" si="102">SUM(AT115:AV115)</f>
        <v>531250</v>
      </c>
      <c r="AX115" s="42">
        <f t="shared" ref="AX115:AX146" si="103">AS115+AW115</f>
        <v>631250</v>
      </c>
      <c r="AY115" s="42">
        <v>100000</v>
      </c>
      <c r="AZ115" s="42">
        <f>[6]Credit!$F$544</f>
        <v>102000</v>
      </c>
      <c r="BA115" s="42">
        <v>531250</v>
      </c>
      <c r="BB115" s="42"/>
      <c r="BC115" s="42">
        <f t="shared" si="88"/>
        <v>633250</v>
      </c>
      <c r="BD115" s="42">
        <f t="shared" si="87"/>
        <v>733250</v>
      </c>
      <c r="BE115" s="42">
        <v>100000</v>
      </c>
      <c r="BF115" s="42">
        <v>0</v>
      </c>
      <c r="BG115" s="42">
        <f>[11]Kredit!$E$615</f>
        <v>120000</v>
      </c>
      <c r="BH115" s="42">
        <v>0</v>
      </c>
      <c r="BI115" s="42">
        <f t="shared" si="89"/>
        <v>120000</v>
      </c>
      <c r="BJ115" s="42">
        <f t="shared" si="90"/>
        <v>220000</v>
      </c>
      <c r="BK115" s="42">
        <v>100000</v>
      </c>
      <c r="BL115" s="42">
        <v>0</v>
      </c>
      <c r="BM115" s="42">
        <f>[12]Credit!$E$587</f>
        <v>370000</v>
      </c>
      <c r="BN115" s="42">
        <v>0</v>
      </c>
      <c r="BO115" s="42">
        <f t="shared" si="91"/>
        <v>370000</v>
      </c>
      <c r="BP115" s="42">
        <f t="shared" si="92"/>
        <v>470000</v>
      </c>
      <c r="BQ115" s="69">
        <f t="shared" si="93"/>
        <v>2700000</v>
      </c>
      <c r="BR115" s="37"/>
      <c r="BS115" s="36"/>
      <c r="BT115" s="36"/>
      <c r="BU115" s="36"/>
    </row>
    <row r="116" spans="1:73" s="4" customFormat="1" ht="13">
      <c r="A116" s="15">
        <f t="shared" si="66"/>
        <v>112</v>
      </c>
      <c r="B116" s="43">
        <v>97021289</v>
      </c>
      <c r="C116" s="44" t="s">
        <v>76</v>
      </c>
      <c r="D116" s="44" t="s">
        <v>183</v>
      </c>
      <c r="E116" s="42">
        <v>2775000</v>
      </c>
      <c r="F116" s="17">
        <v>100000</v>
      </c>
      <c r="G116" s="17">
        <f>540000+319000</f>
        <v>859000</v>
      </c>
      <c r="H116" s="17">
        <f t="shared" si="84"/>
        <v>959000</v>
      </c>
      <c r="I116" s="17">
        <v>100000</v>
      </c>
      <c r="J116" s="17">
        <f>540000+491000</f>
        <v>1031000</v>
      </c>
      <c r="K116" s="17">
        <f t="shared" si="85"/>
        <v>1131000</v>
      </c>
      <c r="L116" s="17">
        <v>100000</v>
      </c>
      <c r="M116" s="17">
        <f>540000+103500</f>
        <v>643500</v>
      </c>
      <c r="N116" s="17">
        <f t="shared" si="86"/>
        <v>743500</v>
      </c>
      <c r="O116" s="17">
        <v>100000</v>
      </c>
      <c r="P116" s="17">
        <f>437500+139000+111000</f>
        <v>687500</v>
      </c>
      <c r="Q116" s="17">
        <f t="shared" si="94"/>
        <v>787500</v>
      </c>
      <c r="R116" s="17">
        <v>100000</v>
      </c>
      <c r="S116" s="17">
        <f>530000</f>
        <v>530000</v>
      </c>
      <c r="T116" s="17">
        <f>19500+[7]System!$F$604</f>
        <v>699500</v>
      </c>
      <c r="U116" s="17">
        <v>0</v>
      </c>
      <c r="V116" s="17">
        <f>15000</f>
        <v>15000</v>
      </c>
      <c r="W116" s="17">
        <f t="shared" si="95"/>
        <v>1344500</v>
      </c>
      <c r="X116" s="17">
        <v>100000</v>
      </c>
      <c r="Y116" s="17">
        <v>530000</v>
      </c>
      <c r="Z116" s="17">
        <f>[8]Credit!$E$645</f>
        <v>559000</v>
      </c>
      <c r="AA116" s="17"/>
      <c r="AB116" s="17">
        <v>25000</v>
      </c>
      <c r="AC116" s="17">
        <f t="shared" si="96"/>
        <v>1114000</v>
      </c>
      <c r="AD116" s="17">
        <f t="shared" si="97"/>
        <v>1214000</v>
      </c>
      <c r="AE116" s="17">
        <v>100000</v>
      </c>
      <c r="AF116" s="17">
        <v>530000</v>
      </c>
      <c r="AG116" s="17">
        <f>[9]Credit!$F$406</f>
        <v>515000</v>
      </c>
      <c r="AH116" s="17"/>
      <c r="AI116" s="17"/>
      <c r="AJ116" s="17">
        <f t="shared" si="98"/>
        <v>1045000</v>
      </c>
      <c r="AK116" s="17">
        <f t="shared" si="99"/>
        <v>1145000</v>
      </c>
      <c r="AL116" s="17">
        <v>100000</v>
      </c>
      <c r="AM116" s="42">
        <v>530000</v>
      </c>
      <c r="AN116" s="42">
        <f>[5]Credit!$E$773</f>
        <v>752500</v>
      </c>
      <c r="AO116" s="42">
        <v>0</v>
      </c>
      <c r="AP116" s="17">
        <f>66000+46000</f>
        <v>112000</v>
      </c>
      <c r="AQ116" s="17">
        <f t="shared" si="100"/>
        <v>1394500</v>
      </c>
      <c r="AR116" s="17">
        <f t="shared" si="101"/>
        <v>1494500</v>
      </c>
      <c r="AS116" s="42">
        <v>100000</v>
      </c>
      <c r="AT116" s="42">
        <v>530000</v>
      </c>
      <c r="AU116" s="42">
        <f>[10]Credit!$E$740</f>
        <v>436000</v>
      </c>
      <c r="AV116" s="42">
        <v>0</v>
      </c>
      <c r="AW116" s="17">
        <f t="shared" si="102"/>
        <v>966000</v>
      </c>
      <c r="AX116" s="42">
        <f t="shared" si="103"/>
        <v>1066000</v>
      </c>
      <c r="AY116" s="42">
        <v>100000</v>
      </c>
      <c r="AZ116" s="42">
        <f>[6]Credit!$F$769</f>
        <v>440250</v>
      </c>
      <c r="BA116" s="42"/>
      <c r="BB116" s="42"/>
      <c r="BC116" s="42">
        <f t="shared" si="88"/>
        <v>440250</v>
      </c>
      <c r="BD116" s="42">
        <f t="shared" si="87"/>
        <v>540250</v>
      </c>
      <c r="BE116" s="42">
        <v>100000</v>
      </c>
      <c r="BF116" s="42">
        <v>0</v>
      </c>
      <c r="BG116" s="42">
        <f>[11]Kredit!$E$772</f>
        <v>833500</v>
      </c>
      <c r="BH116" s="42">
        <v>0</v>
      </c>
      <c r="BI116" s="42">
        <f t="shared" si="89"/>
        <v>833500</v>
      </c>
      <c r="BJ116" s="42">
        <f t="shared" si="90"/>
        <v>933500</v>
      </c>
      <c r="BK116" s="42">
        <v>100000</v>
      </c>
      <c r="BL116" s="42">
        <v>530000</v>
      </c>
      <c r="BM116" s="42">
        <f>[12]Credit!$E$710</f>
        <v>367500</v>
      </c>
      <c r="BN116" s="42">
        <v>0</v>
      </c>
      <c r="BO116" s="42">
        <f t="shared" si="91"/>
        <v>897500</v>
      </c>
      <c r="BP116" s="42">
        <f t="shared" si="92"/>
        <v>997500</v>
      </c>
      <c r="BQ116" s="69">
        <f t="shared" si="93"/>
        <v>3975000</v>
      </c>
      <c r="BR116" s="37"/>
      <c r="BS116" s="36"/>
      <c r="BT116" s="36"/>
      <c r="BU116" s="36"/>
    </row>
    <row r="117" spans="1:73" s="4" customFormat="1" ht="13">
      <c r="A117" s="15">
        <f t="shared" si="66"/>
        <v>113</v>
      </c>
      <c r="B117" s="43">
        <v>95070374</v>
      </c>
      <c r="C117" s="44" t="s">
        <v>405</v>
      </c>
      <c r="D117" s="44" t="s">
        <v>183</v>
      </c>
      <c r="E117" s="42">
        <v>2775000</v>
      </c>
      <c r="F117" s="17">
        <v>100000</v>
      </c>
      <c r="G117" s="17">
        <f>41000</f>
        <v>41000</v>
      </c>
      <c r="H117" s="17">
        <f t="shared" si="84"/>
        <v>141000</v>
      </c>
      <c r="I117" s="17">
        <v>100000</v>
      </c>
      <c r="J117" s="17">
        <v>77000</v>
      </c>
      <c r="K117" s="17">
        <f t="shared" si="85"/>
        <v>177000</v>
      </c>
      <c r="L117" s="17">
        <v>100000</v>
      </c>
      <c r="M117" s="17">
        <v>1062500</v>
      </c>
      <c r="N117" s="17">
        <f t="shared" si="86"/>
        <v>1162500</v>
      </c>
      <c r="O117" s="17">
        <v>100000</v>
      </c>
      <c r="P117" s="17">
        <f>37000+1062500+16000</f>
        <v>1115500</v>
      </c>
      <c r="Q117" s="17">
        <f t="shared" si="94"/>
        <v>1215500</v>
      </c>
      <c r="R117" s="17">
        <v>100000</v>
      </c>
      <c r="S117" s="17">
        <f>1062500</f>
        <v>1062500</v>
      </c>
      <c r="T117" s="17">
        <f>18000+[7]System!$F$653</f>
        <v>45000</v>
      </c>
      <c r="U117" s="17">
        <v>0</v>
      </c>
      <c r="V117" s="17">
        <f>15000</f>
        <v>15000</v>
      </c>
      <c r="W117" s="17">
        <f t="shared" si="95"/>
        <v>1222500</v>
      </c>
      <c r="X117" s="17">
        <v>100000</v>
      </c>
      <c r="Y117" s="17">
        <v>1062500</v>
      </c>
      <c r="Z117" s="17">
        <f>[8]Credit!$E$713</f>
        <v>55000</v>
      </c>
      <c r="AA117" s="17"/>
      <c r="AB117" s="17">
        <v>20000</v>
      </c>
      <c r="AC117" s="17">
        <f t="shared" si="96"/>
        <v>1137500</v>
      </c>
      <c r="AD117" s="17">
        <f t="shared" si="97"/>
        <v>1237500</v>
      </c>
      <c r="AE117" s="17">
        <v>100000</v>
      </c>
      <c r="AF117" s="17"/>
      <c r="AG117" s="17"/>
      <c r="AH117" s="17"/>
      <c r="AI117" s="17"/>
      <c r="AJ117" s="17">
        <f t="shared" si="98"/>
        <v>0</v>
      </c>
      <c r="AK117" s="17">
        <f t="shared" si="99"/>
        <v>100000</v>
      </c>
      <c r="AL117" s="17">
        <v>100000</v>
      </c>
      <c r="AM117" s="42">
        <v>0</v>
      </c>
      <c r="AN117" s="42">
        <f>[5]Credit!$E$828</f>
        <v>19500</v>
      </c>
      <c r="AO117" s="42">
        <v>0</v>
      </c>
      <c r="AP117" s="17"/>
      <c r="AQ117" s="17">
        <f t="shared" si="100"/>
        <v>19500</v>
      </c>
      <c r="AR117" s="17">
        <f t="shared" si="101"/>
        <v>119500</v>
      </c>
      <c r="AS117" s="42">
        <v>100000</v>
      </c>
      <c r="AT117" s="42">
        <v>0</v>
      </c>
      <c r="AU117" s="42">
        <f>[10]Credit!$E$800</f>
        <v>50000</v>
      </c>
      <c r="AV117" s="42">
        <v>0</v>
      </c>
      <c r="AW117" s="17">
        <f t="shared" si="102"/>
        <v>50000</v>
      </c>
      <c r="AX117" s="42">
        <f t="shared" si="103"/>
        <v>150000</v>
      </c>
      <c r="AY117" s="42">
        <v>100000</v>
      </c>
      <c r="AZ117" s="42">
        <f>[6]Credit!$F$832</f>
        <v>27000</v>
      </c>
      <c r="BA117" s="42">
        <v>531250</v>
      </c>
      <c r="BB117" s="42"/>
      <c r="BC117" s="42">
        <f t="shared" si="88"/>
        <v>558250</v>
      </c>
      <c r="BD117" s="42">
        <f t="shared" si="87"/>
        <v>658250</v>
      </c>
      <c r="BE117" s="42">
        <v>100000</v>
      </c>
      <c r="BF117" s="42">
        <v>531250</v>
      </c>
      <c r="BG117" s="42">
        <f>[11]Kredit!$E$819</f>
        <v>36000</v>
      </c>
      <c r="BH117" s="42">
        <v>0</v>
      </c>
      <c r="BI117" s="42">
        <f t="shared" si="89"/>
        <v>567250</v>
      </c>
      <c r="BJ117" s="42">
        <f t="shared" si="90"/>
        <v>667250</v>
      </c>
      <c r="BK117" s="42">
        <v>100000</v>
      </c>
      <c r="BL117" s="42">
        <v>531250</v>
      </c>
      <c r="BM117" s="42">
        <f>[12]Credit!$E$752</f>
        <v>13000</v>
      </c>
      <c r="BN117" s="42">
        <v>0</v>
      </c>
      <c r="BO117" s="42">
        <f t="shared" si="91"/>
        <v>544250</v>
      </c>
      <c r="BP117" s="42">
        <f t="shared" si="92"/>
        <v>644250</v>
      </c>
      <c r="BQ117" s="69">
        <f t="shared" si="93"/>
        <v>3975000</v>
      </c>
      <c r="BR117" s="38" t="s">
        <v>394</v>
      </c>
      <c r="BS117" s="36"/>
      <c r="BT117" s="36"/>
      <c r="BU117" s="36"/>
    </row>
    <row r="118" spans="1:73" s="4" customFormat="1" ht="13">
      <c r="A118" s="15">
        <f t="shared" si="66"/>
        <v>114</v>
      </c>
      <c r="B118" s="48" t="s">
        <v>185</v>
      </c>
      <c r="C118" s="44" t="s">
        <v>5</v>
      </c>
      <c r="D118" s="44" t="s">
        <v>183</v>
      </c>
      <c r="E118" s="42">
        <v>2775000</v>
      </c>
      <c r="F118" s="17">
        <v>100000</v>
      </c>
      <c r="G118" s="17"/>
      <c r="H118" s="17">
        <f t="shared" si="84"/>
        <v>100000</v>
      </c>
      <c r="I118" s="17">
        <v>100000</v>
      </c>
      <c r="J118" s="17"/>
      <c r="K118" s="17">
        <f t="shared" si="85"/>
        <v>100000</v>
      </c>
      <c r="L118" s="17">
        <v>100000</v>
      </c>
      <c r="M118" s="17"/>
      <c r="N118" s="17">
        <f t="shared" si="86"/>
        <v>100000</v>
      </c>
      <c r="O118" s="17">
        <v>100000</v>
      </c>
      <c r="P118" s="17"/>
      <c r="Q118" s="17">
        <f t="shared" si="94"/>
        <v>100000</v>
      </c>
      <c r="R118" s="17">
        <v>100000</v>
      </c>
      <c r="S118" s="17">
        <v>0</v>
      </c>
      <c r="T118" s="17">
        <v>0</v>
      </c>
      <c r="U118" s="17">
        <v>219635</v>
      </c>
      <c r="V118" s="17">
        <v>0</v>
      </c>
      <c r="W118" s="17">
        <f t="shared" si="95"/>
        <v>319635</v>
      </c>
      <c r="X118" s="17">
        <v>100000</v>
      </c>
      <c r="Y118" s="17"/>
      <c r="Z118" s="17"/>
      <c r="AA118" s="17">
        <v>219635</v>
      </c>
      <c r="AB118" s="17"/>
      <c r="AC118" s="17">
        <f t="shared" si="96"/>
        <v>219635</v>
      </c>
      <c r="AD118" s="17">
        <f t="shared" si="97"/>
        <v>319635</v>
      </c>
      <c r="AE118" s="17">
        <v>100000</v>
      </c>
      <c r="AF118" s="17"/>
      <c r="AG118" s="17"/>
      <c r="AH118" s="17">
        <v>219635</v>
      </c>
      <c r="AI118" s="17"/>
      <c r="AJ118" s="17">
        <f t="shared" si="98"/>
        <v>219635</v>
      </c>
      <c r="AK118" s="17">
        <f t="shared" si="99"/>
        <v>319635</v>
      </c>
      <c r="AL118" s="17">
        <v>100000</v>
      </c>
      <c r="AM118" s="42">
        <v>0</v>
      </c>
      <c r="AN118" s="42">
        <v>0</v>
      </c>
      <c r="AO118" s="42">
        <v>219635</v>
      </c>
      <c r="AP118" s="17"/>
      <c r="AQ118" s="17">
        <f t="shared" si="100"/>
        <v>219635</v>
      </c>
      <c r="AR118" s="17">
        <f t="shared" si="101"/>
        <v>319635</v>
      </c>
      <c r="AS118" s="42">
        <v>100000</v>
      </c>
      <c r="AT118" s="42">
        <v>0</v>
      </c>
      <c r="AU118" s="42">
        <v>0</v>
      </c>
      <c r="AV118" s="42">
        <v>272500</v>
      </c>
      <c r="AW118" s="17">
        <f t="shared" si="102"/>
        <v>272500</v>
      </c>
      <c r="AX118" s="42">
        <f t="shared" si="103"/>
        <v>372500</v>
      </c>
      <c r="AY118" s="42">
        <v>100000</v>
      </c>
      <c r="AZ118" s="42">
        <v>0</v>
      </c>
      <c r="BA118" s="42"/>
      <c r="BB118" s="42">
        <v>272500</v>
      </c>
      <c r="BC118" s="42">
        <f t="shared" si="88"/>
        <v>272500</v>
      </c>
      <c r="BD118" s="42">
        <f t="shared" si="87"/>
        <v>372500</v>
      </c>
      <c r="BE118" s="42">
        <v>100000</v>
      </c>
      <c r="BF118" s="42">
        <v>0</v>
      </c>
      <c r="BG118" s="42"/>
      <c r="BH118" s="42">
        <v>272500</v>
      </c>
      <c r="BI118" s="42">
        <f t="shared" si="89"/>
        <v>272500</v>
      </c>
      <c r="BJ118" s="42">
        <f t="shared" si="90"/>
        <v>372500</v>
      </c>
      <c r="BK118" s="42">
        <v>100000</v>
      </c>
      <c r="BL118" s="42">
        <v>0</v>
      </c>
      <c r="BM118" s="42">
        <v>0</v>
      </c>
      <c r="BN118" s="42">
        <v>0</v>
      </c>
      <c r="BO118" s="42">
        <f t="shared" si="91"/>
        <v>0</v>
      </c>
      <c r="BP118" s="42">
        <f t="shared" si="92"/>
        <v>100000</v>
      </c>
      <c r="BQ118" s="69">
        <f t="shared" si="93"/>
        <v>3975000</v>
      </c>
      <c r="BR118" s="37"/>
      <c r="BS118" s="36"/>
      <c r="BT118" s="36"/>
      <c r="BU118" s="36"/>
    </row>
    <row r="119" spans="1:73" s="4" customFormat="1" ht="13">
      <c r="A119" s="15">
        <f t="shared" si="66"/>
        <v>115</v>
      </c>
      <c r="B119" s="48" t="s">
        <v>186</v>
      </c>
      <c r="C119" s="44" t="s">
        <v>187</v>
      </c>
      <c r="D119" s="44" t="s">
        <v>183</v>
      </c>
      <c r="E119" s="42">
        <v>2775000</v>
      </c>
      <c r="F119" s="17">
        <v>100000</v>
      </c>
      <c r="G119" s="17"/>
      <c r="H119" s="17">
        <f t="shared" ref="H119:H136" si="104">F119+G119</f>
        <v>100000</v>
      </c>
      <c r="I119" s="17">
        <v>100000</v>
      </c>
      <c r="J119" s="17"/>
      <c r="K119" s="17">
        <f t="shared" ref="K119:K136" si="105">I119+J119</f>
        <v>100000</v>
      </c>
      <c r="L119" s="17">
        <v>100000</v>
      </c>
      <c r="M119" s="17">
        <v>425000</v>
      </c>
      <c r="N119" s="17">
        <f t="shared" ref="N119:N140" si="106">L119+M119</f>
        <v>525000</v>
      </c>
      <c r="O119" s="17">
        <v>100000</v>
      </c>
      <c r="P119" s="17">
        <v>425000</v>
      </c>
      <c r="Q119" s="17">
        <f t="shared" si="94"/>
        <v>525000</v>
      </c>
      <c r="R119" s="17">
        <v>100000</v>
      </c>
      <c r="S119" s="17">
        <f>425000</f>
        <v>425000</v>
      </c>
      <c r="T119" s="17">
        <v>0</v>
      </c>
      <c r="U119" s="17">
        <v>0</v>
      </c>
      <c r="V119" s="17">
        <v>0</v>
      </c>
      <c r="W119" s="17">
        <f t="shared" si="95"/>
        <v>525000</v>
      </c>
      <c r="X119" s="17">
        <v>100000</v>
      </c>
      <c r="Y119" s="17">
        <v>425000</v>
      </c>
      <c r="Z119" s="17"/>
      <c r="AA119" s="17"/>
      <c r="AB119" s="17"/>
      <c r="AC119" s="17">
        <f t="shared" si="96"/>
        <v>425000</v>
      </c>
      <c r="AD119" s="17">
        <f t="shared" si="97"/>
        <v>525000</v>
      </c>
      <c r="AE119" s="17">
        <v>100000</v>
      </c>
      <c r="AF119" s="17">
        <v>425000</v>
      </c>
      <c r="AG119" s="17"/>
      <c r="AH119" s="17"/>
      <c r="AI119" s="17">
        <v>70000</v>
      </c>
      <c r="AJ119" s="17">
        <f t="shared" si="98"/>
        <v>495000</v>
      </c>
      <c r="AK119" s="17">
        <f t="shared" si="99"/>
        <v>595000</v>
      </c>
      <c r="AL119" s="17">
        <v>100000</v>
      </c>
      <c r="AM119" s="42">
        <v>0</v>
      </c>
      <c r="AN119" s="42">
        <v>0</v>
      </c>
      <c r="AO119" s="42">
        <v>0</v>
      </c>
      <c r="AP119" s="17"/>
      <c r="AQ119" s="17">
        <f t="shared" si="100"/>
        <v>0</v>
      </c>
      <c r="AR119" s="17">
        <f t="shared" si="101"/>
        <v>100000</v>
      </c>
      <c r="AS119" s="42">
        <v>100000</v>
      </c>
      <c r="AT119" s="42">
        <v>0</v>
      </c>
      <c r="AU119" s="42">
        <v>0</v>
      </c>
      <c r="AV119" s="42">
        <v>0</v>
      </c>
      <c r="AW119" s="17">
        <f t="shared" si="102"/>
        <v>0</v>
      </c>
      <c r="AX119" s="42">
        <f t="shared" si="103"/>
        <v>100000</v>
      </c>
      <c r="AY119" s="42">
        <v>100000</v>
      </c>
      <c r="AZ119" s="42">
        <f>[6]Credit!$F$1507</f>
        <v>29000</v>
      </c>
      <c r="BA119" s="42"/>
      <c r="BB119" s="42"/>
      <c r="BC119" s="42">
        <f t="shared" si="88"/>
        <v>29000</v>
      </c>
      <c r="BD119" s="42">
        <f t="shared" si="87"/>
        <v>129000</v>
      </c>
      <c r="BE119" s="42">
        <v>100000</v>
      </c>
      <c r="BF119" s="42">
        <v>0</v>
      </c>
      <c r="BG119" s="42">
        <f>[11]Kredit!$E$1577</f>
        <v>33000</v>
      </c>
      <c r="BH119" s="42">
        <v>0</v>
      </c>
      <c r="BI119" s="42">
        <f t="shared" si="89"/>
        <v>33000</v>
      </c>
      <c r="BJ119" s="42">
        <f t="shared" si="90"/>
        <v>133000</v>
      </c>
      <c r="BK119" s="42">
        <v>100000</v>
      </c>
      <c r="BL119" s="42">
        <v>0</v>
      </c>
      <c r="BM119" s="42">
        <f>[12]Credit!$E$1465</f>
        <v>12500</v>
      </c>
      <c r="BN119" s="42">
        <v>0</v>
      </c>
      <c r="BO119" s="42">
        <f t="shared" si="91"/>
        <v>12500</v>
      </c>
      <c r="BP119" s="42">
        <f t="shared" si="92"/>
        <v>112500</v>
      </c>
      <c r="BQ119" s="69">
        <f t="shared" si="93"/>
        <v>3975000</v>
      </c>
      <c r="BR119" s="38" t="s">
        <v>404</v>
      </c>
      <c r="BS119" s="36"/>
      <c r="BT119" s="36"/>
      <c r="BU119" s="36"/>
    </row>
    <row r="120" spans="1:73" s="4" customFormat="1" ht="13">
      <c r="A120" s="15">
        <f t="shared" si="66"/>
        <v>116</v>
      </c>
      <c r="B120" s="43">
        <v>99101758</v>
      </c>
      <c r="C120" s="44" t="s">
        <v>6</v>
      </c>
      <c r="D120" s="44" t="s">
        <v>188</v>
      </c>
      <c r="E120" s="42">
        <v>2775000</v>
      </c>
      <c r="F120" s="17">
        <v>100000</v>
      </c>
      <c r="G120" s="17">
        <f>648000+145000</f>
        <v>793000</v>
      </c>
      <c r="H120" s="17">
        <f t="shared" si="104"/>
        <v>893000</v>
      </c>
      <c r="I120" s="17">
        <v>100000</v>
      </c>
      <c r="J120" s="17">
        <f>531250+248000</f>
        <v>779250</v>
      </c>
      <c r="K120" s="17">
        <f t="shared" si="105"/>
        <v>879250</v>
      </c>
      <c r="L120" s="17">
        <v>100000</v>
      </c>
      <c r="M120" s="17">
        <f>531250+139900</f>
        <v>671150</v>
      </c>
      <c r="N120" s="17">
        <f t="shared" si="106"/>
        <v>771150</v>
      </c>
      <c r="O120" s="17">
        <v>100000</v>
      </c>
      <c r="P120" s="17">
        <f>480500+531250+52000</f>
        <v>1063750</v>
      </c>
      <c r="Q120" s="17">
        <f t="shared" si="94"/>
        <v>1163750</v>
      </c>
      <c r="R120" s="17">
        <v>100000</v>
      </c>
      <c r="S120" s="17">
        <v>530500</v>
      </c>
      <c r="T120" s="17">
        <f>[7]System!$F$614</f>
        <v>134500</v>
      </c>
      <c r="U120" s="17">
        <v>0</v>
      </c>
      <c r="V120" s="17">
        <f>21000+21000+96000</f>
        <v>138000</v>
      </c>
      <c r="W120" s="17">
        <f t="shared" si="95"/>
        <v>903000</v>
      </c>
      <c r="X120" s="17">
        <v>100000</v>
      </c>
      <c r="Y120" s="17">
        <v>530500</v>
      </c>
      <c r="Z120" s="17">
        <f>[8]Credit!$E$660</f>
        <v>164500</v>
      </c>
      <c r="AA120" s="17">
        <v>363333</v>
      </c>
      <c r="AB120" s="17">
        <v>115000</v>
      </c>
      <c r="AC120" s="17">
        <f t="shared" si="96"/>
        <v>1173333</v>
      </c>
      <c r="AD120" s="17">
        <f t="shared" si="97"/>
        <v>1273333</v>
      </c>
      <c r="AE120" s="17">
        <v>100000</v>
      </c>
      <c r="AF120" s="17">
        <v>530500</v>
      </c>
      <c r="AG120" s="17">
        <f>[9]Credit!$F$414</f>
        <v>96000</v>
      </c>
      <c r="AH120" s="17">
        <v>363333</v>
      </c>
      <c r="AI120" s="17"/>
      <c r="AJ120" s="17">
        <f t="shared" si="98"/>
        <v>989833</v>
      </c>
      <c r="AK120" s="17">
        <f t="shared" si="99"/>
        <v>1089833</v>
      </c>
      <c r="AL120" s="17">
        <v>100000</v>
      </c>
      <c r="AM120" s="42">
        <v>530500</v>
      </c>
      <c r="AN120" s="42">
        <f>[5]Credit!$E$781</f>
        <v>91000</v>
      </c>
      <c r="AO120" s="42">
        <v>363333</v>
      </c>
      <c r="AP120" s="17">
        <v>35000</v>
      </c>
      <c r="AQ120" s="17">
        <f t="shared" si="100"/>
        <v>1019833</v>
      </c>
      <c r="AR120" s="17">
        <f t="shared" si="101"/>
        <v>1119833</v>
      </c>
      <c r="AS120" s="42">
        <v>100000</v>
      </c>
      <c r="AT120" s="42">
        <v>530500</v>
      </c>
      <c r="AU120" s="42">
        <f>[10]Credit!$E$756</f>
        <v>116500</v>
      </c>
      <c r="AV120" s="42">
        <v>363333</v>
      </c>
      <c r="AW120" s="17">
        <f t="shared" si="102"/>
        <v>1010333</v>
      </c>
      <c r="AX120" s="42">
        <f t="shared" si="103"/>
        <v>1110333</v>
      </c>
      <c r="AY120" s="42">
        <v>100000</v>
      </c>
      <c r="AZ120" s="42">
        <f>[6]Credit!$F$784</f>
        <v>228300</v>
      </c>
      <c r="BA120" s="42">
        <v>530500</v>
      </c>
      <c r="BB120" s="42">
        <v>363333</v>
      </c>
      <c r="BC120" s="42">
        <f t="shared" si="88"/>
        <v>1122133</v>
      </c>
      <c r="BD120" s="42">
        <f t="shared" si="87"/>
        <v>1222133</v>
      </c>
      <c r="BE120" s="42">
        <v>100000</v>
      </c>
      <c r="BF120" s="42">
        <f>530500</f>
        <v>530500</v>
      </c>
      <c r="BG120" s="42">
        <f>[11]Kredit!$E$786</f>
        <v>122500</v>
      </c>
      <c r="BH120" s="42">
        <f>363333+318000</f>
        <v>681333</v>
      </c>
      <c r="BI120" s="42">
        <f t="shared" si="89"/>
        <v>1334333</v>
      </c>
      <c r="BJ120" s="42">
        <f t="shared" si="90"/>
        <v>1434333</v>
      </c>
      <c r="BK120" s="42">
        <v>100000</v>
      </c>
      <c r="BL120" s="42">
        <v>530500</v>
      </c>
      <c r="BM120" s="42">
        <f>[12]Credit!$E$720</f>
        <v>138000</v>
      </c>
      <c r="BN120" s="42">
        <v>318000</v>
      </c>
      <c r="BO120" s="42">
        <f t="shared" si="91"/>
        <v>986500</v>
      </c>
      <c r="BP120" s="42">
        <f t="shared" si="92"/>
        <v>1086500</v>
      </c>
      <c r="BQ120" s="69">
        <f t="shared" si="93"/>
        <v>3975000</v>
      </c>
      <c r="BR120" s="37"/>
      <c r="BS120" s="36"/>
      <c r="BT120" s="36"/>
      <c r="BU120" s="36"/>
    </row>
    <row r="121" spans="1:73" s="4" customFormat="1" ht="13">
      <c r="A121" s="15">
        <f t="shared" si="66"/>
        <v>117</v>
      </c>
      <c r="B121" s="43">
        <v>95120918</v>
      </c>
      <c r="C121" s="44" t="s">
        <v>189</v>
      </c>
      <c r="D121" s="44" t="s">
        <v>188</v>
      </c>
      <c r="E121" s="42">
        <v>2225000</v>
      </c>
      <c r="F121" s="17">
        <v>100000</v>
      </c>
      <c r="G121" s="17">
        <f>550000+515500</f>
        <v>1065500</v>
      </c>
      <c r="H121" s="17">
        <f t="shared" si="104"/>
        <v>1165500</v>
      </c>
      <c r="I121" s="17">
        <v>100000</v>
      </c>
      <c r="J121" s="17">
        <f>530000+251500</f>
        <v>781500</v>
      </c>
      <c r="K121" s="17">
        <f t="shared" si="105"/>
        <v>881500</v>
      </c>
      <c r="L121" s="17">
        <v>100000</v>
      </c>
      <c r="M121" s="17">
        <v>530000</v>
      </c>
      <c r="N121" s="17">
        <f t="shared" si="106"/>
        <v>630000</v>
      </c>
      <c r="O121" s="17">
        <v>100000</v>
      </c>
      <c r="P121" s="17">
        <f>248000+530000+95750</f>
        <v>873750</v>
      </c>
      <c r="Q121" s="17">
        <f t="shared" si="94"/>
        <v>973750</v>
      </c>
      <c r="R121" s="17">
        <v>100000</v>
      </c>
      <c r="S121" s="17">
        <f>530000</f>
        <v>530000</v>
      </c>
      <c r="T121" s="17">
        <f>141000+[7]System!$F$1203</f>
        <v>502000</v>
      </c>
      <c r="U121" s="17">
        <v>0</v>
      </c>
      <c r="V121" s="17">
        <f>21000+44000</f>
        <v>65000</v>
      </c>
      <c r="W121" s="17">
        <f t="shared" si="95"/>
        <v>1197000</v>
      </c>
      <c r="X121" s="17">
        <v>100000</v>
      </c>
      <c r="Y121" s="17">
        <v>530000</v>
      </c>
      <c r="Z121" s="17">
        <f>[8]Credit!$E$1314</f>
        <v>259500</v>
      </c>
      <c r="AA121" s="17"/>
      <c r="AB121" s="17">
        <v>75000</v>
      </c>
      <c r="AC121" s="17">
        <f t="shared" si="96"/>
        <v>864500</v>
      </c>
      <c r="AD121" s="17">
        <f t="shared" si="97"/>
        <v>964500</v>
      </c>
      <c r="AE121" s="17">
        <v>100000</v>
      </c>
      <c r="AF121" s="17">
        <v>530000</v>
      </c>
      <c r="AG121" s="17">
        <f>[9]Credit!$F$805</f>
        <v>120000</v>
      </c>
      <c r="AH121" s="17"/>
      <c r="AI121" s="17">
        <v>70000</v>
      </c>
      <c r="AJ121" s="17">
        <f t="shared" si="98"/>
        <v>720000</v>
      </c>
      <c r="AK121" s="17">
        <f t="shared" si="99"/>
        <v>820000</v>
      </c>
      <c r="AL121" s="17">
        <v>100000</v>
      </c>
      <c r="AM121" s="42">
        <v>530000</v>
      </c>
      <c r="AN121" s="42">
        <f>[5]Credit!$E$1509</f>
        <v>226000</v>
      </c>
      <c r="AO121" s="42">
        <v>0</v>
      </c>
      <c r="AP121" s="17">
        <f>20000+20000</f>
        <v>40000</v>
      </c>
      <c r="AQ121" s="17">
        <f t="shared" si="100"/>
        <v>796000</v>
      </c>
      <c r="AR121" s="17">
        <f t="shared" si="101"/>
        <v>896000</v>
      </c>
      <c r="AS121" s="42">
        <v>100000</v>
      </c>
      <c r="AT121" s="42">
        <v>530000</v>
      </c>
      <c r="AU121" s="42">
        <f>[10]Credit!$E$1467</f>
        <v>230500</v>
      </c>
      <c r="AV121" s="42">
        <v>0</v>
      </c>
      <c r="AW121" s="17">
        <f t="shared" si="102"/>
        <v>760500</v>
      </c>
      <c r="AX121" s="42">
        <f t="shared" si="103"/>
        <v>860500</v>
      </c>
      <c r="AY121" s="42">
        <v>100000</v>
      </c>
      <c r="AZ121" s="42">
        <f>[6]Credit!$F$1460</f>
        <v>303500</v>
      </c>
      <c r="BA121" s="42">
        <v>530000</v>
      </c>
      <c r="BB121" s="42">
        <v>408750</v>
      </c>
      <c r="BC121" s="42">
        <f t="shared" si="88"/>
        <v>1242250</v>
      </c>
      <c r="BD121" s="42">
        <f t="shared" si="87"/>
        <v>1342250</v>
      </c>
      <c r="BE121" s="42">
        <v>100000</v>
      </c>
      <c r="BF121" s="42">
        <v>530000</v>
      </c>
      <c r="BG121" s="42">
        <f>[11]Kredit!$E$1497</f>
        <v>359000</v>
      </c>
      <c r="BH121" s="42">
        <v>408750</v>
      </c>
      <c r="BI121" s="42">
        <f t="shared" si="89"/>
        <v>1297750</v>
      </c>
      <c r="BJ121" s="42">
        <f t="shared" si="90"/>
        <v>1397750</v>
      </c>
      <c r="BK121" s="42">
        <v>100000</v>
      </c>
      <c r="BL121" s="42">
        <v>530000</v>
      </c>
      <c r="BM121" s="42">
        <f>[12]Credit!$E$1397</f>
        <v>366500</v>
      </c>
      <c r="BN121" s="42">
        <v>408750</v>
      </c>
      <c r="BO121" s="42">
        <f t="shared" si="91"/>
        <v>1305250</v>
      </c>
      <c r="BP121" s="42">
        <f t="shared" si="92"/>
        <v>1405250</v>
      </c>
      <c r="BQ121" s="69">
        <f t="shared" si="93"/>
        <v>3425000</v>
      </c>
      <c r="BR121" s="37"/>
      <c r="BS121" s="36"/>
      <c r="BT121" s="36"/>
      <c r="BU121" s="36"/>
    </row>
    <row r="122" spans="1:73">
      <c r="A122" s="15">
        <f t="shared" si="66"/>
        <v>118</v>
      </c>
      <c r="B122" s="43">
        <v>95070278</v>
      </c>
      <c r="C122" s="44" t="s">
        <v>190</v>
      </c>
      <c r="D122" s="44" t="s">
        <v>191</v>
      </c>
      <c r="E122" s="42">
        <v>2775000</v>
      </c>
      <c r="F122" s="17">
        <v>100000</v>
      </c>
      <c r="G122" s="17">
        <f>440000</f>
        <v>440000</v>
      </c>
      <c r="H122" s="17">
        <f t="shared" si="104"/>
        <v>540000</v>
      </c>
      <c r="I122" s="17">
        <v>100000</v>
      </c>
      <c r="J122" s="17"/>
      <c r="K122" s="17">
        <f t="shared" si="105"/>
        <v>100000</v>
      </c>
      <c r="L122" s="17">
        <v>100000</v>
      </c>
      <c r="M122" s="17"/>
      <c r="N122" s="17">
        <f t="shared" si="106"/>
        <v>100000</v>
      </c>
      <c r="O122" s="17">
        <v>100000</v>
      </c>
      <c r="P122" s="17"/>
      <c r="Q122" s="17">
        <f t="shared" si="94"/>
        <v>100000</v>
      </c>
      <c r="R122" s="17">
        <v>100000</v>
      </c>
      <c r="S122" s="17">
        <v>0</v>
      </c>
      <c r="T122" s="17">
        <v>0</v>
      </c>
      <c r="U122" s="17">
        <v>0</v>
      </c>
      <c r="V122" s="17">
        <f>21000</f>
        <v>21000</v>
      </c>
      <c r="W122" s="17">
        <f t="shared" si="95"/>
        <v>121000</v>
      </c>
      <c r="X122" s="17">
        <v>100000</v>
      </c>
      <c r="Y122" s="17"/>
      <c r="Z122" s="17"/>
      <c r="AA122" s="17"/>
      <c r="AB122" s="17">
        <v>20000</v>
      </c>
      <c r="AC122" s="17">
        <f t="shared" si="96"/>
        <v>20000</v>
      </c>
      <c r="AD122" s="17">
        <f t="shared" si="97"/>
        <v>120000</v>
      </c>
      <c r="AE122" s="17">
        <v>100000</v>
      </c>
      <c r="AF122" s="17"/>
      <c r="AG122" s="17"/>
      <c r="AH122" s="17">
        <v>545000</v>
      </c>
      <c r="AI122" s="17"/>
      <c r="AJ122" s="17">
        <f t="shared" si="98"/>
        <v>545000</v>
      </c>
      <c r="AK122" s="17">
        <f t="shared" si="99"/>
        <v>645000</v>
      </c>
      <c r="AL122" s="17">
        <v>100000</v>
      </c>
      <c r="AM122" s="42">
        <v>0</v>
      </c>
      <c r="AN122" s="42">
        <f>[5]Credit!$E$160</f>
        <v>5000</v>
      </c>
      <c r="AO122" s="42">
        <v>545000</v>
      </c>
      <c r="AP122" s="17"/>
      <c r="AQ122" s="17">
        <f t="shared" si="100"/>
        <v>550000</v>
      </c>
      <c r="AR122" s="17">
        <f t="shared" si="101"/>
        <v>650000</v>
      </c>
      <c r="AS122" s="42">
        <v>100000</v>
      </c>
      <c r="AT122" s="42">
        <v>0</v>
      </c>
      <c r="AU122" s="42">
        <v>0</v>
      </c>
      <c r="AV122" s="42">
        <v>545000</v>
      </c>
      <c r="AW122" s="17">
        <f t="shared" si="102"/>
        <v>545000</v>
      </c>
      <c r="AX122" s="42">
        <f t="shared" si="103"/>
        <v>645000</v>
      </c>
      <c r="AY122" s="42">
        <v>100000</v>
      </c>
      <c r="AZ122" s="42">
        <v>0</v>
      </c>
      <c r="BA122" s="42"/>
      <c r="BB122" s="42">
        <v>545000</v>
      </c>
      <c r="BC122" s="42">
        <f t="shared" si="88"/>
        <v>545000</v>
      </c>
      <c r="BD122" s="42">
        <f t="shared" si="87"/>
        <v>645000</v>
      </c>
      <c r="BE122" s="42">
        <v>100000</v>
      </c>
      <c r="BF122" s="42"/>
      <c r="BG122" s="42"/>
      <c r="BH122" s="42">
        <v>545000</v>
      </c>
      <c r="BI122" s="42">
        <f t="shared" si="89"/>
        <v>545000</v>
      </c>
      <c r="BJ122" s="42">
        <f t="shared" si="90"/>
        <v>645000</v>
      </c>
      <c r="BK122" s="42">
        <v>100000</v>
      </c>
      <c r="BL122" s="42"/>
      <c r="BM122" s="42">
        <f>[12]Credit!$E$196</f>
        <v>4000</v>
      </c>
      <c r="BN122" s="42">
        <v>545000</v>
      </c>
      <c r="BO122" s="42">
        <f t="shared" si="91"/>
        <v>549000</v>
      </c>
      <c r="BP122" s="42">
        <f t="shared" si="92"/>
        <v>649000</v>
      </c>
      <c r="BQ122" s="69">
        <f t="shared" si="93"/>
        <v>3975000</v>
      </c>
      <c r="BR122" s="37"/>
    </row>
    <row r="123" spans="1:73">
      <c r="A123" s="15">
        <f t="shared" si="66"/>
        <v>119</v>
      </c>
      <c r="B123" s="50">
        <v>14030708</v>
      </c>
      <c r="C123" s="44" t="s">
        <v>192</v>
      </c>
      <c r="D123" s="44" t="s">
        <v>191</v>
      </c>
      <c r="E123" s="42">
        <v>700000</v>
      </c>
      <c r="F123" s="17">
        <v>100000</v>
      </c>
      <c r="G123" s="17">
        <f>531250+252000</f>
        <v>783250</v>
      </c>
      <c r="H123" s="17">
        <f t="shared" si="104"/>
        <v>883250</v>
      </c>
      <c r="I123" s="17">
        <v>100000</v>
      </c>
      <c r="J123" s="17">
        <f>531250+210000</f>
        <v>741250</v>
      </c>
      <c r="K123" s="17">
        <f t="shared" si="105"/>
        <v>841250</v>
      </c>
      <c r="L123" s="17">
        <v>100000</v>
      </c>
      <c r="M123" s="17">
        <f>531250+230000</f>
        <v>761250</v>
      </c>
      <c r="N123" s="17">
        <f t="shared" si="106"/>
        <v>861250</v>
      </c>
      <c r="O123" s="17">
        <v>100000</v>
      </c>
      <c r="P123" s="17">
        <f>210000+531250+158000</f>
        <v>899250</v>
      </c>
      <c r="Q123" s="17">
        <f t="shared" si="94"/>
        <v>999250</v>
      </c>
      <c r="R123" s="17">
        <v>100000</v>
      </c>
      <c r="S123" s="17">
        <f>531250</f>
        <v>531250</v>
      </c>
      <c r="T123" s="17">
        <f>101000+[7]System!$F$670</f>
        <v>378000</v>
      </c>
      <c r="U123" s="17">
        <v>0</v>
      </c>
      <c r="V123" s="17">
        <f>21000</f>
        <v>21000</v>
      </c>
      <c r="W123" s="17">
        <f t="shared" si="95"/>
        <v>1030250</v>
      </c>
      <c r="X123" s="17">
        <v>100000</v>
      </c>
      <c r="Y123" s="17">
        <v>531250</v>
      </c>
      <c r="Z123" s="17">
        <f>[8]Credit!$E$730</f>
        <v>323000</v>
      </c>
      <c r="AA123" s="17"/>
      <c r="AB123" s="17">
        <f>50000+25000</f>
        <v>75000</v>
      </c>
      <c r="AC123" s="17">
        <f t="shared" si="96"/>
        <v>929250</v>
      </c>
      <c r="AD123" s="17">
        <f t="shared" si="97"/>
        <v>1029250</v>
      </c>
      <c r="AE123" s="17">
        <v>100000</v>
      </c>
      <c r="AF123" s="17">
        <v>531250</v>
      </c>
      <c r="AG123" s="17">
        <f>[9]Credit!$F$455</f>
        <v>285500</v>
      </c>
      <c r="AH123" s="17"/>
      <c r="AI123" s="17"/>
      <c r="AJ123" s="17">
        <f t="shared" si="98"/>
        <v>816750</v>
      </c>
      <c r="AK123" s="17">
        <f t="shared" si="99"/>
        <v>916750</v>
      </c>
      <c r="AL123" s="17">
        <v>100000</v>
      </c>
      <c r="AM123" s="42">
        <v>531250</v>
      </c>
      <c r="AN123" s="42">
        <f>[5]Credit!$E$840</f>
        <v>268000</v>
      </c>
      <c r="AO123" s="42">
        <v>348400</v>
      </c>
      <c r="AP123" s="17"/>
      <c r="AQ123" s="17">
        <f t="shared" si="100"/>
        <v>1147650</v>
      </c>
      <c r="AR123" s="17">
        <f t="shared" si="101"/>
        <v>1247650</v>
      </c>
      <c r="AS123" s="42">
        <v>100000</v>
      </c>
      <c r="AT123" s="42">
        <v>531250</v>
      </c>
      <c r="AU123" s="42">
        <f>[10]Credit!$E$820</f>
        <v>532000</v>
      </c>
      <c r="AV123" s="42">
        <v>348400</v>
      </c>
      <c r="AW123" s="17">
        <f t="shared" si="102"/>
        <v>1411650</v>
      </c>
      <c r="AX123" s="42">
        <f t="shared" si="103"/>
        <v>1511650</v>
      </c>
      <c r="AY123" s="42">
        <v>100000</v>
      </c>
      <c r="AZ123" s="42">
        <f>[6]Credit!$F$850</f>
        <v>278000</v>
      </c>
      <c r="BA123" s="42">
        <v>531250</v>
      </c>
      <c r="BB123" s="42">
        <v>348000</v>
      </c>
      <c r="BC123" s="42">
        <f t="shared" si="88"/>
        <v>1157250</v>
      </c>
      <c r="BD123" s="42">
        <f t="shared" si="87"/>
        <v>1257250</v>
      </c>
      <c r="BE123" s="42">
        <v>100000</v>
      </c>
      <c r="BF123" s="42">
        <v>531250</v>
      </c>
      <c r="BG123" s="42">
        <f>[11]Kredit!$E$847</f>
        <v>394500</v>
      </c>
      <c r="BH123" s="42">
        <v>0</v>
      </c>
      <c r="BI123" s="42">
        <f t="shared" si="89"/>
        <v>925750</v>
      </c>
      <c r="BJ123" s="42">
        <f t="shared" si="90"/>
        <v>1025750</v>
      </c>
      <c r="BK123" s="42">
        <v>100000</v>
      </c>
      <c r="BL123" s="42">
        <v>531250</v>
      </c>
      <c r="BM123" s="42">
        <f>[12]Credit!$E$783</f>
        <v>573000</v>
      </c>
      <c r="BN123" s="42">
        <v>0</v>
      </c>
      <c r="BO123" s="42">
        <f t="shared" si="91"/>
        <v>1104250</v>
      </c>
      <c r="BP123" s="42">
        <f t="shared" si="92"/>
        <v>1204250</v>
      </c>
      <c r="BQ123" s="69">
        <f t="shared" si="93"/>
        <v>1900000</v>
      </c>
      <c r="BR123" s="37"/>
    </row>
    <row r="124" spans="1:73" s="4" customFormat="1" ht="13">
      <c r="A124" s="15">
        <f t="shared" si="66"/>
        <v>120</v>
      </c>
      <c r="B124" s="43">
        <v>96031058</v>
      </c>
      <c r="C124" s="44" t="s">
        <v>193</v>
      </c>
      <c r="D124" s="44" t="s">
        <v>191</v>
      </c>
      <c r="E124" s="42">
        <v>2775000</v>
      </c>
      <c r="F124" s="17">
        <v>100000</v>
      </c>
      <c r="G124" s="17">
        <f>540000+368000</f>
        <v>908000</v>
      </c>
      <c r="H124" s="17">
        <f t="shared" si="104"/>
        <v>1008000</v>
      </c>
      <c r="I124" s="17">
        <v>100000</v>
      </c>
      <c r="J124" s="17">
        <f>540000+326000</f>
        <v>866000</v>
      </c>
      <c r="K124" s="17">
        <f t="shared" si="105"/>
        <v>966000</v>
      </c>
      <c r="L124" s="17">
        <v>100000</v>
      </c>
      <c r="M124" s="17">
        <f>530500+448000</f>
        <v>978500</v>
      </c>
      <c r="N124" s="17">
        <f t="shared" si="106"/>
        <v>1078500</v>
      </c>
      <c r="O124" s="17">
        <v>100000</v>
      </c>
      <c r="P124" s="17">
        <f>347600+530500+354250+132000</f>
        <v>1364350</v>
      </c>
      <c r="Q124" s="17">
        <f t="shared" si="94"/>
        <v>1464350</v>
      </c>
      <c r="R124" s="17">
        <v>100000</v>
      </c>
      <c r="S124" s="17">
        <f>530500</f>
        <v>530500</v>
      </c>
      <c r="T124" s="17">
        <f>[7]System!$F$1025</f>
        <v>531400</v>
      </c>
      <c r="U124" s="17">
        <v>354250</v>
      </c>
      <c r="V124" s="17">
        <f>15000</f>
        <v>15000</v>
      </c>
      <c r="W124" s="17">
        <f t="shared" si="95"/>
        <v>1531150</v>
      </c>
      <c r="X124" s="17">
        <v>100000</v>
      </c>
      <c r="Y124" s="17">
        <v>530000</v>
      </c>
      <c r="Z124" s="17">
        <f>[8]Credit!$E$1131</f>
        <v>291000</v>
      </c>
      <c r="AA124" s="17">
        <v>354250</v>
      </c>
      <c r="AB124" s="17">
        <v>10000</v>
      </c>
      <c r="AC124" s="17">
        <f t="shared" si="96"/>
        <v>1185250</v>
      </c>
      <c r="AD124" s="17">
        <f t="shared" si="97"/>
        <v>1285250</v>
      </c>
      <c r="AE124" s="17">
        <v>100000</v>
      </c>
      <c r="AF124" s="17">
        <v>530500</v>
      </c>
      <c r="AG124" s="17">
        <f>[9]Credit!$F$696</f>
        <v>310000</v>
      </c>
      <c r="AH124" s="17">
        <v>354250</v>
      </c>
      <c r="AI124" s="17"/>
      <c r="AJ124" s="17">
        <f t="shared" si="98"/>
        <v>1194750</v>
      </c>
      <c r="AK124" s="17">
        <f t="shared" si="99"/>
        <v>1294750</v>
      </c>
      <c r="AL124" s="17">
        <v>100000</v>
      </c>
      <c r="AM124" s="42">
        <v>530500</v>
      </c>
      <c r="AN124" s="42">
        <f>[5]Credit!$E$1283</f>
        <v>366500</v>
      </c>
      <c r="AO124" s="42">
        <v>354250</v>
      </c>
      <c r="AP124" s="17"/>
      <c r="AQ124" s="17">
        <f t="shared" si="100"/>
        <v>1251250</v>
      </c>
      <c r="AR124" s="17">
        <f t="shared" si="101"/>
        <v>1351250</v>
      </c>
      <c r="AS124" s="42">
        <v>100000</v>
      </c>
      <c r="AT124" s="42">
        <v>530500</v>
      </c>
      <c r="AU124" s="42">
        <f>[10]Credit!$E$1221</f>
        <v>337000</v>
      </c>
      <c r="AV124" s="42">
        <v>354250</v>
      </c>
      <c r="AW124" s="17">
        <f t="shared" si="102"/>
        <v>1221750</v>
      </c>
      <c r="AX124" s="42">
        <f t="shared" si="103"/>
        <v>1321750</v>
      </c>
      <c r="AY124" s="42">
        <v>100000</v>
      </c>
      <c r="AZ124" s="42">
        <f>[6]Credit!$F$1223</f>
        <v>323000</v>
      </c>
      <c r="BA124" s="42">
        <f>530000</f>
        <v>530000</v>
      </c>
      <c r="BB124" s="42"/>
      <c r="BC124" s="42">
        <f t="shared" si="88"/>
        <v>853000</v>
      </c>
      <c r="BD124" s="42">
        <f t="shared" ref="BD124:BD155" si="107">AY124+BC124</f>
        <v>953000</v>
      </c>
      <c r="BE124" s="42">
        <v>100000</v>
      </c>
      <c r="BF124" s="42">
        <f>530500</f>
        <v>530500</v>
      </c>
      <c r="BG124" s="42">
        <f>[11]Kredit!$E$1212</f>
        <v>276500</v>
      </c>
      <c r="BH124" s="42">
        <v>0</v>
      </c>
      <c r="BI124" s="42">
        <f t="shared" si="89"/>
        <v>807000</v>
      </c>
      <c r="BJ124" s="42">
        <f t="shared" si="90"/>
        <v>907000</v>
      </c>
      <c r="BK124" s="42">
        <v>100000</v>
      </c>
      <c r="BL124" s="42">
        <v>530500</v>
      </c>
      <c r="BM124" s="42">
        <f>[12]Credit!$E$1116</f>
        <v>284000</v>
      </c>
      <c r="BN124" s="42">
        <v>0</v>
      </c>
      <c r="BO124" s="42">
        <f t="shared" si="91"/>
        <v>814500</v>
      </c>
      <c r="BP124" s="42">
        <f t="shared" si="92"/>
        <v>914500</v>
      </c>
      <c r="BQ124" s="69">
        <f t="shared" si="93"/>
        <v>3975000</v>
      </c>
      <c r="BR124" s="37"/>
      <c r="BS124" s="36"/>
      <c r="BT124" s="36"/>
      <c r="BU124" s="36"/>
    </row>
    <row r="125" spans="1:73" s="4" customFormat="1" ht="13">
      <c r="A125" s="15">
        <f t="shared" si="66"/>
        <v>121</v>
      </c>
      <c r="B125" s="50">
        <v>10107908</v>
      </c>
      <c r="C125" s="44" t="s">
        <v>194</v>
      </c>
      <c r="D125" s="44" t="s">
        <v>191</v>
      </c>
      <c r="E125" s="42">
        <v>1000000</v>
      </c>
      <c r="F125" s="17">
        <v>100000</v>
      </c>
      <c r="G125" s="42">
        <f>425000</f>
        <v>425000</v>
      </c>
      <c r="H125" s="17">
        <f t="shared" si="104"/>
        <v>525000</v>
      </c>
      <c r="I125" s="17">
        <v>100000</v>
      </c>
      <c r="J125" s="42">
        <f>425000+259000</f>
        <v>684000</v>
      </c>
      <c r="K125" s="17">
        <f t="shared" si="105"/>
        <v>784000</v>
      </c>
      <c r="L125" s="17">
        <v>100000</v>
      </c>
      <c r="M125" s="42">
        <v>425000</v>
      </c>
      <c r="N125" s="17">
        <f t="shared" si="106"/>
        <v>525000</v>
      </c>
      <c r="O125" s="17">
        <v>100000</v>
      </c>
      <c r="P125" s="42">
        <f>90000+425000+530000</f>
        <v>1045000</v>
      </c>
      <c r="Q125" s="17">
        <f t="shared" si="94"/>
        <v>1145000</v>
      </c>
      <c r="R125" s="17">
        <v>100000</v>
      </c>
      <c r="S125" s="17">
        <f>530000</f>
        <v>530000</v>
      </c>
      <c r="T125" s="17">
        <f>65000+[7]System!$F$1149</f>
        <v>174500</v>
      </c>
      <c r="U125" s="17">
        <v>0</v>
      </c>
      <c r="V125" s="17">
        <f>21000+175000+83000</f>
        <v>279000</v>
      </c>
      <c r="W125" s="17">
        <f t="shared" si="95"/>
        <v>1083500</v>
      </c>
      <c r="X125" s="17">
        <v>100000</v>
      </c>
      <c r="Y125" s="42">
        <v>530000</v>
      </c>
      <c r="Z125" s="42">
        <f>[8]Credit!$E$1278</f>
        <v>71500</v>
      </c>
      <c r="AA125" s="42"/>
      <c r="AB125" s="42"/>
      <c r="AC125" s="17">
        <f t="shared" si="96"/>
        <v>601500</v>
      </c>
      <c r="AD125" s="17">
        <f t="shared" si="97"/>
        <v>701500</v>
      </c>
      <c r="AE125" s="17">
        <v>100000</v>
      </c>
      <c r="AF125" s="42">
        <v>530000</v>
      </c>
      <c r="AG125" s="42">
        <f>[9]Credit!$F$796</f>
        <v>340000</v>
      </c>
      <c r="AH125" s="42"/>
      <c r="AI125" s="42"/>
      <c r="AJ125" s="17">
        <f t="shared" si="98"/>
        <v>870000</v>
      </c>
      <c r="AK125" s="17">
        <f t="shared" si="99"/>
        <v>970000</v>
      </c>
      <c r="AL125" s="17">
        <v>100000</v>
      </c>
      <c r="AM125" s="42">
        <v>530000</v>
      </c>
      <c r="AN125" s="42">
        <f>[5]Credit!$E$1489</f>
        <v>148000</v>
      </c>
      <c r="AO125" s="42">
        <v>0</v>
      </c>
      <c r="AP125" s="17">
        <v>15000</v>
      </c>
      <c r="AQ125" s="17">
        <f t="shared" si="100"/>
        <v>693000</v>
      </c>
      <c r="AR125" s="17">
        <f t="shared" si="101"/>
        <v>793000</v>
      </c>
      <c r="AS125" s="42">
        <v>100000</v>
      </c>
      <c r="AT125" s="42">
        <v>530000</v>
      </c>
      <c r="AU125" s="42">
        <f>[10]Credit!$E$1442</f>
        <v>382000</v>
      </c>
      <c r="AV125" s="42">
        <v>0</v>
      </c>
      <c r="AW125" s="17">
        <f t="shared" si="102"/>
        <v>912000</v>
      </c>
      <c r="AX125" s="42">
        <f t="shared" si="103"/>
        <v>1012000</v>
      </c>
      <c r="AY125" s="42">
        <v>100000</v>
      </c>
      <c r="AZ125" s="42">
        <f>[6]Credit!$F$1427</f>
        <v>153500</v>
      </c>
      <c r="BA125" s="42"/>
      <c r="BB125" s="42"/>
      <c r="BC125" s="42">
        <f t="shared" si="88"/>
        <v>153500</v>
      </c>
      <c r="BD125" s="42">
        <f t="shared" si="107"/>
        <v>253500</v>
      </c>
      <c r="BE125" s="42">
        <v>100000</v>
      </c>
      <c r="BF125" s="42">
        <v>0</v>
      </c>
      <c r="BG125" s="42">
        <f>[11]Kredit!$E$1456</f>
        <v>272500</v>
      </c>
      <c r="BH125" s="42">
        <v>0</v>
      </c>
      <c r="BI125" s="42">
        <f t="shared" si="89"/>
        <v>272500</v>
      </c>
      <c r="BJ125" s="42">
        <f t="shared" si="90"/>
        <v>372500</v>
      </c>
      <c r="BK125" s="42">
        <v>100000</v>
      </c>
      <c r="BL125" s="42">
        <v>0</v>
      </c>
      <c r="BM125" s="42">
        <f>[12]Credit!$E$1365</f>
        <v>443000</v>
      </c>
      <c r="BN125" s="42">
        <v>0</v>
      </c>
      <c r="BO125" s="42">
        <f t="shared" si="91"/>
        <v>443000</v>
      </c>
      <c r="BP125" s="42">
        <f t="shared" si="92"/>
        <v>543000</v>
      </c>
      <c r="BQ125" s="69">
        <f t="shared" si="93"/>
        <v>2200000</v>
      </c>
      <c r="BR125" s="37"/>
      <c r="BS125" s="36"/>
      <c r="BT125" s="36"/>
      <c r="BU125" s="36"/>
    </row>
    <row r="126" spans="1:73" s="4" customFormat="1" ht="13">
      <c r="A126" s="15">
        <f t="shared" si="66"/>
        <v>122</v>
      </c>
      <c r="B126" s="48" t="s">
        <v>195</v>
      </c>
      <c r="C126" s="44" t="s">
        <v>196</v>
      </c>
      <c r="D126" s="44" t="s">
        <v>191</v>
      </c>
      <c r="E126" s="42">
        <v>2775000</v>
      </c>
      <c r="F126" s="17">
        <v>100000</v>
      </c>
      <c r="G126" s="17">
        <f>530000+224500</f>
        <v>754500</v>
      </c>
      <c r="H126" s="17">
        <f t="shared" si="104"/>
        <v>854500</v>
      </c>
      <c r="I126" s="17">
        <v>100000</v>
      </c>
      <c r="J126" s="17">
        <f>530000</f>
        <v>530000</v>
      </c>
      <c r="K126" s="17">
        <f t="shared" si="105"/>
        <v>630000</v>
      </c>
      <c r="L126" s="17">
        <v>100000</v>
      </c>
      <c r="M126" s="17">
        <v>530000</v>
      </c>
      <c r="N126" s="17">
        <f t="shared" si="106"/>
        <v>630000</v>
      </c>
      <c r="O126" s="17">
        <v>100000</v>
      </c>
      <c r="P126" s="17">
        <f>266000+530000+58000</f>
        <v>854000</v>
      </c>
      <c r="Q126" s="17">
        <f t="shared" si="94"/>
        <v>954000</v>
      </c>
      <c r="R126" s="17">
        <v>100000</v>
      </c>
      <c r="S126" s="17">
        <f>530000</f>
        <v>530000</v>
      </c>
      <c r="T126" s="17">
        <f>203500+[7]System!$F$1287</f>
        <v>762750</v>
      </c>
      <c r="U126" s="17">
        <v>0</v>
      </c>
      <c r="V126" s="17">
        <f>21000+48000</f>
        <v>69000</v>
      </c>
      <c r="W126" s="17">
        <f t="shared" si="95"/>
        <v>1461750</v>
      </c>
      <c r="X126" s="17">
        <v>100000</v>
      </c>
      <c r="Y126" s="17"/>
      <c r="Z126" s="17">
        <f>[8]Credit!$E$1401</f>
        <v>484500</v>
      </c>
      <c r="AA126" s="17"/>
      <c r="AB126" s="17">
        <f>25000+20000</f>
        <v>45000</v>
      </c>
      <c r="AC126" s="17">
        <f t="shared" si="96"/>
        <v>529500</v>
      </c>
      <c r="AD126" s="17">
        <f t="shared" si="97"/>
        <v>629500</v>
      </c>
      <c r="AE126" s="17">
        <v>100000</v>
      </c>
      <c r="AF126" s="17">
        <v>530000</v>
      </c>
      <c r="AG126" s="17">
        <f>[9]Credit!$F$852</f>
        <v>160500</v>
      </c>
      <c r="AH126" s="17"/>
      <c r="AI126" s="17">
        <v>70000</v>
      </c>
      <c r="AJ126" s="17">
        <f t="shared" si="98"/>
        <v>760500</v>
      </c>
      <c r="AK126" s="17">
        <f t="shared" si="99"/>
        <v>860500</v>
      </c>
      <c r="AL126" s="17">
        <v>100000</v>
      </c>
      <c r="AM126" s="42">
        <v>530000</v>
      </c>
      <c r="AN126" s="42">
        <f>[5]Credit!$E$1613</f>
        <v>411000</v>
      </c>
      <c r="AO126" s="42">
        <v>0</v>
      </c>
      <c r="AP126" s="17"/>
      <c r="AQ126" s="17">
        <f t="shared" si="100"/>
        <v>941000</v>
      </c>
      <c r="AR126" s="17">
        <f t="shared" si="101"/>
        <v>1041000</v>
      </c>
      <c r="AS126" s="42">
        <v>100000</v>
      </c>
      <c r="AT126" s="42">
        <v>530000</v>
      </c>
      <c r="AU126" s="42">
        <f>[10]Credit!$E$1563</f>
        <v>496750</v>
      </c>
      <c r="AV126" s="42">
        <v>0</v>
      </c>
      <c r="AW126" s="17">
        <f t="shared" si="102"/>
        <v>1026750</v>
      </c>
      <c r="AX126" s="42">
        <f t="shared" si="103"/>
        <v>1126750</v>
      </c>
      <c r="AY126" s="42">
        <v>100000</v>
      </c>
      <c r="AZ126" s="42">
        <f>[6]Credit!$F$1545</f>
        <v>772800</v>
      </c>
      <c r="BA126" s="42">
        <v>530000</v>
      </c>
      <c r="BB126" s="42"/>
      <c r="BC126" s="42">
        <f t="shared" si="88"/>
        <v>1302800</v>
      </c>
      <c r="BD126" s="42">
        <f t="shared" si="107"/>
        <v>1402800</v>
      </c>
      <c r="BE126" s="42">
        <v>100000</v>
      </c>
      <c r="BF126" s="42">
        <v>530000</v>
      </c>
      <c r="BG126" s="42">
        <f>[11]Kredit!$E$1614</f>
        <v>850000</v>
      </c>
      <c r="BH126" s="42">
        <v>0</v>
      </c>
      <c r="BI126" s="42">
        <f t="shared" si="89"/>
        <v>1380000</v>
      </c>
      <c r="BJ126" s="42">
        <f t="shared" si="90"/>
        <v>1480000</v>
      </c>
      <c r="BK126" s="42">
        <v>100000</v>
      </c>
      <c r="BL126" s="42">
        <v>530000</v>
      </c>
      <c r="BM126" s="42">
        <f>[12]Credit!$E$1509</f>
        <v>785000</v>
      </c>
      <c r="BN126" s="42">
        <v>0</v>
      </c>
      <c r="BO126" s="42">
        <f t="shared" si="91"/>
        <v>1315000</v>
      </c>
      <c r="BP126" s="42">
        <f t="shared" si="92"/>
        <v>1415000</v>
      </c>
      <c r="BQ126" s="69">
        <f t="shared" si="93"/>
        <v>3975000</v>
      </c>
      <c r="BR126" s="37"/>
      <c r="BS126" s="36"/>
      <c r="BT126" s="36"/>
      <c r="BU126" s="36"/>
    </row>
    <row r="127" spans="1:73" s="4" customFormat="1" ht="13">
      <c r="A127" s="15">
        <f t="shared" si="66"/>
        <v>123</v>
      </c>
      <c r="B127" s="43">
        <v>95110858</v>
      </c>
      <c r="C127" s="44" t="s">
        <v>197</v>
      </c>
      <c r="D127" s="44" t="s">
        <v>198</v>
      </c>
      <c r="E127" s="42">
        <v>2325000</v>
      </c>
      <c r="F127" s="17">
        <v>100000</v>
      </c>
      <c r="G127" s="42">
        <f>530000+455000</f>
        <v>985000</v>
      </c>
      <c r="H127" s="17">
        <f t="shared" si="104"/>
        <v>1085000</v>
      </c>
      <c r="I127" s="17">
        <v>100000</v>
      </c>
      <c r="J127" s="42">
        <f>530000+682000</f>
        <v>1212000</v>
      </c>
      <c r="K127" s="17">
        <f t="shared" si="105"/>
        <v>1312000</v>
      </c>
      <c r="L127" s="17">
        <v>100000</v>
      </c>
      <c r="M127" s="42">
        <f>530000+914000</f>
        <v>1444000</v>
      </c>
      <c r="N127" s="17">
        <f t="shared" si="106"/>
        <v>1544000</v>
      </c>
      <c r="O127" s="17">
        <v>100000</v>
      </c>
      <c r="P127" s="17">
        <f>180500+530000+91500+438500</f>
        <v>1240500</v>
      </c>
      <c r="Q127" s="17">
        <f t="shared" si="94"/>
        <v>1340500</v>
      </c>
      <c r="R127" s="17">
        <v>100000</v>
      </c>
      <c r="S127" s="17">
        <f>530000</f>
        <v>530000</v>
      </c>
      <c r="T127" s="17">
        <f>[7]System!$F$36</f>
        <v>790900</v>
      </c>
      <c r="U127" s="17">
        <v>0</v>
      </c>
      <c r="V127" s="17">
        <f>21000</f>
        <v>21000</v>
      </c>
      <c r="W127" s="17">
        <f t="shared" si="95"/>
        <v>1441900</v>
      </c>
      <c r="X127" s="17">
        <v>100000</v>
      </c>
      <c r="Y127" s="17"/>
      <c r="Z127" s="17">
        <f>[8]Credit!$E$27</f>
        <v>575100</v>
      </c>
      <c r="AA127" s="17"/>
      <c r="AB127" s="17">
        <v>35000</v>
      </c>
      <c r="AC127" s="17">
        <f t="shared" si="96"/>
        <v>610100</v>
      </c>
      <c r="AD127" s="17">
        <f t="shared" si="97"/>
        <v>710100</v>
      </c>
      <c r="AE127" s="17">
        <v>100000</v>
      </c>
      <c r="AF127" s="17">
        <v>530000</v>
      </c>
      <c r="AG127" s="17">
        <f>[9]Credit!$F$19</f>
        <v>465500</v>
      </c>
      <c r="AH127" s="17"/>
      <c r="AI127" s="17"/>
      <c r="AJ127" s="17">
        <f t="shared" si="98"/>
        <v>995500</v>
      </c>
      <c r="AK127" s="17">
        <f t="shared" si="99"/>
        <v>1095500</v>
      </c>
      <c r="AL127" s="17">
        <v>100000</v>
      </c>
      <c r="AM127" s="42">
        <v>530000</v>
      </c>
      <c r="AN127" s="42">
        <f>[5]Credit!$E$32</f>
        <v>627000</v>
      </c>
      <c r="AO127" s="42">
        <v>0</v>
      </c>
      <c r="AP127" s="17"/>
      <c r="AQ127" s="17">
        <f t="shared" si="100"/>
        <v>1157000</v>
      </c>
      <c r="AR127" s="17">
        <f t="shared" si="101"/>
        <v>1257000</v>
      </c>
      <c r="AS127" s="42">
        <v>100000</v>
      </c>
      <c r="AT127" s="42">
        <v>530000</v>
      </c>
      <c r="AU127" s="42">
        <f>[10]Credit!$E$45</f>
        <v>807350</v>
      </c>
      <c r="AV127" s="42">
        <v>0</v>
      </c>
      <c r="AW127" s="17">
        <f t="shared" si="102"/>
        <v>1337350</v>
      </c>
      <c r="AX127" s="42">
        <f t="shared" si="103"/>
        <v>1437350</v>
      </c>
      <c r="AY127" s="42">
        <v>100000</v>
      </c>
      <c r="AZ127" s="42">
        <f>[6]Credit!$F$42</f>
        <v>970000</v>
      </c>
      <c r="BA127" s="42">
        <v>530000</v>
      </c>
      <c r="BB127" s="42"/>
      <c r="BC127" s="42">
        <f t="shared" si="88"/>
        <v>1500000</v>
      </c>
      <c r="BD127" s="42">
        <f t="shared" si="107"/>
        <v>1600000</v>
      </c>
      <c r="BE127" s="42">
        <v>100000</v>
      </c>
      <c r="BF127" s="42">
        <v>530000</v>
      </c>
      <c r="BG127" s="42">
        <f>[11]Kredit!$E$50</f>
        <v>668350</v>
      </c>
      <c r="BH127" s="42">
        <v>0</v>
      </c>
      <c r="BI127" s="42">
        <f t="shared" si="89"/>
        <v>1198350</v>
      </c>
      <c r="BJ127" s="42">
        <f t="shared" si="90"/>
        <v>1298350</v>
      </c>
      <c r="BK127" s="42">
        <v>100000</v>
      </c>
      <c r="BL127" s="42">
        <v>530000</v>
      </c>
      <c r="BM127" s="42">
        <f>[12]Credit!$E$40</f>
        <v>641250</v>
      </c>
      <c r="BN127" s="42">
        <v>0</v>
      </c>
      <c r="BO127" s="42">
        <f t="shared" si="91"/>
        <v>1171250</v>
      </c>
      <c r="BP127" s="42">
        <f t="shared" si="92"/>
        <v>1271250</v>
      </c>
      <c r="BQ127" s="69">
        <f t="shared" si="93"/>
        <v>3525000</v>
      </c>
      <c r="BR127" s="37"/>
      <c r="BS127" s="36"/>
      <c r="BT127" s="36"/>
      <c r="BU127" s="36"/>
    </row>
    <row r="128" spans="1:73" s="4" customFormat="1" ht="13">
      <c r="A128" s="15">
        <f t="shared" si="66"/>
        <v>124</v>
      </c>
      <c r="B128" s="50">
        <v>95120928</v>
      </c>
      <c r="C128" s="44" t="s">
        <v>199</v>
      </c>
      <c r="D128" s="44" t="s">
        <v>198</v>
      </c>
      <c r="E128" s="42">
        <v>1900000</v>
      </c>
      <c r="F128" s="17">
        <v>100000</v>
      </c>
      <c r="G128" s="17">
        <f>425000</f>
        <v>425000</v>
      </c>
      <c r="H128" s="17">
        <f t="shared" si="104"/>
        <v>525000</v>
      </c>
      <c r="I128" s="17">
        <v>100000</v>
      </c>
      <c r="J128" s="17">
        <f>425000</f>
        <v>425000</v>
      </c>
      <c r="K128" s="17">
        <f t="shared" si="105"/>
        <v>525000</v>
      </c>
      <c r="L128" s="17">
        <v>100000</v>
      </c>
      <c r="M128" s="17">
        <v>425000</v>
      </c>
      <c r="N128" s="17">
        <f t="shared" si="106"/>
        <v>525000</v>
      </c>
      <c r="O128" s="17">
        <v>100000</v>
      </c>
      <c r="P128" s="17">
        <f>425000</f>
        <v>425000</v>
      </c>
      <c r="Q128" s="17">
        <f t="shared" si="94"/>
        <v>525000</v>
      </c>
      <c r="R128" s="17">
        <v>100000</v>
      </c>
      <c r="S128" s="17">
        <f>425000</f>
        <v>425000</v>
      </c>
      <c r="T128" s="17">
        <v>0</v>
      </c>
      <c r="U128" s="17">
        <v>0</v>
      </c>
      <c r="V128" s="17">
        <v>0</v>
      </c>
      <c r="W128" s="17">
        <f t="shared" si="95"/>
        <v>525000</v>
      </c>
      <c r="X128" s="17">
        <v>100000</v>
      </c>
      <c r="Y128" s="17"/>
      <c r="Z128" s="17"/>
      <c r="AA128" s="17"/>
      <c r="AB128" s="17">
        <v>25000</v>
      </c>
      <c r="AC128" s="17">
        <f t="shared" si="96"/>
        <v>25000</v>
      </c>
      <c r="AD128" s="17">
        <f t="shared" si="97"/>
        <v>125000</v>
      </c>
      <c r="AE128" s="17">
        <v>100000</v>
      </c>
      <c r="AF128" s="17">
        <v>425000</v>
      </c>
      <c r="AG128" s="17"/>
      <c r="AH128" s="17"/>
      <c r="AI128" s="17"/>
      <c r="AJ128" s="17">
        <f t="shared" si="98"/>
        <v>425000</v>
      </c>
      <c r="AK128" s="17">
        <f t="shared" si="99"/>
        <v>525000</v>
      </c>
      <c r="AL128" s="17">
        <v>100000</v>
      </c>
      <c r="AM128" s="42">
        <v>425000</v>
      </c>
      <c r="AN128" s="42">
        <v>0</v>
      </c>
      <c r="AO128" s="42">
        <v>0</v>
      </c>
      <c r="AP128" s="17"/>
      <c r="AQ128" s="17">
        <f t="shared" si="100"/>
        <v>425000</v>
      </c>
      <c r="AR128" s="17">
        <f t="shared" si="101"/>
        <v>525000</v>
      </c>
      <c r="AS128" s="42">
        <v>100000</v>
      </c>
      <c r="AT128" s="42">
        <v>425000</v>
      </c>
      <c r="AU128" s="42">
        <v>0</v>
      </c>
      <c r="AV128" s="42">
        <v>0</v>
      </c>
      <c r="AW128" s="17">
        <f t="shared" si="102"/>
        <v>425000</v>
      </c>
      <c r="AX128" s="42">
        <f t="shared" si="103"/>
        <v>525000</v>
      </c>
      <c r="AY128" s="42">
        <v>100000</v>
      </c>
      <c r="AZ128" s="42">
        <v>0</v>
      </c>
      <c r="BA128" s="42">
        <v>425000</v>
      </c>
      <c r="BB128" s="42"/>
      <c r="BC128" s="42">
        <f t="shared" si="88"/>
        <v>425000</v>
      </c>
      <c r="BD128" s="42">
        <f t="shared" si="107"/>
        <v>525000</v>
      </c>
      <c r="BE128" s="42">
        <v>100000</v>
      </c>
      <c r="BF128" s="42">
        <v>425000</v>
      </c>
      <c r="BG128" s="42"/>
      <c r="BH128" s="42">
        <v>0</v>
      </c>
      <c r="BI128" s="42">
        <f t="shared" si="89"/>
        <v>425000</v>
      </c>
      <c r="BJ128" s="42">
        <f t="shared" si="90"/>
        <v>525000</v>
      </c>
      <c r="BK128" s="42">
        <v>100000</v>
      </c>
      <c r="BL128" s="42">
        <v>530000</v>
      </c>
      <c r="BM128" s="42">
        <v>0</v>
      </c>
      <c r="BN128" s="42">
        <v>0</v>
      </c>
      <c r="BO128" s="42">
        <f t="shared" si="91"/>
        <v>530000</v>
      </c>
      <c r="BP128" s="42">
        <f t="shared" si="92"/>
        <v>630000</v>
      </c>
      <c r="BQ128" s="69">
        <f t="shared" si="93"/>
        <v>3100000</v>
      </c>
      <c r="BR128" s="37"/>
      <c r="BS128" s="36"/>
      <c r="BT128" s="36"/>
      <c r="BU128" s="36"/>
    </row>
    <row r="129" spans="1:73" s="4" customFormat="1" ht="13">
      <c r="A129" s="15">
        <f t="shared" si="66"/>
        <v>125</v>
      </c>
      <c r="B129" s="56" t="s">
        <v>200</v>
      </c>
      <c r="C129" s="44" t="s">
        <v>201</v>
      </c>
      <c r="D129" s="44" t="s">
        <v>198</v>
      </c>
      <c r="E129" s="42">
        <v>2775000</v>
      </c>
      <c r="F129" s="17">
        <v>100000</v>
      </c>
      <c r="G129" s="17">
        <v>66000</v>
      </c>
      <c r="H129" s="17">
        <f t="shared" si="104"/>
        <v>166000</v>
      </c>
      <c r="I129" s="17">
        <v>100000</v>
      </c>
      <c r="J129" s="17"/>
      <c r="K129" s="17">
        <f t="shared" si="105"/>
        <v>100000</v>
      </c>
      <c r="L129" s="17">
        <v>100000</v>
      </c>
      <c r="M129" s="17"/>
      <c r="N129" s="17">
        <f t="shared" si="106"/>
        <v>100000</v>
      </c>
      <c r="O129" s="17">
        <v>100000</v>
      </c>
      <c r="P129" s="17">
        <f>42000</f>
        <v>42000</v>
      </c>
      <c r="Q129" s="17">
        <f t="shared" si="94"/>
        <v>142000</v>
      </c>
      <c r="R129" s="17">
        <v>100000</v>
      </c>
      <c r="S129" s="17">
        <v>0</v>
      </c>
      <c r="T129" s="17">
        <f>[7]System!$F$650</f>
        <v>22000</v>
      </c>
      <c r="U129" s="17">
        <v>0</v>
      </c>
      <c r="V129" s="17">
        <v>0</v>
      </c>
      <c r="W129" s="17">
        <f t="shared" si="95"/>
        <v>122000</v>
      </c>
      <c r="X129" s="17">
        <v>100000</v>
      </c>
      <c r="Y129" s="17"/>
      <c r="Z129" s="17">
        <f>[8]Credit!$E$708</f>
        <v>6000</v>
      </c>
      <c r="AA129" s="17"/>
      <c r="AB129" s="17">
        <v>10000</v>
      </c>
      <c r="AC129" s="17">
        <f t="shared" si="96"/>
        <v>16000</v>
      </c>
      <c r="AD129" s="17">
        <f t="shared" si="97"/>
        <v>116000</v>
      </c>
      <c r="AE129" s="17">
        <v>100000</v>
      </c>
      <c r="AF129" s="17"/>
      <c r="AG129" s="17"/>
      <c r="AH129" s="17"/>
      <c r="AI129" s="17"/>
      <c r="AJ129" s="17">
        <f t="shared" si="98"/>
        <v>0</v>
      </c>
      <c r="AK129" s="17">
        <f t="shared" si="99"/>
        <v>100000</v>
      </c>
      <c r="AL129" s="17">
        <v>100000</v>
      </c>
      <c r="AM129" s="42">
        <v>530000</v>
      </c>
      <c r="AN129" s="42">
        <f>[5]Credit!$E$824</f>
        <v>2000</v>
      </c>
      <c r="AO129" s="42">
        <v>0</v>
      </c>
      <c r="AP129" s="17"/>
      <c r="AQ129" s="17">
        <f t="shared" si="100"/>
        <v>532000</v>
      </c>
      <c r="AR129" s="17">
        <f t="shared" si="101"/>
        <v>632000</v>
      </c>
      <c r="AS129" s="42">
        <v>100000</v>
      </c>
      <c r="AT129" s="42">
        <v>530000</v>
      </c>
      <c r="AU129" s="42">
        <v>0</v>
      </c>
      <c r="AV129" s="42">
        <v>0</v>
      </c>
      <c r="AW129" s="17">
        <f t="shared" si="102"/>
        <v>530000</v>
      </c>
      <c r="AX129" s="42">
        <f t="shared" si="103"/>
        <v>630000</v>
      </c>
      <c r="AY129" s="42">
        <v>100000</v>
      </c>
      <c r="AZ129" s="42">
        <v>0</v>
      </c>
      <c r="BA129" s="42">
        <v>530000</v>
      </c>
      <c r="BB129" s="42"/>
      <c r="BC129" s="42">
        <f t="shared" ref="BC129:BC142" si="108">SUM(AZ129:BB129)</f>
        <v>530000</v>
      </c>
      <c r="BD129" s="42">
        <f t="shared" si="107"/>
        <v>630000</v>
      </c>
      <c r="BE129" s="42">
        <v>100000</v>
      </c>
      <c r="BF129" s="42">
        <v>530000</v>
      </c>
      <c r="BG129" s="42">
        <f>[11]Kredit!$E$817</f>
        <v>48000</v>
      </c>
      <c r="BH129" s="42">
        <v>0</v>
      </c>
      <c r="BI129" s="42">
        <f t="shared" ref="BI129:BI160" si="109">SUM(BF129:BH129)</f>
        <v>578000</v>
      </c>
      <c r="BJ129" s="42">
        <f t="shared" ref="BJ129:BJ160" si="110">BE129+BI129</f>
        <v>678000</v>
      </c>
      <c r="BK129" s="42">
        <v>100000</v>
      </c>
      <c r="BL129" s="42">
        <v>530000</v>
      </c>
      <c r="BM129" s="42">
        <f>[12]Credit!$E$749</f>
        <v>47000</v>
      </c>
      <c r="BN129" s="42">
        <v>0</v>
      </c>
      <c r="BO129" s="42">
        <f t="shared" si="91"/>
        <v>577000</v>
      </c>
      <c r="BP129" s="42">
        <f t="shared" si="92"/>
        <v>677000</v>
      </c>
      <c r="BQ129" s="69">
        <f t="shared" si="93"/>
        <v>3975000</v>
      </c>
      <c r="BR129" s="37"/>
      <c r="BS129" s="36"/>
      <c r="BT129" s="36"/>
      <c r="BU129" s="36"/>
    </row>
    <row r="130" spans="1:73" s="4" customFormat="1" ht="13">
      <c r="A130" s="15">
        <f t="shared" si="66"/>
        <v>126</v>
      </c>
      <c r="B130" s="43">
        <v>99091568</v>
      </c>
      <c r="C130" s="44" t="s">
        <v>214</v>
      </c>
      <c r="D130" s="44" t="s">
        <v>198</v>
      </c>
      <c r="E130" s="42">
        <v>2775000</v>
      </c>
      <c r="F130" s="17">
        <v>100000</v>
      </c>
      <c r="G130" s="17"/>
      <c r="H130" s="17">
        <f t="shared" si="104"/>
        <v>100000</v>
      </c>
      <c r="I130" s="17">
        <v>100000</v>
      </c>
      <c r="J130" s="17"/>
      <c r="K130" s="17">
        <f t="shared" si="105"/>
        <v>100000</v>
      </c>
      <c r="L130" s="17">
        <v>100000</v>
      </c>
      <c r="M130" s="17">
        <v>530000</v>
      </c>
      <c r="N130" s="17">
        <f t="shared" si="106"/>
        <v>630000</v>
      </c>
      <c r="O130" s="17">
        <v>100000</v>
      </c>
      <c r="P130" s="17">
        <v>530000</v>
      </c>
      <c r="Q130" s="17">
        <f t="shared" si="94"/>
        <v>630000</v>
      </c>
      <c r="R130" s="17">
        <v>100000</v>
      </c>
      <c r="S130" s="17">
        <f>530000</f>
        <v>530000</v>
      </c>
      <c r="T130" s="17">
        <v>0</v>
      </c>
      <c r="U130" s="17">
        <v>0</v>
      </c>
      <c r="V130" s="17">
        <v>0</v>
      </c>
      <c r="W130" s="17">
        <f t="shared" si="95"/>
        <v>630000</v>
      </c>
      <c r="X130" s="17">
        <v>100000</v>
      </c>
      <c r="Y130" s="17">
        <v>530000</v>
      </c>
      <c r="Z130" s="17"/>
      <c r="AA130" s="17"/>
      <c r="AB130" s="17">
        <v>25000</v>
      </c>
      <c r="AC130" s="17">
        <f t="shared" si="96"/>
        <v>555000</v>
      </c>
      <c r="AD130" s="17">
        <f t="shared" si="97"/>
        <v>655000</v>
      </c>
      <c r="AE130" s="17">
        <v>100000</v>
      </c>
      <c r="AF130" s="17">
        <v>530000</v>
      </c>
      <c r="AG130" s="17"/>
      <c r="AH130" s="17"/>
      <c r="AI130" s="17"/>
      <c r="AJ130" s="17">
        <f t="shared" si="98"/>
        <v>530000</v>
      </c>
      <c r="AK130" s="17">
        <f t="shared" si="99"/>
        <v>630000</v>
      </c>
      <c r="AL130" s="17">
        <v>100000</v>
      </c>
      <c r="AM130" s="42">
        <v>530000</v>
      </c>
      <c r="AN130" s="42">
        <v>0</v>
      </c>
      <c r="AO130" s="42">
        <v>0</v>
      </c>
      <c r="AP130" s="17"/>
      <c r="AQ130" s="17">
        <f t="shared" si="100"/>
        <v>530000</v>
      </c>
      <c r="AR130" s="17">
        <f t="shared" si="101"/>
        <v>630000</v>
      </c>
      <c r="AS130" s="42">
        <v>100000</v>
      </c>
      <c r="AT130" s="42">
        <v>0</v>
      </c>
      <c r="AU130" s="42">
        <v>0</v>
      </c>
      <c r="AV130" s="42">
        <v>0</v>
      </c>
      <c r="AW130" s="17">
        <f t="shared" si="102"/>
        <v>0</v>
      </c>
      <c r="AX130" s="42">
        <f t="shared" si="103"/>
        <v>100000</v>
      </c>
      <c r="AY130" s="42">
        <v>100000</v>
      </c>
      <c r="AZ130" s="42">
        <v>0</v>
      </c>
      <c r="BA130" s="42"/>
      <c r="BB130" s="42"/>
      <c r="BC130" s="42">
        <f t="shared" si="108"/>
        <v>0</v>
      </c>
      <c r="BD130" s="42">
        <f t="shared" si="107"/>
        <v>100000</v>
      </c>
      <c r="BE130" s="42">
        <v>100000</v>
      </c>
      <c r="BF130" s="42">
        <v>530000</v>
      </c>
      <c r="BG130" s="42">
        <f>[11]Kredit!$E$1579</f>
        <v>3000</v>
      </c>
      <c r="BH130" s="42">
        <v>0</v>
      </c>
      <c r="BI130" s="42">
        <f t="shared" si="109"/>
        <v>533000</v>
      </c>
      <c r="BJ130" s="42">
        <f t="shared" si="110"/>
        <v>633000</v>
      </c>
      <c r="BK130" s="42">
        <v>100000</v>
      </c>
      <c r="BL130" s="42">
        <v>530000</v>
      </c>
      <c r="BM130" s="42">
        <v>0</v>
      </c>
      <c r="BN130" s="42">
        <v>0</v>
      </c>
      <c r="BO130" s="42">
        <f t="shared" si="91"/>
        <v>530000</v>
      </c>
      <c r="BP130" s="42">
        <f t="shared" si="92"/>
        <v>630000</v>
      </c>
      <c r="BQ130" s="69">
        <f t="shared" si="93"/>
        <v>3975000</v>
      </c>
      <c r="BR130" s="37"/>
      <c r="BS130" s="36"/>
      <c r="BT130" s="36"/>
      <c r="BU130" s="36"/>
    </row>
    <row r="131" spans="1:73" s="4" customFormat="1" ht="13">
      <c r="A131" s="15">
        <f t="shared" si="66"/>
        <v>127</v>
      </c>
      <c r="B131" s="43">
        <v>95080678</v>
      </c>
      <c r="C131" s="44" t="s">
        <v>202</v>
      </c>
      <c r="D131" s="44" t="s">
        <v>203</v>
      </c>
      <c r="E131" s="42">
        <v>2775000</v>
      </c>
      <c r="F131" s="17">
        <v>100000</v>
      </c>
      <c r="G131" s="17">
        <f>440000+343000</f>
        <v>783000</v>
      </c>
      <c r="H131" s="17">
        <f t="shared" si="104"/>
        <v>883000</v>
      </c>
      <c r="I131" s="17">
        <v>100000</v>
      </c>
      <c r="J131" s="17">
        <f>440000+350000</f>
        <v>790000</v>
      </c>
      <c r="K131" s="17">
        <f t="shared" si="105"/>
        <v>890000</v>
      </c>
      <c r="L131" s="17">
        <v>100000</v>
      </c>
      <c r="M131" s="17">
        <f>530000+382000</f>
        <v>912000</v>
      </c>
      <c r="N131" s="17">
        <f t="shared" si="106"/>
        <v>1012000</v>
      </c>
      <c r="O131" s="17">
        <v>100000</v>
      </c>
      <c r="P131" s="17">
        <f>335000+530000+46000</f>
        <v>911000</v>
      </c>
      <c r="Q131" s="17">
        <f t="shared" si="94"/>
        <v>1011000</v>
      </c>
      <c r="R131" s="17">
        <v>100000</v>
      </c>
      <c r="S131" s="17">
        <f>530000</f>
        <v>530000</v>
      </c>
      <c r="T131" s="17">
        <f>77000+[7]System!$F$59</f>
        <v>414000</v>
      </c>
      <c r="U131" s="17">
        <v>0</v>
      </c>
      <c r="V131" s="17">
        <f>15000</f>
        <v>15000</v>
      </c>
      <c r="W131" s="17">
        <f t="shared" si="95"/>
        <v>1059000</v>
      </c>
      <c r="X131" s="17">
        <v>100000</v>
      </c>
      <c r="Y131" s="17">
        <v>530000</v>
      </c>
      <c r="Z131" s="17">
        <f>[8]Credit!$E$44</f>
        <v>358500</v>
      </c>
      <c r="AA131" s="17"/>
      <c r="AB131" s="17"/>
      <c r="AC131" s="17">
        <f t="shared" si="96"/>
        <v>888500</v>
      </c>
      <c r="AD131" s="17">
        <f t="shared" si="97"/>
        <v>988500</v>
      </c>
      <c r="AE131" s="17">
        <v>100000</v>
      </c>
      <c r="AF131" s="17">
        <v>530000</v>
      </c>
      <c r="AG131" s="17">
        <f>[9]Credit!$F$30</f>
        <v>88000</v>
      </c>
      <c r="AH131" s="17"/>
      <c r="AI131" s="17">
        <v>70000</v>
      </c>
      <c r="AJ131" s="17">
        <f t="shared" si="98"/>
        <v>688000</v>
      </c>
      <c r="AK131" s="17">
        <f t="shared" si="99"/>
        <v>788000</v>
      </c>
      <c r="AL131" s="17">
        <v>100000</v>
      </c>
      <c r="AM131" s="42">
        <v>530000</v>
      </c>
      <c r="AN131" s="42">
        <f>[5]Credit!$E$50</f>
        <v>360000</v>
      </c>
      <c r="AO131" s="42">
        <v>0</v>
      </c>
      <c r="AP131" s="17"/>
      <c r="AQ131" s="17">
        <f t="shared" si="100"/>
        <v>890000</v>
      </c>
      <c r="AR131" s="17">
        <f t="shared" si="101"/>
        <v>990000</v>
      </c>
      <c r="AS131" s="42">
        <v>100000</v>
      </c>
      <c r="AT131" s="42">
        <v>530000</v>
      </c>
      <c r="AU131" s="42">
        <f>[10]Credit!$E$69</f>
        <v>69000</v>
      </c>
      <c r="AV131" s="42">
        <v>0</v>
      </c>
      <c r="AW131" s="17">
        <f t="shared" si="102"/>
        <v>599000</v>
      </c>
      <c r="AX131" s="42">
        <f t="shared" si="103"/>
        <v>699000</v>
      </c>
      <c r="AY131" s="42">
        <v>100000</v>
      </c>
      <c r="AZ131" s="42">
        <f>[6]Credit!$F$65</f>
        <v>110000</v>
      </c>
      <c r="BA131" s="42">
        <v>530000</v>
      </c>
      <c r="BB131" s="42"/>
      <c r="BC131" s="42">
        <f t="shared" si="108"/>
        <v>640000</v>
      </c>
      <c r="BD131" s="42">
        <f t="shared" si="107"/>
        <v>740000</v>
      </c>
      <c r="BE131" s="42">
        <v>100000</v>
      </c>
      <c r="BF131" s="42">
        <v>530000</v>
      </c>
      <c r="BG131" s="42">
        <f>[11]Kredit!$E$87</f>
        <v>137000</v>
      </c>
      <c r="BH131" s="42">
        <v>0</v>
      </c>
      <c r="BI131" s="42">
        <f t="shared" si="109"/>
        <v>667000</v>
      </c>
      <c r="BJ131" s="42">
        <f t="shared" si="110"/>
        <v>767000</v>
      </c>
      <c r="BK131" s="42">
        <v>100000</v>
      </c>
      <c r="BL131" s="42">
        <v>530000</v>
      </c>
      <c r="BM131" s="42">
        <f>[12]Credit!$E$68</f>
        <v>121000</v>
      </c>
      <c r="BN131" s="42">
        <v>0</v>
      </c>
      <c r="BO131" s="42">
        <f t="shared" si="91"/>
        <v>651000</v>
      </c>
      <c r="BP131" s="42">
        <f t="shared" si="92"/>
        <v>751000</v>
      </c>
      <c r="BQ131" s="69">
        <f t="shared" si="93"/>
        <v>3975000</v>
      </c>
      <c r="BR131" s="37"/>
      <c r="BS131" s="36"/>
      <c r="BT131" s="36"/>
      <c r="BU131" s="36"/>
    </row>
    <row r="132" spans="1:73" s="58" customFormat="1" ht="13">
      <c r="A132" s="15">
        <f t="shared" si="66"/>
        <v>128</v>
      </c>
      <c r="B132" s="43">
        <v>95070268</v>
      </c>
      <c r="C132" s="44" t="s">
        <v>204</v>
      </c>
      <c r="D132" s="44" t="s">
        <v>203</v>
      </c>
      <c r="E132" s="42">
        <v>2775000</v>
      </c>
      <c r="F132" s="17">
        <v>100000</v>
      </c>
      <c r="G132" s="17">
        <v>663125</v>
      </c>
      <c r="H132" s="17">
        <f t="shared" si="104"/>
        <v>763125</v>
      </c>
      <c r="I132" s="17">
        <v>100000</v>
      </c>
      <c r="J132" s="17">
        <f>663125</f>
        <v>663125</v>
      </c>
      <c r="K132" s="17">
        <f t="shared" si="105"/>
        <v>763125</v>
      </c>
      <c r="L132" s="17">
        <v>100000</v>
      </c>
      <c r="M132" s="17">
        <v>663125</v>
      </c>
      <c r="N132" s="17">
        <f t="shared" si="106"/>
        <v>763125</v>
      </c>
      <c r="O132" s="17">
        <v>100000</v>
      </c>
      <c r="P132" s="17">
        <f>663125</f>
        <v>663125</v>
      </c>
      <c r="Q132" s="17">
        <f t="shared" si="94"/>
        <v>763125</v>
      </c>
      <c r="R132" s="17">
        <v>100000</v>
      </c>
      <c r="S132" s="17">
        <f>663125</f>
        <v>663125</v>
      </c>
      <c r="T132" s="17">
        <v>0</v>
      </c>
      <c r="U132" s="17">
        <v>0</v>
      </c>
      <c r="V132" s="17">
        <f>21000</f>
        <v>21000</v>
      </c>
      <c r="W132" s="17">
        <f t="shared" si="95"/>
        <v>784125</v>
      </c>
      <c r="X132" s="17">
        <v>100000</v>
      </c>
      <c r="Y132" s="17">
        <v>663125</v>
      </c>
      <c r="Z132" s="17"/>
      <c r="AA132" s="17"/>
      <c r="AB132" s="17">
        <v>10000</v>
      </c>
      <c r="AC132" s="17">
        <f t="shared" si="96"/>
        <v>673125</v>
      </c>
      <c r="AD132" s="17">
        <f t="shared" si="97"/>
        <v>773125</v>
      </c>
      <c r="AE132" s="17">
        <v>100000</v>
      </c>
      <c r="AF132" s="17">
        <v>663125</v>
      </c>
      <c r="AG132" s="17"/>
      <c r="AH132" s="17"/>
      <c r="AI132" s="17"/>
      <c r="AJ132" s="17">
        <f t="shared" si="98"/>
        <v>663125</v>
      </c>
      <c r="AK132" s="17">
        <f t="shared" si="99"/>
        <v>763125</v>
      </c>
      <c r="AL132" s="17">
        <v>100000</v>
      </c>
      <c r="AM132" s="42">
        <v>663125</v>
      </c>
      <c r="AN132" s="42">
        <v>0</v>
      </c>
      <c r="AO132" s="42">
        <v>0</v>
      </c>
      <c r="AP132" s="17"/>
      <c r="AQ132" s="17">
        <f t="shared" si="100"/>
        <v>663125</v>
      </c>
      <c r="AR132" s="17">
        <f t="shared" si="101"/>
        <v>763125</v>
      </c>
      <c r="AS132" s="42">
        <v>100000</v>
      </c>
      <c r="AT132" s="42">
        <v>0</v>
      </c>
      <c r="AU132" s="42">
        <v>0</v>
      </c>
      <c r="AV132" s="42">
        <v>0</v>
      </c>
      <c r="AW132" s="17">
        <f t="shared" si="102"/>
        <v>0</v>
      </c>
      <c r="AX132" s="42">
        <f t="shared" si="103"/>
        <v>100000</v>
      </c>
      <c r="AY132" s="42">
        <v>100000</v>
      </c>
      <c r="AZ132" s="42">
        <v>0</v>
      </c>
      <c r="BA132" s="42">
        <v>530000</v>
      </c>
      <c r="BB132" s="42"/>
      <c r="BC132" s="42">
        <f t="shared" si="108"/>
        <v>530000</v>
      </c>
      <c r="BD132" s="42">
        <f t="shared" si="107"/>
        <v>630000</v>
      </c>
      <c r="BE132" s="42">
        <v>100000</v>
      </c>
      <c r="BF132" s="42">
        <v>530000</v>
      </c>
      <c r="BG132" s="42"/>
      <c r="BH132" s="42">
        <v>0</v>
      </c>
      <c r="BI132" s="42">
        <f t="shared" si="109"/>
        <v>530000</v>
      </c>
      <c r="BJ132" s="42">
        <f t="shared" si="110"/>
        <v>630000</v>
      </c>
      <c r="BK132" s="42">
        <v>100000</v>
      </c>
      <c r="BL132" s="42">
        <v>530000</v>
      </c>
      <c r="BM132" s="42">
        <v>0</v>
      </c>
      <c r="BN132" s="42">
        <v>0</v>
      </c>
      <c r="BO132" s="42">
        <f t="shared" si="91"/>
        <v>530000</v>
      </c>
      <c r="BP132" s="42">
        <f t="shared" si="92"/>
        <v>630000</v>
      </c>
      <c r="BQ132" s="69">
        <f t="shared" si="93"/>
        <v>3975000</v>
      </c>
      <c r="BR132" s="38" t="s">
        <v>393</v>
      </c>
      <c r="BS132" s="57"/>
      <c r="BT132" s="57"/>
      <c r="BU132" s="57"/>
    </row>
    <row r="133" spans="1:73" s="4" customFormat="1" ht="13">
      <c r="A133" s="15">
        <f t="shared" ref="A133:A194" si="111">A132+1</f>
        <v>129</v>
      </c>
      <c r="B133" s="56" t="s">
        <v>205</v>
      </c>
      <c r="C133" s="44" t="s">
        <v>206</v>
      </c>
      <c r="D133" s="44" t="s">
        <v>203</v>
      </c>
      <c r="E133" s="42">
        <v>2625000</v>
      </c>
      <c r="F133" s="17">
        <v>100000</v>
      </c>
      <c r="G133" s="17">
        <f>531250</f>
        <v>531250</v>
      </c>
      <c r="H133" s="17">
        <f t="shared" si="104"/>
        <v>631250</v>
      </c>
      <c r="I133" s="17">
        <v>100000</v>
      </c>
      <c r="J133" s="17">
        <f>531250</f>
        <v>531250</v>
      </c>
      <c r="K133" s="17">
        <f t="shared" si="105"/>
        <v>631250</v>
      </c>
      <c r="L133" s="17">
        <v>100000</v>
      </c>
      <c r="M133" s="17">
        <v>531250</v>
      </c>
      <c r="N133" s="17">
        <f t="shared" si="106"/>
        <v>631250</v>
      </c>
      <c r="O133" s="17">
        <v>100000</v>
      </c>
      <c r="P133" s="17">
        <f>531250+18000</f>
        <v>549250</v>
      </c>
      <c r="Q133" s="17">
        <f t="shared" si="94"/>
        <v>649250</v>
      </c>
      <c r="R133" s="17">
        <v>100000</v>
      </c>
      <c r="S133" s="17">
        <v>0</v>
      </c>
      <c r="T133" s="17">
        <f>[7]System!$F$166</f>
        <v>241000</v>
      </c>
      <c r="U133" s="17">
        <v>0</v>
      </c>
      <c r="V133" s="17">
        <f>21000</f>
        <v>21000</v>
      </c>
      <c r="W133" s="17">
        <f t="shared" si="95"/>
        <v>362000</v>
      </c>
      <c r="X133" s="17">
        <v>100000</v>
      </c>
      <c r="Y133" s="17">
        <v>530000</v>
      </c>
      <c r="Z133" s="17">
        <f>[8]Credit!$E$163</f>
        <v>159000</v>
      </c>
      <c r="AA133" s="17"/>
      <c r="AB133" s="17">
        <f>50000+10000</f>
        <v>60000</v>
      </c>
      <c r="AC133" s="17">
        <f t="shared" si="96"/>
        <v>749000</v>
      </c>
      <c r="AD133" s="17">
        <f t="shared" si="97"/>
        <v>849000</v>
      </c>
      <c r="AE133" s="17">
        <v>100000</v>
      </c>
      <c r="AF133" s="17">
        <v>530000</v>
      </c>
      <c r="AG133" s="17">
        <f>[9]Credit!$F$116</f>
        <v>19000</v>
      </c>
      <c r="AH133" s="17"/>
      <c r="AI133" s="17"/>
      <c r="AJ133" s="17">
        <f t="shared" si="98"/>
        <v>549000</v>
      </c>
      <c r="AK133" s="17">
        <f t="shared" si="99"/>
        <v>649000</v>
      </c>
      <c r="AL133" s="17">
        <v>100000</v>
      </c>
      <c r="AM133" s="42">
        <v>530000</v>
      </c>
      <c r="AN133" s="42">
        <f>[5]Credit!$E$236</f>
        <v>242250</v>
      </c>
      <c r="AO133" s="42">
        <v>0</v>
      </c>
      <c r="AP133" s="17"/>
      <c r="AQ133" s="17">
        <f t="shared" si="100"/>
        <v>772250</v>
      </c>
      <c r="AR133" s="17">
        <f t="shared" si="101"/>
        <v>872250</v>
      </c>
      <c r="AS133" s="42">
        <v>100000</v>
      </c>
      <c r="AT133" s="42">
        <v>530000</v>
      </c>
      <c r="AU133" s="42">
        <f>[10]Credit!$E$239</f>
        <v>405250</v>
      </c>
      <c r="AV133" s="42">
        <v>0</v>
      </c>
      <c r="AW133" s="17">
        <f t="shared" si="102"/>
        <v>935250</v>
      </c>
      <c r="AX133" s="42">
        <f t="shared" si="103"/>
        <v>1035250</v>
      </c>
      <c r="AY133" s="42">
        <v>100000</v>
      </c>
      <c r="AZ133" s="42">
        <f>[6]Credit!$F$246</f>
        <v>223000</v>
      </c>
      <c r="BA133" s="42">
        <v>530000</v>
      </c>
      <c r="BB133" s="42"/>
      <c r="BC133" s="42">
        <f t="shared" si="108"/>
        <v>753000</v>
      </c>
      <c r="BD133" s="42">
        <f t="shared" si="107"/>
        <v>853000</v>
      </c>
      <c r="BE133" s="42">
        <v>100000</v>
      </c>
      <c r="BF133" s="42">
        <f>530000+530000</f>
        <v>1060000</v>
      </c>
      <c r="BG133" s="42">
        <f>[11]Kredit!$E$285</f>
        <v>320500</v>
      </c>
      <c r="BH133" s="42">
        <v>0</v>
      </c>
      <c r="BI133" s="42">
        <f t="shared" si="109"/>
        <v>1380500</v>
      </c>
      <c r="BJ133" s="42">
        <f t="shared" si="110"/>
        <v>1480500</v>
      </c>
      <c r="BK133" s="42">
        <v>100000</v>
      </c>
      <c r="BL133" s="42">
        <v>530000</v>
      </c>
      <c r="BM133" s="42">
        <f>[12]Credit!$E$268</f>
        <v>429000</v>
      </c>
      <c r="BN133" s="42">
        <v>0</v>
      </c>
      <c r="BO133" s="42">
        <f t="shared" ref="BO133:BO164" si="112">SUM(BL133:BN133)</f>
        <v>959000</v>
      </c>
      <c r="BP133" s="42">
        <f t="shared" ref="BP133:BP164" si="113">BK133+BO133</f>
        <v>1059000</v>
      </c>
      <c r="BQ133" s="69">
        <f t="shared" ref="BQ133:BQ164" si="114">E133+F133+I133+L133+O133+R133+X133+AE133+AL133+AS133+AY133+BE133+BK133</f>
        <v>3825000</v>
      </c>
      <c r="BR133" s="37"/>
      <c r="BS133" s="36"/>
      <c r="BT133" s="36"/>
      <c r="BU133" s="36"/>
    </row>
    <row r="134" spans="1:73">
      <c r="A134" s="15">
        <f t="shared" si="111"/>
        <v>130</v>
      </c>
      <c r="B134" s="48" t="s">
        <v>207</v>
      </c>
      <c r="C134" s="44" t="s">
        <v>208</v>
      </c>
      <c r="D134" s="44" t="s">
        <v>203</v>
      </c>
      <c r="E134" s="42">
        <v>2775000</v>
      </c>
      <c r="F134" s="17">
        <v>100000</v>
      </c>
      <c r="G134" s="17"/>
      <c r="H134" s="17">
        <f t="shared" si="104"/>
        <v>100000</v>
      </c>
      <c r="I134" s="17">
        <v>100000</v>
      </c>
      <c r="J134" s="17">
        <f>530000</f>
        <v>530000</v>
      </c>
      <c r="K134" s="17">
        <f t="shared" si="105"/>
        <v>630000</v>
      </c>
      <c r="L134" s="17">
        <v>100000</v>
      </c>
      <c r="M134" s="17">
        <v>530000</v>
      </c>
      <c r="N134" s="17">
        <f t="shared" si="106"/>
        <v>630000</v>
      </c>
      <c r="O134" s="17">
        <v>100000</v>
      </c>
      <c r="P134" s="17">
        <f>530000</f>
        <v>530000</v>
      </c>
      <c r="Q134" s="17">
        <f t="shared" si="94"/>
        <v>630000</v>
      </c>
      <c r="R134" s="17">
        <v>100000</v>
      </c>
      <c r="S134" s="17">
        <f>530000</f>
        <v>530000</v>
      </c>
      <c r="T134" s="17">
        <v>0</v>
      </c>
      <c r="U134" s="17">
        <v>0</v>
      </c>
      <c r="V134" s="17">
        <v>0</v>
      </c>
      <c r="W134" s="17">
        <f t="shared" si="95"/>
        <v>630000</v>
      </c>
      <c r="X134" s="17">
        <v>100000</v>
      </c>
      <c r="Y134" s="17">
        <v>530000</v>
      </c>
      <c r="Z134" s="17"/>
      <c r="AA134" s="17"/>
      <c r="AB134" s="17"/>
      <c r="AC134" s="17">
        <f t="shared" si="96"/>
        <v>530000</v>
      </c>
      <c r="AD134" s="17">
        <f t="shared" si="97"/>
        <v>630000</v>
      </c>
      <c r="AE134" s="17">
        <v>100000</v>
      </c>
      <c r="AF134" s="17">
        <v>530000</v>
      </c>
      <c r="AG134" s="17"/>
      <c r="AH134" s="17"/>
      <c r="AI134" s="17"/>
      <c r="AJ134" s="17">
        <f t="shared" si="98"/>
        <v>530000</v>
      </c>
      <c r="AK134" s="17">
        <f t="shared" si="99"/>
        <v>630000</v>
      </c>
      <c r="AL134" s="17">
        <v>100000</v>
      </c>
      <c r="AM134" s="42">
        <v>0</v>
      </c>
      <c r="AN134" s="42">
        <v>0</v>
      </c>
      <c r="AO134" s="42">
        <v>0</v>
      </c>
      <c r="AP134" s="17"/>
      <c r="AQ134" s="17">
        <f t="shared" si="100"/>
        <v>0</v>
      </c>
      <c r="AR134" s="17">
        <f t="shared" si="101"/>
        <v>100000</v>
      </c>
      <c r="AS134" s="42">
        <v>100000</v>
      </c>
      <c r="AT134" s="42">
        <v>0</v>
      </c>
      <c r="AU134" s="42">
        <v>0</v>
      </c>
      <c r="AV134" s="42">
        <v>0</v>
      </c>
      <c r="AW134" s="17">
        <f t="shared" si="102"/>
        <v>0</v>
      </c>
      <c r="AX134" s="42">
        <f t="shared" si="103"/>
        <v>100000</v>
      </c>
      <c r="AY134" s="42">
        <v>100000</v>
      </c>
      <c r="AZ134" s="42">
        <v>0</v>
      </c>
      <c r="BA134" s="42"/>
      <c r="BB134" s="42"/>
      <c r="BC134" s="42">
        <f t="shared" si="108"/>
        <v>0</v>
      </c>
      <c r="BD134" s="42">
        <f t="shared" si="107"/>
        <v>100000</v>
      </c>
      <c r="BE134" s="42">
        <v>100000</v>
      </c>
      <c r="BF134" s="42">
        <v>0</v>
      </c>
      <c r="BG134" s="42"/>
      <c r="BH134" s="42">
        <v>0</v>
      </c>
      <c r="BI134" s="42">
        <f t="shared" si="109"/>
        <v>0</v>
      </c>
      <c r="BJ134" s="42">
        <f t="shared" si="110"/>
        <v>100000</v>
      </c>
      <c r="BK134" s="42">
        <v>100000</v>
      </c>
      <c r="BL134" s="42">
        <v>0</v>
      </c>
      <c r="BM134" s="42">
        <v>0</v>
      </c>
      <c r="BN134" s="42">
        <v>0</v>
      </c>
      <c r="BO134" s="42">
        <f t="shared" si="112"/>
        <v>0</v>
      </c>
      <c r="BP134" s="42">
        <f t="shared" si="113"/>
        <v>100000</v>
      </c>
      <c r="BQ134" s="69">
        <f t="shared" si="114"/>
        <v>3975000</v>
      </c>
      <c r="BR134" s="37"/>
    </row>
    <row r="135" spans="1:73" s="4" customFormat="1" ht="13">
      <c r="A135" s="15">
        <f t="shared" si="111"/>
        <v>131</v>
      </c>
      <c r="B135" s="43">
        <v>95070188</v>
      </c>
      <c r="C135" s="44" t="s">
        <v>209</v>
      </c>
      <c r="D135" s="44" t="s">
        <v>203</v>
      </c>
      <c r="E135" s="42">
        <v>2775000</v>
      </c>
      <c r="F135" s="17">
        <v>100000</v>
      </c>
      <c r="G135" s="17"/>
      <c r="H135" s="17">
        <f t="shared" si="104"/>
        <v>100000</v>
      </c>
      <c r="I135" s="17">
        <v>100000</v>
      </c>
      <c r="J135" s="17"/>
      <c r="K135" s="17">
        <f t="shared" si="105"/>
        <v>100000</v>
      </c>
      <c r="L135" s="17">
        <v>100000</v>
      </c>
      <c r="M135" s="17"/>
      <c r="N135" s="17">
        <f t="shared" si="106"/>
        <v>100000</v>
      </c>
      <c r="O135" s="17">
        <v>100000</v>
      </c>
      <c r="P135" s="17"/>
      <c r="Q135" s="17">
        <f t="shared" si="94"/>
        <v>100000</v>
      </c>
      <c r="R135" s="17">
        <v>100000</v>
      </c>
      <c r="S135" s="17">
        <v>0</v>
      </c>
      <c r="T135" s="17">
        <v>0</v>
      </c>
      <c r="U135" s="17">
        <v>0</v>
      </c>
      <c r="V135" s="17">
        <v>0</v>
      </c>
      <c r="W135" s="17">
        <f t="shared" si="95"/>
        <v>100000</v>
      </c>
      <c r="X135" s="17">
        <v>100000</v>
      </c>
      <c r="Y135" s="17">
        <v>663125</v>
      </c>
      <c r="Z135" s="17"/>
      <c r="AA135" s="17"/>
      <c r="AB135" s="17"/>
      <c r="AC135" s="17">
        <f t="shared" si="96"/>
        <v>663125</v>
      </c>
      <c r="AD135" s="17">
        <f t="shared" si="97"/>
        <v>763125</v>
      </c>
      <c r="AE135" s="17">
        <v>100000</v>
      </c>
      <c r="AF135" s="17">
        <v>663125</v>
      </c>
      <c r="AG135" s="17"/>
      <c r="AH135" s="17"/>
      <c r="AI135" s="17">
        <v>70000</v>
      </c>
      <c r="AJ135" s="17">
        <f t="shared" si="98"/>
        <v>733125</v>
      </c>
      <c r="AK135" s="17">
        <f t="shared" si="99"/>
        <v>833125</v>
      </c>
      <c r="AL135" s="17">
        <v>100000</v>
      </c>
      <c r="AM135" s="42">
        <v>663125</v>
      </c>
      <c r="AN135" s="42">
        <v>0</v>
      </c>
      <c r="AO135" s="42">
        <v>0</v>
      </c>
      <c r="AP135" s="17"/>
      <c r="AQ135" s="17">
        <f t="shared" si="100"/>
        <v>663125</v>
      </c>
      <c r="AR135" s="17">
        <f t="shared" si="101"/>
        <v>763125</v>
      </c>
      <c r="AS135" s="42">
        <v>100000</v>
      </c>
      <c r="AT135" s="42">
        <v>663125</v>
      </c>
      <c r="AU135" s="42">
        <v>0</v>
      </c>
      <c r="AV135" s="42">
        <v>0</v>
      </c>
      <c r="AW135" s="17">
        <f t="shared" si="102"/>
        <v>663125</v>
      </c>
      <c r="AX135" s="42">
        <f t="shared" si="103"/>
        <v>763125</v>
      </c>
      <c r="AY135" s="42">
        <v>100000</v>
      </c>
      <c r="AZ135" s="42">
        <v>0</v>
      </c>
      <c r="BA135" s="42">
        <v>663125</v>
      </c>
      <c r="BB135" s="42"/>
      <c r="BC135" s="42">
        <f t="shared" si="108"/>
        <v>663125</v>
      </c>
      <c r="BD135" s="42">
        <f t="shared" si="107"/>
        <v>763125</v>
      </c>
      <c r="BE135" s="42">
        <v>100000</v>
      </c>
      <c r="BF135" s="42">
        <f>663125</f>
        <v>663125</v>
      </c>
      <c r="BG135" s="42"/>
      <c r="BH135" s="42">
        <v>0</v>
      </c>
      <c r="BI135" s="42">
        <f t="shared" si="109"/>
        <v>663125</v>
      </c>
      <c r="BJ135" s="42">
        <f t="shared" si="110"/>
        <v>763125</v>
      </c>
      <c r="BK135" s="42">
        <v>100000</v>
      </c>
      <c r="BL135" s="42">
        <v>663125</v>
      </c>
      <c r="BM135" s="42">
        <v>0</v>
      </c>
      <c r="BN135" s="42">
        <v>0</v>
      </c>
      <c r="BO135" s="42">
        <f t="shared" si="112"/>
        <v>663125</v>
      </c>
      <c r="BP135" s="42">
        <f t="shared" si="113"/>
        <v>763125</v>
      </c>
      <c r="BQ135" s="69">
        <f t="shared" si="114"/>
        <v>3975000</v>
      </c>
      <c r="BR135" s="38" t="s">
        <v>395</v>
      </c>
      <c r="BS135" s="36"/>
      <c r="BT135" s="36"/>
      <c r="BU135" s="36"/>
    </row>
    <row r="136" spans="1:73" s="4" customFormat="1" ht="13">
      <c r="A136" s="15">
        <f t="shared" si="111"/>
        <v>132</v>
      </c>
      <c r="B136" s="53" t="s">
        <v>210</v>
      </c>
      <c r="C136" s="54" t="s">
        <v>211</v>
      </c>
      <c r="D136" s="44" t="s">
        <v>203</v>
      </c>
      <c r="E136" s="42">
        <v>2775000</v>
      </c>
      <c r="F136" s="17">
        <v>100000</v>
      </c>
      <c r="G136" s="17">
        <f>265000</f>
        <v>265000</v>
      </c>
      <c r="H136" s="17">
        <f t="shared" si="104"/>
        <v>365000</v>
      </c>
      <c r="I136" s="17">
        <v>100000</v>
      </c>
      <c r="J136" s="17">
        <f>265000</f>
        <v>265000</v>
      </c>
      <c r="K136" s="17">
        <f t="shared" si="105"/>
        <v>365000</v>
      </c>
      <c r="L136" s="17">
        <v>100000</v>
      </c>
      <c r="M136" s="17">
        <v>265000</v>
      </c>
      <c r="N136" s="17">
        <f t="shared" si="106"/>
        <v>365000</v>
      </c>
      <c r="O136" s="17">
        <v>100000</v>
      </c>
      <c r="P136" s="17">
        <f>265000</f>
        <v>265000</v>
      </c>
      <c r="Q136" s="17">
        <f t="shared" si="94"/>
        <v>365000</v>
      </c>
      <c r="R136" s="17">
        <v>100000</v>
      </c>
      <c r="S136" s="17">
        <f>265000</f>
        <v>265000</v>
      </c>
      <c r="T136" s="17">
        <f>[7]System!$F$1132</f>
        <v>174000</v>
      </c>
      <c r="U136" s="17">
        <v>0</v>
      </c>
      <c r="V136" s="17">
        <f>21000</f>
        <v>21000</v>
      </c>
      <c r="W136" s="17">
        <f t="shared" si="95"/>
        <v>560000</v>
      </c>
      <c r="X136" s="17">
        <v>100000</v>
      </c>
      <c r="Y136" s="17"/>
      <c r="Z136" s="17"/>
      <c r="AA136" s="17"/>
      <c r="AB136" s="17"/>
      <c r="AC136" s="17">
        <f t="shared" si="96"/>
        <v>0</v>
      </c>
      <c r="AD136" s="17">
        <f t="shared" si="97"/>
        <v>100000</v>
      </c>
      <c r="AE136" s="17">
        <v>100000</v>
      </c>
      <c r="AF136" s="17"/>
      <c r="AG136" s="17"/>
      <c r="AH136" s="17"/>
      <c r="AI136" s="17"/>
      <c r="AJ136" s="17">
        <f t="shared" si="98"/>
        <v>0</v>
      </c>
      <c r="AK136" s="17">
        <f t="shared" si="99"/>
        <v>100000</v>
      </c>
      <c r="AL136" s="17">
        <v>100000</v>
      </c>
      <c r="AM136" s="42">
        <v>0</v>
      </c>
      <c r="AN136" s="42">
        <v>0</v>
      </c>
      <c r="AO136" s="42">
        <v>0</v>
      </c>
      <c r="AP136" s="17"/>
      <c r="AQ136" s="17">
        <f t="shared" si="100"/>
        <v>0</v>
      </c>
      <c r="AR136" s="17">
        <f t="shared" si="101"/>
        <v>100000</v>
      </c>
      <c r="AS136" s="42">
        <v>100000</v>
      </c>
      <c r="AT136" s="42">
        <v>0</v>
      </c>
      <c r="AU136" s="42">
        <v>0</v>
      </c>
      <c r="AV136" s="42">
        <v>0</v>
      </c>
      <c r="AW136" s="17">
        <f t="shared" si="102"/>
        <v>0</v>
      </c>
      <c r="AX136" s="42">
        <f t="shared" si="103"/>
        <v>100000</v>
      </c>
      <c r="AY136" s="42">
        <v>100000</v>
      </c>
      <c r="AZ136" s="42">
        <v>0</v>
      </c>
      <c r="BA136" s="42"/>
      <c r="BB136" s="42">
        <v>363400</v>
      </c>
      <c r="BC136" s="42">
        <f t="shared" si="108"/>
        <v>363400</v>
      </c>
      <c r="BD136" s="42">
        <f t="shared" si="107"/>
        <v>463400</v>
      </c>
      <c r="BE136" s="42">
        <v>100000</v>
      </c>
      <c r="BF136" s="42">
        <v>0</v>
      </c>
      <c r="BG136" s="42"/>
      <c r="BH136" s="42">
        <v>363400</v>
      </c>
      <c r="BI136" s="42">
        <f t="shared" si="109"/>
        <v>363400</v>
      </c>
      <c r="BJ136" s="42">
        <f t="shared" si="110"/>
        <v>463400</v>
      </c>
      <c r="BK136" s="42">
        <v>100000</v>
      </c>
      <c r="BL136" s="42">
        <v>0</v>
      </c>
      <c r="BM136" s="42">
        <v>0</v>
      </c>
      <c r="BN136" s="42">
        <v>363400</v>
      </c>
      <c r="BO136" s="42">
        <f t="shared" si="112"/>
        <v>363400</v>
      </c>
      <c r="BP136" s="42">
        <f t="shared" si="113"/>
        <v>463400</v>
      </c>
      <c r="BQ136" s="69">
        <f t="shared" si="114"/>
        <v>3975000</v>
      </c>
      <c r="BR136" s="37"/>
      <c r="BS136" s="36"/>
      <c r="BT136" s="36"/>
      <c r="BU136" s="36"/>
    </row>
    <row r="137" spans="1:73" s="4" customFormat="1" ht="13">
      <c r="A137" s="15">
        <f t="shared" si="111"/>
        <v>133</v>
      </c>
      <c r="B137" s="55">
        <v>15112068</v>
      </c>
      <c r="C137" s="44" t="s">
        <v>406</v>
      </c>
      <c r="D137" s="44" t="s">
        <v>203</v>
      </c>
      <c r="E137" s="42">
        <v>0</v>
      </c>
      <c r="F137" s="17"/>
      <c r="G137" s="17"/>
      <c r="H137" s="17"/>
      <c r="I137" s="17"/>
      <c r="J137" s="17"/>
      <c r="K137" s="17"/>
      <c r="L137" s="17">
        <v>200000</v>
      </c>
      <c r="M137" s="17"/>
      <c r="N137" s="17">
        <f t="shared" si="106"/>
        <v>200000</v>
      </c>
      <c r="O137" s="17">
        <v>100000</v>
      </c>
      <c r="P137" s="17">
        <f>270000</f>
        <v>270000</v>
      </c>
      <c r="Q137" s="17">
        <f t="shared" si="94"/>
        <v>370000</v>
      </c>
      <c r="R137" s="17">
        <v>100000</v>
      </c>
      <c r="S137" s="17">
        <v>0</v>
      </c>
      <c r="T137" s="17">
        <f>[7]System!$F$1141</f>
        <v>319000</v>
      </c>
      <c r="U137" s="17">
        <v>0</v>
      </c>
      <c r="V137" s="17">
        <f>15000</f>
        <v>15000</v>
      </c>
      <c r="W137" s="17">
        <f t="shared" si="95"/>
        <v>434000</v>
      </c>
      <c r="X137" s="17">
        <v>100000</v>
      </c>
      <c r="Y137" s="17"/>
      <c r="Z137" s="17">
        <f>[8]Credit!$E$1270</f>
        <v>341000</v>
      </c>
      <c r="AA137" s="17"/>
      <c r="AB137" s="17"/>
      <c r="AC137" s="17">
        <f t="shared" si="96"/>
        <v>341000</v>
      </c>
      <c r="AD137" s="17">
        <f t="shared" si="97"/>
        <v>441000</v>
      </c>
      <c r="AE137" s="17">
        <v>100000</v>
      </c>
      <c r="AF137" s="17">
        <v>530000</v>
      </c>
      <c r="AG137" s="17">
        <f>[9]Credit!$F$789</f>
        <v>285000</v>
      </c>
      <c r="AH137" s="17"/>
      <c r="AI137" s="17"/>
      <c r="AJ137" s="17">
        <f t="shared" si="98"/>
        <v>815000</v>
      </c>
      <c r="AK137" s="17">
        <f t="shared" si="99"/>
        <v>915000</v>
      </c>
      <c r="AL137" s="17">
        <v>100000</v>
      </c>
      <c r="AM137" s="42">
        <v>530000</v>
      </c>
      <c r="AN137" s="42">
        <f>[5]Credit!$E$1475</f>
        <v>295000</v>
      </c>
      <c r="AO137" s="42">
        <v>0</v>
      </c>
      <c r="AP137" s="17"/>
      <c r="AQ137" s="17">
        <f t="shared" si="100"/>
        <v>825000</v>
      </c>
      <c r="AR137" s="17">
        <f t="shared" si="101"/>
        <v>925000</v>
      </c>
      <c r="AS137" s="42">
        <v>100000</v>
      </c>
      <c r="AT137" s="42">
        <v>530000</v>
      </c>
      <c r="AU137" s="42">
        <f>[10]Credit!$E$1428</f>
        <v>280000</v>
      </c>
      <c r="AV137" s="42">
        <v>0</v>
      </c>
      <c r="AW137" s="17">
        <f t="shared" si="102"/>
        <v>810000</v>
      </c>
      <c r="AX137" s="42">
        <f t="shared" si="103"/>
        <v>910000</v>
      </c>
      <c r="AY137" s="42">
        <v>100000</v>
      </c>
      <c r="AZ137" s="42">
        <f>[6]Credit!$F$1414</f>
        <v>297500</v>
      </c>
      <c r="BA137" s="42">
        <v>530000</v>
      </c>
      <c r="BB137" s="42"/>
      <c r="BC137" s="42">
        <f t="shared" si="108"/>
        <v>827500</v>
      </c>
      <c r="BD137" s="42">
        <f t="shared" si="107"/>
        <v>927500</v>
      </c>
      <c r="BE137" s="42">
        <v>100000</v>
      </c>
      <c r="BF137" s="42">
        <v>530000</v>
      </c>
      <c r="BG137" s="42">
        <f>[11]Kredit!$E$1440</f>
        <v>317000</v>
      </c>
      <c r="BH137" s="42">
        <v>0</v>
      </c>
      <c r="BI137" s="42">
        <f t="shared" si="109"/>
        <v>847000</v>
      </c>
      <c r="BJ137" s="42">
        <f t="shared" si="110"/>
        <v>947000</v>
      </c>
      <c r="BK137" s="42">
        <v>100000</v>
      </c>
      <c r="BL137" s="42">
        <v>530000</v>
      </c>
      <c r="BM137" s="42">
        <f>[12]Credit!$E$1353</f>
        <v>342000</v>
      </c>
      <c r="BN137" s="42">
        <v>0</v>
      </c>
      <c r="BO137" s="42">
        <f t="shared" si="112"/>
        <v>872000</v>
      </c>
      <c r="BP137" s="42">
        <f t="shared" si="113"/>
        <v>972000</v>
      </c>
      <c r="BQ137" s="69">
        <f t="shared" si="114"/>
        <v>1100000</v>
      </c>
      <c r="BR137" s="38" t="s">
        <v>404</v>
      </c>
      <c r="BS137" s="36"/>
      <c r="BT137" s="36"/>
      <c r="BU137" s="36"/>
    </row>
    <row r="138" spans="1:73" s="4" customFormat="1" ht="13">
      <c r="A138" s="15">
        <f t="shared" si="111"/>
        <v>134</v>
      </c>
      <c r="B138" s="48" t="s">
        <v>212</v>
      </c>
      <c r="C138" s="44" t="s">
        <v>213</v>
      </c>
      <c r="D138" s="44" t="s">
        <v>203</v>
      </c>
      <c r="E138" s="42">
        <v>2675000</v>
      </c>
      <c r="F138" s="17">
        <v>100000</v>
      </c>
      <c r="G138" s="17"/>
      <c r="H138" s="17">
        <f>F138+G138</f>
        <v>100000</v>
      </c>
      <c r="I138" s="17">
        <v>100000</v>
      </c>
      <c r="J138" s="17"/>
      <c r="K138" s="17">
        <f>I138+J138</f>
        <v>100000</v>
      </c>
      <c r="L138" s="17">
        <v>100000</v>
      </c>
      <c r="M138" s="17"/>
      <c r="N138" s="17">
        <f t="shared" si="106"/>
        <v>100000</v>
      </c>
      <c r="O138" s="17">
        <v>100000</v>
      </c>
      <c r="P138" s="17"/>
      <c r="Q138" s="17">
        <f t="shared" si="94"/>
        <v>100000</v>
      </c>
      <c r="R138" s="17">
        <v>100000</v>
      </c>
      <c r="S138" s="17">
        <v>0</v>
      </c>
      <c r="T138" s="17">
        <v>0</v>
      </c>
      <c r="U138" s="17">
        <v>0</v>
      </c>
      <c r="V138" s="17">
        <f>21000</f>
        <v>21000</v>
      </c>
      <c r="W138" s="17">
        <f t="shared" si="95"/>
        <v>121000</v>
      </c>
      <c r="X138" s="17">
        <v>100000</v>
      </c>
      <c r="Y138" s="17"/>
      <c r="Z138" s="17"/>
      <c r="AA138" s="17"/>
      <c r="AB138" s="17">
        <v>10000</v>
      </c>
      <c r="AC138" s="17">
        <f t="shared" si="96"/>
        <v>10000</v>
      </c>
      <c r="AD138" s="17">
        <f t="shared" si="97"/>
        <v>110000</v>
      </c>
      <c r="AE138" s="17">
        <v>100000</v>
      </c>
      <c r="AF138" s="17"/>
      <c r="AG138" s="17"/>
      <c r="AH138" s="17"/>
      <c r="AI138" s="17"/>
      <c r="AJ138" s="17">
        <f t="shared" si="98"/>
        <v>0</v>
      </c>
      <c r="AK138" s="17">
        <f t="shared" si="99"/>
        <v>100000</v>
      </c>
      <c r="AL138" s="17">
        <v>100000</v>
      </c>
      <c r="AM138" s="42">
        <v>0</v>
      </c>
      <c r="AN138" s="42">
        <v>0</v>
      </c>
      <c r="AO138" s="42">
        <v>0</v>
      </c>
      <c r="AP138" s="17"/>
      <c r="AQ138" s="17">
        <f t="shared" si="100"/>
        <v>0</v>
      </c>
      <c r="AR138" s="17">
        <f t="shared" si="101"/>
        <v>100000</v>
      </c>
      <c r="AS138" s="42">
        <v>100000</v>
      </c>
      <c r="AT138" s="42">
        <v>0</v>
      </c>
      <c r="AU138" s="42">
        <v>0</v>
      </c>
      <c r="AV138" s="42">
        <v>0</v>
      </c>
      <c r="AW138" s="17">
        <f t="shared" si="102"/>
        <v>0</v>
      </c>
      <c r="AX138" s="42">
        <f t="shared" si="103"/>
        <v>100000</v>
      </c>
      <c r="AY138" s="42">
        <v>100000</v>
      </c>
      <c r="AZ138" s="42">
        <v>0</v>
      </c>
      <c r="BA138" s="42"/>
      <c r="BB138" s="42"/>
      <c r="BC138" s="42">
        <f t="shared" si="108"/>
        <v>0</v>
      </c>
      <c r="BD138" s="42">
        <f t="shared" si="107"/>
        <v>100000</v>
      </c>
      <c r="BE138" s="42">
        <v>100000</v>
      </c>
      <c r="BF138" s="42">
        <v>0</v>
      </c>
      <c r="BG138" s="42"/>
      <c r="BH138" s="42">
        <v>0</v>
      </c>
      <c r="BI138" s="42">
        <f t="shared" si="109"/>
        <v>0</v>
      </c>
      <c r="BJ138" s="42">
        <f t="shared" si="110"/>
        <v>100000</v>
      </c>
      <c r="BK138" s="42">
        <v>100000</v>
      </c>
      <c r="BL138" s="42">
        <v>0</v>
      </c>
      <c r="BM138" s="42">
        <v>0</v>
      </c>
      <c r="BN138" s="42">
        <v>0</v>
      </c>
      <c r="BO138" s="42">
        <f t="shared" si="112"/>
        <v>0</v>
      </c>
      <c r="BP138" s="42">
        <f t="shared" si="113"/>
        <v>100000</v>
      </c>
      <c r="BQ138" s="69">
        <f t="shared" si="114"/>
        <v>3875000</v>
      </c>
      <c r="BR138" s="37"/>
      <c r="BS138" s="36"/>
      <c r="BT138" s="36"/>
      <c r="BU138" s="36"/>
    </row>
    <row r="139" spans="1:73" s="4" customFormat="1" ht="13">
      <c r="A139" s="15">
        <f t="shared" si="111"/>
        <v>135</v>
      </c>
      <c r="B139" s="43">
        <v>14050868</v>
      </c>
      <c r="C139" s="44" t="s">
        <v>215</v>
      </c>
      <c r="D139" s="44" t="s">
        <v>216</v>
      </c>
      <c r="E139" s="42">
        <v>1900000</v>
      </c>
      <c r="F139" s="17">
        <v>100000</v>
      </c>
      <c r="G139" s="17">
        <v>212000</v>
      </c>
      <c r="H139" s="17">
        <f>F139+G139</f>
        <v>312000</v>
      </c>
      <c r="I139" s="17">
        <v>100000</v>
      </c>
      <c r="J139" s="17">
        <f>113000</f>
        <v>113000</v>
      </c>
      <c r="K139" s="17">
        <f>I139+J139</f>
        <v>213000</v>
      </c>
      <c r="L139" s="17">
        <v>100000</v>
      </c>
      <c r="M139" s="17">
        <v>305000</v>
      </c>
      <c r="N139" s="17">
        <f t="shared" si="106"/>
        <v>405000</v>
      </c>
      <c r="O139" s="17">
        <v>100000</v>
      </c>
      <c r="P139" s="17">
        <f>317000+249500</f>
        <v>566500</v>
      </c>
      <c r="Q139" s="17">
        <f t="shared" si="94"/>
        <v>666500</v>
      </c>
      <c r="R139" s="17">
        <v>100000</v>
      </c>
      <c r="S139" s="17">
        <v>0</v>
      </c>
      <c r="T139" s="17">
        <f>71500+[7]System!$F$28</f>
        <v>338500</v>
      </c>
      <c r="U139" s="17">
        <v>0</v>
      </c>
      <c r="V139" s="17">
        <v>0</v>
      </c>
      <c r="W139" s="17">
        <f t="shared" si="95"/>
        <v>438500</v>
      </c>
      <c r="X139" s="17">
        <v>100000</v>
      </c>
      <c r="Y139" s="17"/>
      <c r="Z139" s="17">
        <f>[8]Credit!$E$18</f>
        <v>129000</v>
      </c>
      <c r="AA139" s="17"/>
      <c r="AB139" s="17">
        <v>35000</v>
      </c>
      <c r="AC139" s="17">
        <f t="shared" si="96"/>
        <v>164000</v>
      </c>
      <c r="AD139" s="17">
        <f t="shared" si="97"/>
        <v>264000</v>
      </c>
      <c r="AE139" s="17">
        <v>100000</v>
      </c>
      <c r="AF139" s="17"/>
      <c r="AG139" s="17">
        <f>[9]Credit!$F$15</f>
        <v>155000</v>
      </c>
      <c r="AH139" s="17"/>
      <c r="AI139" s="17"/>
      <c r="AJ139" s="17">
        <f t="shared" si="98"/>
        <v>155000</v>
      </c>
      <c r="AK139" s="17">
        <f t="shared" si="99"/>
        <v>255000</v>
      </c>
      <c r="AL139" s="17">
        <v>100000</v>
      </c>
      <c r="AM139" s="42">
        <v>530000</v>
      </c>
      <c r="AN139" s="42">
        <f>[5]Credit!$E$22</f>
        <v>215000</v>
      </c>
      <c r="AO139" s="42">
        <v>0</v>
      </c>
      <c r="AP139" s="17"/>
      <c r="AQ139" s="17">
        <f t="shared" si="100"/>
        <v>745000</v>
      </c>
      <c r="AR139" s="17">
        <f t="shared" si="101"/>
        <v>845000</v>
      </c>
      <c r="AS139" s="42">
        <v>100000</v>
      </c>
      <c r="AT139" s="42">
        <v>530000</v>
      </c>
      <c r="AU139" s="42">
        <f>[10]Credit!$E$35</f>
        <v>313500</v>
      </c>
      <c r="AV139" s="42">
        <v>0</v>
      </c>
      <c r="AW139" s="17">
        <f t="shared" si="102"/>
        <v>843500</v>
      </c>
      <c r="AX139" s="42">
        <f t="shared" si="103"/>
        <v>943500</v>
      </c>
      <c r="AY139" s="42">
        <v>100000</v>
      </c>
      <c r="AZ139" s="42">
        <f>[6]Credit!$F$29</f>
        <v>194000</v>
      </c>
      <c r="BA139" s="42">
        <v>530000</v>
      </c>
      <c r="BB139" s="42"/>
      <c r="BC139" s="42">
        <f t="shared" si="108"/>
        <v>724000</v>
      </c>
      <c r="BD139" s="42">
        <f t="shared" si="107"/>
        <v>824000</v>
      </c>
      <c r="BE139" s="42">
        <v>100000</v>
      </c>
      <c r="BF139" s="42">
        <v>530000</v>
      </c>
      <c r="BG139" s="42">
        <f>[11]Kredit!$E$38</f>
        <v>297500</v>
      </c>
      <c r="BH139" s="42">
        <v>0</v>
      </c>
      <c r="BI139" s="42">
        <f t="shared" si="109"/>
        <v>827500</v>
      </c>
      <c r="BJ139" s="42">
        <f t="shared" si="110"/>
        <v>927500</v>
      </c>
      <c r="BK139" s="42">
        <v>100000</v>
      </c>
      <c r="BL139" s="42">
        <v>530000</v>
      </c>
      <c r="BM139" s="42">
        <f>[12]Credit!$E$29</f>
        <v>464000</v>
      </c>
      <c r="BN139" s="42">
        <v>0</v>
      </c>
      <c r="BO139" s="42">
        <f t="shared" si="112"/>
        <v>994000</v>
      </c>
      <c r="BP139" s="42">
        <f t="shared" si="113"/>
        <v>1094000</v>
      </c>
      <c r="BQ139" s="69">
        <f t="shared" si="114"/>
        <v>3100000</v>
      </c>
      <c r="BR139" s="37"/>
      <c r="BS139" s="36"/>
      <c r="BT139" s="36"/>
      <c r="BU139" s="36"/>
    </row>
    <row r="140" spans="1:73" s="58" customFormat="1" ht="13">
      <c r="A140" s="15">
        <f t="shared" si="111"/>
        <v>136</v>
      </c>
      <c r="B140" s="43">
        <v>99112108</v>
      </c>
      <c r="C140" s="44" t="s">
        <v>217</v>
      </c>
      <c r="D140" s="44" t="s">
        <v>216</v>
      </c>
      <c r="E140" s="42">
        <v>2775000</v>
      </c>
      <c r="F140" s="17">
        <v>100000</v>
      </c>
      <c r="G140" s="17">
        <f>540000</f>
        <v>540000</v>
      </c>
      <c r="H140" s="17">
        <f>F140+G140</f>
        <v>640000</v>
      </c>
      <c r="I140" s="17">
        <v>100000</v>
      </c>
      <c r="J140" s="17"/>
      <c r="K140" s="17">
        <f>I140+J140</f>
        <v>100000</v>
      </c>
      <c r="L140" s="17">
        <v>100000</v>
      </c>
      <c r="M140" s="17"/>
      <c r="N140" s="17">
        <f t="shared" si="106"/>
        <v>100000</v>
      </c>
      <c r="O140" s="17">
        <v>100000</v>
      </c>
      <c r="P140" s="17"/>
      <c r="Q140" s="17">
        <f t="shared" si="94"/>
        <v>100000</v>
      </c>
      <c r="R140" s="17">
        <v>100000</v>
      </c>
      <c r="S140" s="17">
        <v>0</v>
      </c>
      <c r="T140" s="17">
        <f>[7]System!$F$70</f>
        <v>405000</v>
      </c>
      <c r="U140" s="17">
        <v>0</v>
      </c>
      <c r="V140" s="17">
        <f>19000+7000</f>
        <v>26000</v>
      </c>
      <c r="W140" s="17">
        <f t="shared" si="95"/>
        <v>531000</v>
      </c>
      <c r="X140" s="17">
        <v>100000</v>
      </c>
      <c r="Y140" s="17">
        <v>530000</v>
      </c>
      <c r="Z140" s="17"/>
      <c r="AA140" s="17"/>
      <c r="AB140" s="17">
        <f>80000+70000</f>
        <v>150000</v>
      </c>
      <c r="AC140" s="17">
        <f t="shared" si="96"/>
        <v>680000</v>
      </c>
      <c r="AD140" s="17">
        <f t="shared" si="97"/>
        <v>780000</v>
      </c>
      <c r="AE140" s="17">
        <v>100000</v>
      </c>
      <c r="AF140" s="17">
        <v>530000</v>
      </c>
      <c r="AG140" s="17">
        <f>[9]Credit!$F$42</f>
        <v>4000</v>
      </c>
      <c r="AH140" s="17"/>
      <c r="AI140" s="17"/>
      <c r="AJ140" s="17">
        <f t="shared" si="98"/>
        <v>534000</v>
      </c>
      <c r="AK140" s="17">
        <f t="shared" si="99"/>
        <v>634000</v>
      </c>
      <c r="AL140" s="17">
        <v>100000</v>
      </c>
      <c r="AM140" s="42">
        <v>530000</v>
      </c>
      <c r="AN140" s="42">
        <f>[5]Credit!$E$71</f>
        <v>67000</v>
      </c>
      <c r="AO140" s="42">
        <v>545000</v>
      </c>
      <c r="AP140" s="17"/>
      <c r="AQ140" s="17">
        <f t="shared" si="100"/>
        <v>1142000</v>
      </c>
      <c r="AR140" s="17">
        <f t="shared" si="101"/>
        <v>1242000</v>
      </c>
      <c r="AS140" s="42">
        <v>100000</v>
      </c>
      <c r="AT140" s="42">
        <v>530000</v>
      </c>
      <c r="AU140" s="42">
        <f>[10]Credit!$E$90-AZ140</f>
        <v>105090</v>
      </c>
      <c r="AV140" s="42">
        <f>545000+317910</f>
        <v>862910</v>
      </c>
      <c r="AW140" s="17">
        <f t="shared" si="102"/>
        <v>1498000</v>
      </c>
      <c r="AX140" s="42">
        <f t="shared" si="103"/>
        <v>1598000</v>
      </c>
      <c r="AY140" s="42">
        <v>100000</v>
      </c>
      <c r="AZ140" s="42">
        <f>1877910-1600000+[6]Credit!$F$88</f>
        <v>279910</v>
      </c>
      <c r="BA140" s="42">
        <v>530000</v>
      </c>
      <c r="BB140" s="42">
        <f>545000+317910</f>
        <v>862910</v>
      </c>
      <c r="BC140" s="42">
        <f t="shared" si="108"/>
        <v>1672820</v>
      </c>
      <c r="BD140" s="42">
        <f t="shared" si="107"/>
        <v>1772820</v>
      </c>
      <c r="BE140" s="42">
        <v>100000</v>
      </c>
      <c r="BF140" s="42">
        <f>530000</f>
        <v>530000</v>
      </c>
      <c r="BG140" s="42">
        <f>[11]Kredit!$E$107</f>
        <v>108000</v>
      </c>
      <c r="BH140" s="42">
        <f>545000+317910</f>
        <v>862910</v>
      </c>
      <c r="BI140" s="42">
        <f t="shared" si="109"/>
        <v>1500910</v>
      </c>
      <c r="BJ140" s="42">
        <f t="shared" si="110"/>
        <v>1600910</v>
      </c>
      <c r="BK140" s="42">
        <v>100000</v>
      </c>
      <c r="BL140" s="42">
        <v>663125</v>
      </c>
      <c r="BM140" s="42">
        <f>[12]Credit!$E$96</f>
        <v>14000</v>
      </c>
      <c r="BN140" s="42">
        <f>545000+317910</f>
        <v>862910</v>
      </c>
      <c r="BO140" s="42">
        <f t="shared" si="112"/>
        <v>1540035</v>
      </c>
      <c r="BP140" s="42">
        <f t="shared" si="113"/>
        <v>1640035</v>
      </c>
      <c r="BQ140" s="69">
        <f t="shared" si="114"/>
        <v>3975000</v>
      </c>
      <c r="BR140" s="37" t="s">
        <v>390</v>
      </c>
      <c r="BS140" s="57"/>
      <c r="BT140" s="57"/>
      <c r="BU140" s="57"/>
    </row>
    <row r="141" spans="1:73" s="4" customFormat="1" ht="13">
      <c r="A141" s="15">
        <f t="shared" si="111"/>
        <v>137</v>
      </c>
      <c r="B141" s="64">
        <v>15112088</v>
      </c>
      <c r="C141" s="44" t="s">
        <v>407</v>
      </c>
      <c r="D141" s="44" t="s">
        <v>216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17">
        <v>200000</v>
      </c>
      <c r="P141" s="42">
        <v>0</v>
      </c>
      <c r="Q141" s="17">
        <f t="shared" si="94"/>
        <v>200000</v>
      </c>
      <c r="R141" s="17">
        <v>100000</v>
      </c>
      <c r="S141" s="17">
        <v>0</v>
      </c>
      <c r="T141" s="17">
        <f>[7]System!$F$111</f>
        <v>243500</v>
      </c>
      <c r="U141" s="17">
        <v>0</v>
      </c>
      <c r="V141" s="17">
        <v>0</v>
      </c>
      <c r="W141" s="17">
        <f t="shared" si="95"/>
        <v>343500</v>
      </c>
      <c r="X141" s="17">
        <v>100000</v>
      </c>
      <c r="Y141" s="42">
        <v>0</v>
      </c>
      <c r="Z141" s="42">
        <f>[8]Credit!$E$100</f>
        <v>260000</v>
      </c>
      <c r="AA141" s="42"/>
      <c r="AB141" s="42">
        <v>35000</v>
      </c>
      <c r="AC141" s="17">
        <f t="shared" si="96"/>
        <v>295000</v>
      </c>
      <c r="AD141" s="17">
        <f t="shared" si="97"/>
        <v>395000</v>
      </c>
      <c r="AE141" s="17">
        <v>100000</v>
      </c>
      <c r="AF141" s="42"/>
      <c r="AG141" s="42">
        <f>[9]Credit!$F$78</f>
        <v>62500</v>
      </c>
      <c r="AH141" s="42"/>
      <c r="AI141" s="42"/>
      <c r="AJ141" s="17">
        <f t="shared" si="98"/>
        <v>62500</v>
      </c>
      <c r="AK141" s="17">
        <f t="shared" si="99"/>
        <v>162500</v>
      </c>
      <c r="AL141" s="17">
        <v>100000</v>
      </c>
      <c r="AM141" s="42">
        <v>0</v>
      </c>
      <c r="AN141" s="42">
        <f>[5]Credit!$E$158</f>
        <v>255000</v>
      </c>
      <c r="AO141" s="42">
        <v>0</v>
      </c>
      <c r="AP141" s="42"/>
      <c r="AQ141" s="17">
        <f t="shared" si="100"/>
        <v>255000</v>
      </c>
      <c r="AR141" s="17">
        <f t="shared" si="101"/>
        <v>355000</v>
      </c>
      <c r="AS141" s="42">
        <v>100000</v>
      </c>
      <c r="AT141" s="42">
        <v>0</v>
      </c>
      <c r="AU141" s="42">
        <f>[10]Credit!$E$181</f>
        <v>437000</v>
      </c>
      <c r="AV141" s="42">
        <v>0</v>
      </c>
      <c r="AW141" s="17">
        <f t="shared" si="102"/>
        <v>437000</v>
      </c>
      <c r="AX141" s="42">
        <f t="shared" si="103"/>
        <v>537000</v>
      </c>
      <c r="AY141" s="42">
        <v>100000</v>
      </c>
      <c r="AZ141" s="42">
        <f>[6]Credit!$F$187</f>
        <v>272000</v>
      </c>
      <c r="BA141" s="42"/>
      <c r="BB141" s="42"/>
      <c r="BC141" s="42">
        <f t="shared" si="108"/>
        <v>272000</v>
      </c>
      <c r="BD141" s="42">
        <f t="shared" si="107"/>
        <v>372000</v>
      </c>
      <c r="BE141" s="42">
        <v>100000</v>
      </c>
      <c r="BF141" s="42">
        <v>0</v>
      </c>
      <c r="BG141" s="42">
        <f>[11]Kredit!$E$218</f>
        <v>411000</v>
      </c>
      <c r="BH141" s="42">
        <v>0</v>
      </c>
      <c r="BI141" s="42">
        <f t="shared" si="109"/>
        <v>411000</v>
      </c>
      <c r="BJ141" s="42">
        <f t="shared" si="110"/>
        <v>511000</v>
      </c>
      <c r="BK141" s="42">
        <v>100000</v>
      </c>
      <c r="BL141" s="42">
        <v>0</v>
      </c>
      <c r="BM141" s="42">
        <f>[12]Credit!$E$191</f>
        <v>263000</v>
      </c>
      <c r="BN141" s="42">
        <v>0</v>
      </c>
      <c r="BO141" s="42">
        <f t="shared" si="112"/>
        <v>263000</v>
      </c>
      <c r="BP141" s="42">
        <f t="shared" si="113"/>
        <v>363000</v>
      </c>
      <c r="BQ141" s="69">
        <f t="shared" si="114"/>
        <v>1000000</v>
      </c>
      <c r="BR141" s="37"/>
      <c r="BS141" s="36"/>
      <c r="BT141" s="36"/>
      <c r="BU141" s="36"/>
    </row>
    <row r="142" spans="1:73" s="4" customFormat="1" ht="13">
      <c r="A142" s="15">
        <f t="shared" si="111"/>
        <v>138</v>
      </c>
      <c r="B142" s="43">
        <v>95100828</v>
      </c>
      <c r="C142" s="44" t="s">
        <v>218</v>
      </c>
      <c r="D142" s="44" t="s">
        <v>216</v>
      </c>
      <c r="E142" s="42">
        <v>2775000</v>
      </c>
      <c r="F142" s="17">
        <v>100000</v>
      </c>
      <c r="G142" s="17"/>
      <c r="H142" s="17">
        <f t="shared" ref="H142:H147" si="115">F142+G142</f>
        <v>100000</v>
      </c>
      <c r="I142" s="17">
        <v>100000</v>
      </c>
      <c r="J142" s="17">
        <f>425000+114000</f>
        <v>539000</v>
      </c>
      <c r="K142" s="17">
        <f t="shared" ref="K142:K147" si="116">I142+J142</f>
        <v>639000</v>
      </c>
      <c r="L142" s="17">
        <v>100000</v>
      </c>
      <c r="M142" s="17">
        <f>425000+80000</f>
        <v>505000</v>
      </c>
      <c r="N142" s="17">
        <f t="shared" ref="N142:N147" si="117">L142+M142</f>
        <v>605000</v>
      </c>
      <c r="O142" s="17">
        <v>100000</v>
      </c>
      <c r="P142" s="17">
        <f>425000+82000+204000</f>
        <v>711000</v>
      </c>
      <c r="Q142" s="17">
        <f t="shared" si="94"/>
        <v>811000</v>
      </c>
      <c r="R142" s="17">
        <v>100000</v>
      </c>
      <c r="S142" s="17">
        <f>425000</f>
        <v>425000</v>
      </c>
      <c r="T142" s="17">
        <f>[7]System!$F$374</f>
        <v>222000</v>
      </c>
      <c r="U142" s="17">
        <v>0</v>
      </c>
      <c r="V142" s="17">
        <f>15000</f>
        <v>15000</v>
      </c>
      <c r="W142" s="17">
        <f t="shared" si="95"/>
        <v>762000</v>
      </c>
      <c r="X142" s="17">
        <v>100000</v>
      </c>
      <c r="Y142" s="17">
        <v>425000</v>
      </c>
      <c r="Z142" s="17">
        <f>[8]Credit!$E$382</f>
        <v>248000</v>
      </c>
      <c r="AA142" s="17"/>
      <c r="AB142" s="17"/>
      <c r="AC142" s="17">
        <f t="shared" si="96"/>
        <v>673000</v>
      </c>
      <c r="AD142" s="17">
        <f t="shared" si="97"/>
        <v>773000</v>
      </c>
      <c r="AE142" s="17">
        <v>100000</v>
      </c>
      <c r="AF142" s="17"/>
      <c r="AG142" s="17">
        <f>[9]Credit!$F$250</f>
        <v>170000</v>
      </c>
      <c r="AH142" s="17"/>
      <c r="AI142" s="17"/>
      <c r="AJ142" s="17">
        <f t="shared" si="98"/>
        <v>170000</v>
      </c>
      <c r="AK142" s="17">
        <f t="shared" si="99"/>
        <v>270000</v>
      </c>
      <c r="AL142" s="17">
        <v>100000</v>
      </c>
      <c r="AM142" s="42">
        <v>0</v>
      </c>
      <c r="AN142" s="42">
        <f>[5]Credit!$E$432</f>
        <v>30000</v>
      </c>
      <c r="AO142" s="42">
        <v>0</v>
      </c>
      <c r="AP142" s="17"/>
      <c r="AQ142" s="17">
        <f t="shared" si="100"/>
        <v>30000</v>
      </c>
      <c r="AR142" s="17">
        <f t="shared" si="101"/>
        <v>130000</v>
      </c>
      <c r="AS142" s="42">
        <v>100000</v>
      </c>
      <c r="AT142" s="42">
        <v>0</v>
      </c>
      <c r="AU142" s="42">
        <f>[10]Credit!$E$436</f>
        <v>203000</v>
      </c>
      <c r="AV142" s="42">
        <v>0</v>
      </c>
      <c r="AW142" s="17">
        <f t="shared" si="102"/>
        <v>203000</v>
      </c>
      <c r="AX142" s="42">
        <f t="shared" si="103"/>
        <v>303000</v>
      </c>
      <c r="AY142" s="42">
        <v>100000</v>
      </c>
      <c r="AZ142" s="42">
        <f>[6]Credit!$F$456</f>
        <v>162000</v>
      </c>
      <c r="BA142" s="42">
        <v>425000</v>
      </c>
      <c r="BB142" s="42"/>
      <c r="BC142" s="42">
        <f t="shared" si="108"/>
        <v>587000</v>
      </c>
      <c r="BD142" s="42">
        <f t="shared" si="107"/>
        <v>687000</v>
      </c>
      <c r="BE142" s="42">
        <v>100000</v>
      </c>
      <c r="BF142" s="42">
        <v>425000</v>
      </c>
      <c r="BG142" s="42">
        <f>[11]Kredit!$E$537</f>
        <v>503000</v>
      </c>
      <c r="BH142" s="42">
        <v>0</v>
      </c>
      <c r="BI142" s="42">
        <f t="shared" si="109"/>
        <v>928000</v>
      </c>
      <c r="BJ142" s="42">
        <f t="shared" si="110"/>
        <v>1028000</v>
      </c>
      <c r="BK142" s="42">
        <v>100000</v>
      </c>
      <c r="BL142" s="42">
        <v>425000</v>
      </c>
      <c r="BM142" s="42">
        <f>[12]Credit!$E$523</f>
        <v>454500</v>
      </c>
      <c r="BN142" s="42">
        <v>0</v>
      </c>
      <c r="BO142" s="42">
        <f t="shared" si="112"/>
        <v>879500</v>
      </c>
      <c r="BP142" s="42">
        <f t="shared" si="113"/>
        <v>979500</v>
      </c>
      <c r="BQ142" s="69">
        <f t="shared" si="114"/>
        <v>3975000</v>
      </c>
      <c r="BR142" s="37"/>
      <c r="BS142" s="36"/>
      <c r="BT142" s="36"/>
      <c r="BU142" s="36"/>
    </row>
    <row r="143" spans="1:73">
      <c r="A143" s="15">
        <f t="shared" si="111"/>
        <v>139</v>
      </c>
      <c r="B143" s="43">
        <v>99112118</v>
      </c>
      <c r="C143" s="44" t="s">
        <v>219</v>
      </c>
      <c r="D143" s="44" t="s">
        <v>216</v>
      </c>
      <c r="E143" s="42">
        <v>2775000</v>
      </c>
      <c r="F143" s="17">
        <v>100000</v>
      </c>
      <c r="G143" s="17">
        <f>530000+850000+179000</f>
        <v>1559000</v>
      </c>
      <c r="H143" s="17">
        <f t="shared" si="115"/>
        <v>1659000</v>
      </c>
      <c r="I143" s="17">
        <v>100000</v>
      </c>
      <c r="J143" s="17">
        <f>530000+850000+293000</f>
        <v>1673000</v>
      </c>
      <c r="K143" s="17">
        <f t="shared" si="116"/>
        <v>1773000</v>
      </c>
      <c r="L143" s="17">
        <v>100000</v>
      </c>
      <c r="M143" s="17">
        <f>530000+850000+349000</f>
        <v>1729000</v>
      </c>
      <c r="N143" s="17">
        <f t="shared" si="117"/>
        <v>1829000</v>
      </c>
      <c r="O143" s="17">
        <v>100000</v>
      </c>
      <c r="P143" s="17">
        <f>423000+530000+850000+75000</f>
        <v>1878000</v>
      </c>
      <c r="Q143" s="17">
        <f t="shared" si="94"/>
        <v>1978000</v>
      </c>
      <c r="R143" s="17">
        <v>100000</v>
      </c>
      <c r="S143" s="17">
        <f>530000+850000</f>
        <v>1380000</v>
      </c>
      <c r="T143" s="17">
        <f>298000+[7]System!$F$641</f>
        <v>636000</v>
      </c>
      <c r="U143" s="17">
        <v>0</v>
      </c>
      <c r="V143" s="17">
        <f>62000</f>
        <v>62000</v>
      </c>
      <c r="W143" s="17">
        <f t="shared" si="95"/>
        <v>2178000</v>
      </c>
      <c r="X143" s="17">
        <v>100000</v>
      </c>
      <c r="Y143" s="17">
        <v>530000</v>
      </c>
      <c r="Z143" s="17">
        <f>[8]Credit!$E$702</f>
        <v>347000</v>
      </c>
      <c r="AA143" s="17"/>
      <c r="AB143" s="17">
        <f>50000+10000+50000</f>
        <v>110000</v>
      </c>
      <c r="AC143" s="17">
        <f t="shared" si="96"/>
        <v>987000</v>
      </c>
      <c r="AD143" s="17">
        <f t="shared" si="97"/>
        <v>1087000</v>
      </c>
      <c r="AE143" s="17">
        <v>100000</v>
      </c>
      <c r="AF143" s="17">
        <v>530000</v>
      </c>
      <c r="AG143" s="17">
        <f>[9]Credit!$F$439</f>
        <v>323000</v>
      </c>
      <c r="AH143" s="17"/>
      <c r="AI143" s="17"/>
      <c r="AJ143" s="17">
        <f t="shared" si="98"/>
        <v>853000</v>
      </c>
      <c r="AK143" s="17">
        <f t="shared" si="99"/>
        <v>953000</v>
      </c>
      <c r="AL143" s="17">
        <v>100000</v>
      </c>
      <c r="AM143" s="42">
        <v>530000</v>
      </c>
      <c r="AN143" s="42">
        <f>[5]Credit!$E$820</f>
        <v>441000</v>
      </c>
      <c r="AO143" s="42">
        <v>0</v>
      </c>
      <c r="AP143" s="17"/>
      <c r="AQ143" s="17">
        <f t="shared" si="100"/>
        <v>971000</v>
      </c>
      <c r="AR143" s="17">
        <f t="shared" si="101"/>
        <v>1071000</v>
      </c>
      <c r="AS143" s="42">
        <v>100000</v>
      </c>
      <c r="AT143" s="42">
        <f>530000+1061000-AZ143</f>
        <v>417000</v>
      </c>
      <c r="AU143" s="42">
        <v>465000</v>
      </c>
      <c r="AV143" s="42">
        <v>0</v>
      </c>
      <c r="AW143" s="17">
        <f t="shared" si="102"/>
        <v>882000</v>
      </c>
      <c r="AX143" s="42">
        <f t="shared" si="103"/>
        <v>982000</v>
      </c>
      <c r="AY143" s="42">
        <v>100000</v>
      </c>
      <c r="AZ143" s="42">
        <f>2156000-1600000+[6]Credit!$F$828</f>
        <v>1174000</v>
      </c>
      <c r="BA143" s="42">
        <f>530000+1061000</f>
        <v>1591000</v>
      </c>
      <c r="BB143" s="42"/>
      <c r="BC143" s="42">
        <f>SUM(AZ143:BB143)-1265000</f>
        <v>1500000</v>
      </c>
      <c r="BD143" s="42">
        <f t="shared" si="107"/>
        <v>1600000</v>
      </c>
      <c r="BE143" s="42">
        <v>100000</v>
      </c>
      <c r="BF143" s="42">
        <v>1061000</v>
      </c>
      <c r="BG143" s="42">
        <f>1265000-726000</f>
        <v>539000</v>
      </c>
      <c r="BH143" s="42">
        <v>0</v>
      </c>
      <c r="BI143" s="42">
        <f t="shared" si="109"/>
        <v>1600000</v>
      </c>
      <c r="BJ143" s="42">
        <f t="shared" si="110"/>
        <v>1700000</v>
      </c>
      <c r="BK143" s="42">
        <v>100000</v>
      </c>
      <c r="BL143" s="42">
        <v>1061000</v>
      </c>
      <c r="BM143" s="42">
        <v>726000</v>
      </c>
      <c r="BN143" s="42">
        <v>0</v>
      </c>
      <c r="BO143" s="42">
        <f t="shared" si="112"/>
        <v>1787000</v>
      </c>
      <c r="BP143" s="42">
        <f t="shared" si="113"/>
        <v>1887000</v>
      </c>
      <c r="BQ143" s="69">
        <f t="shared" si="114"/>
        <v>3975000</v>
      </c>
      <c r="BR143" s="37" t="s">
        <v>375</v>
      </c>
    </row>
    <row r="144" spans="1:73" s="4" customFormat="1" ht="13">
      <c r="A144" s="15">
        <f t="shared" si="111"/>
        <v>140</v>
      </c>
      <c r="B144" s="56" t="s">
        <v>220</v>
      </c>
      <c r="C144" s="44" t="s">
        <v>221</v>
      </c>
      <c r="D144" s="44" t="s">
        <v>216</v>
      </c>
      <c r="E144" s="42">
        <v>2775000</v>
      </c>
      <c r="F144" s="17">
        <v>100000</v>
      </c>
      <c r="G144" s="17">
        <f>530000+170000</f>
        <v>700000</v>
      </c>
      <c r="H144" s="17">
        <f t="shared" si="115"/>
        <v>800000</v>
      </c>
      <c r="I144" s="17">
        <v>100000</v>
      </c>
      <c r="J144" s="17">
        <f>530000+170000</f>
        <v>700000</v>
      </c>
      <c r="K144" s="17">
        <f t="shared" si="116"/>
        <v>800000</v>
      </c>
      <c r="L144" s="17">
        <v>100000</v>
      </c>
      <c r="M144" s="17">
        <f>530000+180000</f>
        <v>710000</v>
      </c>
      <c r="N144" s="17">
        <f t="shared" si="117"/>
        <v>810000</v>
      </c>
      <c r="O144" s="17">
        <v>100000</v>
      </c>
      <c r="P144" s="17">
        <f>382000+530000+199000</f>
        <v>1111000</v>
      </c>
      <c r="Q144" s="17">
        <f t="shared" si="94"/>
        <v>1211000</v>
      </c>
      <c r="R144" s="17">
        <v>100000</v>
      </c>
      <c r="S144" s="17">
        <f>530000</f>
        <v>530000</v>
      </c>
      <c r="T144" s="17">
        <f>365000+[7]System!$F$850</f>
        <v>862000</v>
      </c>
      <c r="U144" s="17">
        <v>0</v>
      </c>
      <c r="V144" s="17">
        <v>0</v>
      </c>
      <c r="W144" s="17">
        <f t="shared" si="95"/>
        <v>1492000</v>
      </c>
      <c r="X144" s="17">
        <v>100000</v>
      </c>
      <c r="Y144" s="17">
        <v>531250</v>
      </c>
      <c r="Z144" s="17">
        <f>[8]Credit!$E$952</f>
        <v>735000</v>
      </c>
      <c r="AA144" s="17"/>
      <c r="AB144" s="17"/>
      <c r="AC144" s="17">
        <f t="shared" si="96"/>
        <v>1266250</v>
      </c>
      <c r="AD144" s="17">
        <f t="shared" si="97"/>
        <v>1366250</v>
      </c>
      <c r="AE144" s="17">
        <v>100000</v>
      </c>
      <c r="AF144" s="17">
        <v>531250</v>
      </c>
      <c r="AG144" s="17">
        <f>[9]Credit!$F$597</f>
        <v>572500</v>
      </c>
      <c r="AH144" s="17"/>
      <c r="AI144" s="17"/>
      <c r="AJ144" s="17">
        <f t="shared" si="98"/>
        <v>1103750</v>
      </c>
      <c r="AK144" s="17">
        <f t="shared" si="99"/>
        <v>1203750</v>
      </c>
      <c r="AL144" s="17">
        <v>100000</v>
      </c>
      <c r="AM144" s="42">
        <v>531250</v>
      </c>
      <c r="AN144" s="42">
        <f>[5]Credit!$E$1114</f>
        <v>832000</v>
      </c>
      <c r="AO144" s="42">
        <v>0</v>
      </c>
      <c r="AP144" s="17">
        <v>5000</v>
      </c>
      <c r="AQ144" s="17">
        <f t="shared" si="100"/>
        <v>1368250</v>
      </c>
      <c r="AR144" s="17">
        <f t="shared" si="101"/>
        <v>1468250</v>
      </c>
      <c r="AS144" s="42">
        <v>100000</v>
      </c>
      <c r="AT144" s="42">
        <v>531250</v>
      </c>
      <c r="AU144" s="42">
        <f>[10]Credit!$E$1058</f>
        <v>943250</v>
      </c>
      <c r="AV144" s="42">
        <v>0</v>
      </c>
      <c r="AW144" s="17">
        <f t="shared" si="102"/>
        <v>1474500</v>
      </c>
      <c r="AX144" s="42">
        <f t="shared" si="103"/>
        <v>1574500</v>
      </c>
      <c r="AY144" s="42">
        <v>100000</v>
      </c>
      <c r="AZ144" s="42">
        <f>[6]Credit!$F$1072</f>
        <v>994000</v>
      </c>
      <c r="BA144" s="42">
        <v>530000</v>
      </c>
      <c r="BB144" s="42"/>
      <c r="BC144" s="42">
        <f t="shared" ref="BC144:BC154" si="118">SUM(AZ144:BB144)</f>
        <v>1524000</v>
      </c>
      <c r="BD144" s="42">
        <f t="shared" si="107"/>
        <v>1624000</v>
      </c>
      <c r="BE144" s="42">
        <v>100000</v>
      </c>
      <c r="BF144" s="42">
        <v>530000</v>
      </c>
      <c r="BG144" s="42">
        <f>[11]Kredit!$E$1039</f>
        <v>983500</v>
      </c>
      <c r="BH144" s="42">
        <v>0</v>
      </c>
      <c r="BI144" s="42">
        <f t="shared" si="109"/>
        <v>1513500</v>
      </c>
      <c r="BJ144" s="42">
        <f t="shared" si="110"/>
        <v>1613500</v>
      </c>
      <c r="BK144" s="42">
        <v>100000</v>
      </c>
      <c r="BL144" s="42">
        <v>530000</v>
      </c>
      <c r="BM144" s="42">
        <f>[12]Credit!$E$956</f>
        <v>869000</v>
      </c>
      <c r="BN144" s="42">
        <v>0</v>
      </c>
      <c r="BO144" s="42">
        <f t="shared" si="112"/>
        <v>1399000</v>
      </c>
      <c r="BP144" s="42">
        <f t="shared" si="113"/>
        <v>1499000</v>
      </c>
      <c r="BQ144" s="69">
        <f t="shared" si="114"/>
        <v>3975000</v>
      </c>
      <c r="BR144" s="38" t="s">
        <v>377</v>
      </c>
      <c r="BS144" s="36"/>
      <c r="BT144" s="60"/>
      <c r="BU144" s="36"/>
    </row>
    <row r="145" spans="1:73">
      <c r="A145" s="15">
        <f t="shared" si="111"/>
        <v>141</v>
      </c>
      <c r="B145" s="43">
        <v>95100788</v>
      </c>
      <c r="C145" s="44" t="s">
        <v>222</v>
      </c>
      <c r="D145" s="44" t="s">
        <v>216</v>
      </c>
      <c r="E145" s="42">
        <v>2775000</v>
      </c>
      <c r="F145" s="17">
        <v>100000</v>
      </c>
      <c r="G145" s="17">
        <f>648000</f>
        <v>648000</v>
      </c>
      <c r="H145" s="17">
        <f t="shared" si="115"/>
        <v>748000</v>
      </c>
      <c r="I145" s="17">
        <v>100000</v>
      </c>
      <c r="J145" s="17">
        <f>648000+210000</f>
        <v>858000</v>
      </c>
      <c r="K145" s="17">
        <f t="shared" si="116"/>
        <v>958000</v>
      </c>
      <c r="L145" s="17">
        <v>100000</v>
      </c>
      <c r="M145" s="17">
        <v>648000</v>
      </c>
      <c r="N145" s="17">
        <f t="shared" si="117"/>
        <v>748000</v>
      </c>
      <c r="O145" s="17">
        <v>100000</v>
      </c>
      <c r="P145" s="17">
        <f>127000+117000</f>
        <v>244000</v>
      </c>
      <c r="Q145" s="17">
        <f t="shared" si="94"/>
        <v>344000</v>
      </c>
      <c r="R145" s="17">
        <v>100000</v>
      </c>
      <c r="S145" s="17">
        <f>530000</f>
        <v>530000</v>
      </c>
      <c r="T145" s="17">
        <v>0</v>
      </c>
      <c r="U145" s="17">
        <v>0</v>
      </c>
      <c r="V145" s="17">
        <v>0</v>
      </c>
      <c r="W145" s="17">
        <f t="shared" si="95"/>
        <v>630000</v>
      </c>
      <c r="X145" s="17">
        <v>100000</v>
      </c>
      <c r="Y145" s="17">
        <v>530000</v>
      </c>
      <c r="Z145" s="17">
        <f>[8]Credit!$E$1087</f>
        <v>83000</v>
      </c>
      <c r="AA145" s="17"/>
      <c r="AB145" s="17">
        <f>50000+20000</f>
        <v>70000</v>
      </c>
      <c r="AC145" s="17">
        <f t="shared" si="96"/>
        <v>683000</v>
      </c>
      <c r="AD145" s="17">
        <f t="shared" si="97"/>
        <v>783000</v>
      </c>
      <c r="AE145" s="17">
        <v>100000</v>
      </c>
      <c r="AF145" s="17">
        <v>530000</v>
      </c>
      <c r="AG145" s="17">
        <f>[9]Credit!$F$676</f>
        <v>50000</v>
      </c>
      <c r="AH145" s="17"/>
      <c r="AI145" s="17">
        <v>70000</v>
      </c>
      <c r="AJ145" s="17">
        <f t="shared" si="98"/>
        <v>650000</v>
      </c>
      <c r="AK145" s="17">
        <f t="shared" si="99"/>
        <v>750000</v>
      </c>
      <c r="AL145" s="17">
        <v>100000</v>
      </c>
      <c r="AM145" s="42">
        <v>530000</v>
      </c>
      <c r="AN145" s="42">
        <v>0</v>
      </c>
      <c r="AO145" s="42">
        <v>0</v>
      </c>
      <c r="AP145" s="17"/>
      <c r="AQ145" s="17">
        <f t="shared" si="100"/>
        <v>530000</v>
      </c>
      <c r="AR145" s="17">
        <f t="shared" si="101"/>
        <v>630000</v>
      </c>
      <c r="AS145" s="42">
        <v>100000</v>
      </c>
      <c r="AT145" s="42">
        <v>530000</v>
      </c>
      <c r="AU145" s="42">
        <f>[10]Credit!$E$1178</f>
        <v>110000</v>
      </c>
      <c r="AV145" s="42">
        <v>0</v>
      </c>
      <c r="AW145" s="17">
        <f t="shared" si="102"/>
        <v>640000</v>
      </c>
      <c r="AX145" s="42">
        <f t="shared" si="103"/>
        <v>740000</v>
      </c>
      <c r="AY145" s="42">
        <v>100000</v>
      </c>
      <c r="AZ145" s="42">
        <f>[6]Credit!$F$1180</f>
        <v>151000</v>
      </c>
      <c r="BA145" s="42">
        <v>530000</v>
      </c>
      <c r="BB145" s="42"/>
      <c r="BC145" s="42">
        <f t="shared" si="118"/>
        <v>681000</v>
      </c>
      <c r="BD145" s="42">
        <f t="shared" si="107"/>
        <v>781000</v>
      </c>
      <c r="BE145" s="42">
        <v>100000</v>
      </c>
      <c r="BF145" s="42">
        <v>530000</v>
      </c>
      <c r="BG145" s="42"/>
      <c r="BH145" s="42">
        <v>0</v>
      </c>
      <c r="BI145" s="42">
        <f t="shared" si="109"/>
        <v>530000</v>
      </c>
      <c r="BJ145" s="42">
        <f t="shared" si="110"/>
        <v>630000</v>
      </c>
      <c r="BK145" s="42">
        <v>100000</v>
      </c>
      <c r="BL145" s="42">
        <v>530000</v>
      </c>
      <c r="BM145" s="42">
        <f>[12]Credit!$E$1084</f>
        <v>215500</v>
      </c>
      <c r="BN145" s="42">
        <v>0</v>
      </c>
      <c r="BO145" s="42">
        <f t="shared" si="112"/>
        <v>745500</v>
      </c>
      <c r="BP145" s="42">
        <f t="shared" si="113"/>
        <v>845500</v>
      </c>
      <c r="BQ145" s="69">
        <f t="shared" si="114"/>
        <v>3975000</v>
      </c>
      <c r="BR145" s="37"/>
    </row>
    <row r="146" spans="1:73">
      <c r="A146" s="15">
        <f t="shared" si="111"/>
        <v>142</v>
      </c>
      <c r="B146" s="43">
        <v>95070578</v>
      </c>
      <c r="C146" s="44" t="s">
        <v>408</v>
      </c>
      <c r="D146" s="44" t="s">
        <v>216</v>
      </c>
      <c r="E146" s="42">
        <v>2775000</v>
      </c>
      <c r="F146" s="17">
        <v>100000</v>
      </c>
      <c r="G146" s="17">
        <f>540000</f>
        <v>540000</v>
      </c>
      <c r="H146" s="17">
        <f t="shared" si="115"/>
        <v>640000</v>
      </c>
      <c r="I146" s="17">
        <v>100000</v>
      </c>
      <c r="J146" s="17">
        <f>540000+118000</f>
        <v>658000</v>
      </c>
      <c r="K146" s="17">
        <f t="shared" si="116"/>
        <v>758000</v>
      </c>
      <c r="L146" s="17">
        <v>100000</v>
      </c>
      <c r="M146" s="17">
        <v>540000</v>
      </c>
      <c r="N146" s="17">
        <f t="shared" si="117"/>
        <v>640000</v>
      </c>
      <c r="O146" s="17">
        <v>100000</v>
      </c>
      <c r="P146" s="17">
        <f>47000+95000</f>
        <v>142000</v>
      </c>
      <c r="Q146" s="17">
        <f t="shared" si="94"/>
        <v>242000</v>
      </c>
      <c r="R146" s="17">
        <v>100000</v>
      </c>
      <c r="S146" s="17">
        <v>0</v>
      </c>
      <c r="T146" s="17">
        <f>60000+[7]System!$F$1118</f>
        <v>91500</v>
      </c>
      <c r="U146" s="17">
        <v>0</v>
      </c>
      <c r="V146" s="17">
        <v>0</v>
      </c>
      <c r="W146" s="17">
        <f t="shared" si="95"/>
        <v>191500</v>
      </c>
      <c r="X146" s="17">
        <v>100000</v>
      </c>
      <c r="Y146" s="17"/>
      <c r="Z146" s="17">
        <f>[8]Credit!$E$1221</f>
        <v>61500</v>
      </c>
      <c r="AA146" s="17"/>
      <c r="AB146" s="17">
        <v>45000</v>
      </c>
      <c r="AC146" s="17">
        <f t="shared" si="96"/>
        <v>106500</v>
      </c>
      <c r="AD146" s="17">
        <f t="shared" si="97"/>
        <v>206500</v>
      </c>
      <c r="AE146" s="17">
        <v>100000</v>
      </c>
      <c r="AF146" s="17"/>
      <c r="AG146" s="17">
        <f>[9]Credit!$F$752</f>
        <v>16500</v>
      </c>
      <c r="AH146" s="17"/>
      <c r="AI146" s="17"/>
      <c r="AJ146" s="17">
        <f t="shared" si="98"/>
        <v>16500</v>
      </c>
      <c r="AK146" s="17">
        <f t="shared" si="99"/>
        <v>116500</v>
      </c>
      <c r="AL146" s="17">
        <v>100000</v>
      </c>
      <c r="AM146" s="42">
        <v>531250</v>
      </c>
      <c r="AN146" s="42">
        <f>[5]Credit!$E$1396</f>
        <v>66000</v>
      </c>
      <c r="AO146" s="42">
        <v>0</v>
      </c>
      <c r="AP146" s="17"/>
      <c r="AQ146" s="17">
        <f t="shared" si="100"/>
        <v>597250</v>
      </c>
      <c r="AR146" s="17">
        <f t="shared" si="101"/>
        <v>697250</v>
      </c>
      <c r="AS146" s="42">
        <v>100000</v>
      </c>
      <c r="AT146" s="42">
        <v>531250</v>
      </c>
      <c r="AU146" s="42">
        <f>[10]Credit!$E$1341</f>
        <v>60000</v>
      </c>
      <c r="AV146" s="42">
        <v>0</v>
      </c>
      <c r="AW146" s="17">
        <f t="shared" si="102"/>
        <v>591250</v>
      </c>
      <c r="AX146" s="42">
        <f t="shared" si="103"/>
        <v>691250</v>
      </c>
      <c r="AY146" s="42">
        <v>100000</v>
      </c>
      <c r="AZ146" s="42">
        <f>[6]Credit!$F$1322</f>
        <v>120500</v>
      </c>
      <c r="BA146" s="42">
        <v>531250</v>
      </c>
      <c r="BB146" s="42"/>
      <c r="BC146" s="42">
        <f t="shared" si="118"/>
        <v>651750</v>
      </c>
      <c r="BD146" s="42">
        <f t="shared" si="107"/>
        <v>751750</v>
      </c>
      <c r="BE146" s="42">
        <v>100000</v>
      </c>
      <c r="BF146" s="42">
        <v>531250</v>
      </c>
      <c r="BG146" s="42">
        <f>[11]Kredit!$E$1351</f>
        <v>143000</v>
      </c>
      <c r="BH146" s="42">
        <v>0</v>
      </c>
      <c r="BI146" s="42">
        <f t="shared" si="109"/>
        <v>674250</v>
      </c>
      <c r="BJ146" s="42">
        <f t="shared" si="110"/>
        <v>774250</v>
      </c>
      <c r="BK146" s="42">
        <v>100000</v>
      </c>
      <c r="BL146" s="42">
        <v>0</v>
      </c>
      <c r="BM146" s="42">
        <f>[12]Credit!$E$1258</f>
        <v>149000</v>
      </c>
      <c r="BN146" s="42">
        <v>0</v>
      </c>
      <c r="BO146" s="42">
        <f t="shared" si="112"/>
        <v>149000</v>
      </c>
      <c r="BP146" s="42">
        <f t="shared" si="113"/>
        <v>249000</v>
      </c>
      <c r="BQ146" s="69">
        <f t="shared" si="114"/>
        <v>3975000</v>
      </c>
      <c r="BR146" s="37"/>
    </row>
    <row r="147" spans="1:73">
      <c r="A147" s="15">
        <f t="shared" si="111"/>
        <v>143</v>
      </c>
      <c r="B147" s="43">
        <v>95070558</v>
      </c>
      <c r="C147" s="44" t="s">
        <v>224</v>
      </c>
      <c r="D147" s="44" t="s">
        <v>216</v>
      </c>
      <c r="E147" s="42">
        <v>2775000</v>
      </c>
      <c r="F147" s="17">
        <v>100000</v>
      </c>
      <c r="G147" s="17">
        <f>540000</f>
        <v>540000</v>
      </c>
      <c r="H147" s="17">
        <f t="shared" si="115"/>
        <v>640000</v>
      </c>
      <c r="I147" s="17">
        <v>100000</v>
      </c>
      <c r="J147" s="17">
        <f>540000+170000</f>
        <v>710000</v>
      </c>
      <c r="K147" s="17">
        <f t="shared" si="116"/>
        <v>810000</v>
      </c>
      <c r="L147" s="17">
        <v>100000</v>
      </c>
      <c r="M147" s="17"/>
      <c r="N147" s="17">
        <f t="shared" si="117"/>
        <v>100000</v>
      </c>
      <c r="O147" s="17">
        <v>100000</v>
      </c>
      <c r="P147" s="17">
        <f>530000</f>
        <v>530000</v>
      </c>
      <c r="Q147" s="17">
        <f t="shared" ref="Q147" si="119">O147+P147</f>
        <v>630000</v>
      </c>
      <c r="R147" s="17">
        <v>100000</v>
      </c>
      <c r="S147" s="17">
        <f>530000</f>
        <v>530000</v>
      </c>
      <c r="T147" s="17">
        <f>[7]System!$F$1120</f>
        <v>17000</v>
      </c>
      <c r="U147" s="17">
        <v>0</v>
      </c>
      <c r="V147" s="17">
        <v>0</v>
      </c>
      <c r="W147" s="17">
        <f t="shared" ref="W147:W172" si="120">SUM(R147:V147)</f>
        <v>647000</v>
      </c>
      <c r="X147" s="17">
        <v>100000</v>
      </c>
      <c r="Y147" s="17">
        <v>530000</v>
      </c>
      <c r="Z147" s="17">
        <f>[8]Credit!$E$1223</f>
        <v>2000</v>
      </c>
      <c r="AA147" s="17"/>
      <c r="AB147" s="17">
        <v>100000</v>
      </c>
      <c r="AC147" s="17">
        <f t="shared" ref="AC147:AC172" si="121">SUM(Y147:AB147)</f>
        <v>632000</v>
      </c>
      <c r="AD147" s="17">
        <f t="shared" ref="AD147:AD172" si="122">AC147+X147</f>
        <v>732000</v>
      </c>
      <c r="AE147" s="17">
        <v>100000</v>
      </c>
      <c r="AF147" s="17">
        <v>530000</v>
      </c>
      <c r="AG147" s="17">
        <f>[9]Credit!$F$754</f>
        <v>15000</v>
      </c>
      <c r="AH147" s="17"/>
      <c r="AI147" s="17"/>
      <c r="AJ147" s="17">
        <f t="shared" ref="AJ147:AJ172" si="123">SUM(AF147:AI147)</f>
        <v>545000</v>
      </c>
      <c r="AK147" s="17">
        <f t="shared" ref="AK147:AK172" si="124">AE147+AJ147</f>
        <v>645000</v>
      </c>
      <c r="AL147" s="17">
        <v>100000</v>
      </c>
      <c r="AM147" s="42">
        <v>530000</v>
      </c>
      <c r="AN147" s="42">
        <f>[5]Credit!$E$1398</f>
        <v>170000</v>
      </c>
      <c r="AO147" s="42">
        <v>0</v>
      </c>
      <c r="AP147" s="17"/>
      <c r="AQ147" s="17">
        <f t="shared" ref="AQ147:AQ178" si="125">SUM(AM147:AP147)</f>
        <v>700000</v>
      </c>
      <c r="AR147" s="17">
        <f t="shared" ref="AR147:AR178" si="126">AL147+AQ147</f>
        <v>800000</v>
      </c>
      <c r="AS147" s="42">
        <v>100000</v>
      </c>
      <c r="AT147" s="42">
        <f>530000*2</f>
        <v>1060000</v>
      </c>
      <c r="AU147" s="42">
        <f>[10]Credit!$E$1346</f>
        <v>56000</v>
      </c>
      <c r="AV147" s="42">
        <v>0</v>
      </c>
      <c r="AW147" s="17">
        <f t="shared" ref="AW147:AW178" si="127">SUM(AT147:AV147)</f>
        <v>1116000</v>
      </c>
      <c r="AX147" s="42">
        <f t="shared" ref="AX147:AX178" si="128">AS147+AW147</f>
        <v>1216000</v>
      </c>
      <c r="AY147" s="42">
        <v>100000</v>
      </c>
      <c r="AZ147" s="42">
        <f>[6]Credit!$F$1326</f>
        <v>360000</v>
      </c>
      <c r="BA147" s="42">
        <v>530000</v>
      </c>
      <c r="BB147" s="42"/>
      <c r="BC147" s="42">
        <f t="shared" si="118"/>
        <v>890000</v>
      </c>
      <c r="BD147" s="42">
        <f t="shared" si="107"/>
        <v>990000</v>
      </c>
      <c r="BE147" s="42">
        <v>100000</v>
      </c>
      <c r="BF147" s="42">
        <v>530000</v>
      </c>
      <c r="BG147" s="42"/>
      <c r="BH147" s="42">
        <v>545000</v>
      </c>
      <c r="BI147" s="42">
        <f t="shared" si="109"/>
        <v>1075000</v>
      </c>
      <c r="BJ147" s="42">
        <f t="shared" si="110"/>
        <v>1175000</v>
      </c>
      <c r="BK147" s="42">
        <v>100000</v>
      </c>
      <c r="BL147" s="42">
        <v>530000</v>
      </c>
      <c r="BM147" s="42">
        <f>[12]Credit!$E$1262</f>
        <v>227500</v>
      </c>
      <c r="BN147" s="42">
        <v>545000</v>
      </c>
      <c r="BO147" s="42">
        <f t="shared" si="112"/>
        <v>1302500</v>
      </c>
      <c r="BP147" s="42">
        <f t="shared" si="113"/>
        <v>1402500</v>
      </c>
      <c r="BQ147" s="69">
        <f t="shared" si="114"/>
        <v>3975000</v>
      </c>
      <c r="BR147" s="37"/>
    </row>
    <row r="148" spans="1:73" ht="15">
      <c r="A148" s="15">
        <f t="shared" si="111"/>
        <v>144</v>
      </c>
      <c r="B148" s="61">
        <v>15051638</v>
      </c>
      <c r="C148" s="44" t="s">
        <v>409</v>
      </c>
      <c r="D148" s="44" t="s">
        <v>216</v>
      </c>
      <c r="E148" s="42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>
        <v>200000</v>
      </c>
      <c r="S148" s="17">
        <v>0</v>
      </c>
      <c r="T148" s="17">
        <v>0</v>
      </c>
      <c r="U148" s="17">
        <v>0</v>
      </c>
      <c r="V148" s="17">
        <v>0</v>
      </c>
      <c r="W148" s="17">
        <f t="shared" si="120"/>
        <v>200000</v>
      </c>
      <c r="X148" s="17">
        <v>100000</v>
      </c>
      <c r="Y148" s="17"/>
      <c r="Z148" s="17"/>
      <c r="AA148" s="17"/>
      <c r="AB148" s="17"/>
      <c r="AC148" s="17">
        <f t="shared" si="121"/>
        <v>0</v>
      </c>
      <c r="AD148" s="17">
        <f t="shared" si="122"/>
        <v>100000</v>
      </c>
      <c r="AE148" s="17">
        <v>100000</v>
      </c>
      <c r="AF148" s="17"/>
      <c r="AG148" s="17"/>
      <c r="AH148" s="17"/>
      <c r="AI148" s="17"/>
      <c r="AJ148" s="17">
        <f t="shared" si="123"/>
        <v>0</v>
      </c>
      <c r="AK148" s="17">
        <f t="shared" si="124"/>
        <v>100000</v>
      </c>
      <c r="AL148" s="17">
        <v>100000</v>
      </c>
      <c r="AM148" s="42">
        <v>0</v>
      </c>
      <c r="AN148" s="42">
        <f>[5]Credit!$E$1513</f>
        <v>25000</v>
      </c>
      <c r="AO148" s="42">
        <v>0</v>
      </c>
      <c r="AP148" s="17"/>
      <c r="AQ148" s="17">
        <f t="shared" si="125"/>
        <v>25000</v>
      </c>
      <c r="AR148" s="17">
        <f t="shared" si="126"/>
        <v>125000</v>
      </c>
      <c r="AS148" s="42">
        <v>100000</v>
      </c>
      <c r="AT148" s="42">
        <v>0</v>
      </c>
      <c r="AU148" s="42">
        <f>[10]Credit!$E$1470</f>
        <v>41000</v>
      </c>
      <c r="AV148" s="42">
        <v>0</v>
      </c>
      <c r="AW148" s="17">
        <f t="shared" si="127"/>
        <v>41000</v>
      </c>
      <c r="AX148" s="42">
        <f t="shared" si="128"/>
        <v>141000</v>
      </c>
      <c r="AY148" s="42">
        <v>100000</v>
      </c>
      <c r="AZ148" s="42">
        <f>[6]Credit!$F$1462</f>
        <v>10000</v>
      </c>
      <c r="BA148" s="42"/>
      <c r="BB148" s="42"/>
      <c r="BC148" s="42">
        <f t="shared" si="118"/>
        <v>10000</v>
      </c>
      <c r="BD148" s="42">
        <f t="shared" si="107"/>
        <v>110000</v>
      </c>
      <c r="BE148" s="42">
        <v>100000</v>
      </c>
      <c r="BF148" s="42">
        <v>0</v>
      </c>
      <c r="BG148" s="42">
        <f>[11]Kredit!$E$1506</f>
        <v>98500</v>
      </c>
      <c r="BH148" s="42">
        <v>522500</v>
      </c>
      <c r="BI148" s="42">
        <f t="shared" si="109"/>
        <v>621000</v>
      </c>
      <c r="BJ148" s="42">
        <f t="shared" si="110"/>
        <v>721000</v>
      </c>
      <c r="BK148" s="42">
        <v>100000</v>
      </c>
      <c r="BL148" s="42">
        <v>0</v>
      </c>
      <c r="BM148" s="42">
        <f>[12]Credit!$E$1401</f>
        <v>50000</v>
      </c>
      <c r="BN148" s="42">
        <v>522500</v>
      </c>
      <c r="BO148" s="42">
        <f t="shared" si="112"/>
        <v>572500</v>
      </c>
      <c r="BP148" s="42">
        <f t="shared" si="113"/>
        <v>672500</v>
      </c>
      <c r="BQ148" s="69">
        <f t="shared" si="114"/>
        <v>900000</v>
      </c>
      <c r="BR148" s="51"/>
    </row>
    <row r="149" spans="1:73" s="46" customFormat="1">
      <c r="A149" s="15">
        <f t="shared" si="111"/>
        <v>145</v>
      </c>
      <c r="B149" s="48" t="s">
        <v>225</v>
      </c>
      <c r="C149" s="44" t="s">
        <v>226</v>
      </c>
      <c r="D149" s="44" t="s">
        <v>227</v>
      </c>
      <c r="E149" s="42">
        <v>2775000</v>
      </c>
      <c r="F149" s="17">
        <v>100000</v>
      </c>
      <c r="G149" s="17">
        <f>530000</f>
        <v>530000</v>
      </c>
      <c r="H149" s="17">
        <f t="shared" ref="H149:H165" si="129">F149+G149</f>
        <v>630000</v>
      </c>
      <c r="I149" s="17">
        <v>100000</v>
      </c>
      <c r="J149" s="17">
        <f>530000</f>
        <v>530000</v>
      </c>
      <c r="K149" s="17">
        <f t="shared" ref="K149:K165" si="130">I149+J149</f>
        <v>630000</v>
      </c>
      <c r="L149" s="17">
        <v>100000</v>
      </c>
      <c r="M149" s="17">
        <v>530000</v>
      </c>
      <c r="N149" s="17">
        <f t="shared" ref="N149:N165" si="131">L149+M149</f>
        <v>630000</v>
      </c>
      <c r="O149" s="17">
        <v>100000</v>
      </c>
      <c r="P149" s="17">
        <f>530000</f>
        <v>530000</v>
      </c>
      <c r="Q149" s="17">
        <f t="shared" ref="Q149:Q172" si="132">O149+P149</f>
        <v>630000</v>
      </c>
      <c r="R149" s="17">
        <v>100000</v>
      </c>
      <c r="S149" s="17">
        <f>530000</f>
        <v>530000</v>
      </c>
      <c r="T149" s="17">
        <v>0</v>
      </c>
      <c r="U149" s="17">
        <v>0</v>
      </c>
      <c r="V149" s="17">
        <v>0</v>
      </c>
      <c r="W149" s="17">
        <f t="shared" si="120"/>
        <v>630000</v>
      </c>
      <c r="X149" s="17">
        <v>100000</v>
      </c>
      <c r="Y149" s="17">
        <v>530000</v>
      </c>
      <c r="Z149" s="17"/>
      <c r="AA149" s="17"/>
      <c r="AB149" s="17"/>
      <c r="AC149" s="17">
        <f t="shared" si="121"/>
        <v>530000</v>
      </c>
      <c r="AD149" s="17">
        <f t="shared" si="122"/>
        <v>630000</v>
      </c>
      <c r="AE149" s="17">
        <v>100000</v>
      </c>
      <c r="AF149" s="17">
        <v>530000</v>
      </c>
      <c r="AG149" s="17"/>
      <c r="AH149" s="17"/>
      <c r="AI149" s="17"/>
      <c r="AJ149" s="17">
        <f t="shared" si="123"/>
        <v>530000</v>
      </c>
      <c r="AK149" s="17">
        <f t="shared" si="124"/>
        <v>630000</v>
      </c>
      <c r="AL149" s="17">
        <v>100000</v>
      </c>
      <c r="AM149" s="42">
        <v>530000</v>
      </c>
      <c r="AN149" s="42">
        <v>0</v>
      </c>
      <c r="AO149" s="42">
        <v>0</v>
      </c>
      <c r="AP149" s="17"/>
      <c r="AQ149" s="17">
        <f t="shared" si="125"/>
        <v>530000</v>
      </c>
      <c r="AR149" s="17">
        <f t="shared" si="126"/>
        <v>630000</v>
      </c>
      <c r="AS149" s="42">
        <v>100000</v>
      </c>
      <c r="AT149" s="42">
        <v>530000</v>
      </c>
      <c r="AU149" s="42">
        <v>0</v>
      </c>
      <c r="AV149" s="42">
        <v>0</v>
      </c>
      <c r="AW149" s="17">
        <f t="shared" si="127"/>
        <v>530000</v>
      </c>
      <c r="AX149" s="42">
        <f t="shared" si="128"/>
        <v>630000</v>
      </c>
      <c r="AY149" s="42">
        <v>100000</v>
      </c>
      <c r="AZ149" s="42">
        <v>0</v>
      </c>
      <c r="BA149" s="42">
        <v>530000</v>
      </c>
      <c r="BB149" s="42"/>
      <c r="BC149" s="42">
        <f t="shared" si="118"/>
        <v>530000</v>
      </c>
      <c r="BD149" s="42">
        <f t="shared" si="107"/>
        <v>630000</v>
      </c>
      <c r="BE149" s="42">
        <v>100000</v>
      </c>
      <c r="BF149" s="42">
        <f>530000</f>
        <v>530000</v>
      </c>
      <c r="BG149" s="42"/>
      <c r="BH149" s="42">
        <v>0</v>
      </c>
      <c r="BI149" s="42">
        <f t="shared" si="109"/>
        <v>530000</v>
      </c>
      <c r="BJ149" s="42">
        <f t="shared" si="110"/>
        <v>630000</v>
      </c>
      <c r="BK149" s="42">
        <v>100000</v>
      </c>
      <c r="BL149" s="42">
        <v>530000</v>
      </c>
      <c r="BM149" s="42">
        <v>0</v>
      </c>
      <c r="BN149" s="42">
        <v>0</v>
      </c>
      <c r="BO149" s="42">
        <f t="shared" si="112"/>
        <v>530000</v>
      </c>
      <c r="BP149" s="42">
        <f t="shared" si="113"/>
        <v>630000</v>
      </c>
      <c r="BQ149" s="69">
        <f t="shared" si="114"/>
        <v>3975000</v>
      </c>
      <c r="BR149" s="37" t="s">
        <v>381</v>
      </c>
      <c r="BS149" s="45"/>
      <c r="BT149" s="45"/>
      <c r="BU149" s="45"/>
    </row>
    <row r="150" spans="1:73">
      <c r="A150" s="15">
        <f t="shared" si="111"/>
        <v>146</v>
      </c>
      <c r="B150" s="43">
        <v>12109438</v>
      </c>
      <c r="C150" s="44" t="s">
        <v>228</v>
      </c>
      <c r="D150" s="44" t="s">
        <v>227</v>
      </c>
      <c r="E150" s="42">
        <v>2450000</v>
      </c>
      <c r="F150" s="17">
        <v>100000</v>
      </c>
      <c r="G150" s="42">
        <f>530000</f>
        <v>530000</v>
      </c>
      <c r="H150" s="17">
        <f t="shared" si="129"/>
        <v>630000</v>
      </c>
      <c r="I150" s="17">
        <v>100000</v>
      </c>
      <c r="J150" s="42">
        <f>530000</f>
        <v>530000</v>
      </c>
      <c r="K150" s="17">
        <f t="shared" si="130"/>
        <v>630000</v>
      </c>
      <c r="L150" s="17">
        <v>100000</v>
      </c>
      <c r="M150" s="42">
        <v>530000</v>
      </c>
      <c r="N150" s="17">
        <f t="shared" si="131"/>
        <v>630000</v>
      </c>
      <c r="O150" s="17">
        <v>100000</v>
      </c>
      <c r="P150" s="42">
        <f>530000</f>
        <v>530000</v>
      </c>
      <c r="Q150" s="17">
        <f t="shared" si="132"/>
        <v>630000</v>
      </c>
      <c r="R150" s="17">
        <v>100000</v>
      </c>
      <c r="S150" s="17">
        <f>530000</f>
        <v>530000</v>
      </c>
      <c r="T150" s="17">
        <v>0</v>
      </c>
      <c r="U150" s="17">
        <v>0</v>
      </c>
      <c r="V150" s="17">
        <v>0</v>
      </c>
      <c r="W150" s="17">
        <f t="shared" si="120"/>
        <v>630000</v>
      </c>
      <c r="X150" s="17">
        <v>100000</v>
      </c>
      <c r="Y150" s="42">
        <v>530000</v>
      </c>
      <c r="Z150" s="42">
        <f>[8]Credit!$E$875</f>
        <v>147000</v>
      </c>
      <c r="AA150" s="42"/>
      <c r="AB150" s="42">
        <v>30000</v>
      </c>
      <c r="AC150" s="17">
        <f t="shared" si="121"/>
        <v>707000</v>
      </c>
      <c r="AD150" s="17">
        <f t="shared" si="122"/>
        <v>807000</v>
      </c>
      <c r="AE150" s="17">
        <v>100000</v>
      </c>
      <c r="AF150" s="42">
        <v>530000</v>
      </c>
      <c r="AG150" s="42">
        <f>[9]Credit!$F$546</f>
        <v>109000</v>
      </c>
      <c r="AH150" s="42"/>
      <c r="AI150" s="42"/>
      <c r="AJ150" s="17">
        <f t="shared" si="123"/>
        <v>639000</v>
      </c>
      <c r="AK150" s="17">
        <f t="shared" si="124"/>
        <v>739000</v>
      </c>
      <c r="AL150" s="17">
        <v>100000</v>
      </c>
      <c r="AM150" s="42">
        <v>530000</v>
      </c>
      <c r="AN150" s="42">
        <f>[5]Credit!$E$1029</f>
        <v>357500</v>
      </c>
      <c r="AO150" s="42">
        <v>0</v>
      </c>
      <c r="AP150" s="42"/>
      <c r="AQ150" s="17">
        <f t="shared" si="125"/>
        <v>887500</v>
      </c>
      <c r="AR150" s="17">
        <f t="shared" si="126"/>
        <v>987500</v>
      </c>
      <c r="AS150" s="42">
        <v>100000</v>
      </c>
      <c r="AT150" s="42">
        <v>530000</v>
      </c>
      <c r="AU150" s="42">
        <f>[10]Credit!$E$971</f>
        <v>14000</v>
      </c>
      <c r="AV150" s="42">
        <v>0</v>
      </c>
      <c r="AW150" s="17">
        <f t="shared" si="127"/>
        <v>544000</v>
      </c>
      <c r="AX150" s="42">
        <f t="shared" si="128"/>
        <v>644000</v>
      </c>
      <c r="AY150" s="42">
        <v>100000</v>
      </c>
      <c r="AZ150" s="42">
        <f>[6]Credit!$F$999</f>
        <v>59500</v>
      </c>
      <c r="BA150" s="42">
        <v>530000</v>
      </c>
      <c r="BB150" s="42">
        <v>365500</v>
      </c>
      <c r="BC150" s="42">
        <f t="shared" si="118"/>
        <v>955000</v>
      </c>
      <c r="BD150" s="42">
        <f t="shared" si="107"/>
        <v>1055000</v>
      </c>
      <c r="BE150" s="42">
        <v>100000</v>
      </c>
      <c r="BF150" s="42">
        <f>530000</f>
        <v>530000</v>
      </c>
      <c r="BG150" s="42"/>
      <c r="BH150" s="42">
        <v>365500</v>
      </c>
      <c r="BI150" s="42">
        <f t="shared" si="109"/>
        <v>895500</v>
      </c>
      <c r="BJ150" s="42">
        <f t="shared" si="110"/>
        <v>995500</v>
      </c>
      <c r="BK150" s="42">
        <v>100000</v>
      </c>
      <c r="BL150" s="42">
        <v>0</v>
      </c>
      <c r="BM150" s="42">
        <f>[12]Credit!$E$918</f>
        <v>200000</v>
      </c>
      <c r="BN150" s="42">
        <v>365500</v>
      </c>
      <c r="BO150" s="42">
        <f t="shared" si="112"/>
        <v>565500</v>
      </c>
      <c r="BP150" s="42">
        <f t="shared" si="113"/>
        <v>665500</v>
      </c>
      <c r="BQ150" s="69">
        <f t="shared" si="114"/>
        <v>3650000</v>
      </c>
      <c r="BR150" s="38" t="s">
        <v>404</v>
      </c>
    </row>
    <row r="151" spans="1:73" s="58" customFormat="1" ht="13">
      <c r="A151" s="15">
        <f t="shared" si="111"/>
        <v>147</v>
      </c>
      <c r="B151" s="48" t="s">
        <v>296</v>
      </c>
      <c r="C151" s="44" t="s">
        <v>231</v>
      </c>
      <c r="D151" s="44" t="s">
        <v>230</v>
      </c>
      <c r="E151" s="42">
        <v>2625000</v>
      </c>
      <c r="F151" s="17">
        <v>100000</v>
      </c>
      <c r="G151" s="17">
        <f>1060000+571800</f>
        <v>1631800</v>
      </c>
      <c r="H151" s="17">
        <f t="shared" si="129"/>
        <v>1731800</v>
      </c>
      <c r="I151" s="17">
        <v>100000</v>
      </c>
      <c r="J151" s="17">
        <f>1060000+1047600</f>
        <v>2107600</v>
      </c>
      <c r="K151" s="17">
        <f t="shared" si="130"/>
        <v>2207600</v>
      </c>
      <c r="L151" s="17">
        <v>100000</v>
      </c>
      <c r="M151" s="17">
        <f>1060000+1057000</f>
        <v>2117000</v>
      </c>
      <c r="N151" s="17">
        <f t="shared" si="131"/>
        <v>2217000</v>
      </c>
      <c r="O151" s="17">
        <v>100000</v>
      </c>
      <c r="P151" s="17">
        <v>1726000</v>
      </c>
      <c r="Q151" s="17">
        <f t="shared" si="132"/>
        <v>1826000</v>
      </c>
      <c r="R151" s="17">
        <v>100000</v>
      </c>
      <c r="S151" s="17">
        <f>530000</f>
        <v>530000</v>
      </c>
      <c r="T151" s="17">
        <f>800000+[7]System!$F$270</f>
        <v>1000000</v>
      </c>
      <c r="U151" s="17">
        <v>0</v>
      </c>
      <c r="V151" s="17">
        <v>0</v>
      </c>
      <c r="W151" s="17">
        <f t="shared" si="120"/>
        <v>1630000</v>
      </c>
      <c r="X151" s="17">
        <v>100000</v>
      </c>
      <c r="Y151" s="17">
        <v>530000</v>
      </c>
      <c r="Z151" s="17">
        <f>[8]Credit!$E$279</f>
        <v>999500</v>
      </c>
      <c r="AA151" s="17"/>
      <c r="AB151" s="17"/>
      <c r="AC151" s="17">
        <f t="shared" si="121"/>
        <v>1529500</v>
      </c>
      <c r="AD151" s="17">
        <f t="shared" si="122"/>
        <v>1629500</v>
      </c>
      <c r="AE151" s="17">
        <v>100000</v>
      </c>
      <c r="AF151" s="17">
        <v>530000</v>
      </c>
      <c r="AG151" s="17">
        <f>[9]Credit!$F$186</f>
        <v>998000</v>
      </c>
      <c r="AH151" s="17"/>
      <c r="AI151" s="17"/>
      <c r="AJ151" s="17">
        <f t="shared" si="123"/>
        <v>1528000</v>
      </c>
      <c r="AK151" s="17">
        <f t="shared" si="124"/>
        <v>1628000</v>
      </c>
      <c r="AL151" s="17">
        <v>100000</v>
      </c>
      <c r="AM151" s="42">
        <v>530000</v>
      </c>
      <c r="AN151" s="42">
        <f>[5]Credit!$E$339</f>
        <v>999000</v>
      </c>
      <c r="AO151" s="42">
        <v>0</v>
      </c>
      <c r="AP151" s="17">
        <v>12500</v>
      </c>
      <c r="AQ151" s="17">
        <f t="shared" si="125"/>
        <v>1541500</v>
      </c>
      <c r="AR151" s="17">
        <f t="shared" si="126"/>
        <v>1641500</v>
      </c>
      <c r="AS151" s="42">
        <v>100000</v>
      </c>
      <c r="AT151" s="42">
        <v>530000</v>
      </c>
      <c r="AU151" s="42">
        <f>[10]Credit!$E$346</f>
        <v>998600</v>
      </c>
      <c r="AV151" s="42">
        <v>0</v>
      </c>
      <c r="AW151" s="17">
        <f t="shared" si="127"/>
        <v>1528600</v>
      </c>
      <c r="AX151" s="42">
        <f t="shared" si="128"/>
        <v>1628600</v>
      </c>
      <c r="AY151" s="42">
        <v>100000</v>
      </c>
      <c r="AZ151" s="42">
        <f>[6]Credit!$F$357</f>
        <v>988000</v>
      </c>
      <c r="BA151" s="42">
        <v>530000</v>
      </c>
      <c r="BB151" s="42"/>
      <c r="BC151" s="42">
        <f t="shared" si="118"/>
        <v>1518000</v>
      </c>
      <c r="BD151" s="42">
        <f t="shared" si="107"/>
        <v>1618000</v>
      </c>
      <c r="BE151" s="42">
        <v>100000</v>
      </c>
      <c r="BF151" s="42">
        <v>850000</v>
      </c>
      <c r="BG151" s="42">
        <f>[11]Kredit!$E$425</f>
        <v>21000</v>
      </c>
      <c r="BH151" s="42">
        <v>545000</v>
      </c>
      <c r="BI151" s="42">
        <f t="shared" si="109"/>
        <v>1416000</v>
      </c>
      <c r="BJ151" s="42">
        <f t="shared" si="110"/>
        <v>1516000</v>
      </c>
      <c r="BK151" s="42">
        <v>100000</v>
      </c>
      <c r="BL151" s="42">
        <v>850000</v>
      </c>
      <c r="BM151" s="42">
        <f>[12]Credit!$E$410</f>
        <v>15500</v>
      </c>
      <c r="BN151" s="42">
        <v>545000</v>
      </c>
      <c r="BO151" s="42">
        <f t="shared" si="112"/>
        <v>1410500</v>
      </c>
      <c r="BP151" s="42">
        <f t="shared" si="113"/>
        <v>1510500</v>
      </c>
      <c r="BQ151" s="69">
        <f t="shared" si="114"/>
        <v>3825000</v>
      </c>
      <c r="BR151" s="51" t="s">
        <v>384</v>
      </c>
      <c r="BS151" s="57"/>
      <c r="BT151" s="57"/>
      <c r="BU151" s="57"/>
    </row>
    <row r="152" spans="1:73">
      <c r="A152" s="15">
        <f t="shared" si="111"/>
        <v>148</v>
      </c>
      <c r="B152" s="48" t="s">
        <v>232</v>
      </c>
      <c r="C152" s="44" t="s">
        <v>233</v>
      </c>
      <c r="D152" s="44" t="s">
        <v>230</v>
      </c>
      <c r="E152" s="42">
        <v>2775000</v>
      </c>
      <c r="F152" s="17">
        <v>100000</v>
      </c>
      <c r="G152" s="17">
        <f>540000</f>
        <v>540000</v>
      </c>
      <c r="H152" s="17">
        <f t="shared" si="129"/>
        <v>640000</v>
      </c>
      <c r="I152" s="17">
        <v>100000</v>
      </c>
      <c r="J152" s="17">
        <f>530000+202000</f>
        <v>732000</v>
      </c>
      <c r="K152" s="17">
        <f t="shared" si="130"/>
        <v>832000</v>
      </c>
      <c r="L152" s="17">
        <v>100000</v>
      </c>
      <c r="M152" s="17">
        <f>530000+202000</f>
        <v>732000</v>
      </c>
      <c r="N152" s="17">
        <f t="shared" si="131"/>
        <v>832000</v>
      </c>
      <c r="O152" s="17">
        <v>100000</v>
      </c>
      <c r="P152" s="17">
        <f>530000+47000+170000</f>
        <v>747000</v>
      </c>
      <c r="Q152" s="17">
        <f t="shared" si="132"/>
        <v>847000</v>
      </c>
      <c r="R152" s="17">
        <v>100000</v>
      </c>
      <c r="S152" s="17">
        <f>530000</f>
        <v>530000</v>
      </c>
      <c r="T152" s="17">
        <f>36000+[7]System!$F$283</f>
        <v>205000</v>
      </c>
      <c r="U152" s="17">
        <v>363400</v>
      </c>
      <c r="V152" s="17">
        <f>21000</f>
        <v>21000</v>
      </c>
      <c r="W152" s="17">
        <f t="shared" si="120"/>
        <v>1219400</v>
      </c>
      <c r="X152" s="17">
        <v>100000</v>
      </c>
      <c r="Y152" s="17">
        <v>530000</v>
      </c>
      <c r="Z152" s="17">
        <f>[8]Credit!$E$290</f>
        <v>225000</v>
      </c>
      <c r="AA152" s="17">
        <v>363400</v>
      </c>
      <c r="AB152" s="17"/>
      <c r="AC152" s="17">
        <f t="shared" si="121"/>
        <v>1118400</v>
      </c>
      <c r="AD152" s="17">
        <f t="shared" si="122"/>
        <v>1218400</v>
      </c>
      <c r="AE152" s="17">
        <v>100000</v>
      </c>
      <c r="AF152" s="17">
        <v>530000</v>
      </c>
      <c r="AG152" s="17">
        <f>[9]Credit!$F$197</f>
        <v>531500</v>
      </c>
      <c r="AH152" s="17">
        <v>363400</v>
      </c>
      <c r="AI152" s="17"/>
      <c r="AJ152" s="17">
        <f t="shared" si="123"/>
        <v>1424900</v>
      </c>
      <c r="AK152" s="17">
        <f t="shared" si="124"/>
        <v>1524900</v>
      </c>
      <c r="AL152" s="17">
        <v>100000</v>
      </c>
      <c r="AM152" s="42">
        <v>530000</v>
      </c>
      <c r="AN152" s="42">
        <f>[5]Credit!$E$357</f>
        <v>275000</v>
      </c>
      <c r="AO152" s="42">
        <v>363400</v>
      </c>
      <c r="AP152" s="17"/>
      <c r="AQ152" s="17">
        <f t="shared" si="125"/>
        <v>1168400</v>
      </c>
      <c r="AR152" s="17">
        <f t="shared" si="126"/>
        <v>1268400</v>
      </c>
      <c r="AS152" s="42">
        <v>100000</v>
      </c>
      <c r="AT152" s="42">
        <v>530000</v>
      </c>
      <c r="AU152" s="42">
        <f>[10]Credit!$E$360</f>
        <v>225000</v>
      </c>
      <c r="AV152" s="42">
        <v>363400</v>
      </c>
      <c r="AW152" s="17">
        <f t="shared" si="127"/>
        <v>1118400</v>
      </c>
      <c r="AX152" s="42">
        <f t="shared" si="128"/>
        <v>1218400</v>
      </c>
      <c r="AY152" s="42">
        <v>100000</v>
      </c>
      <c r="AZ152" s="42">
        <f>[6]Credit!$F$382</f>
        <v>347500</v>
      </c>
      <c r="BA152" s="42">
        <v>530000</v>
      </c>
      <c r="BB152" s="42">
        <v>363400</v>
      </c>
      <c r="BC152" s="42">
        <f t="shared" si="118"/>
        <v>1240900</v>
      </c>
      <c r="BD152" s="42">
        <f t="shared" si="107"/>
        <v>1340900</v>
      </c>
      <c r="BE152" s="42">
        <v>100000</v>
      </c>
      <c r="BF152" s="42">
        <v>530000</v>
      </c>
      <c r="BG152" s="42">
        <f>[11]Kredit!$E$446</f>
        <v>535000</v>
      </c>
      <c r="BH152" s="42">
        <v>0</v>
      </c>
      <c r="BI152" s="42">
        <f t="shared" si="109"/>
        <v>1065000</v>
      </c>
      <c r="BJ152" s="42">
        <f t="shared" si="110"/>
        <v>1165000</v>
      </c>
      <c r="BK152" s="42">
        <v>100000</v>
      </c>
      <c r="BL152" s="42">
        <v>530000</v>
      </c>
      <c r="BM152" s="42">
        <f>[12]Credit!$E$436</f>
        <v>441500</v>
      </c>
      <c r="BN152" s="42">
        <v>545000</v>
      </c>
      <c r="BO152" s="42">
        <f t="shared" si="112"/>
        <v>1516500</v>
      </c>
      <c r="BP152" s="42">
        <f t="shared" si="113"/>
        <v>1616500</v>
      </c>
      <c r="BQ152" s="69">
        <f t="shared" si="114"/>
        <v>3975000</v>
      </c>
      <c r="BR152" s="37"/>
    </row>
    <row r="153" spans="1:73">
      <c r="A153" s="15">
        <f t="shared" si="111"/>
        <v>149</v>
      </c>
      <c r="B153" s="43">
        <v>99101839</v>
      </c>
      <c r="C153" s="44" t="s">
        <v>234</v>
      </c>
      <c r="D153" s="44" t="s">
        <v>230</v>
      </c>
      <c r="E153" s="42">
        <v>2775000</v>
      </c>
      <c r="F153" s="17">
        <v>100000</v>
      </c>
      <c r="G153" s="17">
        <f>440000</f>
        <v>440000</v>
      </c>
      <c r="H153" s="17">
        <f t="shared" si="129"/>
        <v>540000</v>
      </c>
      <c r="I153" s="17">
        <v>100000</v>
      </c>
      <c r="J153" s="17"/>
      <c r="K153" s="17">
        <f t="shared" si="130"/>
        <v>100000</v>
      </c>
      <c r="L153" s="17">
        <v>100000</v>
      </c>
      <c r="M153" s="17">
        <v>530000</v>
      </c>
      <c r="N153" s="17">
        <f t="shared" si="131"/>
        <v>630000</v>
      </c>
      <c r="O153" s="17">
        <v>100000</v>
      </c>
      <c r="P153" s="17">
        <v>530000</v>
      </c>
      <c r="Q153" s="17">
        <f t="shared" si="132"/>
        <v>630000</v>
      </c>
      <c r="R153" s="17">
        <v>100000</v>
      </c>
      <c r="S153" s="17">
        <f>530000</f>
        <v>530000</v>
      </c>
      <c r="T153" s="17">
        <v>0</v>
      </c>
      <c r="U153" s="17">
        <v>0</v>
      </c>
      <c r="V153" s="17">
        <v>0</v>
      </c>
      <c r="W153" s="17">
        <f t="shared" si="120"/>
        <v>630000</v>
      </c>
      <c r="X153" s="17">
        <v>100000</v>
      </c>
      <c r="Y153" s="17">
        <v>530000</v>
      </c>
      <c r="Z153" s="17"/>
      <c r="AA153" s="17"/>
      <c r="AB153" s="17"/>
      <c r="AC153" s="17">
        <f t="shared" si="121"/>
        <v>530000</v>
      </c>
      <c r="AD153" s="17">
        <f t="shared" si="122"/>
        <v>630000</v>
      </c>
      <c r="AE153" s="17">
        <v>100000</v>
      </c>
      <c r="AF153" s="17">
        <v>530000</v>
      </c>
      <c r="AG153" s="17"/>
      <c r="AH153" s="17"/>
      <c r="AI153" s="17"/>
      <c r="AJ153" s="17">
        <f t="shared" si="123"/>
        <v>530000</v>
      </c>
      <c r="AK153" s="17">
        <f t="shared" si="124"/>
        <v>630000</v>
      </c>
      <c r="AL153" s="17">
        <v>100000</v>
      </c>
      <c r="AM153" s="42">
        <v>530000</v>
      </c>
      <c r="AN153" s="42">
        <v>0</v>
      </c>
      <c r="AO153" s="42">
        <v>0</v>
      </c>
      <c r="AP153" s="17"/>
      <c r="AQ153" s="17">
        <f t="shared" si="125"/>
        <v>530000</v>
      </c>
      <c r="AR153" s="17">
        <f t="shared" si="126"/>
        <v>630000</v>
      </c>
      <c r="AS153" s="42">
        <v>100000</v>
      </c>
      <c r="AT153" s="42">
        <v>0</v>
      </c>
      <c r="AU153" s="42">
        <v>0</v>
      </c>
      <c r="AV153" s="42">
        <v>0</v>
      </c>
      <c r="AW153" s="17">
        <f t="shared" si="127"/>
        <v>0</v>
      </c>
      <c r="AX153" s="42">
        <f t="shared" si="128"/>
        <v>100000</v>
      </c>
      <c r="AY153" s="42">
        <v>100000</v>
      </c>
      <c r="AZ153" s="42">
        <v>0</v>
      </c>
      <c r="BA153" s="42">
        <v>530000</v>
      </c>
      <c r="BB153" s="42"/>
      <c r="BC153" s="42">
        <f t="shared" si="118"/>
        <v>530000</v>
      </c>
      <c r="BD153" s="42">
        <f t="shared" si="107"/>
        <v>630000</v>
      </c>
      <c r="BE153" s="42">
        <v>100000</v>
      </c>
      <c r="BF153" s="42">
        <v>530000</v>
      </c>
      <c r="BG153" s="42"/>
      <c r="BH153" s="42">
        <v>0</v>
      </c>
      <c r="BI153" s="42">
        <f t="shared" si="109"/>
        <v>530000</v>
      </c>
      <c r="BJ153" s="42">
        <f t="shared" si="110"/>
        <v>630000</v>
      </c>
      <c r="BK153" s="42">
        <v>100000</v>
      </c>
      <c r="BL153" s="42">
        <v>530000</v>
      </c>
      <c r="BM153" s="42">
        <v>0</v>
      </c>
      <c r="BN153" s="42">
        <v>0</v>
      </c>
      <c r="BO153" s="42">
        <f t="shared" si="112"/>
        <v>530000</v>
      </c>
      <c r="BP153" s="42">
        <f t="shared" si="113"/>
        <v>630000</v>
      </c>
      <c r="BQ153" s="69">
        <f t="shared" si="114"/>
        <v>3975000</v>
      </c>
      <c r="BR153" s="37"/>
    </row>
    <row r="154" spans="1:73">
      <c r="A154" s="15">
        <f t="shared" si="111"/>
        <v>150</v>
      </c>
      <c r="B154" s="43">
        <v>96071108</v>
      </c>
      <c r="C154" s="44" t="s">
        <v>235</v>
      </c>
      <c r="D154" s="44" t="s">
        <v>230</v>
      </c>
      <c r="E154" s="42">
        <v>2775000</v>
      </c>
      <c r="F154" s="17">
        <v>100000</v>
      </c>
      <c r="G154" s="17">
        <f>540000</f>
        <v>540000</v>
      </c>
      <c r="H154" s="17">
        <f t="shared" si="129"/>
        <v>640000</v>
      </c>
      <c r="I154" s="17">
        <v>100000</v>
      </c>
      <c r="J154" s="17">
        <f>540000</f>
        <v>540000</v>
      </c>
      <c r="K154" s="17">
        <f t="shared" si="130"/>
        <v>640000</v>
      </c>
      <c r="L154" s="17">
        <v>100000</v>
      </c>
      <c r="M154" s="17"/>
      <c r="N154" s="17">
        <f t="shared" si="131"/>
        <v>100000</v>
      </c>
      <c r="O154" s="17">
        <v>100000</v>
      </c>
      <c r="P154" s="17"/>
      <c r="Q154" s="17">
        <f t="shared" si="132"/>
        <v>100000</v>
      </c>
      <c r="R154" s="17">
        <v>100000</v>
      </c>
      <c r="S154" s="17">
        <v>0</v>
      </c>
      <c r="T154" s="17">
        <v>0</v>
      </c>
      <c r="U154" s="17">
        <v>0</v>
      </c>
      <c r="V154" s="17">
        <f>21000</f>
        <v>21000</v>
      </c>
      <c r="W154" s="17">
        <f t="shared" si="120"/>
        <v>121000</v>
      </c>
      <c r="X154" s="17">
        <v>100000</v>
      </c>
      <c r="Y154" s="17"/>
      <c r="Z154" s="17"/>
      <c r="AA154" s="17"/>
      <c r="AB154" s="17">
        <v>45000</v>
      </c>
      <c r="AC154" s="17">
        <f t="shared" si="121"/>
        <v>45000</v>
      </c>
      <c r="AD154" s="17">
        <f t="shared" si="122"/>
        <v>145000</v>
      </c>
      <c r="AE154" s="17">
        <v>100000</v>
      </c>
      <c r="AF154" s="17"/>
      <c r="AG154" s="17"/>
      <c r="AH154" s="17"/>
      <c r="AI154" s="17"/>
      <c r="AJ154" s="17">
        <f t="shared" si="123"/>
        <v>0</v>
      </c>
      <c r="AK154" s="17">
        <f t="shared" si="124"/>
        <v>100000</v>
      </c>
      <c r="AL154" s="17">
        <v>100000</v>
      </c>
      <c r="AM154" s="42">
        <v>0</v>
      </c>
      <c r="AN154" s="42">
        <v>0</v>
      </c>
      <c r="AO154" s="42">
        <v>0</v>
      </c>
      <c r="AP154" s="17"/>
      <c r="AQ154" s="17">
        <f t="shared" si="125"/>
        <v>0</v>
      </c>
      <c r="AR154" s="17">
        <f t="shared" si="126"/>
        <v>100000</v>
      </c>
      <c r="AS154" s="42">
        <v>100000</v>
      </c>
      <c r="AT154" s="42">
        <v>531250</v>
      </c>
      <c r="AU154" s="42">
        <v>0</v>
      </c>
      <c r="AV154" s="42">
        <v>0</v>
      </c>
      <c r="AW154" s="17">
        <f t="shared" si="127"/>
        <v>531250</v>
      </c>
      <c r="AX154" s="42">
        <f t="shared" si="128"/>
        <v>631250</v>
      </c>
      <c r="AY154" s="42">
        <v>100000</v>
      </c>
      <c r="AZ154" s="42">
        <v>0</v>
      </c>
      <c r="BA154" s="42">
        <v>531250</v>
      </c>
      <c r="BB154" s="42"/>
      <c r="BC154" s="42">
        <f t="shared" si="118"/>
        <v>531250</v>
      </c>
      <c r="BD154" s="42">
        <f t="shared" si="107"/>
        <v>631250</v>
      </c>
      <c r="BE154" s="42">
        <v>100000</v>
      </c>
      <c r="BF154" s="42">
        <v>531250</v>
      </c>
      <c r="BG154" s="42"/>
      <c r="BH154" s="42">
        <v>0</v>
      </c>
      <c r="BI154" s="42">
        <f t="shared" si="109"/>
        <v>531250</v>
      </c>
      <c r="BJ154" s="42">
        <f t="shared" si="110"/>
        <v>631250</v>
      </c>
      <c r="BK154" s="42">
        <v>100000</v>
      </c>
      <c r="BL154" s="42">
        <v>531250</v>
      </c>
      <c r="BM154" s="42">
        <v>0</v>
      </c>
      <c r="BN154" s="42">
        <v>0</v>
      </c>
      <c r="BO154" s="42">
        <f t="shared" si="112"/>
        <v>531250</v>
      </c>
      <c r="BP154" s="42">
        <f t="shared" si="113"/>
        <v>631250</v>
      </c>
      <c r="BQ154" s="69">
        <f t="shared" si="114"/>
        <v>3975000</v>
      </c>
      <c r="BR154" s="49"/>
    </row>
    <row r="155" spans="1:73">
      <c r="A155" s="15">
        <f t="shared" si="111"/>
        <v>151</v>
      </c>
      <c r="B155" s="43">
        <v>99101675</v>
      </c>
      <c r="C155" s="44" t="s">
        <v>236</v>
      </c>
      <c r="D155" s="44" t="s">
        <v>230</v>
      </c>
      <c r="E155" s="42">
        <v>2775000</v>
      </c>
      <c r="F155" s="17">
        <v>100000</v>
      </c>
      <c r="G155" s="17">
        <f>540000+483000</f>
        <v>1023000</v>
      </c>
      <c r="H155" s="17">
        <f t="shared" si="129"/>
        <v>1123000</v>
      </c>
      <c r="I155" s="17">
        <v>100000</v>
      </c>
      <c r="J155" s="17">
        <f>530000+450500</f>
        <v>980500</v>
      </c>
      <c r="K155" s="17">
        <f t="shared" si="130"/>
        <v>1080500</v>
      </c>
      <c r="L155" s="17">
        <v>100000</v>
      </c>
      <c r="M155" s="17">
        <v>530000</v>
      </c>
      <c r="N155" s="17">
        <f t="shared" si="131"/>
        <v>630000</v>
      </c>
      <c r="O155" s="17">
        <v>100000</v>
      </c>
      <c r="P155" s="17">
        <f>714000+530000+47000</f>
        <v>1291000</v>
      </c>
      <c r="Q155" s="17">
        <f t="shared" si="132"/>
        <v>1391000</v>
      </c>
      <c r="R155" s="17">
        <v>100000</v>
      </c>
      <c r="S155" s="17">
        <f>530000</f>
        <v>530000</v>
      </c>
      <c r="T155" s="17">
        <f>82000+[7]System!$F$724</f>
        <v>686500</v>
      </c>
      <c r="U155" s="17">
        <v>0</v>
      </c>
      <c r="V155" s="17">
        <f>21000</f>
        <v>21000</v>
      </c>
      <c r="W155" s="17">
        <f t="shared" si="120"/>
        <v>1337500</v>
      </c>
      <c r="X155" s="17">
        <v>100000</v>
      </c>
      <c r="Y155" s="17">
        <v>530000</v>
      </c>
      <c r="Z155" s="17">
        <f>[8]Credit!$E$789</f>
        <v>471000</v>
      </c>
      <c r="AA155" s="17"/>
      <c r="AB155" s="17">
        <v>75000</v>
      </c>
      <c r="AC155" s="17">
        <f t="shared" si="121"/>
        <v>1076000</v>
      </c>
      <c r="AD155" s="17">
        <f t="shared" si="122"/>
        <v>1176000</v>
      </c>
      <c r="AE155" s="17">
        <v>100000</v>
      </c>
      <c r="AF155" s="17">
        <v>530000</v>
      </c>
      <c r="AG155" s="17">
        <f>[9]Credit!$F$489</f>
        <v>425000</v>
      </c>
      <c r="AH155" s="17"/>
      <c r="AI155" s="17">
        <v>70000</v>
      </c>
      <c r="AJ155" s="17">
        <f t="shared" si="123"/>
        <v>1025000</v>
      </c>
      <c r="AK155" s="17">
        <f t="shared" si="124"/>
        <v>1125000</v>
      </c>
      <c r="AL155" s="17">
        <v>100000</v>
      </c>
      <c r="AM155" s="42">
        <v>1061000</v>
      </c>
      <c r="AN155" s="42">
        <f>[5]Credit!$E$901</f>
        <v>441500</v>
      </c>
      <c r="AO155" s="42">
        <v>0</v>
      </c>
      <c r="AP155" s="17"/>
      <c r="AQ155" s="17">
        <f t="shared" si="125"/>
        <v>1502500</v>
      </c>
      <c r="AR155" s="17">
        <f t="shared" si="126"/>
        <v>1602500</v>
      </c>
      <c r="AS155" s="42">
        <v>100000</v>
      </c>
      <c r="AT155" s="42">
        <v>1061000</v>
      </c>
      <c r="AU155" s="42">
        <f>[10]Credit!$E$887-AZ155</f>
        <v>-135500</v>
      </c>
      <c r="AV155" s="42">
        <v>0</v>
      </c>
      <c r="AW155" s="17">
        <f t="shared" si="127"/>
        <v>925500</v>
      </c>
      <c r="AX155" s="42">
        <f t="shared" si="128"/>
        <v>1025500</v>
      </c>
      <c r="AY155" s="42">
        <v>100000</v>
      </c>
      <c r="AZ155" s="42">
        <f>1834000-1600000+[6]Credit!$F$923</f>
        <v>808500</v>
      </c>
      <c r="BA155" s="42">
        <v>1061000</v>
      </c>
      <c r="BB155" s="42"/>
      <c r="BC155" s="42">
        <f>SUM(AZ155:BB155)-369500</f>
        <v>1500000</v>
      </c>
      <c r="BD155" s="42">
        <f t="shared" si="107"/>
        <v>1600000</v>
      </c>
      <c r="BE155" s="42">
        <v>100000</v>
      </c>
      <c r="BF155" s="42">
        <v>1061000</v>
      </c>
      <c r="BG155" s="42">
        <f>369500+[11]Kredit!$E$926</f>
        <v>417500</v>
      </c>
      <c r="BH155" s="42">
        <v>0</v>
      </c>
      <c r="BI155" s="42">
        <f t="shared" si="109"/>
        <v>1478500</v>
      </c>
      <c r="BJ155" s="42">
        <f t="shared" si="110"/>
        <v>1578500</v>
      </c>
      <c r="BK155" s="42">
        <v>100000</v>
      </c>
      <c r="BL155" s="42">
        <v>1061000</v>
      </c>
      <c r="BM155" s="42">
        <f>[12]Credit!$E$853</f>
        <v>9000</v>
      </c>
      <c r="BN155" s="42">
        <v>0</v>
      </c>
      <c r="BO155" s="42">
        <f t="shared" si="112"/>
        <v>1070000</v>
      </c>
      <c r="BP155" s="42">
        <f t="shared" si="113"/>
        <v>1170000</v>
      </c>
      <c r="BQ155" s="69">
        <f t="shared" si="114"/>
        <v>3975000</v>
      </c>
      <c r="BR155" s="37"/>
    </row>
    <row r="156" spans="1:73">
      <c r="A156" s="15">
        <f t="shared" si="111"/>
        <v>152</v>
      </c>
      <c r="B156" s="43">
        <v>99122228</v>
      </c>
      <c r="C156" s="44" t="s">
        <v>229</v>
      </c>
      <c r="D156" s="44" t="s">
        <v>230</v>
      </c>
      <c r="E156" s="42">
        <v>2775000</v>
      </c>
      <c r="F156" s="17">
        <v>100000</v>
      </c>
      <c r="G156" s="17">
        <f>530000</f>
        <v>530000</v>
      </c>
      <c r="H156" s="17">
        <f t="shared" si="129"/>
        <v>630000</v>
      </c>
      <c r="I156" s="17">
        <v>100000</v>
      </c>
      <c r="J156" s="17">
        <f>530000</f>
        <v>530000</v>
      </c>
      <c r="K156" s="17">
        <f t="shared" si="130"/>
        <v>630000</v>
      </c>
      <c r="L156" s="17">
        <v>100000</v>
      </c>
      <c r="M156" s="17">
        <v>530000</v>
      </c>
      <c r="N156" s="17">
        <f t="shared" si="131"/>
        <v>630000</v>
      </c>
      <c r="O156" s="17">
        <v>100000</v>
      </c>
      <c r="P156" s="17">
        <f>530000</f>
        <v>530000</v>
      </c>
      <c r="Q156" s="17">
        <f t="shared" si="132"/>
        <v>630000</v>
      </c>
      <c r="R156" s="17">
        <v>100000</v>
      </c>
      <c r="S156" s="17">
        <f>530000</f>
        <v>530000</v>
      </c>
      <c r="T156" s="17">
        <v>0</v>
      </c>
      <c r="U156" s="17">
        <v>0</v>
      </c>
      <c r="V156" s="17">
        <f>30000</f>
        <v>30000</v>
      </c>
      <c r="W156" s="17">
        <f t="shared" si="120"/>
        <v>660000</v>
      </c>
      <c r="X156" s="17">
        <v>100000</v>
      </c>
      <c r="Y156" s="17">
        <f>530000+425000</f>
        <v>955000</v>
      </c>
      <c r="Z156" s="17"/>
      <c r="AA156" s="17"/>
      <c r="AB156" s="17">
        <v>35000</v>
      </c>
      <c r="AC156" s="17">
        <f t="shared" si="121"/>
        <v>990000</v>
      </c>
      <c r="AD156" s="17">
        <f t="shared" si="122"/>
        <v>1090000</v>
      </c>
      <c r="AE156" s="17">
        <v>100000</v>
      </c>
      <c r="AF156" s="17">
        <v>425000</v>
      </c>
      <c r="AG156" s="17"/>
      <c r="AH156" s="17"/>
      <c r="AI156" s="17"/>
      <c r="AJ156" s="17">
        <f t="shared" si="123"/>
        <v>425000</v>
      </c>
      <c r="AK156" s="17">
        <f t="shared" si="124"/>
        <v>525000</v>
      </c>
      <c r="AL156" s="17">
        <v>100000</v>
      </c>
      <c r="AM156" s="42">
        <v>425000</v>
      </c>
      <c r="AN156" s="42">
        <v>0</v>
      </c>
      <c r="AO156" s="42">
        <v>0</v>
      </c>
      <c r="AP156" s="17"/>
      <c r="AQ156" s="17">
        <f t="shared" si="125"/>
        <v>425000</v>
      </c>
      <c r="AR156" s="17">
        <f t="shared" si="126"/>
        <v>525000</v>
      </c>
      <c r="AS156" s="42">
        <v>100000</v>
      </c>
      <c r="AT156" s="42">
        <v>425000</v>
      </c>
      <c r="AU156" s="42">
        <v>0</v>
      </c>
      <c r="AV156" s="42">
        <v>0</v>
      </c>
      <c r="AW156" s="17">
        <f t="shared" si="127"/>
        <v>425000</v>
      </c>
      <c r="AX156" s="42">
        <f t="shared" si="128"/>
        <v>525000</v>
      </c>
      <c r="AY156" s="42">
        <v>100000</v>
      </c>
      <c r="AZ156" s="42">
        <v>0</v>
      </c>
      <c r="BA156" s="42">
        <f>425000+530000</f>
        <v>955000</v>
      </c>
      <c r="BB156" s="42"/>
      <c r="BC156" s="42">
        <f t="shared" ref="BC156:BC169" si="133">SUM(AZ156:BB156)</f>
        <v>955000</v>
      </c>
      <c r="BD156" s="42">
        <f t="shared" ref="BD156:BD187" si="134">AY156+BC156</f>
        <v>1055000</v>
      </c>
      <c r="BE156" s="42">
        <v>100000</v>
      </c>
      <c r="BF156" s="42">
        <v>530000</v>
      </c>
      <c r="BG156" s="42"/>
      <c r="BH156" s="42">
        <v>0</v>
      </c>
      <c r="BI156" s="42">
        <f t="shared" si="109"/>
        <v>530000</v>
      </c>
      <c r="BJ156" s="42">
        <f t="shared" si="110"/>
        <v>630000</v>
      </c>
      <c r="BK156" s="42">
        <v>100000</v>
      </c>
      <c r="BL156" s="42">
        <v>530000</v>
      </c>
      <c r="BM156" s="42">
        <v>0</v>
      </c>
      <c r="BN156" s="42">
        <v>0</v>
      </c>
      <c r="BO156" s="42">
        <f t="shared" si="112"/>
        <v>530000</v>
      </c>
      <c r="BP156" s="42">
        <f t="shared" si="113"/>
        <v>630000</v>
      </c>
      <c r="BQ156" s="69">
        <f t="shared" si="114"/>
        <v>3975000</v>
      </c>
      <c r="BR156" s="37"/>
    </row>
    <row r="157" spans="1:73">
      <c r="A157" s="15">
        <f t="shared" si="111"/>
        <v>153</v>
      </c>
      <c r="B157" s="43">
        <v>95070497</v>
      </c>
      <c r="C157" s="44" t="s">
        <v>237</v>
      </c>
      <c r="D157" s="44" t="s">
        <v>230</v>
      </c>
      <c r="E157" s="42">
        <v>2775000</v>
      </c>
      <c r="F157" s="17">
        <v>100000</v>
      </c>
      <c r="G157" s="17">
        <f>540000+554000</f>
        <v>1094000</v>
      </c>
      <c r="H157" s="17">
        <f t="shared" si="129"/>
        <v>1194000</v>
      </c>
      <c r="I157" s="17">
        <v>100000</v>
      </c>
      <c r="J157" s="17">
        <f>530000+683100</f>
        <v>1213100</v>
      </c>
      <c r="K157" s="17">
        <f t="shared" si="130"/>
        <v>1313100</v>
      </c>
      <c r="L157" s="17">
        <v>100000</v>
      </c>
      <c r="M157" s="17">
        <f>530000+1178500</f>
        <v>1708500</v>
      </c>
      <c r="N157" s="17">
        <f t="shared" si="131"/>
        <v>1808500</v>
      </c>
      <c r="O157" s="17">
        <v>100000</v>
      </c>
      <c r="P157" s="17">
        <f>604000+530000+177500</f>
        <v>1311500</v>
      </c>
      <c r="Q157" s="17">
        <f t="shared" si="132"/>
        <v>1411500</v>
      </c>
      <c r="R157" s="17">
        <v>100000</v>
      </c>
      <c r="S157" s="17">
        <f>530000</f>
        <v>530000</v>
      </c>
      <c r="T157" s="17">
        <f>14000+[7]System!$F$903</f>
        <v>532500</v>
      </c>
      <c r="U157" s="17">
        <v>0</v>
      </c>
      <c r="V157" s="17">
        <v>0</v>
      </c>
      <c r="W157" s="17">
        <f t="shared" si="120"/>
        <v>1162500</v>
      </c>
      <c r="X157" s="17">
        <v>100000</v>
      </c>
      <c r="Y157" s="17">
        <v>530000</v>
      </c>
      <c r="Z157" s="17">
        <f>[8]Credit!$E$1009</f>
        <v>355000</v>
      </c>
      <c r="AA157" s="17"/>
      <c r="AB157" s="17"/>
      <c r="AC157" s="17">
        <f t="shared" si="121"/>
        <v>885000</v>
      </c>
      <c r="AD157" s="17">
        <f t="shared" si="122"/>
        <v>985000</v>
      </c>
      <c r="AE157" s="17">
        <v>100000</v>
      </c>
      <c r="AF157" s="17">
        <v>530000</v>
      </c>
      <c r="AG157" s="17">
        <f>[9]Credit!$F$632</f>
        <v>108000</v>
      </c>
      <c r="AH157" s="17"/>
      <c r="AI157" s="17"/>
      <c r="AJ157" s="17">
        <f t="shared" si="123"/>
        <v>638000</v>
      </c>
      <c r="AK157" s="17">
        <f t="shared" si="124"/>
        <v>738000</v>
      </c>
      <c r="AL157" s="17">
        <v>100000</v>
      </c>
      <c r="AM157" s="42">
        <v>530000</v>
      </c>
      <c r="AN157" s="42">
        <f>[5]Credit!$E$1176</f>
        <v>627500</v>
      </c>
      <c r="AO157" s="42">
        <v>0</v>
      </c>
      <c r="AP157" s="17"/>
      <c r="AQ157" s="17">
        <f t="shared" si="125"/>
        <v>1157500</v>
      </c>
      <c r="AR157" s="17">
        <f t="shared" si="126"/>
        <v>1257500</v>
      </c>
      <c r="AS157" s="42">
        <v>100000</v>
      </c>
      <c r="AT157" s="42">
        <v>530000</v>
      </c>
      <c r="AU157" s="42">
        <f>[10]Credit!$E$1111</f>
        <v>504500</v>
      </c>
      <c r="AV157" s="42">
        <v>0</v>
      </c>
      <c r="AW157" s="17">
        <f t="shared" si="127"/>
        <v>1034500</v>
      </c>
      <c r="AX157" s="42">
        <f t="shared" si="128"/>
        <v>1134500</v>
      </c>
      <c r="AY157" s="42">
        <v>100000</v>
      </c>
      <c r="AZ157" s="42">
        <f>[6]Credit!$F$1121</f>
        <v>535500</v>
      </c>
      <c r="BA157" s="42">
        <v>530000</v>
      </c>
      <c r="BB157" s="42"/>
      <c r="BC157" s="42">
        <f t="shared" si="133"/>
        <v>1065500</v>
      </c>
      <c r="BD157" s="42">
        <f t="shared" si="134"/>
        <v>1165500</v>
      </c>
      <c r="BE157" s="42">
        <v>100000</v>
      </c>
      <c r="BF157" s="42">
        <v>530000</v>
      </c>
      <c r="BG157" s="42">
        <f>[11]Kredit!$E$1094</f>
        <v>553500</v>
      </c>
      <c r="BH157" s="42">
        <v>0</v>
      </c>
      <c r="BI157" s="42">
        <f t="shared" si="109"/>
        <v>1083500</v>
      </c>
      <c r="BJ157" s="42">
        <f t="shared" si="110"/>
        <v>1183500</v>
      </c>
      <c r="BK157" s="42">
        <v>100000</v>
      </c>
      <c r="BL157" s="42">
        <v>530000</v>
      </c>
      <c r="BM157" s="42">
        <f>[12]Credit!$E$1013</f>
        <v>727000</v>
      </c>
      <c r="BN157" s="42">
        <v>0</v>
      </c>
      <c r="BO157" s="42">
        <f t="shared" si="112"/>
        <v>1257000</v>
      </c>
      <c r="BP157" s="42">
        <f t="shared" si="113"/>
        <v>1357000</v>
      </c>
      <c r="BQ157" s="69">
        <f t="shared" si="114"/>
        <v>3975000</v>
      </c>
      <c r="BR157" s="51" t="s">
        <v>384</v>
      </c>
    </row>
    <row r="158" spans="1:73">
      <c r="A158" s="15">
        <f t="shared" si="111"/>
        <v>154</v>
      </c>
      <c r="B158" s="48" t="s">
        <v>69</v>
      </c>
      <c r="C158" s="44" t="s">
        <v>70</v>
      </c>
      <c r="D158" s="44" t="s">
        <v>230</v>
      </c>
      <c r="E158" s="42">
        <v>2775000</v>
      </c>
      <c r="F158" s="17">
        <v>100000</v>
      </c>
      <c r="G158" s="17">
        <f>540000+1000000</f>
        <v>1540000</v>
      </c>
      <c r="H158" s="17">
        <f t="shared" si="129"/>
        <v>1640000</v>
      </c>
      <c r="I158" s="17">
        <v>100000</v>
      </c>
      <c r="J158" s="17">
        <f>999500</f>
        <v>999500</v>
      </c>
      <c r="K158" s="17">
        <f t="shared" si="130"/>
        <v>1099500</v>
      </c>
      <c r="L158" s="17">
        <v>100000</v>
      </c>
      <c r="M158" s="17">
        <f>530000+988500</f>
        <v>1518500</v>
      </c>
      <c r="N158" s="17">
        <f t="shared" si="131"/>
        <v>1618500</v>
      </c>
      <c r="O158" s="17">
        <v>100000</v>
      </c>
      <c r="P158" s="17">
        <f>972500+530000</f>
        <v>1502500</v>
      </c>
      <c r="Q158" s="17">
        <f t="shared" si="132"/>
        <v>1602500</v>
      </c>
      <c r="R158" s="17">
        <v>100000</v>
      </c>
      <c r="S158" s="17">
        <f>530000</f>
        <v>530000</v>
      </c>
      <c r="T158" s="17">
        <f>[7]System!$F$912</f>
        <v>997000</v>
      </c>
      <c r="U158" s="17">
        <v>0</v>
      </c>
      <c r="V158" s="17">
        <f>21000</f>
        <v>21000</v>
      </c>
      <c r="W158" s="17">
        <f t="shared" si="120"/>
        <v>1648000</v>
      </c>
      <c r="X158" s="17">
        <v>100000</v>
      </c>
      <c r="Y158" s="17">
        <v>530000</v>
      </c>
      <c r="Z158" s="17">
        <f>[8]Credit!$E$1022</f>
        <v>989500</v>
      </c>
      <c r="AA158" s="17"/>
      <c r="AB158" s="17">
        <f>45000+60000</f>
        <v>105000</v>
      </c>
      <c r="AC158" s="17">
        <f t="shared" si="121"/>
        <v>1624500</v>
      </c>
      <c r="AD158" s="17">
        <f t="shared" si="122"/>
        <v>1724500</v>
      </c>
      <c r="AE158" s="17">
        <v>100000</v>
      </c>
      <c r="AF158" s="17">
        <v>530000</v>
      </c>
      <c r="AG158" s="17">
        <f>[9]Credit!$F$639</f>
        <v>1000000</v>
      </c>
      <c r="AH158" s="17"/>
      <c r="AI158" s="17">
        <v>70000</v>
      </c>
      <c r="AJ158" s="17">
        <f t="shared" si="123"/>
        <v>1600000</v>
      </c>
      <c r="AK158" s="17">
        <f t="shared" si="124"/>
        <v>1700000</v>
      </c>
      <c r="AL158" s="17">
        <v>100000</v>
      </c>
      <c r="AM158" s="42">
        <f>530000+530000</f>
        <v>1060000</v>
      </c>
      <c r="AN158" s="42">
        <f>[5]Credit!$E$1185</f>
        <v>994000</v>
      </c>
      <c r="AO158" s="42">
        <v>0</v>
      </c>
      <c r="AP158" s="17"/>
      <c r="AQ158" s="17">
        <f t="shared" si="125"/>
        <v>2054000</v>
      </c>
      <c r="AR158" s="17">
        <f t="shared" si="126"/>
        <v>2154000</v>
      </c>
      <c r="AS158" s="42">
        <v>100000</v>
      </c>
      <c r="AT158" s="42">
        <v>530000</v>
      </c>
      <c r="AU158" s="42">
        <f>[10]Credit!$E$1129</f>
        <v>992500</v>
      </c>
      <c r="AV158" s="42">
        <v>0</v>
      </c>
      <c r="AW158" s="17">
        <f t="shared" si="127"/>
        <v>1522500</v>
      </c>
      <c r="AX158" s="42">
        <f t="shared" si="128"/>
        <v>1622500</v>
      </c>
      <c r="AY158" s="42">
        <v>100000</v>
      </c>
      <c r="AZ158" s="42">
        <f>[6]Credit!$F$1131</f>
        <v>1000000</v>
      </c>
      <c r="BA158" s="42">
        <v>530000</v>
      </c>
      <c r="BB158" s="42"/>
      <c r="BC158" s="42">
        <f t="shared" si="133"/>
        <v>1530000</v>
      </c>
      <c r="BD158" s="42">
        <f t="shared" si="134"/>
        <v>1630000</v>
      </c>
      <c r="BE158" s="42">
        <v>100000</v>
      </c>
      <c r="BF158" s="42">
        <v>530000</v>
      </c>
      <c r="BG158" s="42">
        <f>[11]Kredit!$E$1108</f>
        <v>1000000</v>
      </c>
      <c r="BH158" s="42">
        <v>0</v>
      </c>
      <c r="BI158" s="42">
        <f t="shared" si="109"/>
        <v>1530000</v>
      </c>
      <c r="BJ158" s="42">
        <f t="shared" si="110"/>
        <v>1630000</v>
      </c>
      <c r="BK158" s="42">
        <v>100000</v>
      </c>
      <c r="BL158" s="42">
        <v>663125</v>
      </c>
      <c r="BM158" s="42">
        <f>[12]Credit!$E$1023</f>
        <v>997000</v>
      </c>
      <c r="BN158" s="42">
        <v>0</v>
      </c>
      <c r="BO158" s="42">
        <f t="shared" si="112"/>
        <v>1660125</v>
      </c>
      <c r="BP158" s="42">
        <f t="shared" si="113"/>
        <v>1760125</v>
      </c>
      <c r="BQ158" s="69">
        <f t="shared" si="114"/>
        <v>3975000</v>
      </c>
      <c r="BR158" s="37"/>
    </row>
    <row r="159" spans="1:73">
      <c r="A159" s="15">
        <f t="shared" si="111"/>
        <v>155</v>
      </c>
      <c r="B159" s="43">
        <v>99112148</v>
      </c>
      <c r="C159" s="44" t="s">
        <v>238</v>
      </c>
      <c r="D159" s="44" t="s">
        <v>230</v>
      </c>
      <c r="E159" s="42">
        <v>2775000</v>
      </c>
      <c r="F159" s="17">
        <v>100000</v>
      </c>
      <c r="G159" s="17">
        <f>530000+210000</f>
        <v>740000</v>
      </c>
      <c r="H159" s="17">
        <f t="shared" si="129"/>
        <v>840000</v>
      </c>
      <c r="I159" s="17">
        <v>100000</v>
      </c>
      <c r="J159" s="17">
        <f>530000+84000</f>
        <v>614000</v>
      </c>
      <c r="K159" s="17">
        <f t="shared" si="130"/>
        <v>714000</v>
      </c>
      <c r="L159" s="17">
        <v>100000</v>
      </c>
      <c r="M159" s="17">
        <f>530000+86000</f>
        <v>616000</v>
      </c>
      <c r="N159" s="17">
        <f t="shared" si="131"/>
        <v>716000</v>
      </c>
      <c r="O159" s="17">
        <v>100000</v>
      </c>
      <c r="P159" s="17">
        <f>530000+30000+92000</f>
        <v>652000</v>
      </c>
      <c r="Q159" s="17">
        <f t="shared" si="132"/>
        <v>752000</v>
      </c>
      <c r="R159" s="17">
        <v>100000</v>
      </c>
      <c r="S159" s="17">
        <f>530000</f>
        <v>530000</v>
      </c>
      <c r="T159" s="17">
        <f>15000+[7]System!$F$968</f>
        <v>178000</v>
      </c>
      <c r="U159" s="17">
        <v>0</v>
      </c>
      <c r="V159" s="17">
        <v>0</v>
      </c>
      <c r="W159" s="17">
        <f t="shared" si="120"/>
        <v>808000</v>
      </c>
      <c r="X159" s="17">
        <v>100000</v>
      </c>
      <c r="Y159" s="17">
        <v>530000</v>
      </c>
      <c r="Z159" s="17">
        <f>[8]Credit!$E$1082</f>
        <v>214500</v>
      </c>
      <c r="AA159" s="17"/>
      <c r="AB159" s="17"/>
      <c r="AC159" s="17">
        <f t="shared" si="121"/>
        <v>744500</v>
      </c>
      <c r="AD159" s="17">
        <f t="shared" si="122"/>
        <v>844500</v>
      </c>
      <c r="AE159" s="17">
        <v>100000</v>
      </c>
      <c r="AF159" s="17">
        <v>530000</v>
      </c>
      <c r="AG159" s="17">
        <f>[9]Credit!$F$672</f>
        <v>30000</v>
      </c>
      <c r="AH159" s="17"/>
      <c r="AI159" s="17"/>
      <c r="AJ159" s="17">
        <f t="shared" si="123"/>
        <v>560000</v>
      </c>
      <c r="AK159" s="17">
        <f t="shared" si="124"/>
        <v>660000</v>
      </c>
      <c r="AL159" s="17">
        <v>100000</v>
      </c>
      <c r="AM159" s="42">
        <v>530000</v>
      </c>
      <c r="AN159" s="42">
        <f>[5]Credit!$E$1220</f>
        <v>75000</v>
      </c>
      <c r="AO159" s="42">
        <v>0</v>
      </c>
      <c r="AP159" s="17"/>
      <c r="AQ159" s="17">
        <f t="shared" si="125"/>
        <v>605000</v>
      </c>
      <c r="AR159" s="17">
        <f t="shared" si="126"/>
        <v>705000</v>
      </c>
      <c r="AS159" s="42">
        <v>100000</v>
      </c>
      <c r="AT159" s="42">
        <v>530000</v>
      </c>
      <c r="AU159" s="42">
        <f>[10]Credit!$E$1168</f>
        <v>299500</v>
      </c>
      <c r="AV159" s="42">
        <v>0</v>
      </c>
      <c r="AW159" s="17">
        <f t="shared" si="127"/>
        <v>829500</v>
      </c>
      <c r="AX159" s="42">
        <f t="shared" si="128"/>
        <v>929500</v>
      </c>
      <c r="AY159" s="42">
        <v>100000</v>
      </c>
      <c r="AZ159" s="42">
        <f>[6]Credit!$F$1178</f>
        <v>385500</v>
      </c>
      <c r="BA159" s="42">
        <v>530000</v>
      </c>
      <c r="BB159" s="42"/>
      <c r="BC159" s="42">
        <f t="shared" si="133"/>
        <v>915500</v>
      </c>
      <c r="BD159" s="42">
        <f t="shared" si="134"/>
        <v>1015500</v>
      </c>
      <c r="BE159" s="42">
        <v>100000</v>
      </c>
      <c r="BF159" s="42">
        <f>530000</f>
        <v>530000</v>
      </c>
      <c r="BG159" s="42">
        <f>[11]Kredit!$E$1157</f>
        <v>296000</v>
      </c>
      <c r="BH159" s="42">
        <v>0</v>
      </c>
      <c r="BI159" s="42">
        <f t="shared" si="109"/>
        <v>826000</v>
      </c>
      <c r="BJ159" s="42">
        <f t="shared" si="110"/>
        <v>926000</v>
      </c>
      <c r="BK159" s="42">
        <v>100000</v>
      </c>
      <c r="BL159" s="42">
        <v>530000</v>
      </c>
      <c r="BM159" s="42">
        <f>[12]Credit!$E$1080</f>
        <v>358000</v>
      </c>
      <c r="BN159" s="42">
        <v>0</v>
      </c>
      <c r="BO159" s="42">
        <f t="shared" si="112"/>
        <v>888000</v>
      </c>
      <c r="BP159" s="42">
        <f t="shared" si="113"/>
        <v>988000</v>
      </c>
      <c r="BQ159" s="69">
        <f t="shared" si="114"/>
        <v>3975000</v>
      </c>
      <c r="BR159" s="38" t="s">
        <v>404</v>
      </c>
    </row>
    <row r="160" spans="1:73">
      <c r="A160" s="15">
        <f t="shared" si="111"/>
        <v>156</v>
      </c>
      <c r="B160" s="48" t="s">
        <v>239</v>
      </c>
      <c r="C160" s="44" t="s">
        <v>240</v>
      </c>
      <c r="D160" s="44" t="s">
        <v>230</v>
      </c>
      <c r="E160" s="42">
        <v>2775000</v>
      </c>
      <c r="F160" s="17">
        <v>100000</v>
      </c>
      <c r="G160" s="17">
        <f>531250</f>
        <v>531250</v>
      </c>
      <c r="H160" s="17">
        <f t="shared" si="129"/>
        <v>631250</v>
      </c>
      <c r="I160" s="17">
        <v>100000</v>
      </c>
      <c r="J160" s="17">
        <f>531250</f>
        <v>531250</v>
      </c>
      <c r="K160" s="17">
        <f t="shared" si="130"/>
        <v>631250</v>
      </c>
      <c r="L160" s="17">
        <v>100000</v>
      </c>
      <c r="M160" s="17">
        <v>531250</v>
      </c>
      <c r="N160" s="17">
        <f t="shared" si="131"/>
        <v>631250</v>
      </c>
      <c r="O160" s="17">
        <v>100000</v>
      </c>
      <c r="P160" s="17">
        <v>531250</v>
      </c>
      <c r="Q160" s="17">
        <f t="shared" si="132"/>
        <v>631250</v>
      </c>
      <c r="R160" s="17">
        <v>100000</v>
      </c>
      <c r="S160" s="17">
        <f>531250</f>
        <v>531250</v>
      </c>
      <c r="T160" s="17">
        <v>0</v>
      </c>
      <c r="U160" s="17">
        <v>0</v>
      </c>
      <c r="V160" s="17">
        <v>0</v>
      </c>
      <c r="W160" s="17">
        <f t="shared" si="120"/>
        <v>631250</v>
      </c>
      <c r="X160" s="17">
        <v>100000</v>
      </c>
      <c r="Y160" s="17">
        <v>531250</v>
      </c>
      <c r="Z160" s="17"/>
      <c r="AA160" s="17"/>
      <c r="AB160" s="17"/>
      <c r="AC160" s="17">
        <f t="shared" si="121"/>
        <v>531250</v>
      </c>
      <c r="AD160" s="17">
        <f t="shared" si="122"/>
        <v>631250</v>
      </c>
      <c r="AE160" s="17">
        <v>100000</v>
      </c>
      <c r="AF160" s="17">
        <v>531250</v>
      </c>
      <c r="AG160" s="17"/>
      <c r="AH160" s="17"/>
      <c r="AI160" s="17"/>
      <c r="AJ160" s="17">
        <f t="shared" si="123"/>
        <v>531250</v>
      </c>
      <c r="AK160" s="17">
        <f t="shared" si="124"/>
        <v>631250</v>
      </c>
      <c r="AL160" s="17">
        <v>100000</v>
      </c>
      <c r="AM160" s="42">
        <v>531250</v>
      </c>
      <c r="AN160" s="42">
        <v>0</v>
      </c>
      <c r="AO160" s="42">
        <v>0</v>
      </c>
      <c r="AP160" s="17"/>
      <c r="AQ160" s="17">
        <f t="shared" si="125"/>
        <v>531250</v>
      </c>
      <c r="AR160" s="17">
        <f t="shared" si="126"/>
        <v>631250</v>
      </c>
      <c r="AS160" s="42">
        <v>100000</v>
      </c>
      <c r="AT160" s="42">
        <v>531250</v>
      </c>
      <c r="AU160" s="42">
        <v>0</v>
      </c>
      <c r="AV160" s="42">
        <v>0</v>
      </c>
      <c r="AW160" s="17">
        <f t="shared" si="127"/>
        <v>531250</v>
      </c>
      <c r="AX160" s="42">
        <f t="shared" si="128"/>
        <v>631250</v>
      </c>
      <c r="AY160" s="42">
        <v>100000</v>
      </c>
      <c r="AZ160" s="42">
        <v>0</v>
      </c>
      <c r="BA160" s="42">
        <v>531250</v>
      </c>
      <c r="BB160" s="42"/>
      <c r="BC160" s="42">
        <f t="shared" si="133"/>
        <v>531250</v>
      </c>
      <c r="BD160" s="42">
        <f t="shared" si="134"/>
        <v>631250</v>
      </c>
      <c r="BE160" s="42">
        <v>100000</v>
      </c>
      <c r="BF160" s="42">
        <v>531250</v>
      </c>
      <c r="BG160" s="42"/>
      <c r="BH160" s="42">
        <v>0</v>
      </c>
      <c r="BI160" s="42">
        <f t="shared" si="109"/>
        <v>531250</v>
      </c>
      <c r="BJ160" s="42">
        <f t="shared" si="110"/>
        <v>631250</v>
      </c>
      <c r="BK160" s="42">
        <v>100000</v>
      </c>
      <c r="BL160" s="42">
        <v>531250</v>
      </c>
      <c r="BM160" s="42">
        <v>0</v>
      </c>
      <c r="BN160" s="42">
        <v>0</v>
      </c>
      <c r="BO160" s="42">
        <f t="shared" si="112"/>
        <v>531250</v>
      </c>
      <c r="BP160" s="42">
        <f t="shared" si="113"/>
        <v>631250</v>
      </c>
      <c r="BQ160" s="69">
        <f t="shared" si="114"/>
        <v>3975000</v>
      </c>
      <c r="BR160" s="37"/>
    </row>
    <row r="161" spans="1:71">
      <c r="A161" s="15">
        <f t="shared" si="111"/>
        <v>157</v>
      </c>
      <c r="B161" s="43">
        <v>99112128</v>
      </c>
      <c r="C161" s="44" t="s">
        <v>241</v>
      </c>
      <c r="D161" s="44" t="s">
        <v>230</v>
      </c>
      <c r="E161" s="42">
        <v>2775000</v>
      </c>
      <c r="F161" s="17">
        <v>100000</v>
      </c>
      <c r="G161" s="17"/>
      <c r="H161" s="17">
        <f t="shared" si="129"/>
        <v>100000</v>
      </c>
      <c r="I161" s="17">
        <v>100000</v>
      </c>
      <c r="J161" s="17"/>
      <c r="K161" s="17">
        <f t="shared" si="130"/>
        <v>100000</v>
      </c>
      <c r="L161" s="17">
        <v>100000</v>
      </c>
      <c r="M161" s="17"/>
      <c r="N161" s="17">
        <f t="shared" si="131"/>
        <v>100000</v>
      </c>
      <c r="O161" s="17">
        <v>100000</v>
      </c>
      <c r="P161" s="17">
        <f>270000</f>
        <v>270000</v>
      </c>
      <c r="Q161" s="17">
        <f t="shared" si="132"/>
        <v>370000</v>
      </c>
      <c r="R161" s="17">
        <v>100000</v>
      </c>
      <c r="S161" s="17">
        <f>270000</f>
        <v>270000</v>
      </c>
      <c r="T161" s="17">
        <v>0</v>
      </c>
      <c r="U161" s="17">
        <v>0</v>
      </c>
      <c r="V161" s="17">
        <v>0</v>
      </c>
      <c r="W161" s="17">
        <f t="shared" si="120"/>
        <v>370000</v>
      </c>
      <c r="X161" s="17">
        <v>100000</v>
      </c>
      <c r="Y161" s="17">
        <v>270000</v>
      </c>
      <c r="Z161" s="17"/>
      <c r="AA161" s="17"/>
      <c r="AB161" s="17"/>
      <c r="AC161" s="17">
        <f t="shared" si="121"/>
        <v>270000</v>
      </c>
      <c r="AD161" s="17">
        <f t="shared" si="122"/>
        <v>370000</v>
      </c>
      <c r="AE161" s="17">
        <v>100000</v>
      </c>
      <c r="AF161" s="17">
        <v>270000</v>
      </c>
      <c r="AG161" s="17"/>
      <c r="AH161" s="17"/>
      <c r="AI161" s="17"/>
      <c r="AJ161" s="17">
        <f t="shared" si="123"/>
        <v>270000</v>
      </c>
      <c r="AK161" s="17">
        <f t="shared" si="124"/>
        <v>370000</v>
      </c>
      <c r="AL161" s="17">
        <v>100000</v>
      </c>
      <c r="AM161" s="42">
        <v>270000</v>
      </c>
      <c r="AN161" s="42">
        <v>0</v>
      </c>
      <c r="AO161" s="42">
        <v>0</v>
      </c>
      <c r="AP161" s="17"/>
      <c r="AQ161" s="17">
        <f t="shared" si="125"/>
        <v>270000</v>
      </c>
      <c r="AR161" s="17">
        <f t="shared" si="126"/>
        <v>370000</v>
      </c>
      <c r="AS161" s="42">
        <v>100000</v>
      </c>
      <c r="AT161" s="42">
        <v>270000</v>
      </c>
      <c r="AU161" s="42">
        <v>0</v>
      </c>
      <c r="AV161" s="42">
        <v>0</v>
      </c>
      <c r="AW161" s="17">
        <f t="shared" si="127"/>
        <v>270000</v>
      </c>
      <c r="AX161" s="42">
        <f t="shared" si="128"/>
        <v>370000</v>
      </c>
      <c r="AY161" s="42">
        <v>100000</v>
      </c>
      <c r="AZ161" s="42">
        <v>0</v>
      </c>
      <c r="BA161" s="42">
        <v>530000</v>
      </c>
      <c r="BB161" s="42"/>
      <c r="BC161" s="42">
        <f t="shared" si="133"/>
        <v>530000</v>
      </c>
      <c r="BD161" s="42">
        <f t="shared" si="134"/>
        <v>630000</v>
      </c>
      <c r="BE161" s="42">
        <v>100000</v>
      </c>
      <c r="BF161" s="42">
        <v>530000</v>
      </c>
      <c r="BG161" s="42"/>
      <c r="BH161" s="42">
        <v>0</v>
      </c>
      <c r="BI161" s="42">
        <f t="shared" ref="BI161:BI192" si="135">SUM(BF161:BH161)</f>
        <v>530000</v>
      </c>
      <c r="BJ161" s="42">
        <f t="shared" ref="BJ161:BJ192" si="136">BE161+BI161</f>
        <v>630000</v>
      </c>
      <c r="BK161" s="42">
        <v>100000</v>
      </c>
      <c r="BL161" s="42">
        <v>530000</v>
      </c>
      <c r="BM161" s="42">
        <v>0</v>
      </c>
      <c r="BN161" s="42">
        <v>0</v>
      </c>
      <c r="BO161" s="42">
        <f t="shared" si="112"/>
        <v>530000</v>
      </c>
      <c r="BP161" s="42">
        <f t="shared" si="113"/>
        <v>630000</v>
      </c>
      <c r="BQ161" s="69">
        <f t="shared" si="114"/>
        <v>3975000</v>
      </c>
      <c r="BR161" s="37"/>
    </row>
    <row r="162" spans="1:71">
      <c r="A162" s="15">
        <f t="shared" si="111"/>
        <v>158</v>
      </c>
      <c r="B162" s="50">
        <v>99101685</v>
      </c>
      <c r="C162" s="44" t="s">
        <v>242</v>
      </c>
      <c r="D162" s="44" t="s">
        <v>243</v>
      </c>
      <c r="E162" s="42">
        <v>1100000</v>
      </c>
      <c r="F162" s="17">
        <v>100000</v>
      </c>
      <c r="G162" s="17">
        <f>530000+199000</f>
        <v>729000</v>
      </c>
      <c r="H162" s="17">
        <f t="shared" si="129"/>
        <v>829000</v>
      </c>
      <c r="I162" s="17">
        <v>100000</v>
      </c>
      <c r="J162" s="17">
        <f>530000+1360200</f>
        <v>1890200</v>
      </c>
      <c r="K162" s="17">
        <f t="shared" si="130"/>
        <v>1990200</v>
      </c>
      <c r="L162" s="17">
        <v>100000</v>
      </c>
      <c r="M162" s="17">
        <f>530000+995500</f>
        <v>1525500</v>
      </c>
      <c r="N162" s="17">
        <f t="shared" si="131"/>
        <v>1625500</v>
      </c>
      <c r="O162" s="17">
        <v>100000</v>
      </c>
      <c r="P162" s="17">
        <f>920600+530000+17000</f>
        <v>1467600</v>
      </c>
      <c r="Q162" s="17">
        <f t="shared" si="132"/>
        <v>1567600</v>
      </c>
      <c r="R162" s="17">
        <v>100000</v>
      </c>
      <c r="S162" s="17">
        <f>530000</f>
        <v>530000</v>
      </c>
      <c r="T162" s="17">
        <f>327500+[7]System!$F$148</f>
        <v>1325500</v>
      </c>
      <c r="U162" s="17">
        <v>0</v>
      </c>
      <c r="V162" s="17">
        <v>0</v>
      </c>
      <c r="W162" s="17">
        <f t="shared" si="120"/>
        <v>1955500</v>
      </c>
      <c r="X162" s="17">
        <v>100000</v>
      </c>
      <c r="Y162" s="17">
        <v>530000</v>
      </c>
      <c r="Z162" s="17">
        <f>[8]Credit!$E$143</f>
        <v>996700</v>
      </c>
      <c r="AA162" s="17"/>
      <c r="AB162" s="17">
        <v>50000</v>
      </c>
      <c r="AC162" s="17">
        <f t="shared" si="121"/>
        <v>1576700</v>
      </c>
      <c r="AD162" s="17">
        <f t="shared" si="122"/>
        <v>1676700</v>
      </c>
      <c r="AE162" s="17">
        <v>100000</v>
      </c>
      <c r="AF162" s="17"/>
      <c r="AG162" s="17">
        <f>[9]Credit!$F$107</f>
        <v>997500</v>
      </c>
      <c r="AH162" s="17"/>
      <c r="AI162" s="17"/>
      <c r="AJ162" s="17">
        <f t="shared" si="123"/>
        <v>997500</v>
      </c>
      <c r="AK162" s="17">
        <f t="shared" si="124"/>
        <v>1097500</v>
      </c>
      <c r="AL162" s="17">
        <v>100000</v>
      </c>
      <c r="AM162" s="42">
        <v>530000</v>
      </c>
      <c r="AN162" s="42">
        <f>[5]Credit!$E$200</f>
        <v>996000</v>
      </c>
      <c r="AO162" s="42">
        <v>0</v>
      </c>
      <c r="AP162" s="17"/>
      <c r="AQ162" s="17">
        <f t="shared" si="125"/>
        <v>1526000</v>
      </c>
      <c r="AR162" s="17">
        <f t="shared" si="126"/>
        <v>1626000</v>
      </c>
      <c r="AS162" s="42">
        <v>100000</v>
      </c>
      <c r="AT162" s="42">
        <v>530000</v>
      </c>
      <c r="AU162" s="42">
        <f>[10]Credit!$E$209</f>
        <v>996000</v>
      </c>
      <c r="AV162" s="42">
        <v>0</v>
      </c>
      <c r="AW162" s="17">
        <f t="shared" si="127"/>
        <v>1526000</v>
      </c>
      <c r="AX162" s="42">
        <f t="shared" si="128"/>
        <v>1626000</v>
      </c>
      <c r="AY162" s="42">
        <v>100000</v>
      </c>
      <c r="AZ162" s="42">
        <f>[6]Credit!$F$218</f>
        <v>990000</v>
      </c>
      <c r="BA162" s="42">
        <v>530000</v>
      </c>
      <c r="BB162" s="42"/>
      <c r="BC162" s="42">
        <f t="shared" si="133"/>
        <v>1520000</v>
      </c>
      <c r="BD162" s="42">
        <f t="shared" si="134"/>
        <v>1620000</v>
      </c>
      <c r="BE162" s="42">
        <v>100000</v>
      </c>
      <c r="BF162" s="42">
        <v>530000</v>
      </c>
      <c r="BG162" s="42">
        <f>[11]Kredit!$E$252</f>
        <v>995200</v>
      </c>
      <c r="BH162" s="42">
        <v>0</v>
      </c>
      <c r="BI162" s="42">
        <f t="shared" si="135"/>
        <v>1525200</v>
      </c>
      <c r="BJ162" s="42">
        <f t="shared" si="136"/>
        <v>1625200</v>
      </c>
      <c r="BK162" s="42">
        <v>100000</v>
      </c>
      <c r="BL162" s="42">
        <v>530000</v>
      </c>
      <c r="BM162" s="42">
        <f>[12]Credit!$E$231</f>
        <v>996500</v>
      </c>
      <c r="BN162" s="42">
        <v>0</v>
      </c>
      <c r="BO162" s="42">
        <f t="shared" si="112"/>
        <v>1526500</v>
      </c>
      <c r="BP162" s="42">
        <f t="shared" si="113"/>
        <v>1626500</v>
      </c>
      <c r="BQ162" s="69">
        <f t="shared" si="114"/>
        <v>2300000</v>
      </c>
      <c r="BR162" s="37"/>
    </row>
    <row r="163" spans="1:71">
      <c r="A163" s="15">
        <f t="shared" si="111"/>
        <v>159</v>
      </c>
      <c r="B163" s="48" t="s">
        <v>244</v>
      </c>
      <c r="C163" s="44" t="s">
        <v>245</v>
      </c>
      <c r="D163" s="44" t="s">
        <v>243</v>
      </c>
      <c r="E163" s="42">
        <v>2775000</v>
      </c>
      <c r="F163" s="17">
        <v>100000</v>
      </c>
      <c r="G163" s="17">
        <f>440000+130500</f>
        <v>570500</v>
      </c>
      <c r="H163" s="17">
        <f t="shared" si="129"/>
        <v>670500</v>
      </c>
      <c r="I163" s="17">
        <v>100000</v>
      </c>
      <c r="J163" s="17">
        <f>530000+154000</f>
        <v>684000</v>
      </c>
      <c r="K163" s="17">
        <f t="shared" si="130"/>
        <v>784000</v>
      </c>
      <c r="L163" s="17">
        <v>100000</v>
      </c>
      <c r="M163" s="17">
        <f>530000+150500</f>
        <v>680500</v>
      </c>
      <c r="N163" s="17">
        <f t="shared" si="131"/>
        <v>780500</v>
      </c>
      <c r="O163" s="17">
        <v>100000</v>
      </c>
      <c r="P163" s="17">
        <f>114500+530000+50000</f>
        <v>694500</v>
      </c>
      <c r="Q163" s="17">
        <f t="shared" si="132"/>
        <v>794500</v>
      </c>
      <c r="R163" s="17">
        <v>100000</v>
      </c>
      <c r="S163" s="17">
        <f>530000</f>
        <v>530000</v>
      </c>
      <c r="T163" s="17">
        <f>98000+[7]System!$F$205</f>
        <v>334000</v>
      </c>
      <c r="U163" s="17">
        <v>0</v>
      </c>
      <c r="V163" s="17">
        <f>15000</f>
        <v>15000</v>
      </c>
      <c r="W163" s="17">
        <f t="shared" si="120"/>
        <v>979000</v>
      </c>
      <c r="X163" s="17">
        <v>100000</v>
      </c>
      <c r="Y163" s="17">
        <v>530000</v>
      </c>
      <c r="Z163" s="17">
        <f>[8]Credit!$E$198</f>
        <v>307500</v>
      </c>
      <c r="AA163" s="17"/>
      <c r="AB163" s="17">
        <v>10000</v>
      </c>
      <c r="AC163" s="17">
        <f t="shared" si="121"/>
        <v>847500</v>
      </c>
      <c r="AD163" s="17">
        <f t="shared" si="122"/>
        <v>947500</v>
      </c>
      <c r="AE163" s="17">
        <v>100000</v>
      </c>
      <c r="AF163" s="17">
        <v>530000</v>
      </c>
      <c r="AG163" s="17">
        <f>[9]Credit!$F$143</f>
        <v>169000</v>
      </c>
      <c r="AH163" s="17"/>
      <c r="AI163" s="17"/>
      <c r="AJ163" s="17">
        <f t="shared" si="123"/>
        <v>699000</v>
      </c>
      <c r="AK163" s="17">
        <f t="shared" si="124"/>
        <v>799000</v>
      </c>
      <c r="AL163" s="17">
        <v>100000</v>
      </c>
      <c r="AM163" s="42">
        <v>530000</v>
      </c>
      <c r="AN163" s="42">
        <f>[5]Credit!$E$275</f>
        <v>224750</v>
      </c>
      <c r="AO163" s="42">
        <v>0</v>
      </c>
      <c r="AP163" s="17"/>
      <c r="AQ163" s="17">
        <f t="shared" si="125"/>
        <v>754750</v>
      </c>
      <c r="AR163" s="17">
        <f t="shared" si="126"/>
        <v>854750</v>
      </c>
      <c r="AS163" s="42">
        <v>100000</v>
      </c>
      <c r="AT163" s="42">
        <v>530000</v>
      </c>
      <c r="AU163" s="42">
        <f>[10]Credit!$E$283</f>
        <v>395000</v>
      </c>
      <c r="AV163" s="42">
        <v>0</v>
      </c>
      <c r="AW163" s="17">
        <f t="shared" si="127"/>
        <v>925000</v>
      </c>
      <c r="AX163" s="42">
        <f t="shared" si="128"/>
        <v>1025000</v>
      </c>
      <c r="AY163" s="42">
        <v>100000</v>
      </c>
      <c r="AZ163" s="42">
        <f>[6]Credit!$F$286</f>
        <v>368700</v>
      </c>
      <c r="BA163" s="42">
        <v>530000</v>
      </c>
      <c r="BB163" s="42"/>
      <c r="BC163" s="42">
        <f t="shared" si="133"/>
        <v>898700</v>
      </c>
      <c r="BD163" s="42">
        <f t="shared" si="134"/>
        <v>998700</v>
      </c>
      <c r="BE163" s="42">
        <v>100000</v>
      </c>
      <c r="BF163" s="42">
        <v>530000</v>
      </c>
      <c r="BG163" s="42">
        <f>[11]Kredit!$E$320</f>
        <v>637500</v>
      </c>
      <c r="BH163" s="42">
        <v>0</v>
      </c>
      <c r="BI163" s="42">
        <f t="shared" si="135"/>
        <v>1167500</v>
      </c>
      <c r="BJ163" s="42">
        <f t="shared" si="136"/>
        <v>1267500</v>
      </c>
      <c r="BK163" s="42">
        <v>100000</v>
      </c>
      <c r="BL163" s="42">
        <v>530000</v>
      </c>
      <c r="BM163" s="42">
        <f>[12]Credit!$E$327</f>
        <v>848450</v>
      </c>
      <c r="BN163" s="42">
        <v>0</v>
      </c>
      <c r="BO163" s="42">
        <f t="shared" si="112"/>
        <v>1378450</v>
      </c>
      <c r="BP163" s="42">
        <f t="shared" si="113"/>
        <v>1478450</v>
      </c>
      <c r="BQ163" s="69">
        <f t="shared" si="114"/>
        <v>3975000</v>
      </c>
      <c r="BR163" s="49"/>
    </row>
    <row r="164" spans="1:71">
      <c r="A164" s="15">
        <f t="shared" si="111"/>
        <v>160</v>
      </c>
      <c r="B164" s="48" t="s">
        <v>246</v>
      </c>
      <c r="C164" s="44" t="s">
        <v>247</v>
      </c>
      <c r="D164" s="44" t="s">
        <v>243</v>
      </c>
      <c r="E164" s="42">
        <v>2775000</v>
      </c>
      <c r="F164" s="17">
        <v>100000</v>
      </c>
      <c r="G164" s="17">
        <f>270000</f>
        <v>270000</v>
      </c>
      <c r="H164" s="17">
        <f t="shared" si="129"/>
        <v>370000</v>
      </c>
      <c r="I164" s="17">
        <v>100000</v>
      </c>
      <c r="J164" s="17">
        <f>270000</f>
        <v>270000</v>
      </c>
      <c r="K164" s="17">
        <f t="shared" si="130"/>
        <v>370000</v>
      </c>
      <c r="L164" s="17">
        <v>100000</v>
      </c>
      <c r="M164" s="17">
        <v>270000</v>
      </c>
      <c r="N164" s="17">
        <f t="shared" si="131"/>
        <v>370000</v>
      </c>
      <c r="O164" s="17">
        <v>100000</v>
      </c>
      <c r="P164" s="17"/>
      <c r="Q164" s="17">
        <f t="shared" si="132"/>
        <v>100000</v>
      </c>
      <c r="R164" s="17">
        <v>100000</v>
      </c>
      <c r="S164" s="17">
        <f>425000</f>
        <v>425000</v>
      </c>
      <c r="T164" s="17">
        <v>0</v>
      </c>
      <c r="U164" s="17">
        <v>0</v>
      </c>
      <c r="V164" s="17">
        <v>0</v>
      </c>
      <c r="W164" s="17">
        <f t="shared" si="120"/>
        <v>525000</v>
      </c>
      <c r="X164" s="17">
        <v>100000</v>
      </c>
      <c r="Y164" s="17">
        <v>425000</v>
      </c>
      <c r="Z164" s="17"/>
      <c r="AA164" s="17"/>
      <c r="AB164" s="17"/>
      <c r="AC164" s="17">
        <f t="shared" si="121"/>
        <v>425000</v>
      </c>
      <c r="AD164" s="17">
        <f t="shared" si="122"/>
        <v>525000</v>
      </c>
      <c r="AE164" s="17">
        <v>100000</v>
      </c>
      <c r="AF164" s="17">
        <v>425000</v>
      </c>
      <c r="AG164" s="17"/>
      <c r="AH164" s="17"/>
      <c r="AI164" s="17"/>
      <c r="AJ164" s="17">
        <f t="shared" si="123"/>
        <v>425000</v>
      </c>
      <c r="AK164" s="17">
        <f t="shared" si="124"/>
        <v>525000</v>
      </c>
      <c r="AL164" s="17">
        <v>100000</v>
      </c>
      <c r="AM164" s="42">
        <v>425000</v>
      </c>
      <c r="AN164" s="42">
        <v>0</v>
      </c>
      <c r="AO164" s="42">
        <v>0</v>
      </c>
      <c r="AP164" s="17"/>
      <c r="AQ164" s="17">
        <f t="shared" si="125"/>
        <v>425000</v>
      </c>
      <c r="AR164" s="17">
        <f t="shared" si="126"/>
        <v>525000</v>
      </c>
      <c r="AS164" s="42">
        <v>100000</v>
      </c>
      <c r="AT164" s="42">
        <v>425000</v>
      </c>
      <c r="AU164" s="42">
        <v>0</v>
      </c>
      <c r="AV164" s="42">
        <v>0</v>
      </c>
      <c r="AW164" s="17">
        <f t="shared" si="127"/>
        <v>425000</v>
      </c>
      <c r="AX164" s="42">
        <f t="shared" si="128"/>
        <v>525000</v>
      </c>
      <c r="AY164" s="42">
        <v>100000</v>
      </c>
      <c r="AZ164" s="42">
        <v>0</v>
      </c>
      <c r="BA164" s="42"/>
      <c r="BB164" s="42"/>
      <c r="BC164" s="42">
        <f t="shared" si="133"/>
        <v>0</v>
      </c>
      <c r="BD164" s="42">
        <f t="shared" si="134"/>
        <v>100000</v>
      </c>
      <c r="BE164" s="42">
        <v>100000</v>
      </c>
      <c r="BF164" s="42">
        <v>0</v>
      </c>
      <c r="BG164" s="42"/>
      <c r="BH164" s="42">
        <v>0</v>
      </c>
      <c r="BI164" s="42">
        <f t="shared" si="135"/>
        <v>0</v>
      </c>
      <c r="BJ164" s="42">
        <f t="shared" si="136"/>
        <v>100000</v>
      </c>
      <c r="BK164" s="42">
        <v>100000</v>
      </c>
      <c r="BL164" s="42">
        <v>0</v>
      </c>
      <c r="BM164" s="42">
        <v>0</v>
      </c>
      <c r="BN164" s="42">
        <v>0</v>
      </c>
      <c r="BO164" s="42">
        <f t="shared" si="112"/>
        <v>0</v>
      </c>
      <c r="BP164" s="42">
        <f t="shared" si="113"/>
        <v>100000</v>
      </c>
      <c r="BQ164" s="69">
        <f t="shared" si="114"/>
        <v>3975000</v>
      </c>
      <c r="BR164" s="37"/>
    </row>
    <row r="165" spans="1:71">
      <c r="A165" s="15">
        <f t="shared" si="111"/>
        <v>161</v>
      </c>
      <c r="B165" s="50">
        <v>11048235</v>
      </c>
      <c r="C165" s="44" t="s">
        <v>248</v>
      </c>
      <c r="D165" s="44" t="s">
        <v>243</v>
      </c>
      <c r="E165" s="42">
        <v>1300000</v>
      </c>
      <c r="F165" s="17">
        <v>100000</v>
      </c>
      <c r="G165" s="17">
        <f>425000</f>
        <v>425000</v>
      </c>
      <c r="H165" s="17">
        <f t="shared" si="129"/>
        <v>525000</v>
      </c>
      <c r="I165" s="17">
        <v>100000</v>
      </c>
      <c r="J165" s="17">
        <f>425000+410000</f>
        <v>835000</v>
      </c>
      <c r="K165" s="17">
        <f t="shared" si="130"/>
        <v>935000</v>
      </c>
      <c r="L165" s="17">
        <v>100000</v>
      </c>
      <c r="M165" s="17">
        <f>425000+436500</f>
        <v>861500</v>
      </c>
      <c r="N165" s="17">
        <f t="shared" si="131"/>
        <v>961500</v>
      </c>
      <c r="O165" s="17">
        <v>100000</v>
      </c>
      <c r="P165" s="17">
        <f>349000+425000+6000</f>
        <v>780000</v>
      </c>
      <c r="Q165" s="17">
        <f t="shared" si="132"/>
        <v>880000</v>
      </c>
      <c r="R165" s="17">
        <v>100000</v>
      </c>
      <c r="S165" s="17">
        <f>530000</f>
        <v>530000</v>
      </c>
      <c r="T165" s="17">
        <f>26000+[7]System!$F$401</f>
        <v>198100</v>
      </c>
      <c r="U165" s="17">
        <v>0</v>
      </c>
      <c r="V165" s="17">
        <v>0</v>
      </c>
      <c r="W165" s="17">
        <f t="shared" si="120"/>
        <v>828100</v>
      </c>
      <c r="X165" s="17">
        <v>100000</v>
      </c>
      <c r="Y165" s="17">
        <v>530000</v>
      </c>
      <c r="Z165" s="17">
        <f>[8]Credit!$E$413</f>
        <v>379500</v>
      </c>
      <c r="AA165" s="17"/>
      <c r="AB165" s="17">
        <v>50000</v>
      </c>
      <c r="AC165" s="17">
        <f t="shared" si="121"/>
        <v>959500</v>
      </c>
      <c r="AD165" s="17">
        <f t="shared" si="122"/>
        <v>1059500</v>
      </c>
      <c r="AE165" s="17">
        <v>100000</v>
      </c>
      <c r="AF165" s="17">
        <v>530000</v>
      </c>
      <c r="AG165" s="17"/>
      <c r="AH165" s="17"/>
      <c r="AI165" s="17"/>
      <c r="AJ165" s="17">
        <f t="shared" si="123"/>
        <v>530000</v>
      </c>
      <c r="AK165" s="17">
        <f t="shared" si="124"/>
        <v>630000</v>
      </c>
      <c r="AL165" s="17">
        <v>100000</v>
      </c>
      <c r="AM165" s="42">
        <v>530000</v>
      </c>
      <c r="AN165" s="42">
        <f>[5]Credit!$E$467</f>
        <v>431500</v>
      </c>
      <c r="AO165" s="42">
        <v>0</v>
      </c>
      <c r="AP165" s="17"/>
      <c r="AQ165" s="17">
        <f t="shared" si="125"/>
        <v>961500</v>
      </c>
      <c r="AR165" s="17">
        <f t="shared" si="126"/>
        <v>1061500</v>
      </c>
      <c r="AS165" s="42">
        <v>100000</v>
      </c>
      <c r="AT165" s="42">
        <v>530000</v>
      </c>
      <c r="AU165" s="42">
        <f>[10]Credit!$E$473</f>
        <v>196000</v>
      </c>
      <c r="AV165" s="42">
        <v>0</v>
      </c>
      <c r="AW165" s="17">
        <f t="shared" si="127"/>
        <v>726000</v>
      </c>
      <c r="AX165" s="42">
        <f t="shared" si="128"/>
        <v>826000</v>
      </c>
      <c r="AY165" s="42">
        <v>100000</v>
      </c>
      <c r="AZ165" s="42">
        <f>[6]Credit!$F$496</f>
        <v>423500</v>
      </c>
      <c r="BA165" s="42">
        <v>530000</v>
      </c>
      <c r="BB165" s="42"/>
      <c r="BC165" s="42">
        <f t="shared" si="133"/>
        <v>953500</v>
      </c>
      <c r="BD165" s="42">
        <f t="shared" si="134"/>
        <v>1053500</v>
      </c>
      <c r="BE165" s="42">
        <v>100000</v>
      </c>
      <c r="BF165" s="42">
        <v>1060000</v>
      </c>
      <c r="BG165" s="42">
        <f>[11]Kredit!$E$582</f>
        <v>315000</v>
      </c>
      <c r="BH165" s="42">
        <v>0</v>
      </c>
      <c r="BI165" s="42">
        <f t="shared" si="135"/>
        <v>1375000</v>
      </c>
      <c r="BJ165" s="42">
        <f t="shared" si="136"/>
        <v>1475000</v>
      </c>
      <c r="BK165" s="42">
        <v>100000</v>
      </c>
      <c r="BL165" s="42">
        <v>1060000</v>
      </c>
      <c r="BM165" s="42">
        <f>[12]Credit!$E$557</f>
        <v>418500</v>
      </c>
      <c r="BN165" s="42">
        <v>0</v>
      </c>
      <c r="BO165" s="42">
        <f t="shared" ref="BO165:BO194" si="137">SUM(BL165:BN165)</f>
        <v>1478500</v>
      </c>
      <c r="BP165" s="42">
        <f t="shared" ref="BP165:BP194" si="138">BK165+BO165</f>
        <v>1578500</v>
      </c>
      <c r="BQ165" s="69">
        <f t="shared" ref="BQ165:BQ194" si="139">E165+F165+I165+L165+O165+R165+X165+AE165+AL165+AS165+AY165+BE165+BK165</f>
        <v>2500000</v>
      </c>
      <c r="BR165" s="37"/>
    </row>
    <row r="166" spans="1:71">
      <c r="A166" s="15">
        <f t="shared" si="111"/>
        <v>162</v>
      </c>
      <c r="B166" s="50">
        <v>12109395</v>
      </c>
      <c r="C166" s="44" t="s">
        <v>410</v>
      </c>
      <c r="D166" s="44" t="s">
        <v>243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17">
        <v>200000</v>
      </c>
      <c r="P166" s="42">
        <v>5000</v>
      </c>
      <c r="Q166" s="17">
        <f t="shared" si="132"/>
        <v>205000</v>
      </c>
      <c r="R166" s="17">
        <v>100000</v>
      </c>
      <c r="S166" s="17">
        <v>0</v>
      </c>
      <c r="T166" s="17">
        <f>[7]System!$F$429</f>
        <v>60500</v>
      </c>
      <c r="U166" s="17">
        <v>0</v>
      </c>
      <c r="V166" s="17">
        <v>0</v>
      </c>
      <c r="W166" s="17">
        <f t="shared" si="120"/>
        <v>160500</v>
      </c>
      <c r="X166" s="17">
        <v>100000</v>
      </c>
      <c r="Y166" s="42">
        <v>425000</v>
      </c>
      <c r="Z166" s="42">
        <f>[8]Credit!$E$453</f>
        <v>103500</v>
      </c>
      <c r="AA166" s="42"/>
      <c r="AB166" s="42">
        <v>60000</v>
      </c>
      <c r="AC166" s="17">
        <f t="shared" si="121"/>
        <v>588500</v>
      </c>
      <c r="AD166" s="17">
        <f t="shared" si="122"/>
        <v>688500</v>
      </c>
      <c r="AE166" s="17">
        <v>100000</v>
      </c>
      <c r="AF166" s="42">
        <v>425000</v>
      </c>
      <c r="AG166" s="42">
        <f>[9]Credit!$F$300</f>
        <v>154500</v>
      </c>
      <c r="AH166" s="42"/>
      <c r="AI166" s="42"/>
      <c r="AJ166" s="17">
        <f t="shared" si="123"/>
        <v>579500</v>
      </c>
      <c r="AK166" s="17">
        <f t="shared" si="124"/>
        <v>679500</v>
      </c>
      <c r="AL166" s="17">
        <v>100000</v>
      </c>
      <c r="AM166" s="42">
        <v>425000</v>
      </c>
      <c r="AN166" s="42">
        <f>[5]Credit!$E$516</f>
        <v>284000</v>
      </c>
      <c r="AO166" s="42">
        <v>0</v>
      </c>
      <c r="AP166" s="42"/>
      <c r="AQ166" s="17">
        <f t="shared" si="125"/>
        <v>709000</v>
      </c>
      <c r="AR166" s="17">
        <f t="shared" si="126"/>
        <v>809000</v>
      </c>
      <c r="AS166" s="42">
        <v>100000</v>
      </c>
      <c r="AT166" s="42">
        <v>425000</v>
      </c>
      <c r="AU166" s="42">
        <f>[10]Credit!$E$526</f>
        <v>255500</v>
      </c>
      <c r="AV166" s="42">
        <v>0</v>
      </c>
      <c r="AW166" s="17">
        <f t="shared" si="127"/>
        <v>680500</v>
      </c>
      <c r="AX166" s="42">
        <f t="shared" si="128"/>
        <v>780500</v>
      </c>
      <c r="AY166" s="42">
        <v>100000</v>
      </c>
      <c r="AZ166" s="42">
        <f>[6]Credit!$F$542</f>
        <v>213000</v>
      </c>
      <c r="BA166" s="42">
        <v>425000</v>
      </c>
      <c r="BB166" s="42">
        <v>397500</v>
      </c>
      <c r="BC166" s="42">
        <f t="shared" si="133"/>
        <v>1035500</v>
      </c>
      <c r="BD166" s="42">
        <f t="shared" si="134"/>
        <v>1135500</v>
      </c>
      <c r="BE166" s="42">
        <v>100000</v>
      </c>
      <c r="BF166" s="42">
        <v>530000</v>
      </c>
      <c r="BG166" s="42">
        <f>[11]Kredit!$E$613</f>
        <v>90500</v>
      </c>
      <c r="BH166" s="42">
        <v>397500</v>
      </c>
      <c r="BI166" s="42">
        <f t="shared" si="135"/>
        <v>1018000</v>
      </c>
      <c r="BJ166" s="42">
        <f t="shared" si="136"/>
        <v>1118000</v>
      </c>
      <c r="BK166" s="42">
        <v>100000</v>
      </c>
      <c r="BL166" s="42">
        <v>530000</v>
      </c>
      <c r="BM166" s="42">
        <f>[12]Credit!$E$583</f>
        <v>218500</v>
      </c>
      <c r="BN166" s="42">
        <v>397500</v>
      </c>
      <c r="BO166" s="42">
        <f t="shared" si="137"/>
        <v>1146000</v>
      </c>
      <c r="BP166" s="42">
        <f t="shared" si="138"/>
        <v>1246000</v>
      </c>
      <c r="BQ166" s="69">
        <f t="shared" si="139"/>
        <v>1000000</v>
      </c>
      <c r="BR166" s="37"/>
    </row>
    <row r="167" spans="1:71">
      <c r="A167" s="15">
        <f t="shared" si="111"/>
        <v>163</v>
      </c>
      <c r="B167" s="43">
        <v>99101944</v>
      </c>
      <c r="C167" s="44" t="s">
        <v>249</v>
      </c>
      <c r="D167" s="44" t="s">
        <v>243</v>
      </c>
      <c r="E167" s="42">
        <v>2775000</v>
      </c>
      <c r="F167" s="17">
        <v>100000</v>
      </c>
      <c r="G167" s="17">
        <f>540000+94000</f>
        <v>634000</v>
      </c>
      <c r="H167" s="17">
        <f t="shared" ref="H167:H172" si="140">F167+G167</f>
        <v>734000</v>
      </c>
      <c r="I167" s="17">
        <v>100000</v>
      </c>
      <c r="J167" s="17">
        <f>530000+340000</f>
        <v>870000</v>
      </c>
      <c r="K167" s="17">
        <f t="shared" ref="K167:K172" si="141">I167+J167</f>
        <v>970000</v>
      </c>
      <c r="L167" s="17">
        <v>100000</v>
      </c>
      <c r="M167" s="17">
        <f>530000+160000</f>
        <v>690000</v>
      </c>
      <c r="N167" s="17">
        <f t="shared" ref="N167:N172" si="142">L167+M167</f>
        <v>790000</v>
      </c>
      <c r="O167" s="17">
        <v>100000</v>
      </c>
      <c r="P167" s="17">
        <f>530000+101000+455000</f>
        <v>1086000</v>
      </c>
      <c r="Q167" s="17">
        <f t="shared" si="132"/>
        <v>1186000</v>
      </c>
      <c r="R167" s="17">
        <v>100000</v>
      </c>
      <c r="S167" s="17">
        <f t="shared" ref="S167:S172" si="143">530000</f>
        <v>530000</v>
      </c>
      <c r="T167" s="17">
        <f>[7]System!$F$564</f>
        <v>133000</v>
      </c>
      <c r="U167" s="17">
        <v>0</v>
      </c>
      <c r="V167" s="17">
        <f>21000</f>
        <v>21000</v>
      </c>
      <c r="W167" s="17">
        <f t="shared" si="120"/>
        <v>784000</v>
      </c>
      <c r="X167" s="17">
        <v>100000</v>
      </c>
      <c r="Y167" s="17">
        <v>530000</v>
      </c>
      <c r="Z167" s="17">
        <f>[8]Credit!$E$597</f>
        <v>648500</v>
      </c>
      <c r="AA167" s="17"/>
      <c r="AB167" s="17">
        <f>35000+25000</f>
        <v>60000</v>
      </c>
      <c r="AC167" s="17">
        <f t="shared" si="121"/>
        <v>1238500</v>
      </c>
      <c r="AD167" s="17">
        <f t="shared" si="122"/>
        <v>1338500</v>
      </c>
      <c r="AE167" s="17">
        <v>100000</v>
      </c>
      <c r="AF167" s="17">
        <v>530000</v>
      </c>
      <c r="AG167" s="17"/>
      <c r="AH167" s="17"/>
      <c r="AI167" s="17"/>
      <c r="AJ167" s="17">
        <f t="shared" si="123"/>
        <v>530000</v>
      </c>
      <c r="AK167" s="17">
        <f t="shared" si="124"/>
        <v>630000</v>
      </c>
      <c r="AL167" s="17">
        <v>100000</v>
      </c>
      <c r="AM167" s="42">
        <v>0</v>
      </c>
      <c r="AN167" s="42">
        <f>[5]Credit!$E$705</f>
        <v>93000</v>
      </c>
      <c r="AO167" s="42">
        <v>0</v>
      </c>
      <c r="AP167" s="17"/>
      <c r="AQ167" s="17">
        <f t="shared" si="125"/>
        <v>93000</v>
      </c>
      <c r="AR167" s="17">
        <f t="shared" si="126"/>
        <v>193000</v>
      </c>
      <c r="AS167" s="42">
        <v>100000</v>
      </c>
      <c r="AT167" s="42">
        <v>0</v>
      </c>
      <c r="AU167" s="42">
        <f>[10]Credit!$E$685</f>
        <v>170000</v>
      </c>
      <c r="AV167" s="42">
        <v>0</v>
      </c>
      <c r="AW167" s="17">
        <f t="shared" si="127"/>
        <v>170000</v>
      </c>
      <c r="AX167" s="42">
        <f t="shared" si="128"/>
        <v>270000</v>
      </c>
      <c r="AY167" s="42">
        <v>100000</v>
      </c>
      <c r="AZ167" s="42">
        <f>[6]Credit!$F$711</f>
        <v>109000</v>
      </c>
      <c r="BA167" s="42">
        <v>528125</v>
      </c>
      <c r="BB167" s="42"/>
      <c r="BC167" s="42">
        <f t="shared" si="133"/>
        <v>637125</v>
      </c>
      <c r="BD167" s="42">
        <f t="shared" si="134"/>
        <v>737125</v>
      </c>
      <c r="BE167" s="42">
        <v>100000</v>
      </c>
      <c r="BF167" s="42">
        <v>528125</v>
      </c>
      <c r="BG167" s="42"/>
      <c r="BH167" s="42">
        <v>0</v>
      </c>
      <c r="BI167" s="42">
        <f t="shared" si="135"/>
        <v>528125</v>
      </c>
      <c r="BJ167" s="42">
        <f t="shared" si="136"/>
        <v>628125</v>
      </c>
      <c r="BK167" s="42">
        <v>100000</v>
      </c>
      <c r="BL167" s="42">
        <v>528125</v>
      </c>
      <c r="BM167" s="42">
        <f>[12]Credit!$E$667</f>
        <v>268000</v>
      </c>
      <c r="BN167" s="42">
        <v>0</v>
      </c>
      <c r="BO167" s="42">
        <f t="shared" si="137"/>
        <v>796125</v>
      </c>
      <c r="BP167" s="42">
        <f t="shared" si="138"/>
        <v>896125</v>
      </c>
      <c r="BQ167" s="69">
        <f t="shared" si="139"/>
        <v>3975000</v>
      </c>
      <c r="BR167" s="37" t="s">
        <v>375</v>
      </c>
    </row>
    <row r="168" spans="1:71">
      <c r="A168" s="15">
        <f t="shared" si="111"/>
        <v>164</v>
      </c>
      <c r="B168" s="66">
        <v>99101859</v>
      </c>
      <c r="C168" s="44" t="s">
        <v>250</v>
      </c>
      <c r="D168" s="44" t="s">
        <v>243</v>
      </c>
      <c r="E168" s="42">
        <v>2775000</v>
      </c>
      <c r="F168" s="17">
        <v>100000</v>
      </c>
      <c r="G168" s="17">
        <f>287500+530000</f>
        <v>817500</v>
      </c>
      <c r="H168" s="17">
        <f t="shared" si="140"/>
        <v>917500</v>
      </c>
      <c r="I168" s="17">
        <v>100000</v>
      </c>
      <c r="J168" s="17">
        <f>530000</f>
        <v>530000</v>
      </c>
      <c r="K168" s="17">
        <f t="shared" si="141"/>
        <v>630000</v>
      </c>
      <c r="L168" s="17">
        <v>100000</v>
      </c>
      <c r="M168" s="17">
        <v>530000</v>
      </c>
      <c r="N168" s="17">
        <f t="shared" si="142"/>
        <v>630000</v>
      </c>
      <c r="O168" s="17">
        <v>100000</v>
      </c>
      <c r="P168" s="17">
        <f>530000</f>
        <v>530000</v>
      </c>
      <c r="Q168" s="17">
        <f t="shared" si="132"/>
        <v>630000</v>
      </c>
      <c r="R168" s="17">
        <v>100000</v>
      </c>
      <c r="S168" s="17">
        <f t="shared" si="143"/>
        <v>530000</v>
      </c>
      <c r="T168" s="17">
        <f>[7]System!$F$748</f>
        <v>166000</v>
      </c>
      <c r="U168" s="17">
        <v>0</v>
      </c>
      <c r="V168" s="17">
        <f>21000</f>
        <v>21000</v>
      </c>
      <c r="W168" s="17">
        <f t="shared" si="120"/>
        <v>817000</v>
      </c>
      <c r="X168" s="17">
        <v>100000</v>
      </c>
      <c r="Y168" s="17">
        <v>530000</v>
      </c>
      <c r="Z168" s="17">
        <f>[8]Credit!$E$820</f>
        <v>83000</v>
      </c>
      <c r="AA168" s="17"/>
      <c r="AB168" s="17">
        <f>75000+10000</f>
        <v>85000</v>
      </c>
      <c r="AC168" s="17">
        <f t="shared" si="121"/>
        <v>698000</v>
      </c>
      <c r="AD168" s="17">
        <f t="shared" si="122"/>
        <v>798000</v>
      </c>
      <c r="AE168" s="17">
        <v>100000</v>
      </c>
      <c r="AF168" s="17">
        <v>530000</v>
      </c>
      <c r="AG168" s="17"/>
      <c r="AH168" s="17"/>
      <c r="AI168" s="17"/>
      <c r="AJ168" s="17">
        <f t="shared" si="123"/>
        <v>530000</v>
      </c>
      <c r="AK168" s="17">
        <f t="shared" si="124"/>
        <v>630000</v>
      </c>
      <c r="AL168" s="17">
        <v>100000</v>
      </c>
      <c r="AM168" s="42">
        <v>530000</v>
      </c>
      <c r="AN168" s="42">
        <v>0</v>
      </c>
      <c r="AO168" s="42">
        <v>0</v>
      </c>
      <c r="AP168" s="17"/>
      <c r="AQ168" s="17">
        <f t="shared" si="125"/>
        <v>530000</v>
      </c>
      <c r="AR168" s="17">
        <f t="shared" si="126"/>
        <v>630000</v>
      </c>
      <c r="AS168" s="42">
        <v>100000</v>
      </c>
      <c r="AT168" s="42">
        <v>530000</v>
      </c>
      <c r="AU168" s="42">
        <v>0</v>
      </c>
      <c r="AV168" s="42">
        <v>0</v>
      </c>
      <c r="AW168" s="17">
        <f t="shared" si="127"/>
        <v>530000</v>
      </c>
      <c r="AX168" s="42">
        <f t="shared" si="128"/>
        <v>630000</v>
      </c>
      <c r="AY168" s="42">
        <v>100000</v>
      </c>
      <c r="AZ168" s="42">
        <v>0</v>
      </c>
      <c r="BA168" s="42">
        <v>530000</v>
      </c>
      <c r="BB168" s="42"/>
      <c r="BC168" s="42">
        <f t="shared" si="133"/>
        <v>530000</v>
      </c>
      <c r="BD168" s="42">
        <f t="shared" si="134"/>
        <v>630000</v>
      </c>
      <c r="BE168" s="42">
        <v>100000</v>
      </c>
      <c r="BF168" s="42">
        <v>530000</v>
      </c>
      <c r="BG168" s="42"/>
      <c r="BH168" s="42">
        <v>0</v>
      </c>
      <c r="BI168" s="42">
        <f t="shared" si="135"/>
        <v>530000</v>
      </c>
      <c r="BJ168" s="42">
        <f t="shared" si="136"/>
        <v>630000</v>
      </c>
      <c r="BK168" s="42">
        <v>100000</v>
      </c>
      <c r="BL168" s="42">
        <v>530000</v>
      </c>
      <c r="BM168" s="42">
        <v>0</v>
      </c>
      <c r="BN168" s="42">
        <v>0</v>
      </c>
      <c r="BO168" s="42">
        <f t="shared" si="137"/>
        <v>530000</v>
      </c>
      <c r="BP168" s="42">
        <f t="shared" si="138"/>
        <v>630000</v>
      </c>
      <c r="BQ168" s="69">
        <f t="shared" si="139"/>
        <v>3975000</v>
      </c>
      <c r="BR168" s="38" t="s">
        <v>395</v>
      </c>
      <c r="BS168" s="62"/>
    </row>
    <row r="169" spans="1:71">
      <c r="A169" s="15">
        <f t="shared" si="111"/>
        <v>165</v>
      </c>
      <c r="B169" s="48" t="s">
        <v>251</v>
      </c>
      <c r="C169" s="44" t="s">
        <v>252</v>
      </c>
      <c r="D169" s="44" t="s">
        <v>243</v>
      </c>
      <c r="E169" s="42">
        <v>2775000</v>
      </c>
      <c r="F169" s="17">
        <v>100000</v>
      </c>
      <c r="G169" s="17">
        <f>530000+170000</f>
        <v>700000</v>
      </c>
      <c r="H169" s="17">
        <f t="shared" si="140"/>
        <v>800000</v>
      </c>
      <c r="I169" s="17">
        <v>100000</v>
      </c>
      <c r="J169" s="17">
        <f>530000</f>
        <v>530000</v>
      </c>
      <c r="K169" s="17">
        <f t="shared" si="141"/>
        <v>630000</v>
      </c>
      <c r="L169" s="17">
        <v>100000</v>
      </c>
      <c r="M169" s="17">
        <v>530000</v>
      </c>
      <c r="N169" s="17">
        <f t="shared" si="142"/>
        <v>630000</v>
      </c>
      <c r="O169" s="17">
        <v>100000</v>
      </c>
      <c r="P169" s="17">
        <f>530000+66000</f>
        <v>596000</v>
      </c>
      <c r="Q169" s="17">
        <f t="shared" si="132"/>
        <v>696000</v>
      </c>
      <c r="R169" s="17">
        <v>100000</v>
      </c>
      <c r="S169" s="17">
        <f t="shared" si="143"/>
        <v>530000</v>
      </c>
      <c r="T169" s="17">
        <f>[7]System!$F$760</f>
        <v>129000</v>
      </c>
      <c r="U169" s="17">
        <v>0</v>
      </c>
      <c r="V169" s="17">
        <v>0</v>
      </c>
      <c r="W169" s="17">
        <f t="shared" si="120"/>
        <v>759000</v>
      </c>
      <c r="X169" s="17">
        <v>100000</v>
      </c>
      <c r="Y169" s="17">
        <v>530000</v>
      </c>
      <c r="Z169" s="17"/>
      <c r="AA169" s="17"/>
      <c r="AB169" s="17"/>
      <c r="AC169" s="17">
        <f t="shared" si="121"/>
        <v>530000</v>
      </c>
      <c r="AD169" s="17">
        <f t="shared" si="122"/>
        <v>630000</v>
      </c>
      <c r="AE169" s="17">
        <v>100000</v>
      </c>
      <c r="AF169" s="17">
        <v>530000</v>
      </c>
      <c r="AG169" s="17"/>
      <c r="AH169" s="17"/>
      <c r="AI169" s="17"/>
      <c r="AJ169" s="17">
        <f t="shared" si="123"/>
        <v>530000</v>
      </c>
      <c r="AK169" s="17">
        <f t="shared" si="124"/>
        <v>630000</v>
      </c>
      <c r="AL169" s="17">
        <v>100000</v>
      </c>
      <c r="AM169" s="42">
        <v>530000</v>
      </c>
      <c r="AN169" s="42">
        <f>[5]Credit!$E$956</f>
        <v>61000</v>
      </c>
      <c r="AO169" s="42">
        <v>0</v>
      </c>
      <c r="AP169" s="17"/>
      <c r="AQ169" s="17">
        <f t="shared" si="125"/>
        <v>591000</v>
      </c>
      <c r="AR169" s="17">
        <f t="shared" si="126"/>
        <v>691000</v>
      </c>
      <c r="AS169" s="42">
        <v>100000</v>
      </c>
      <c r="AT169" s="42">
        <v>530000</v>
      </c>
      <c r="AU169" s="42">
        <v>0</v>
      </c>
      <c r="AV169" s="42">
        <v>0</v>
      </c>
      <c r="AW169" s="17">
        <f t="shared" si="127"/>
        <v>530000</v>
      </c>
      <c r="AX169" s="42">
        <f t="shared" si="128"/>
        <v>630000</v>
      </c>
      <c r="AY169" s="42">
        <v>100000</v>
      </c>
      <c r="AZ169" s="42">
        <v>0</v>
      </c>
      <c r="BA169" s="42">
        <v>530000</v>
      </c>
      <c r="BB169" s="42"/>
      <c r="BC169" s="42">
        <f t="shared" si="133"/>
        <v>530000</v>
      </c>
      <c r="BD169" s="42">
        <f t="shared" si="134"/>
        <v>630000</v>
      </c>
      <c r="BE169" s="42">
        <v>100000</v>
      </c>
      <c r="BF169" s="42">
        <v>530000</v>
      </c>
      <c r="BG169" s="42"/>
      <c r="BH169" s="42">
        <v>0</v>
      </c>
      <c r="BI169" s="42">
        <f t="shared" si="135"/>
        <v>530000</v>
      </c>
      <c r="BJ169" s="42">
        <f t="shared" si="136"/>
        <v>630000</v>
      </c>
      <c r="BK169" s="42">
        <v>100000</v>
      </c>
      <c r="BL169" s="42">
        <v>530000</v>
      </c>
      <c r="BM169" s="42">
        <f>[12]Credit!$E$886</f>
        <v>99000</v>
      </c>
      <c r="BN169" s="42">
        <v>0</v>
      </c>
      <c r="BO169" s="42">
        <f t="shared" si="137"/>
        <v>629000</v>
      </c>
      <c r="BP169" s="42">
        <f t="shared" si="138"/>
        <v>729000</v>
      </c>
      <c r="BQ169" s="69">
        <f t="shared" si="139"/>
        <v>3975000</v>
      </c>
      <c r="BR169" s="37"/>
    </row>
    <row r="170" spans="1:71">
      <c r="A170" s="15">
        <f t="shared" si="111"/>
        <v>166</v>
      </c>
      <c r="B170" s="48" t="s">
        <v>253</v>
      </c>
      <c r="C170" s="44" t="s">
        <v>254</v>
      </c>
      <c r="D170" s="44" t="s">
        <v>243</v>
      </c>
      <c r="E170" s="42">
        <v>2775000</v>
      </c>
      <c r="F170" s="17">
        <v>100000</v>
      </c>
      <c r="G170" s="17">
        <f>530000+262000</f>
        <v>792000</v>
      </c>
      <c r="H170" s="17">
        <f t="shared" si="140"/>
        <v>892000</v>
      </c>
      <c r="I170" s="17">
        <v>100000</v>
      </c>
      <c r="J170" s="17">
        <f>530000+398000</f>
        <v>928000</v>
      </c>
      <c r="K170" s="17">
        <f t="shared" si="141"/>
        <v>1028000</v>
      </c>
      <c r="L170" s="17">
        <v>100000</v>
      </c>
      <c r="M170" s="17">
        <f>530000+270000</f>
        <v>800000</v>
      </c>
      <c r="N170" s="17">
        <f t="shared" si="142"/>
        <v>900000</v>
      </c>
      <c r="O170" s="17">
        <v>100000</v>
      </c>
      <c r="P170" s="17">
        <f>530000+105000</f>
        <v>635000</v>
      </c>
      <c r="Q170" s="17">
        <f t="shared" si="132"/>
        <v>735000</v>
      </c>
      <c r="R170" s="17">
        <v>100000</v>
      </c>
      <c r="S170" s="17">
        <f t="shared" si="143"/>
        <v>530000</v>
      </c>
      <c r="T170" s="17">
        <f>247000+[7]System!$F$803</f>
        <v>482000</v>
      </c>
      <c r="U170" s="17">
        <v>0</v>
      </c>
      <c r="V170" s="17">
        <v>0</v>
      </c>
      <c r="W170" s="17">
        <f t="shared" si="120"/>
        <v>1112000</v>
      </c>
      <c r="X170" s="17">
        <v>100000</v>
      </c>
      <c r="Y170" s="17">
        <v>530000</v>
      </c>
      <c r="Z170" s="17">
        <f>[8]Credit!$E$860</f>
        <v>259000</v>
      </c>
      <c r="AA170" s="17"/>
      <c r="AB170" s="17"/>
      <c r="AC170" s="17">
        <f t="shared" si="121"/>
        <v>789000</v>
      </c>
      <c r="AD170" s="17">
        <f t="shared" si="122"/>
        <v>889000</v>
      </c>
      <c r="AE170" s="17">
        <v>100000</v>
      </c>
      <c r="AF170" s="17">
        <v>530000</v>
      </c>
      <c r="AG170" s="17">
        <f>[9]Credit!$F$537</f>
        <v>219000</v>
      </c>
      <c r="AH170" s="17"/>
      <c r="AI170" s="17"/>
      <c r="AJ170" s="17">
        <f t="shared" si="123"/>
        <v>749000</v>
      </c>
      <c r="AK170" s="17">
        <f t="shared" si="124"/>
        <v>849000</v>
      </c>
      <c r="AL170" s="17">
        <v>100000</v>
      </c>
      <c r="AM170" s="42">
        <v>530000</v>
      </c>
      <c r="AN170" s="42">
        <f>[5]Credit!$E$1000</f>
        <v>364000</v>
      </c>
      <c r="AO170" s="42">
        <v>0</v>
      </c>
      <c r="AP170" s="17">
        <v>10000</v>
      </c>
      <c r="AQ170" s="17">
        <f t="shared" si="125"/>
        <v>904000</v>
      </c>
      <c r="AR170" s="17">
        <f t="shared" si="126"/>
        <v>1004000</v>
      </c>
      <c r="AS170" s="42">
        <v>100000</v>
      </c>
      <c r="AT170" s="42">
        <f>530000*2</f>
        <v>1060000</v>
      </c>
      <c r="AU170" s="42">
        <f>[10]Credit!$E$967-AZ170</f>
        <v>-159850</v>
      </c>
      <c r="AV170" s="42">
        <v>308850</v>
      </c>
      <c r="AW170" s="17">
        <f t="shared" si="127"/>
        <v>1209000</v>
      </c>
      <c r="AX170" s="42">
        <f t="shared" si="128"/>
        <v>1309000</v>
      </c>
      <c r="AY170" s="42">
        <v>100000</v>
      </c>
      <c r="AZ170" s="42">
        <f>1797850-1600000+[6]Credit!$F$995</f>
        <v>488850</v>
      </c>
      <c r="BA170" s="42">
        <f>530000+530000</f>
        <v>1060000</v>
      </c>
      <c r="BB170" s="42">
        <v>308850</v>
      </c>
      <c r="BC170" s="42">
        <f>SUM(AZ170:BB170)-357700</f>
        <v>1500000</v>
      </c>
      <c r="BD170" s="42">
        <f t="shared" si="134"/>
        <v>1600000</v>
      </c>
      <c r="BE170" s="42">
        <v>100000</v>
      </c>
      <c r="BF170" s="42">
        <v>530000</v>
      </c>
      <c r="BG170" s="42">
        <f>357700+[11]Kredit!$E$979</f>
        <v>388700</v>
      </c>
      <c r="BH170" s="42">
        <v>308850</v>
      </c>
      <c r="BI170" s="42">
        <f t="shared" si="135"/>
        <v>1227550</v>
      </c>
      <c r="BJ170" s="42">
        <f t="shared" si="136"/>
        <v>1327550</v>
      </c>
      <c r="BK170" s="42">
        <v>100000</v>
      </c>
      <c r="BL170" s="42">
        <v>530000</v>
      </c>
      <c r="BM170" s="42">
        <f>[12]Credit!$E$916</f>
        <v>366500</v>
      </c>
      <c r="BN170" s="42">
        <v>308850</v>
      </c>
      <c r="BO170" s="42">
        <f t="shared" si="137"/>
        <v>1205350</v>
      </c>
      <c r="BP170" s="42">
        <f t="shared" si="138"/>
        <v>1305350</v>
      </c>
      <c r="BQ170" s="69">
        <f t="shared" si="139"/>
        <v>3975000</v>
      </c>
      <c r="BR170" s="37"/>
    </row>
    <row r="171" spans="1:71">
      <c r="A171" s="15">
        <f t="shared" si="111"/>
        <v>167</v>
      </c>
      <c r="B171" s="43">
        <v>99101705</v>
      </c>
      <c r="C171" s="44" t="s">
        <v>255</v>
      </c>
      <c r="D171" s="44" t="s">
        <v>243</v>
      </c>
      <c r="E171" s="42">
        <v>2775000</v>
      </c>
      <c r="F171" s="17">
        <v>100000</v>
      </c>
      <c r="G171" s="17">
        <f>287500+530000</f>
        <v>817500</v>
      </c>
      <c r="H171" s="17">
        <f t="shared" si="140"/>
        <v>917500</v>
      </c>
      <c r="I171" s="17">
        <v>100000</v>
      </c>
      <c r="J171" s="17">
        <f>530000</f>
        <v>530000</v>
      </c>
      <c r="K171" s="17">
        <f t="shared" si="141"/>
        <v>630000</v>
      </c>
      <c r="L171" s="17">
        <v>100000</v>
      </c>
      <c r="M171" s="17">
        <v>530000</v>
      </c>
      <c r="N171" s="17">
        <f t="shared" si="142"/>
        <v>630000</v>
      </c>
      <c r="O171" s="17">
        <v>100000</v>
      </c>
      <c r="P171" s="17">
        <f>530000</f>
        <v>530000</v>
      </c>
      <c r="Q171" s="17">
        <f t="shared" si="132"/>
        <v>630000</v>
      </c>
      <c r="R171" s="17">
        <v>100000</v>
      </c>
      <c r="S171" s="17">
        <f t="shared" si="143"/>
        <v>530000</v>
      </c>
      <c r="T171" s="17">
        <v>0</v>
      </c>
      <c r="U171" s="17">
        <v>0</v>
      </c>
      <c r="V171" s="17">
        <v>0</v>
      </c>
      <c r="W171" s="17">
        <f t="shared" si="120"/>
        <v>630000</v>
      </c>
      <c r="X171" s="17">
        <v>100000</v>
      </c>
      <c r="Y171" s="17">
        <v>530000</v>
      </c>
      <c r="Z171" s="17"/>
      <c r="AA171" s="17"/>
      <c r="AB171" s="17">
        <f>50000+20000</f>
        <v>70000</v>
      </c>
      <c r="AC171" s="17">
        <f t="shared" si="121"/>
        <v>600000</v>
      </c>
      <c r="AD171" s="17">
        <f t="shared" si="122"/>
        <v>700000</v>
      </c>
      <c r="AE171" s="17">
        <v>100000</v>
      </c>
      <c r="AF171" s="17">
        <v>530000</v>
      </c>
      <c r="AG171" s="17"/>
      <c r="AH171" s="17"/>
      <c r="AI171" s="17"/>
      <c r="AJ171" s="17">
        <f t="shared" si="123"/>
        <v>530000</v>
      </c>
      <c r="AK171" s="17">
        <f t="shared" si="124"/>
        <v>630000</v>
      </c>
      <c r="AL171" s="17">
        <v>100000</v>
      </c>
      <c r="AM171" s="42">
        <v>530000</v>
      </c>
      <c r="AN171" s="42">
        <v>0</v>
      </c>
      <c r="AO171" s="42">
        <v>0</v>
      </c>
      <c r="AP171" s="17"/>
      <c r="AQ171" s="17">
        <f t="shared" si="125"/>
        <v>530000</v>
      </c>
      <c r="AR171" s="17">
        <f t="shared" si="126"/>
        <v>630000</v>
      </c>
      <c r="AS171" s="42">
        <v>100000</v>
      </c>
      <c r="AT171" s="42">
        <v>530000</v>
      </c>
      <c r="AU171" s="42">
        <v>0</v>
      </c>
      <c r="AV171" s="42">
        <v>0</v>
      </c>
      <c r="AW171" s="17">
        <f t="shared" si="127"/>
        <v>530000</v>
      </c>
      <c r="AX171" s="42">
        <f t="shared" si="128"/>
        <v>630000</v>
      </c>
      <c r="AY171" s="42">
        <v>100000</v>
      </c>
      <c r="AZ171" s="42">
        <v>0</v>
      </c>
      <c r="BA171" s="42">
        <v>530000</v>
      </c>
      <c r="BB171" s="42"/>
      <c r="BC171" s="42">
        <f t="shared" ref="BC171:BC178" si="144">SUM(AZ171:BB171)</f>
        <v>530000</v>
      </c>
      <c r="BD171" s="42">
        <f t="shared" si="134"/>
        <v>630000</v>
      </c>
      <c r="BE171" s="42">
        <v>100000</v>
      </c>
      <c r="BF171" s="42">
        <v>530000</v>
      </c>
      <c r="BG171" s="42"/>
      <c r="BH171" s="42">
        <v>0</v>
      </c>
      <c r="BI171" s="42">
        <f t="shared" si="135"/>
        <v>530000</v>
      </c>
      <c r="BJ171" s="42">
        <f t="shared" si="136"/>
        <v>630000</v>
      </c>
      <c r="BK171" s="42">
        <v>100000</v>
      </c>
      <c r="BL171" s="42">
        <v>530000</v>
      </c>
      <c r="BM171" s="42">
        <v>0</v>
      </c>
      <c r="BN171" s="42">
        <v>0</v>
      </c>
      <c r="BO171" s="42">
        <f t="shared" si="137"/>
        <v>530000</v>
      </c>
      <c r="BP171" s="42">
        <f t="shared" si="138"/>
        <v>630000</v>
      </c>
      <c r="BQ171" s="69">
        <f t="shared" si="139"/>
        <v>3975000</v>
      </c>
      <c r="BR171" s="37"/>
    </row>
    <row r="172" spans="1:71">
      <c r="A172" s="15">
        <f t="shared" si="111"/>
        <v>168</v>
      </c>
      <c r="B172" s="48" t="s">
        <v>256</v>
      </c>
      <c r="C172" s="44" t="s">
        <v>257</v>
      </c>
      <c r="D172" s="44" t="s">
        <v>243</v>
      </c>
      <c r="E172" s="42">
        <v>2775000</v>
      </c>
      <c r="F172" s="17">
        <v>100000</v>
      </c>
      <c r="G172" s="17">
        <f>540000+235000</f>
        <v>775000</v>
      </c>
      <c r="H172" s="17">
        <f t="shared" si="140"/>
        <v>875000</v>
      </c>
      <c r="I172" s="17">
        <v>100000</v>
      </c>
      <c r="J172" s="17">
        <v>364000</v>
      </c>
      <c r="K172" s="17">
        <f t="shared" si="141"/>
        <v>464000</v>
      </c>
      <c r="L172" s="17">
        <v>100000</v>
      </c>
      <c r="M172" s="17">
        <f>530000+283000</f>
        <v>813000</v>
      </c>
      <c r="N172" s="17">
        <f t="shared" si="142"/>
        <v>913000</v>
      </c>
      <c r="O172" s="17">
        <v>100000</v>
      </c>
      <c r="P172" s="17">
        <f>270000+530000+67000+144500</f>
        <v>1011500</v>
      </c>
      <c r="Q172" s="17">
        <f t="shared" si="132"/>
        <v>1111500</v>
      </c>
      <c r="R172" s="17">
        <v>100000</v>
      </c>
      <c r="S172" s="17">
        <f t="shared" si="143"/>
        <v>530000</v>
      </c>
      <c r="T172" s="17">
        <f>29000+[7]System!$F$1254</f>
        <v>322500</v>
      </c>
      <c r="U172" s="17">
        <v>0</v>
      </c>
      <c r="V172" s="17">
        <v>0</v>
      </c>
      <c r="W172" s="17">
        <f t="shared" si="120"/>
        <v>952500</v>
      </c>
      <c r="X172" s="17">
        <v>100000</v>
      </c>
      <c r="Y172" s="17">
        <v>530000</v>
      </c>
      <c r="Z172" s="17">
        <f>[8]Credit!$E$1371</f>
        <v>313500</v>
      </c>
      <c r="AA172" s="17"/>
      <c r="AB172" s="17">
        <v>25000</v>
      </c>
      <c r="AC172" s="17">
        <f t="shared" si="121"/>
        <v>868500</v>
      </c>
      <c r="AD172" s="17">
        <f t="shared" si="122"/>
        <v>968500</v>
      </c>
      <c r="AE172" s="17">
        <v>100000</v>
      </c>
      <c r="AF172" s="17">
        <v>530000</v>
      </c>
      <c r="AG172" s="17">
        <f>[9]Credit!$F$842</f>
        <v>145000</v>
      </c>
      <c r="AH172" s="17"/>
      <c r="AI172" s="17"/>
      <c r="AJ172" s="17">
        <f t="shared" si="123"/>
        <v>675000</v>
      </c>
      <c r="AK172" s="17">
        <f t="shared" si="124"/>
        <v>775000</v>
      </c>
      <c r="AL172" s="17">
        <v>100000</v>
      </c>
      <c r="AM172" s="42">
        <f>530000+530000</f>
        <v>1060000</v>
      </c>
      <c r="AN172" s="42">
        <f>[5]Credit!$E$1576</f>
        <v>365500</v>
      </c>
      <c r="AO172" s="42">
        <v>0</v>
      </c>
      <c r="AP172" s="17">
        <v>5000</v>
      </c>
      <c r="AQ172" s="17">
        <f t="shared" si="125"/>
        <v>1430500</v>
      </c>
      <c r="AR172" s="17">
        <f t="shared" si="126"/>
        <v>1530500</v>
      </c>
      <c r="AS172" s="42">
        <v>100000</v>
      </c>
      <c r="AT172" s="42">
        <v>530000</v>
      </c>
      <c r="AU172" s="42">
        <f>[10]Credit!$E$1528</f>
        <v>511000</v>
      </c>
      <c r="AV172" s="42">
        <v>545000</v>
      </c>
      <c r="AW172" s="17">
        <f t="shared" si="127"/>
        <v>1586000</v>
      </c>
      <c r="AX172" s="42">
        <f t="shared" si="128"/>
        <v>1686000</v>
      </c>
      <c r="AY172" s="42">
        <v>100000</v>
      </c>
      <c r="AZ172" s="42">
        <f>[6]Credit!$F$1505</f>
        <v>369000</v>
      </c>
      <c r="BA172" s="42">
        <v>530000</v>
      </c>
      <c r="BB172" s="42">
        <v>545000</v>
      </c>
      <c r="BC172" s="42">
        <f t="shared" si="144"/>
        <v>1444000</v>
      </c>
      <c r="BD172" s="42">
        <f t="shared" si="134"/>
        <v>1544000</v>
      </c>
      <c r="BE172" s="42">
        <v>100000</v>
      </c>
      <c r="BF172" s="42">
        <v>530000</v>
      </c>
      <c r="BG172" s="42">
        <f>[11]Kredit!$E$1573</f>
        <v>604500</v>
      </c>
      <c r="BH172" s="42">
        <v>545000</v>
      </c>
      <c r="BI172" s="42">
        <f t="shared" si="135"/>
        <v>1679500</v>
      </c>
      <c r="BJ172" s="42">
        <f t="shared" si="136"/>
        <v>1779500</v>
      </c>
      <c r="BK172" s="42">
        <v>100000</v>
      </c>
      <c r="BL172" s="42">
        <v>530000</v>
      </c>
      <c r="BM172" s="42">
        <f>[12]Credit!$E$1463</f>
        <v>474500</v>
      </c>
      <c r="BN172" s="42">
        <v>545000</v>
      </c>
      <c r="BO172" s="42">
        <f t="shared" si="137"/>
        <v>1549500</v>
      </c>
      <c r="BP172" s="42">
        <f t="shared" si="138"/>
        <v>1649500</v>
      </c>
      <c r="BQ172" s="69">
        <f t="shared" si="139"/>
        <v>3975000</v>
      </c>
      <c r="BR172" s="37"/>
    </row>
    <row r="173" spans="1:71">
      <c r="A173" s="15">
        <f t="shared" si="111"/>
        <v>169</v>
      </c>
      <c r="B173" s="55">
        <v>16010012</v>
      </c>
      <c r="C173" s="44" t="s">
        <v>412</v>
      </c>
      <c r="D173" s="44" t="s">
        <v>258</v>
      </c>
      <c r="E173" s="42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>
        <v>200000</v>
      </c>
      <c r="AM173" s="42">
        <v>0</v>
      </c>
      <c r="AN173" s="42">
        <v>0</v>
      </c>
      <c r="AO173" s="42">
        <v>0</v>
      </c>
      <c r="AP173" s="17"/>
      <c r="AQ173" s="17">
        <f t="shared" si="125"/>
        <v>0</v>
      </c>
      <c r="AR173" s="17">
        <f t="shared" si="126"/>
        <v>200000</v>
      </c>
      <c r="AS173" s="42">
        <v>100000</v>
      </c>
      <c r="AT173" s="42">
        <v>0</v>
      </c>
      <c r="AU173" s="42">
        <v>0</v>
      </c>
      <c r="AV173" s="42">
        <v>0</v>
      </c>
      <c r="AW173" s="17">
        <f t="shared" si="127"/>
        <v>0</v>
      </c>
      <c r="AX173" s="42">
        <f t="shared" si="128"/>
        <v>100000</v>
      </c>
      <c r="AY173" s="42">
        <v>100000</v>
      </c>
      <c r="AZ173" s="42">
        <v>0</v>
      </c>
      <c r="BA173" s="42"/>
      <c r="BB173" s="42"/>
      <c r="BC173" s="42">
        <f t="shared" si="144"/>
        <v>0</v>
      </c>
      <c r="BD173" s="42">
        <f t="shared" si="134"/>
        <v>100000</v>
      </c>
      <c r="BE173" s="42">
        <v>100000</v>
      </c>
      <c r="BF173" s="42">
        <v>0</v>
      </c>
      <c r="BG173" s="42"/>
      <c r="BH173" s="42">
        <v>0</v>
      </c>
      <c r="BI173" s="42">
        <f t="shared" si="135"/>
        <v>0</v>
      </c>
      <c r="BJ173" s="42">
        <f t="shared" si="136"/>
        <v>100000</v>
      </c>
      <c r="BK173" s="42">
        <v>100000</v>
      </c>
      <c r="BL173" s="42">
        <v>0</v>
      </c>
      <c r="BM173" s="42">
        <v>0</v>
      </c>
      <c r="BN173" s="42">
        <v>0</v>
      </c>
      <c r="BO173" s="42">
        <f t="shared" si="137"/>
        <v>0</v>
      </c>
      <c r="BP173" s="42">
        <f t="shared" si="138"/>
        <v>100000</v>
      </c>
      <c r="BQ173" s="69">
        <f t="shared" si="139"/>
        <v>600000</v>
      </c>
      <c r="BR173" s="37"/>
    </row>
    <row r="174" spans="1:71">
      <c r="A174" s="15">
        <f t="shared" si="111"/>
        <v>170</v>
      </c>
      <c r="B174" s="48" t="s">
        <v>106</v>
      </c>
      <c r="C174" s="44" t="s">
        <v>107</v>
      </c>
      <c r="D174" s="44" t="s">
        <v>258</v>
      </c>
      <c r="E174" s="42">
        <v>2775000</v>
      </c>
      <c r="F174" s="17">
        <v>100000</v>
      </c>
      <c r="G174" s="42">
        <f>530000+48500</f>
        <v>578500</v>
      </c>
      <c r="H174" s="17">
        <f t="shared" ref="H174:H180" si="145">F174+G174</f>
        <v>678500</v>
      </c>
      <c r="I174" s="17">
        <v>100000</v>
      </c>
      <c r="J174" s="42">
        <f>530000+38000+55000</f>
        <v>623000</v>
      </c>
      <c r="K174" s="17">
        <f t="shared" ref="K174:K180" si="146">I174+J174</f>
        <v>723000</v>
      </c>
      <c r="L174" s="17">
        <v>100000</v>
      </c>
      <c r="M174" s="42">
        <f>530000+106500</f>
        <v>636500</v>
      </c>
      <c r="N174" s="17">
        <f t="shared" ref="N174:N180" si="147">L174+M174</f>
        <v>736500</v>
      </c>
      <c r="O174" s="17">
        <v>100000</v>
      </c>
      <c r="P174" s="42">
        <f>530000+17100</f>
        <v>547100</v>
      </c>
      <c r="Q174" s="17">
        <f t="shared" ref="Q174:Q180" si="148">O174+P174</f>
        <v>647100</v>
      </c>
      <c r="R174" s="17">
        <v>100000</v>
      </c>
      <c r="S174" s="17">
        <v>530000</v>
      </c>
      <c r="T174" s="17">
        <f>55500+[7]System!$F$256</f>
        <v>159000</v>
      </c>
      <c r="U174" s="17">
        <v>0</v>
      </c>
      <c r="V174" s="17">
        <f>21000</f>
        <v>21000</v>
      </c>
      <c r="W174" s="17">
        <f t="shared" ref="W174:W180" si="149">SUM(R174:V174)</f>
        <v>810000</v>
      </c>
      <c r="X174" s="17">
        <v>100000</v>
      </c>
      <c r="Y174" s="42">
        <v>530000</v>
      </c>
      <c r="Z174" s="42">
        <f>[8]Credit!$E$249</f>
        <v>85500</v>
      </c>
      <c r="AA174" s="42"/>
      <c r="AB174" s="42"/>
      <c r="AC174" s="17">
        <f t="shared" ref="AC174:AC180" si="150">SUM(Y174:AB174)</f>
        <v>615500</v>
      </c>
      <c r="AD174" s="17">
        <f t="shared" ref="AD174:AD180" si="151">AC174+X174</f>
        <v>715500</v>
      </c>
      <c r="AE174" s="17">
        <v>100000</v>
      </c>
      <c r="AF174" s="42">
        <v>530000</v>
      </c>
      <c r="AG174" s="42">
        <f>[9]Credit!$F$172</f>
        <v>79500</v>
      </c>
      <c r="AH174" s="42"/>
      <c r="AI174" s="42"/>
      <c r="AJ174" s="17">
        <f t="shared" ref="AJ174:AJ180" si="152">SUM(AF174:AI174)</f>
        <v>609500</v>
      </c>
      <c r="AK174" s="17">
        <f t="shared" ref="AK174:AK180" si="153">AE174+AJ174</f>
        <v>709500</v>
      </c>
      <c r="AL174" s="17">
        <v>100000</v>
      </c>
      <c r="AM174" s="42">
        <v>530000</v>
      </c>
      <c r="AN174" s="42">
        <f>[5]Credit!$E$314</f>
        <v>55000</v>
      </c>
      <c r="AO174" s="42">
        <v>0</v>
      </c>
      <c r="AP174" s="42"/>
      <c r="AQ174" s="17">
        <f t="shared" si="125"/>
        <v>585000</v>
      </c>
      <c r="AR174" s="17">
        <f t="shared" si="126"/>
        <v>685000</v>
      </c>
      <c r="AS174" s="42">
        <v>100000</v>
      </c>
      <c r="AT174" s="42">
        <v>530000</v>
      </c>
      <c r="AU174" s="42">
        <f>[10]Credit!$E$326</f>
        <v>62000</v>
      </c>
      <c r="AV174" s="42">
        <v>154500</v>
      </c>
      <c r="AW174" s="17">
        <f t="shared" si="127"/>
        <v>746500</v>
      </c>
      <c r="AX174" s="42">
        <f t="shared" si="128"/>
        <v>846500</v>
      </c>
      <c r="AY174" s="42">
        <v>100000</v>
      </c>
      <c r="AZ174" s="42">
        <f>[6]Credit!$F$335</f>
        <v>95500</v>
      </c>
      <c r="BA174" s="42">
        <f>530000+530000</f>
        <v>1060000</v>
      </c>
      <c r="BB174" s="42">
        <v>154500</v>
      </c>
      <c r="BC174" s="42">
        <f t="shared" si="144"/>
        <v>1310000</v>
      </c>
      <c r="BD174" s="42">
        <f t="shared" si="134"/>
        <v>1410000</v>
      </c>
      <c r="BE174" s="42">
        <v>100000</v>
      </c>
      <c r="BF174" s="42">
        <v>530000</v>
      </c>
      <c r="BG174" s="42">
        <f>[11]Kredit!$E$385</f>
        <v>155500</v>
      </c>
      <c r="BH174" s="42">
        <v>154500</v>
      </c>
      <c r="BI174" s="42">
        <f t="shared" si="135"/>
        <v>840000</v>
      </c>
      <c r="BJ174" s="42">
        <f t="shared" si="136"/>
        <v>940000</v>
      </c>
      <c r="BK174" s="42">
        <v>100000</v>
      </c>
      <c r="BL174" s="42">
        <v>530000</v>
      </c>
      <c r="BM174" s="42">
        <f>[12]Credit!$E$389</f>
        <v>54000</v>
      </c>
      <c r="BN174" s="42">
        <v>154500</v>
      </c>
      <c r="BO174" s="42">
        <f t="shared" si="137"/>
        <v>738500</v>
      </c>
      <c r="BP174" s="42">
        <f t="shared" si="138"/>
        <v>838500</v>
      </c>
      <c r="BQ174" s="69">
        <f t="shared" si="139"/>
        <v>3975000</v>
      </c>
      <c r="BR174" s="37"/>
    </row>
    <row r="175" spans="1:71">
      <c r="A175" s="15">
        <f t="shared" si="111"/>
        <v>171</v>
      </c>
      <c r="B175" s="50">
        <v>11108469</v>
      </c>
      <c r="C175" s="44" t="s">
        <v>110</v>
      </c>
      <c r="D175" s="44" t="s">
        <v>258</v>
      </c>
      <c r="E175" s="42">
        <v>1900000</v>
      </c>
      <c r="F175" s="17">
        <v>100000</v>
      </c>
      <c r="G175" s="17">
        <f>265000</f>
        <v>265000</v>
      </c>
      <c r="H175" s="17">
        <f t="shared" si="145"/>
        <v>365000</v>
      </c>
      <c r="I175" s="17">
        <v>100000</v>
      </c>
      <c r="J175" s="17"/>
      <c r="K175" s="17">
        <f t="shared" si="146"/>
        <v>100000</v>
      </c>
      <c r="L175" s="17">
        <v>100000</v>
      </c>
      <c r="M175" s="17"/>
      <c r="N175" s="17">
        <f t="shared" si="147"/>
        <v>100000</v>
      </c>
      <c r="O175" s="17">
        <v>100000</v>
      </c>
      <c r="P175" s="17"/>
      <c r="Q175" s="17">
        <f t="shared" si="148"/>
        <v>100000</v>
      </c>
      <c r="R175" s="17">
        <v>100000</v>
      </c>
      <c r="S175" s="17">
        <v>0</v>
      </c>
      <c r="T175" s="17">
        <f>[7]System!$F$403</f>
        <v>66500</v>
      </c>
      <c r="U175" s="17">
        <v>0</v>
      </c>
      <c r="V175" s="17">
        <v>0</v>
      </c>
      <c r="W175" s="17">
        <f t="shared" si="149"/>
        <v>166500</v>
      </c>
      <c r="X175" s="17">
        <v>100000</v>
      </c>
      <c r="Y175" s="17"/>
      <c r="Z175" s="17"/>
      <c r="AA175" s="17"/>
      <c r="AB175" s="17"/>
      <c r="AC175" s="17">
        <f t="shared" si="150"/>
        <v>0</v>
      </c>
      <c r="AD175" s="17">
        <f t="shared" si="151"/>
        <v>100000</v>
      </c>
      <c r="AE175" s="17">
        <v>100000</v>
      </c>
      <c r="AF175" s="17"/>
      <c r="AG175" s="17"/>
      <c r="AH175" s="17"/>
      <c r="AI175" s="17"/>
      <c r="AJ175" s="17">
        <f t="shared" si="152"/>
        <v>0</v>
      </c>
      <c r="AK175" s="17">
        <f t="shared" si="153"/>
        <v>100000</v>
      </c>
      <c r="AL175" s="17">
        <v>100000</v>
      </c>
      <c r="AM175" s="42">
        <v>0</v>
      </c>
      <c r="AN175" s="42">
        <v>0</v>
      </c>
      <c r="AO175" s="42">
        <v>0</v>
      </c>
      <c r="AP175" s="17"/>
      <c r="AQ175" s="17">
        <f t="shared" si="125"/>
        <v>0</v>
      </c>
      <c r="AR175" s="17">
        <f t="shared" si="126"/>
        <v>100000</v>
      </c>
      <c r="AS175" s="42">
        <v>100000</v>
      </c>
      <c r="AT175" s="42">
        <v>530000</v>
      </c>
      <c r="AU175" s="42">
        <v>0</v>
      </c>
      <c r="AV175" s="42">
        <v>0</v>
      </c>
      <c r="AW175" s="17">
        <f t="shared" si="127"/>
        <v>530000</v>
      </c>
      <c r="AX175" s="42">
        <f t="shared" si="128"/>
        <v>630000</v>
      </c>
      <c r="AY175" s="42">
        <v>100000</v>
      </c>
      <c r="AZ175" s="42">
        <v>0</v>
      </c>
      <c r="BA175" s="42">
        <v>530000</v>
      </c>
      <c r="BB175" s="42"/>
      <c r="BC175" s="42">
        <f t="shared" si="144"/>
        <v>530000</v>
      </c>
      <c r="BD175" s="42">
        <f t="shared" si="134"/>
        <v>630000</v>
      </c>
      <c r="BE175" s="42">
        <v>100000</v>
      </c>
      <c r="BF175" s="42">
        <v>530000</v>
      </c>
      <c r="BG175" s="42"/>
      <c r="BH175" s="42">
        <v>0</v>
      </c>
      <c r="BI175" s="42">
        <f t="shared" si="135"/>
        <v>530000</v>
      </c>
      <c r="BJ175" s="42">
        <f t="shared" si="136"/>
        <v>630000</v>
      </c>
      <c r="BK175" s="42">
        <v>100000</v>
      </c>
      <c r="BL175" s="42">
        <v>530000</v>
      </c>
      <c r="BM175" s="42">
        <v>0</v>
      </c>
      <c r="BN175" s="42">
        <v>0</v>
      </c>
      <c r="BO175" s="42">
        <f t="shared" si="137"/>
        <v>530000</v>
      </c>
      <c r="BP175" s="42">
        <f t="shared" si="138"/>
        <v>630000</v>
      </c>
      <c r="BQ175" s="69">
        <f t="shared" si="139"/>
        <v>3100000</v>
      </c>
      <c r="BR175" s="37"/>
    </row>
    <row r="176" spans="1:71">
      <c r="A176" s="15">
        <f t="shared" si="111"/>
        <v>172</v>
      </c>
      <c r="B176" s="43">
        <v>97111502</v>
      </c>
      <c r="C176" s="44" t="s">
        <v>63</v>
      </c>
      <c r="D176" s="44" t="s">
        <v>258</v>
      </c>
      <c r="E176" s="42">
        <v>2775000</v>
      </c>
      <c r="F176" s="17">
        <v>100000</v>
      </c>
      <c r="G176" s="17">
        <f>1508000</f>
        <v>1508000</v>
      </c>
      <c r="H176" s="17">
        <f t="shared" si="145"/>
        <v>1608000</v>
      </c>
      <c r="I176" s="17">
        <v>100000</v>
      </c>
      <c r="J176" s="17">
        <f>1508000+238500</f>
        <v>1746500</v>
      </c>
      <c r="K176" s="17">
        <f t="shared" si="146"/>
        <v>1846500</v>
      </c>
      <c r="L176" s="17">
        <v>100000</v>
      </c>
      <c r="M176" s="17"/>
      <c r="N176" s="17">
        <f t="shared" si="147"/>
        <v>100000</v>
      </c>
      <c r="O176" s="17">
        <v>100000</v>
      </c>
      <c r="P176" s="17"/>
      <c r="Q176" s="17">
        <f t="shared" si="148"/>
        <v>100000</v>
      </c>
      <c r="R176" s="17">
        <v>100000</v>
      </c>
      <c r="S176" s="17">
        <v>0</v>
      </c>
      <c r="T176" s="17">
        <v>0</v>
      </c>
      <c r="U176" s="17">
        <v>0</v>
      </c>
      <c r="V176" s="17">
        <v>0</v>
      </c>
      <c r="W176" s="17">
        <f t="shared" si="149"/>
        <v>100000</v>
      </c>
      <c r="X176" s="17">
        <v>100000</v>
      </c>
      <c r="Y176" s="17"/>
      <c r="Z176" s="17"/>
      <c r="AA176" s="17"/>
      <c r="AB176" s="17"/>
      <c r="AC176" s="17">
        <f t="shared" si="150"/>
        <v>0</v>
      </c>
      <c r="AD176" s="17">
        <f t="shared" si="151"/>
        <v>100000</v>
      </c>
      <c r="AE176" s="17">
        <v>100000</v>
      </c>
      <c r="AF176" s="17"/>
      <c r="AG176" s="17"/>
      <c r="AH176" s="17"/>
      <c r="AI176" s="17"/>
      <c r="AJ176" s="17">
        <f t="shared" si="152"/>
        <v>0</v>
      </c>
      <c r="AK176" s="17">
        <f t="shared" si="153"/>
        <v>100000</v>
      </c>
      <c r="AL176" s="17">
        <v>100000</v>
      </c>
      <c r="AM176" s="42">
        <v>0</v>
      </c>
      <c r="AN176" s="42">
        <v>0</v>
      </c>
      <c r="AO176" s="42">
        <v>0</v>
      </c>
      <c r="AP176" s="17"/>
      <c r="AQ176" s="17">
        <f t="shared" si="125"/>
        <v>0</v>
      </c>
      <c r="AR176" s="17">
        <f t="shared" si="126"/>
        <v>100000</v>
      </c>
      <c r="AS176" s="42">
        <v>100000</v>
      </c>
      <c r="AT176" s="42">
        <v>0</v>
      </c>
      <c r="AU176" s="42">
        <v>0</v>
      </c>
      <c r="AV176" s="42">
        <v>0</v>
      </c>
      <c r="AW176" s="17">
        <f t="shared" si="127"/>
        <v>0</v>
      </c>
      <c r="AX176" s="42">
        <f t="shared" si="128"/>
        <v>100000</v>
      </c>
      <c r="AY176" s="42">
        <v>100000</v>
      </c>
      <c r="AZ176" s="42">
        <v>0</v>
      </c>
      <c r="BA176" s="42"/>
      <c r="BB176" s="42"/>
      <c r="BC176" s="42">
        <f t="shared" si="144"/>
        <v>0</v>
      </c>
      <c r="BD176" s="42">
        <f t="shared" si="134"/>
        <v>100000</v>
      </c>
      <c r="BE176" s="42">
        <v>100000</v>
      </c>
      <c r="BF176" s="42">
        <v>0</v>
      </c>
      <c r="BG176" s="42"/>
      <c r="BH176" s="42">
        <v>0</v>
      </c>
      <c r="BI176" s="42">
        <f t="shared" si="135"/>
        <v>0</v>
      </c>
      <c r="BJ176" s="42">
        <f t="shared" si="136"/>
        <v>100000</v>
      </c>
      <c r="BK176" s="42">
        <v>100000</v>
      </c>
      <c r="BL176" s="42">
        <v>0</v>
      </c>
      <c r="BM176" s="42">
        <v>0</v>
      </c>
      <c r="BN176" s="42">
        <v>0</v>
      </c>
      <c r="BO176" s="42">
        <f t="shared" si="137"/>
        <v>0</v>
      </c>
      <c r="BP176" s="42">
        <f t="shared" si="138"/>
        <v>100000</v>
      </c>
      <c r="BQ176" s="69">
        <f t="shared" si="139"/>
        <v>3975000</v>
      </c>
      <c r="BR176" s="63" t="s">
        <v>413</v>
      </c>
    </row>
    <row r="177" spans="1:73">
      <c r="A177" s="15">
        <f t="shared" si="111"/>
        <v>173</v>
      </c>
      <c r="B177" s="43">
        <v>13069814</v>
      </c>
      <c r="C177" s="44" t="s">
        <v>259</v>
      </c>
      <c r="D177" s="44" t="s">
        <v>260</v>
      </c>
      <c r="E177" s="42">
        <v>2425000</v>
      </c>
      <c r="F177" s="17">
        <v>100000</v>
      </c>
      <c r="G177" s="17"/>
      <c r="H177" s="17">
        <f t="shared" si="145"/>
        <v>100000</v>
      </c>
      <c r="I177" s="17">
        <v>100000</v>
      </c>
      <c r="J177" s="17"/>
      <c r="K177" s="17">
        <f t="shared" si="146"/>
        <v>100000</v>
      </c>
      <c r="L177" s="17">
        <v>100000</v>
      </c>
      <c r="M177" s="17"/>
      <c r="N177" s="17">
        <f t="shared" si="147"/>
        <v>100000</v>
      </c>
      <c r="O177" s="17">
        <v>100000</v>
      </c>
      <c r="P177" s="17"/>
      <c r="Q177" s="17">
        <f t="shared" si="148"/>
        <v>100000</v>
      </c>
      <c r="R177" s="17">
        <v>100000</v>
      </c>
      <c r="S177" s="17">
        <v>0</v>
      </c>
      <c r="T177" s="17">
        <v>0</v>
      </c>
      <c r="U177" s="17">
        <v>0</v>
      </c>
      <c r="V177" s="17">
        <v>0</v>
      </c>
      <c r="W177" s="17">
        <f t="shared" si="149"/>
        <v>100000</v>
      </c>
      <c r="X177" s="17">
        <v>100000</v>
      </c>
      <c r="Y177" s="17"/>
      <c r="Z177" s="17"/>
      <c r="AA177" s="17"/>
      <c r="AB177" s="17"/>
      <c r="AC177" s="17">
        <f t="shared" si="150"/>
        <v>0</v>
      </c>
      <c r="AD177" s="17">
        <f t="shared" si="151"/>
        <v>100000</v>
      </c>
      <c r="AE177" s="17">
        <v>100000</v>
      </c>
      <c r="AF177" s="17"/>
      <c r="AG177" s="17"/>
      <c r="AH177" s="17"/>
      <c r="AI177" s="17"/>
      <c r="AJ177" s="17">
        <f t="shared" si="152"/>
        <v>0</v>
      </c>
      <c r="AK177" s="17">
        <f t="shared" si="153"/>
        <v>100000</v>
      </c>
      <c r="AL177" s="17">
        <v>100000</v>
      </c>
      <c r="AM177" s="42">
        <v>0</v>
      </c>
      <c r="AN177" s="42">
        <f>[5]Credit!$E$211</f>
        <v>89500</v>
      </c>
      <c r="AO177" s="42">
        <v>0</v>
      </c>
      <c r="AP177" s="17"/>
      <c r="AQ177" s="17">
        <f t="shared" si="125"/>
        <v>89500</v>
      </c>
      <c r="AR177" s="17">
        <f t="shared" si="126"/>
        <v>189500</v>
      </c>
      <c r="AS177" s="42">
        <v>100000</v>
      </c>
      <c r="AT177" s="42">
        <v>0</v>
      </c>
      <c r="AU177" s="42">
        <v>0</v>
      </c>
      <c r="AV177" s="42">
        <v>0</v>
      </c>
      <c r="AW177" s="17">
        <f t="shared" si="127"/>
        <v>0</v>
      </c>
      <c r="AX177" s="42">
        <f t="shared" si="128"/>
        <v>100000</v>
      </c>
      <c r="AY177" s="42">
        <v>100000</v>
      </c>
      <c r="AZ177" s="42">
        <v>0</v>
      </c>
      <c r="BA177" s="42">
        <v>531250</v>
      </c>
      <c r="BB177" s="42"/>
      <c r="BC177" s="42">
        <f t="shared" si="144"/>
        <v>531250</v>
      </c>
      <c r="BD177" s="42">
        <f t="shared" si="134"/>
        <v>631250</v>
      </c>
      <c r="BE177" s="42">
        <v>100000</v>
      </c>
      <c r="BF177" s="42">
        <v>531250</v>
      </c>
      <c r="BG177" s="42">
        <f>[11]Kredit!$E$259</f>
        <v>20000</v>
      </c>
      <c r="BH177" s="42">
        <v>0</v>
      </c>
      <c r="BI177" s="42">
        <f t="shared" si="135"/>
        <v>551250</v>
      </c>
      <c r="BJ177" s="42">
        <f t="shared" si="136"/>
        <v>651250</v>
      </c>
      <c r="BK177" s="42">
        <v>100000</v>
      </c>
      <c r="BL177" s="42">
        <v>531250</v>
      </c>
      <c r="BM177" s="42">
        <v>0</v>
      </c>
      <c r="BN177" s="42">
        <v>0</v>
      </c>
      <c r="BO177" s="42">
        <f t="shared" si="137"/>
        <v>531250</v>
      </c>
      <c r="BP177" s="42">
        <f t="shared" si="138"/>
        <v>631250</v>
      </c>
      <c r="BQ177" s="69">
        <f t="shared" si="139"/>
        <v>3625000</v>
      </c>
      <c r="BR177" s="38" t="s">
        <v>411</v>
      </c>
      <c r="BS177" s="62"/>
    </row>
    <row r="178" spans="1:73">
      <c r="A178" s="15">
        <f t="shared" si="111"/>
        <v>174</v>
      </c>
      <c r="B178" s="48" t="s">
        <v>262</v>
      </c>
      <c r="C178" s="44" t="s">
        <v>263</v>
      </c>
      <c r="D178" s="44" t="s">
        <v>261</v>
      </c>
      <c r="E178" s="42">
        <v>2775000</v>
      </c>
      <c r="F178" s="17">
        <v>100000</v>
      </c>
      <c r="G178" s="17">
        <f>540000</f>
        <v>540000</v>
      </c>
      <c r="H178" s="17">
        <f t="shared" si="145"/>
        <v>640000</v>
      </c>
      <c r="I178" s="17">
        <v>100000</v>
      </c>
      <c r="J178" s="17">
        <f>540000</f>
        <v>540000</v>
      </c>
      <c r="K178" s="17">
        <f t="shared" si="146"/>
        <v>640000</v>
      </c>
      <c r="L178" s="17">
        <v>100000</v>
      </c>
      <c r="M178" s="17">
        <v>540000</v>
      </c>
      <c r="N178" s="17">
        <f t="shared" si="147"/>
        <v>640000</v>
      </c>
      <c r="O178" s="17">
        <v>100000</v>
      </c>
      <c r="P178" s="17"/>
      <c r="Q178" s="17">
        <f t="shared" si="148"/>
        <v>100000</v>
      </c>
      <c r="R178" s="17">
        <v>100000</v>
      </c>
      <c r="S178" s="17">
        <v>0</v>
      </c>
      <c r="T178" s="17">
        <v>0</v>
      </c>
      <c r="U178" s="17">
        <v>0</v>
      </c>
      <c r="V178" s="17">
        <v>0</v>
      </c>
      <c r="W178" s="17">
        <f t="shared" si="149"/>
        <v>100000</v>
      </c>
      <c r="X178" s="17">
        <v>100000</v>
      </c>
      <c r="Y178" s="17">
        <v>530000</v>
      </c>
      <c r="Z178" s="17"/>
      <c r="AA178" s="17"/>
      <c r="AB178" s="17">
        <f>50000+50000</f>
        <v>100000</v>
      </c>
      <c r="AC178" s="17">
        <f t="shared" si="150"/>
        <v>630000</v>
      </c>
      <c r="AD178" s="17">
        <f t="shared" si="151"/>
        <v>730000</v>
      </c>
      <c r="AE178" s="17">
        <v>100000</v>
      </c>
      <c r="AF178" s="17">
        <v>530000</v>
      </c>
      <c r="AG178" s="17"/>
      <c r="AH178" s="17"/>
      <c r="AI178" s="17"/>
      <c r="AJ178" s="17">
        <f t="shared" si="152"/>
        <v>530000</v>
      </c>
      <c r="AK178" s="17">
        <f t="shared" si="153"/>
        <v>630000</v>
      </c>
      <c r="AL178" s="17">
        <v>100000</v>
      </c>
      <c r="AM178" s="42">
        <v>530000</v>
      </c>
      <c r="AN178" s="42">
        <v>0</v>
      </c>
      <c r="AO178" s="42">
        <v>0</v>
      </c>
      <c r="AP178" s="17"/>
      <c r="AQ178" s="17">
        <f t="shared" si="125"/>
        <v>530000</v>
      </c>
      <c r="AR178" s="17">
        <f t="shared" si="126"/>
        <v>630000</v>
      </c>
      <c r="AS178" s="42">
        <v>100000</v>
      </c>
      <c r="AT178" s="42">
        <v>530000</v>
      </c>
      <c r="AU178" s="42">
        <v>0</v>
      </c>
      <c r="AV178" s="42">
        <v>0</v>
      </c>
      <c r="AW178" s="17">
        <f t="shared" si="127"/>
        <v>530000</v>
      </c>
      <c r="AX178" s="42">
        <f t="shared" si="128"/>
        <v>630000</v>
      </c>
      <c r="AY178" s="42">
        <v>100000</v>
      </c>
      <c r="AZ178" s="42">
        <v>0</v>
      </c>
      <c r="BA178" s="42">
        <v>530000</v>
      </c>
      <c r="BB178" s="42"/>
      <c r="BC178" s="42">
        <f t="shared" si="144"/>
        <v>530000</v>
      </c>
      <c r="BD178" s="42">
        <f t="shared" si="134"/>
        <v>630000</v>
      </c>
      <c r="BE178" s="42">
        <v>100000</v>
      </c>
      <c r="BF178" s="42">
        <f>530000</f>
        <v>530000</v>
      </c>
      <c r="BG178" s="42"/>
      <c r="BH178" s="42">
        <v>0</v>
      </c>
      <c r="BI178" s="42">
        <f t="shared" si="135"/>
        <v>530000</v>
      </c>
      <c r="BJ178" s="42">
        <f t="shared" si="136"/>
        <v>630000</v>
      </c>
      <c r="BK178" s="42">
        <v>100000</v>
      </c>
      <c r="BL178" s="42">
        <v>530000</v>
      </c>
      <c r="BM178" s="42">
        <v>0</v>
      </c>
      <c r="BN178" s="42">
        <v>0</v>
      </c>
      <c r="BO178" s="42">
        <f t="shared" si="137"/>
        <v>530000</v>
      </c>
      <c r="BP178" s="42">
        <f t="shared" si="138"/>
        <v>630000</v>
      </c>
      <c r="BQ178" s="69">
        <f t="shared" si="139"/>
        <v>3975000</v>
      </c>
      <c r="BR178" s="37"/>
    </row>
    <row r="179" spans="1:73">
      <c r="A179" s="15">
        <f t="shared" si="111"/>
        <v>175</v>
      </c>
      <c r="B179" s="48" t="s">
        <v>264</v>
      </c>
      <c r="C179" s="44" t="s">
        <v>265</v>
      </c>
      <c r="D179" s="44" t="s">
        <v>261</v>
      </c>
      <c r="E179" s="42">
        <v>2775000</v>
      </c>
      <c r="F179" s="17">
        <v>100000</v>
      </c>
      <c r="G179" s="17">
        <f>540000+352000</f>
        <v>892000</v>
      </c>
      <c r="H179" s="17">
        <f t="shared" si="145"/>
        <v>992000</v>
      </c>
      <c r="I179" s="17">
        <v>100000</v>
      </c>
      <c r="J179" s="17">
        <f>540000+704500</f>
        <v>1244500</v>
      </c>
      <c r="K179" s="17">
        <f t="shared" si="146"/>
        <v>1344500</v>
      </c>
      <c r="L179" s="17">
        <v>100000</v>
      </c>
      <c r="M179" s="17">
        <f>540000+565000</f>
        <v>1105000</v>
      </c>
      <c r="N179" s="17">
        <f t="shared" si="147"/>
        <v>1205000</v>
      </c>
      <c r="O179" s="17">
        <v>100000</v>
      </c>
      <c r="P179" s="17">
        <f>530000+102000+397000</f>
        <v>1029000</v>
      </c>
      <c r="Q179" s="17">
        <f t="shared" si="148"/>
        <v>1129000</v>
      </c>
      <c r="R179" s="17">
        <v>100000</v>
      </c>
      <c r="S179" s="17">
        <f>530000</f>
        <v>530000</v>
      </c>
      <c r="T179" s="17">
        <f>[7]System!$F$189</f>
        <v>425500</v>
      </c>
      <c r="U179" s="17">
        <v>0</v>
      </c>
      <c r="V179" s="17">
        <f>21000</f>
        <v>21000</v>
      </c>
      <c r="W179" s="17">
        <f t="shared" si="149"/>
        <v>1076500</v>
      </c>
      <c r="X179" s="17">
        <v>100000</v>
      </c>
      <c r="Y179" s="17">
        <v>530000</v>
      </c>
      <c r="Z179" s="17">
        <f>[8]Credit!$E$183</f>
        <v>483500</v>
      </c>
      <c r="AA179" s="17"/>
      <c r="AB179" s="17">
        <v>25000</v>
      </c>
      <c r="AC179" s="17">
        <f t="shared" si="150"/>
        <v>1038500</v>
      </c>
      <c r="AD179" s="17">
        <f t="shared" si="151"/>
        <v>1138500</v>
      </c>
      <c r="AE179" s="17">
        <v>100000</v>
      </c>
      <c r="AF179" s="17">
        <v>530000</v>
      </c>
      <c r="AG179" s="17">
        <f>[9]Credit!$F$139</f>
        <v>818500</v>
      </c>
      <c r="AH179" s="17"/>
      <c r="AI179" s="17"/>
      <c r="AJ179" s="17">
        <f t="shared" si="152"/>
        <v>1348500</v>
      </c>
      <c r="AK179" s="17">
        <f t="shared" si="153"/>
        <v>1448500</v>
      </c>
      <c r="AL179" s="17">
        <v>100000</v>
      </c>
      <c r="AM179" s="42">
        <v>530000</v>
      </c>
      <c r="AN179" s="42">
        <f>[5]Credit!$E$257</f>
        <v>783200</v>
      </c>
      <c r="AO179" s="42">
        <v>0</v>
      </c>
      <c r="AP179" s="17"/>
      <c r="AQ179" s="17">
        <f t="shared" ref="AQ179:AQ194" si="154">SUM(AM179:AP179)</f>
        <v>1313200</v>
      </c>
      <c r="AR179" s="17">
        <f t="shared" ref="AR179:AR194" si="155">AL179+AQ179</f>
        <v>1413200</v>
      </c>
      <c r="AS179" s="42">
        <v>100000</v>
      </c>
      <c r="AT179" s="42">
        <f>530000*2</f>
        <v>1060000</v>
      </c>
      <c r="AU179" s="42">
        <v>440000</v>
      </c>
      <c r="AV179" s="42">
        <v>0</v>
      </c>
      <c r="AW179" s="17">
        <f t="shared" ref="AW179:AW194" si="156">SUM(AT179:AV179)</f>
        <v>1500000</v>
      </c>
      <c r="AX179" s="42">
        <f t="shared" ref="AX179:AX194" si="157">AS179+AW179</f>
        <v>1600000</v>
      </c>
      <c r="AY179" s="42">
        <v>100000</v>
      </c>
      <c r="AZ179" s="42">
        <f>1886500-1600000+[6]Credit!$F$275</f>
        <v>1189000</v>
      </c>
      <c r="BA179" s="42">
        <v>530000</v>
      </c>
      <c r="BB179" s="42"/>
      <c r="BC179" s="42">
        <f>SUM(AZ179:BB179)-219000</f>
        <v>1500000</v>
      </c>
      <c r="BD179" s="42">
        <f t="shared" si="134"/>
        <v>1600000</v>
      </c>
      <c r="BE179" s="42">
        <v>100000</v>
      </c>
      <c r="BF179" s="42">
        <v>530000</v>
      </c>
      <c r="BG179" s="42">
        <f>219000+[11]Kredit!$E$299</f>
        <v>388000</v>
      </c>
      <c r="BH179" s="42">
        <v>0</v>
      </c>
      <c r="BI179" s="42">
        <f t="shared" si="135"/>
        <v>918000</v>
      </c>
      <c r="BJ179" s="42">
        <f t="shared" si="136"/>
        <v>1018000</v>
      </c>
      <c r="BK179" s="42">
        <v>100000</v>
      </c>
      <c r="BL179" s="42">
        <v>530000</v>
      </c>
      <c r="BM179" s="42">
        <f>[12]Credit!$E$294</f>
        <v>487500</v>
      </c>
      <c r="BN179" s="42">
        <v>0</v>
      </c>
      <c r="BO179" s="42">
        <f t="shared" si="137"/>
        <v>1017500</v>
      </c>
      <c r="BP179" s="42">
        <f t="shared" si="138"/>
        <v>1117500</v>
      </c>
      <c r="BQ179" s="69">
        <f t="shared" si="139"/>
        <v>3975000</v>
      </c>
      <c r="BR179" s="38" t="s">
        <v>414</v>
      </c>
    </row>
    <row r="180" spans="1:73">
      <c r="A180" s="15">
        <f t="shared" si="111"/>
        <v>176</v>
      </c>
      <c r="B180" s="43">
        <v>99101737</v>
      </c>
      <c r="C180" s="44" t="s">
        <v>266</v>
      </c>
      <c r="D180" s="44" t="s">
        <v>261</v>
      </c>
      <c r="E180" s="42">
        <v>2775000</v>
      </c>
      <c r="F180" s="17">
        <v>100000</v>
      </c>
      <c r="G180" s="17">
        <f>530000</f>
        <v>530000</v>
      </c>
      <c r="H180" s="17">
        <f t="shared" si="145"/>
        <v>630000</v>
      </c>
      <c r="I180" s="17">
        <v>100000</v>
      </c>
      <c r="J180" s="17">
        <f>530000</f>
        <v>530000</v>
      </c>
      <c r="K180" s="17">
        <f t="shared" si="146"/>
        <v>630000</v>
      </c>
      <c r="L180" s="17">
        <v>100000</v>
      </c>
      <c r="M180" s="17">
        <v>530000</v>
      </c>
      <c r="N180" s="17">
        <f t="shared" si="147"/>
        <v>630000</v>
      </c>
      <c r="O180" s="17">
        <v>100000</v>
      </c>
      <c r="P180" s="17">
        <f>530000</f>
        <v>530000</v>
      </c>
      <c r="Q180" s="17">
        <f t="shared" si="148"/>
        <v>630000</v>
      </c>
      <c r="R180" s="17">
        <v>100000</v>
      </c>
      <c r="S180" s="17">
        <f>530000</f>
        <v>530000</v>
      </c>
      <c r="T180" s="17">
        <v>0</v>
      </c>
      <c r="U180" s="17">
        <v>0</v>
      </c>
      <c r="V180" s="17">
        <v>0</v>
      </c>
      <c r="W180" s="17">
        <f t="shared" si="149"/>
        <v>630000</v>
      </c>
      <c r="X180" s="17">
        <v>100000</v>
      </c>
      <c r="Y180" s="17">
        <v>530000</v>
      </c>
      <c r="Z180" s="17"/>
      <c r="AA180" s="17"/>
      <c r="AB180" s="17">
        <v>20000</v>
      </c>
      <c r="AC180" s="17">
        <f t="shared" si="150"/>
        <v>550000</v>
      </c>
      <c r="AD180" s="17">
        <f t="shared" si="151"/>
        <v>650000</v>
      </c>
      <c r="AE180" s="17">
        <v>100000</v>
      </c>
      <c r="AF180" s="17">
        <v>530000</v>
      </c>
      <c r="AG180" s="17"/>
      <c r="AH180" s="17"/>
      <c r="AI180" s="17">
        <v>70000</v>
      </c>
      <c r="AJ180" s="17">
        <f t="shared" si="152"/>
        <v>600000</v>
      </c>
      <c r="AK180" s="17">
        <f t="shared" si="153"/>
        <v>700000</v>
      </c>
      <c r="AL180" s="17">
        <v>100000</v>
      </c>
      <c r="AM180" s="42">
        <v>530000</v>
      </c>
      <c r="AN180" s="42">
        <v>0</v>
      </c>
      <c r="AO180" s="42">
        <v>0</v>
      </c>
      <c r="AP180" s="17"/>
      <c r="AQ180" s="17">
        <f t="shared" si="154"/>
        <v>530000</v>
      </c>
      <c r="AR180" s="17">
        <f t="shared" si="155"/>
        <v>630000</v>
      </c>
      <c r="AS180" s="42">
        <v>100000</v>
      </c>
      <c r="AT180" s="42">
        <v>530000</v>
      </c>
      <c r="AU180" s="42">
        <v>0</v>
      </c>
      <c r="AV180" s="42">
        <v>0</v>
      </c>
      <c r="AW180" s="17">
        <f t="shared" si="156"/>
        <v>530000</v>
      </c>
      <c r="AX180" s="42">
        <f t="shared" si="157"/>
        <v>630000</v>
      </c>
      <c r="AY180" s="42">
        <v>100000</v>
      </c>
      <c r="AZ180" s="42">
        <v>0</v>
      </c>
      <c r="BA180" s="42">
        <v>530000</v>
      </c>
      <c r="BB180" s="42"/>
      <c r="BC180" s="42">
        <f t="shared" ref="BC180:BC194" si="158">SUM(AZ180:BB180)</f>
        <v>530000</v>
      </c>
      <c r="BD180" s="42">
        <f t="shared" si="134"/>
        <v>630000</v>
      </c>
      <c r="BE180" s="42">
        <v>100000</v>
      </c>
      <c r="BF180" s="42">
        <v>530000</v>
      </c>
      <c r="BG180" s="42"/>
      <c r="BH180" s="42">
        <v>0</v>
      </c>
      <c r="BI180" s="42">
        <f t="shared" si="135"/>
        <v>530000</v>
      </c>
      <c r="BJ180" s="42">
        <f t="shared" si="136"/>
        <v>630000</v>
      </c>
      <c r="BK180" s="42">
        <v>100000</v>
      </c>
      <c r="BL180" s="42">
        <v>530000</v>
      </c>
      <c r="BM180" s="42">
        <v>0</v>
      </c>
      <c r="BN180" s="42">
        <v>0</v>
      </c>
      <c r="BO180" s="42">
        <f t="shared" si="137"/>
        <v>530000</v>
      </c>
      <c r="BP180" s="42">
        <f t="shared" si="138"/>
        <v>630000</v>
      </c>
      <c r="BQ180" s="69">
        <f t="shared" si="139"/>
        <v>3975000</v>
      </c>
      <c r="BR180" s="37"/>
    </row>
    <row r="181" spans="1:73">
      <c r="A181" s="15">
        <f t="shared" si="111"/>
        <v>177</v>
      </c>
      <c r="B181" s="55">
        <v>16010012</v>
      </c>
      <c r="C181" s="44" t="s">
        <v>415</v>
      </c>
      <c r="D181" s="44" t="s">
        <v>261</v>
      </c>
      <c r="E181" s="42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>
        <v>200000</v>
      </c>
      <c r="AM181" s="42">
        <v>0</v>
      </c>
      <c r="AN181" s="42">
        <v>0</v>
      </c>
      <c r="AO181" s="42">
        <v>0</v>
      </c>
      <c r="AP181" s="17"/>
      <c r="AQ181" s="17">
        <f t="shared" si="154"/>
        <v>0</v>
      </c>
      <c r="AR181" s="17">
        <f t="shared" si="155"/>
        <v>200000</v>
      </c>
      <c r="AS181" s="42">
        <v>100000</v>
      </c>
      <c r="AT181" s="42">
        <v>0</v>
      </c>
      <c r="AU181" s="42">
        <f>[10]Credit!$E$401</f>
        <v>250000</v>
      </c>
      <c r="AV181" s="42">
        <v>0</v>
      </c>
      <c r="AW181" s="17">
        <f t="shared" si="156"/>
        <v>250000</v>
      </c>
      <c r="AX181" s="42">
        <f t="shared" si="157"/>
        <v>350000</v>
      </c>
      <c r="AY181" s="42">
        <v>100000</v>
      </c>
      <c r="AZ181" s="42">
        <f>[6]Credit!$F$424</f>
        <v>497200</v>
      </c>
      <c r="BA181" s="42"/>
      <c r="BB181" s="42"/>
      <c r="BC181" s="42">
        <f t="shared" si="158"/>
        <v>497200</v>
      </c>
      <c r="BD181" s="42">
        <f t="shared" si="134"/>
        <v>597200</v>
      </c>
      <c r="BE181" s="42">
        <v>100000</v>
      </c>
      <c r="BF181" s="42">
        <v>425000</v>
      </c>
      <c r="BG181" s="42">
        <f>[11]Kredit!$E$490</f>
        <v>436000</v>
      </c>
      <c r="BH181" s="42">
        <v>0</v>
      </c>
      <c r="BI181" s="42">
        <f t="shared" si="135"/>
        <v>861000</v>
      </c>
      <c r="BJ181" s="42">
        <f t="shared" si="136"/>
        <v>961000</v>
      </c>
      <c r="BK181" s="42">
        <v>100000</v>
      </c>
      <c r="BL181" s="42">
        <v>425000</v>
      </c>
      <c r="BM181" s="42">
        <f>[12]Credit!$E$479</f>
        <v>520000</v>
      </c>
      <c r="BN181" s="42">
        <v>0</v>
      </c>
      <c r="BO181" s="42">
        <f t="shared" si="137"/>
        <v>945000</v>
      </c>
      <c r="BP181" s="42">
        <f t="shared" si="138"/>
        <v>1045000</v>
      </c>
      <c r="BQ181" s="69">
        <f t="shared" si="139"/>
        <v>600000</v>
      </c>
      <c r="BR181" s="37"/>
    </row>
    <row r="182" spans="1:73">
      <c r="A182" s="15">
        <f t="shared" si="111"/>
        <v>178</v>
      </c>
      <c r="B182" s="48">
        <v>10027357</v>
      </c>
      <c r="C182" s="44" t="s">
        <v>267</v>
      </c>
      <c r="D182" s="44" t="s">
        <v>261</v>
      </c>
      <c r="E182" s="42">
        <v>2775000</v>
      </c>
      <c r="F182" s="17">
        <v>100000</v>
      </c>
      <c r="G182" s="17">
        <f>265000</f>
        <v>265000</v>
      </c>
      <c r="H182" s="17">
        <f t="shared" ref="H182:H191" si="159">F182+G182</f>
        <v>365000</v>
      </c>
      <c r="I182" s="17">
        <v>100000</v>
      </c>
      <c r="J182" s="17">
        <f>265000+150500</f>
        <v>415500</v>
      </c>
      <c r="K182" s="17">
        <f t="shared" ref="K182:K191" si="160">I182+J182</f>
        <v>515500</v>
      </c>
      <c r="L182" s="17">
        <v>100000</v>
      </c>
      <c r="M182" s="17">
        <f>265000+176000</f>
        <v>441000</v>
      </c>
      <c r="N182" s="17">
        <f t="shared" ref="N182:N191" si="161">L182+M182</f>
        <v>541000</v>
      </c>
      <c r="O182" s="17">
        <v>100000</v>
      </c>
      <c r="P182" s="17">
        <f>97000</f>
        <v>97000</v>
      </c>
      <c r="Q182" s="17">
        <f t="shared" ref="Q182:Q191" si="162">O182+P182</f>
        <v>197000</v>
      </c>
      <c r="R182" s="17">
        <v>100000</v>
      </c>
      <c r="S182" s="17">
        <v>0</v>
      </c>
      <c r="T182" s="17">
        <f>170500+[7]System!$F$699</f>
        <v>486000</v>
      </c>
      <c r="U182" s="17">
        <v>0</v>
      </c>
      <c r="V182" s="17">
        <v>6000</v>
      </c>
      <c r="W182" s="17">
        <f t="shared" ref="W182:W194" si="163">SUM(R182:V182)</f>
        <v>592000</v>
      </c>
      <c r="X182" s="17">
        <v>100000</v>
      </c>
      <c r="Y182" s="17"/>
      <c r="Z182" s="17">
        <f>[8]Credit!$E$752</f>
        <v>233000</v>
      </c>
      <c r="AA182" s="17">
        <v>468475</v>
      </c>
      <c r="AB182" s="17"/>
      <c r="AC182" s="17">
        <f t="shared" ref="AC182:AC194" si="164">SUM(Y182:AB182)</f>
        <v>701475</v>
      </c>
      <c r="AD182" s="17">
        <f t="shared" ref="AD182:AD194" si="165">AC182+X182</f>
        <v>801475</v>
      </c>
      <c r="AE182" s="17">
        <v>100000</v>
      </c>
      <c r="AF182" s="17"/>
      <c r="AG182" s="17">
        <f>[9]Credit!$F$470</f>
        <v>180500</v>
      </c>
      <c r="AH182" s="17">
        <v>468475</v>
      </c>
      <c r="AI182" s="17"/>
      <c r="AJ182" s="17">
        <f t="shared" ref="AJ182:AJ194" si="166">SUM(AF182:AI182)</f>
        <v>648975</v>
      </c>
      <c r="AK182" s="17">
        <f t="shared" ref="AK182:AK194" si="167">AE182+AJ182</f>
        <v>748975</v>
      </c>
      <c r="AL182" s="17">
        <v>100000</v>
      </c>
      <c r="AM182" s="42">
        <v>0</v>
      </c>
      <c r="AN182" s="42">
        <f>[5]Credit!$E$870</f>
        <v>266500</v>
      </c>
      <c r="AO182" s="42">
        <v>468475</v>
      </c>
      <c r="AP182" s="17">
        <v>15000</v>
      </c>
      <c r="AQ182" s="17">
        <f t="shared" si="154"/>
        <v>749975</v>
      </c>
      <c r="AR182" s="17">
        <f t="shared" si="155"/>
        <v>849975</v>
      </c>
      <c r="AS182" s="42">
        <v>100000</v>
      </c>
      <c r="AT182" s="42">
        <v>0</v>
      </c>
      <c r="AU182" s="42">
        <f>[10]Credit!$E$860</f>
        <v>351000</v>
      </c>
      <c r="AV182" s="42">
        <v>468475</v>
      </c>
      <c r="AW182" s="17">
        <f t="shared" si="156"/>
        <v>819475</v>
      </c>
      <c r="AX182" s="42">
        <f t="shared" si="157"/>
        <v>919475</v>
      </c>
      <c r="AY182" s="42">
        <v>100000</v>
      </c>
      <c r="AZ182" s="42">
        <f>[6]Credit!$F$889</f>
        <v>235500</v>
      </c>
      <c r="BA182" s="42"/>
      <c r="BB182" s="42">
        <v>468475</v>
      </c>
      <c r="BC182" s="42">
        <f t="shared" si="158"/>
        <v>703975</v>
      </c>
      <c r="BD182" s="42">
        <f t="shared" si="134"/>
        <v>803975</v>
      </c>
      <c r="BE182" s="42">
        <v>100000</v>
      </c>
      <c r="BF182" s="42">
        <v>270000</v>
      </c>
      <c r="BG182" s="42">
        <f>[11]Kredit!$E$901</f>
        <v>381500</v>
      </c>
      <c r="BH182" s="42">
        <v>0</v>
      </c>
      <c r="BI182" s="42">
        <f t="shared" si="135"/>
        <v>651500</v>
      </c>
      <c r="BJ182" s="42">
        <f t="shared" si="136"/>
        <v>751500</v>
      </c>
      <c r="BK182" s="42">
        <v>100000</v>
      </c>
      <c r="BL182" s="42">
        <v>270000</v>
      </c>
      <c r="BM182" s="42">
        <f>[12]Credit!$E$827</f>
        <v>381500</v>
      </c>
      <c r="BN182" s="42">
        <v>0</v>
      </c>
      <c r="BO182" s="42">
        <f t="shared" si="137"/>
        <v>651500</v>
      </c>
      <c r="BP182" s="42">
        <f t="shared" si="138"/>
        <v>751500</v>
      </c>
      <c r="BQ182" s="69">
        <f t="shared" si="139"/>
        <v>3975000</v>
      </c>
      <c r="BR182" s="38" t="s">
        <v>385</v>
      </c>
      <c r="BS182" s="62"/>
    </row>
    <row r="183" spans="1:73">
      <c r="A183" s="15">
        <f t="shared" si="111"/>
        <v>179</v>
      </c>
      <c r="B183" s="43">
        <v>97031319</v>
      </c>
      <c r="C183" s="44" t="s">
        <v>68</v>
      </c>
      <c r="D183" s="44" t="s">
        <v>261</v>
      </c>
      <c r="E183" s="42">
        <v>2775000</v>
      </c>
      <c r="F183" s="17">
        <v>100000</v>
      </c>
      <c r="G183" s="17">
        <f>530000+234300</f>
        <v>764300</v>
      </c>
      <c r="H183" s="17">
        <f t="shared" si="159"/>
        <v>864300</v>
      </c>
      <c r="I183" s="17">
        <v>100000</v>
      </c>
      <c r="J183" s="17">
        <f>530000+428800</f>
        <v>958800</v>
      </c>
      <c r="K183" s="17">
        <f t="shared" si="160"/>
        <v>1058800</v>
      </c>
      <c r="L183" s="17">
        <v>100000</v>
      </c>
      <c r="M183" s="17">
        <f>530000+434900</f>
        <v>964900</v>
      </c>
      <c r="N183" s="17">
        <f t="shared" si="161"/>
        <v>1064900</v>
      </c>
      <c r="O183" s="17">
        <v>100000</v>
      </c>
      <c r="P183" s="17">
        <f>108200+530000</f>
        <v>638200</v>
      </c>
      <c r="Q183" s="17">
        <f t="shared" si="162"/>
        <v>738200</v>
      </c>
      <c r="R183" s="17">
        <v>100000</v>
      </c>
      <c r="S183" s="17">
        <f>530000</f>
        <v>530000</v>
      </c>
      <c r="T183" s="17">
        <f>[7]System!$F$727</f>
        <v>462500</v>
      </c>
      <c r="U183" s="17">
        <v>0</v>
      </c>
      <c r="V183" s="17">
        <v>0</v>
      </c>
      <c r="W183" s="17">
        <f t="shared" si="163"/>
        <v>1092500</v>
      </c>
      <c r="X183" s="17">
        <v>100000</v>
      </c>
      <c r="Y183" s="17">
        <v>530000</v>
      </c>
      <c r="Z183" s="17">
        <f>[8]Credit!$E$793</f>
        <v>465200</v>
      </c>
      <c r="AA183" s="17"/>
      <c r="AB183" s="17"/>
      <c r="AC183" s="17">
        <f t="shared" si="164"/>
        <v>995200</v>
      </c>
      <c r="AD183" s="17">
        <f t="shared" si="165"/>
        <v>1095200</v>
      </c>
      <c r="AE183" s="17">
        <v>100000</v>
      </c>
      <c r="AF183" s="17">
        <v>530000</v>
      </c>
      <c r="AG183" s="17">
        <f>[9]Credit!$F$491</f>
        <v>180500</v>
      </c>
      <c r="AH183" s="17"/>
      <c r="AI183" s="17"/>
      <c r="AJ183" s="17">
        <f t="shared" si="166"/>
        <v>710500</v>
      </c>
      <c r="AK183" s="17">
        <f t="shared" si="167"/>
        <v>810500</v>
      </c>
      <c r="AL183" s="17">
        <v>100000</v>
      </c>
      <c r="AM183" s="42">
        <v>530000</v>
      </c>
      <c r="AN183" s="42">
        <f>[5]Credit!$E$904</f>
        <v>309000</v>
      </c>
      <c r="AO183" s="42">
        <v>0</v>
      </c>
      <c r="AP183" s="17"/>
      <c r="AQ183" s="17">
        <f t="shared" si="154"/>
        <v>839000</v>
      </c>
      <c r="AR183" s="17">
        <f t="shared" si="155"/>
        <v>939000</v>
      </c>
      <c r="AS183" s="42">
        <v>100000</v>
      </c>
      <c r="AT183" s="42">
        <v>530000</v>
      </c>
      <c r="AU183" s="42">
        <f>[10]Credit!$E$890</f>
        <v>348000</v>
      </c>
      <c r="AV183" s="42">
        <v>0</v>
      </c>
      <c r="AW183" s="17">
        <f t="shared" si="156"/>
        <v>878000</v>
      </c>
      <c r="AX183" s="42">
        <f t="shared" si="157"/>
        <v>978000</v>
      </c>
      <c r="AY183" s="42">
        <v>100000</v>
      </c>
      <c r="AZ183" s="42">
        <f>[6]Credit!$F$929</f>
        <v>333500</v>
      </c>
      <c r="BA183" s="42">
        <v>530000</v>
      </c>
      <c r="BB183" s="42"/>
      <c r="BC183" s="42">
        <f t="shared" si="158"/>
        <v>863500</v>
      </c>
      <c r="BD183" s="42">
        <f t="shared" si="134"/>
        <v>963500</v>
      </c>
      <c r="BE183" s="42">
        <v>100000</v>
      </c>
      <c r="BF183" s="42">
        <v>530000</v>
      </c>
      <c r="BG183" s="42">
        <f>[11]Kredit!$E$931</f>
        <v>302000</v>
      </c>
      <c r="BH183" s="42">
        <v>0</v>
      </c>
      <c r="BI183" s="42">
        <f t="shared" si="135"/>
        <v>832000</v>
      </c>
      <c r="BJ183" s="42">
        <f t="shared" si="136"/>
        <v>932000</v>
      </c>
      <c r="BK183" s="42">
        <v>100000</v>
      </c>
      <c r="BL183" s="42">
        <v>530000</v>
      </c>
      <c r="BM183" s="42">
        <f>[12]Credit!$E$859</f>
        <v>383500</v>
      </c>
      <c r="BN183" s="42">
        <v>0</v>
      </c>
      <c r="BO183" s="42">
        <f t="shared" si="137"/>
        <v>913500</v>
      </c>
      <c r="BP183" s="42">
        <f t="shared" si="138"/>
        <v>1013500</v>
      </c>
      <c r="BQ183" s="69">
        <f t="shared" si="139"/>
        <v>3975000</v>
      </c>
      <c r="BR183" s="37"/>
    </row>
    <row r="184" spans="1:73">
      <c r="A184" s="15">
        <f t="shared" si="111"/>
        <v>180</v>
      </c>
      <c r="B184" s="48" t="s">
        <v>268</v>
      </c>
      <c r="C184" s="44" t="s">
        <v>269</v>
      </c>
      <c r="D184" s="44" t="s">
        <v>261</v>
      </c>
      <c r="E184" s="42">
        <v>2775000</v>
      </c>
      <c r="F184" s="17">
        <v>100000</v>
      </c>
      <c r="G184" s="17">
        <f>530000</f>
        <v>530000</v>
      </c>
      <c r="H184" s="17">
        <f t="shared" si="159"/>
        <v>630000</v>
      </c>
      <c r="I184" s="17">
        <v>100000</v>
      </c>
      <c r="J184" s="17">
        <f>530000</f>
        <v>530000</v>
      </c>
      <c r="K184" s="17">
        <f t="shared" si="160"/>
        <v>630000</v>
      </c>
      <c r="L184" s="17">
        <v>100000</v>
      </c>
      <c r="M184" s="17">
        <v>530000</v>
      </c>
      <c r="N184" s="17">
        <f t="shared" si="161"/>
        <v>630000</v>
      </c>
      <c r="O184" s="17">
        <v>100000</v>
      </c>
      <c r="P184" s="17">
        <f>69000+530000</f>
        <v>599000</v>
      </c>
      <c r="Q184" s="17">
        <f t="shared" si="162"/>
        <v>699000</v>
      </c>
      <c r="R184" s="17">
        <v>100000</v>
      </c>
      <c r="S184" s="17">
        <f>530000</f>
        <v>530000</v>
      </c>
      <c r="T184" s="17">
        <v>0</v>
      </c>
      <c r="U184" s="17">
        <v>0</v>
      </c>
      <c r="V184" s="17">
        <f>21000</f>
        <v>21000</v>
      </c>
      <c r="W184" s="17">
        <f t="shared" si="163"/>
        <v>651000</v>
      </c>
      <c r="X184" s="17">
        <v>100000</v>
      </c>
      <c r="Y184" s="17"/>
      <c r="Z184" s="17">
        <f>[8]Credit!$E$795</f>
        <v>52000</v>
      </c>
      <c r="AA184" s="17"/>
      <c r="AB184" s="17">
        <f>50000+10000</f>
        <v>60000</v>
      </c>
      <c r="AC184" s="17">
        <f t="shared" si="164"/>
        <v>112000</v>
      </c>
      <c r="AD184" s="17">
        <f t="shared" si="165"/>
        <v>212000</v>
      </c>
      <c r="AE184" s="17">
        <v>100000</v>
      </c>
      <c r="AF184" s="17"/>
      <c r="AG184" s="17"/>
      <c r="AH184" s="17"/>
      <c r="AI184" s="17"/>
      <c r="AJ184" s="17">
        <f t="shared" si="166"/>
        <v>0</v>
      </c>
      <c r="AK184" s="17">
        <f t="shared" si="167"/>
        <v>100000</v>
      </c>
      <c r="AL184" s="17">
        <v>100000</v>
      </c>
      <c r="AM184" s="42">
        <v>0</v>
      </c>
      <c r="AN184" s="42">
        <v>0</v>
      </c>
      <c r="AO184" s="42">
        <v>0</v>
      </c>
      <c r="AP184" s="17"/>
      <c r="AQ184" s="17">
        <f t="shared" si="154"/>
        <v>0</v>
      </c>
      <c r="AR184" s="17">
        <f t="shared" si="155"/>
        <v>100000</v>
      </c>
      <c r="AS184" s="42">
        <v>100000</v>
      </c>
      <c r="AT184" s="42">
        <v>1060000</v>
      </c>
      <c r="AU184" s="42">
        <f>[10]Credit!$E$893</f>
        <v>46000</v>
      </c>
      <c r="AV184" s="42">
        <v>0</v>
      </c>
      <c r="AW184" s="17">
        <f t="shared" si="156"/>
        <v>1106000</v>
      </c>
      <c r="AX184" s="42">
        <f t="shared" si="157"/>
        <v>1206000</v>
      </c>
      <c r="AY184" s="42">
        <v>100000</v>
      </c>
      <c r="AZ184" s="42">
        <f>[6]Credit!$F$933</f>
        <v>42000</v>
      </c>
      <c r="BA184" s="42">
        <v>1060000</v>
      </c>
      <c r="BB184" s="42"/>
      <c r="BC184" s="42">
        <f t="shared" si="158"/>
        <v>1102000</v>
      </c>
      <c r="BD184" s="42">
        <f t="shared" si="134"/>
        <v>1202000</v>
      </c>
      <c r="BE184" s="42">
        <v>100000</v>
      </c>
      <c r="BF184" s="42">
        <v>1060000</v>
      </c>
      <c r="BG184" s="42">
        <f>[11]Kredit!$E$935</f>
        <v>27000</v>
      </c>
      <c r="BH184" s="42">
        <v>0</v>
      </c>
      <c r="BI184" s="42">
        <f t="shared" si="135"/>
        <v>1087000</v>
      </c>
      <c r="BJ184" s="42">
        <f t="shared" si="136"/>
        <v>1187000</v>
      </c>
      <c r="BK184" s="42">
        <v>100000</v>
      </c>
      <c r="BL184" s="42">
        <v>1060000</v>
      </c>
      <c r="BM184" s="42">
        <f>[12]Credit!$E$864</f>
        <v>105000</v>
      </c>
      <c r="BN184" s="42">
        <v>0</v>
      </c>
      <c r="BO184" s="42">
        <f t="shared" si="137"/>
        <v>1165000</v>
      </c>
      <c r="BP184" s="42">
        <f t="shared" si="138"/>
        <v>1265000</v>
      </c>
      <c r="BQ184" s="69">
        <f t="shared" si="139"/>
        <v>3975000</v>
      </c>
      <c r="BR184" s="37"/>
    </row>
    <row r="185" spans="1:73">
      <c r="A185" s="15">
        <f t="shared" si="111"/>
        <v>181</v>
      </c>
      <c r="B185" s="43">
        <v>99081537</v>
      </c>
      <c r="C185" s="44" t="s">
        <v>270</v>
      </c>
      <c r="D185" s="44" t="s">
        <v>261</v>
      </c>
      <c r="E185" s="42">
        <v>0</v>
      </c>
      <c r="F185" s="17">
        <v>0</v>
      </c>
      <c r="G185" s="17"/>
      <c r="H185" s="17">
        <f t="shared" si="159"/>
        <v>0</v>
      </c>
      <c r="I185" s="17">
        <v>0</v>
      </c>
      <c r="J185" s="17"/>
      <c r="K185" s="17">
        <f t="shared" si="160"/>
        <v>0</v>
      </c>
      <c r="L185" s="17">
        <v>0</v>
      </c>
      <c r="M185" s="17"/>
      <c r="N185" s="17">
        <f t="shared" si="161"/>
        <v>0</v>
      </c>
      <c r="O185" s="17">
        <v>0</v>
      </c>
      <c r="P185" s="17"/>
      <c r="Q185" s="17">
        <f t="shared" si="162"/>
        <v>0</v>
      </c>
      <c r="R185" s="17">
        <v>100000</v>
      </c>
      <c r="S185" s="17">
        <v>0</v>
      </c>
      <c r="T185" s="17">
        <f>[7]System!$F$735</f>
        <v>8000</v>
      </c>
      <c r="U185" s="17">
        <v>0</v>
      </c>
      <c r="V185" s="17">
        <v>0</v>
      </c>
      <c r="W185" s="17">
        <f t="shared" si="163"/>
        <v>108000</v>
      </c>
      <c r="X185" s="17">
        <v>100000</v>
      </c>
      <c r="Y185" s="17"/>
      <c r="Z185" s="17">
        <f>[8]Credit!$E$806</f>
        <v>21000</v>
      </c>
      <c r="AA185" s="17"/>
      <c r="AB185" s="17">
        <v>25000</v>
      </c>
      <c r="AC185" s="17">
        <f t="shared" si="164"/>
        <v>46000</v>
      </c>
      <c r="AD185" s="17">
        <f t="shared" si="165"/>
        <v>146000</v>
      </c>
      <c r="AE185" s="17">
        <v>100000</v>
      </c>
      <c r="AF185" s="17"/>
      <c r="AG185" s="17"/>
      <c r="AH185" s="17"/>
      <c r="AI185" s="17"/>
      <c r="AJ185" s="17">
        <f t="shared" si="166"/>
        <v>0</v>
      </c>
      <c r="AK185" s="17">
        <f t="shared" si="167"/>
        <v>100000</v>
      </c>
      <c r="AL185" s="17">
        <v>100000</v>
      </c>
      <c r="AM185" s="42">
        <v>0</v>
      </c>
      <c r="AN185" s="42">
        <f>[5]Credit!$E$919</f>
        <v>9000</v>
      </c>
      <c r="AO185" s="42">
        <v>0</v>
      </c>
      <c r="AP185" s="17"/>
      <c r="AQ185" s="17">
        <f t="shared" si="154"/>
        <v>9000</v>
      </c>
      <c r="AR185" s="17">
        <f t="shared" si="155"/>
        <v>109000</v>
      </c>
      <c r="AS185" s="42">
        <v>100000</v>
      </c>
      <c r="AT185" s="42">
        <v>270000</v>
      </c>
      <c r="AU185" s="42">
        <f>[10]Credit!$E$905</f>
        <v>42000</v>
      </c>
      <c r="AV185" s="42">
        <v>0</v>
      </c>
      <c r="AW185" s="17">
        <f t="shared" si="156"/>
        <v>312000</v>
      </c>
      <c r="AX185" s="42">
        <f t="shared" si="157"/>
        <v>412000</v>
      </c>
      <c r="AY185" s="42">
        <v>100000</v>
      </c>
      <c r="AZ185" s="42">
        <v>0</v>
      </c>
      <c r="BA185" s="42">
        <v>270000</v>
      </c>
      <c r="BB185" s="42"/>
      <c r="BC185" s="42">
        <f t="shared" si="158"/>
        <v>270000</v>
      </c>
      <c r="BD185" s="42">
        <f t="shared" si="134"/>
        <v>370000</v>
      </c>
      <c r="BE185" s="42">
        <v>100000</v>
      </c>
      <c r="BF185" s="42">
        <v>270000</v>
      </c>
      <c r="BG185" s="42">
        <f>[11]Kredit!$E$951</f>
        <v>283000</v>
      </c>
      <c r="BH185" s="42">
        <v>0</v>
      </c>
      <c r="BI185" s="42">
        <f t="shared" si="135"/>
        <v>553000</v>
      </c>
      <c r="BJ185" s="42">
        <f t="shared" si="136"/>
        <v>653000</v>
      </c>
      <c r="BK185" s="42">
        <v>100000</v>
      </c>
      <c r="BL185" s="42">
        <v>270000</v>
      </c>
      <c r="BM185" s="42">
        <f>[12]Credit!$E$879</f>
        <v>249000</v>
      </c>
      <c r="BN185" s="42">
        <v>0</v>
      </c>
      <c r="BO185" s="42">
        <f t="shared" si="137"/>
        <v>519000</v>
      </c>
      <c r="BP185" s="42">
        <f t="shared" si="138"/>
        <v>619000</v>
      </c>
      <c r="BQ185" s="69">
        <f t="shared" si="139"/>
        <v>800000</v>
      </c>
      <c r="BR185" s="37"/>
    </row>
    <row r="186" spans="1:73">
      <c r="A186" s="15">
        <f t="shared" si="111"/>
        <v>182</v>
      </c>
      <c r="B186" s="43">
        <v>96010967</v>
      </c>
      <c r="C186" s="44" t="s">
        <v>271</v>
      </c>
      <c r="D186" s="44" t="s">
        <v>261</v>
      </c>
      <c r="E186" s="42">
        <v>2775000</v>
      </c>
      <c r="F186" s="17">
        <v>100000</v>
      </c>
      <c r="G186" s="17">
        <f>440000+280000</f>
        <v>720000</v>
      </c>
      <c r="H186" s="17">
        <f t="shared" si="159"/>
        <v>820000</v>
      </c>
      <c r="I186" s="17">
        <v>100000</v>
      </c>
      <c r="J186" s="17">
        <f>440000+444500</f>
        <v>884500</v>
      </c>
      <c r="K186" s="17">
        <f t="shared" si="160"/>
        <v>984500</v>
      </c>
      <c r="L186" s="17">
        <v>100000</v>
      </c>
      <c r="M186" s="17">
        <f>425000+378500</f>
        <v>803500</v>
      </c>
      <c r="N186" s="17">
        <f t="shared" si="161"/>
        <v>903500</v>
      </c>
      <c r="O186" s="17">
        <v>100000</v>
      </c>
      <c r="P186" s="17">
        <f>383500+425000+313500+107500</f>
        <v>1229500</v>
      </c>
      <c r="Q186" s="17">
        <f t="shared" si="162"/>
        <v>1329500</v>
      </c>
      <c r="R186" s="17">
        <v>100000</v>
      </c>
      <c r="S186" s="17">
        <f>425000</f>
        <v>425000</v>
      </c>
      <c r="T186" s="17">
        <f>[7]System!$F$782</f>
        <v>908000</v>
      </c>
      <c r="U186" s="17">
        <v>0</v>
      </c>
      <c r="V186" s="17">
        <f>21000+15000</f>
        <v>36000</v>
      </c>
      <c r="W186" s="17">
        <f t="shared" si="163"/>
        <v>1469000</v>
      </c>
      <c r="X186" s="17">
        <v>100000</v>
      </c>
      <c r="Y186" s="17">
        <f>425000+531250</f>
        <v>956250</v>
      </c>
      <c r="Z186" s="17">
        <f>[8]Credit!$E$839</f>
        <v>400000</v>
      </c>
      <c r="AA186" s="17"/>
      <c r="AB186" s="17"/>
      <c r="AC186" s="17">
        <f t="shared" si="164"/>
        <v>1356250</v>
      </c>
      <c r="AD186" s="17">
        <f t="shared" si="165"/>
        <v>1456250</v>
      </c>
      <c r="AE186" s="17">
        <v>100000</v>
      </c>
      <c r="AF186" s="17">
        <f>425000+531250</f>
        <v>956250</v>
      </c>
      <c r="AG186" s="17">
        <f>[9]Credit!$F$524</f>
        <v>499000</v>
      </c>
      <c r="AH186" s="17"/>
      <c r="AI186" s="17"/>
      <c r="AJ186" s="17">
        <f t="shared" si="166"/>
        <v>1455250</v>
      </c>
      <c r="AK186" s="17">
        <f t="shared" si="167"/>
        <v>1555250</v>
      </c>
      <c r="AL186" s="17">
        <v>100000</v>
      </c>
      <c r="AM186" s="42">
        <v>531250</v>
      </c>
      <c r="AN186" s="42">
        <f>[5]Credit!$E$977</f>
        <v>600000</v>
      </c>
      <c r="AO186" s="42">
        <v>0</v>
      </c>
      <c r="AP186" s="17"/>
      <c r="AQ186" s="17">
        <f t="shared" si="154"/>
        <v>1131250</v>
      </c>
      <c r="AR186" s="17">
        <f t="shared" si="155"/>
        <v>1231250</v>
      </c>
      <c r="AS186" s="42">
        <v>100000</v>
      </c>
      <c r="AT186" s="42">
        <f>531250+530000</f>
        <v>1061250</v>
      </c>
      <c r="AU186" s="42">
        <f>[10]Credit!$E$944</f>
        <v>358250</v>
      </c>
      <c r="AV186" s="42">
        <v>0</v>
      </c>
      <c r="AW186" s="17">
        <f t="shared" si="156"/>
        <v>1419500</v>
      </c>
      <c r="AX186" s="42">
        <f t="shared" si="157"/>
        <v>1519500</v>
      </c>
      <c r="AY186" s="42">
        <v>100000</v>
      </c>
      <c r="AZ186" s="42">
        <f>[6]Credit!$F$973</f>
        <v>470500</v>
      </c>
      <c r="BA186" s="42">
        <v>530000</v>
      </c>
      <c r="BB186" s="42"/>
      <c r="BC186" s="42">
        <f t="shared" si="158"/>
        <v>1000500</v>
      </c>
      <c r="BD186" s="42">
        <f t="shared" si="134"/>
        <v>1100500</v>
      </c>
      <c r="BE186" s="42">
        <v>100000</v>
      </c>
      <c r="BF186" s="42">
        <v>530000</v>
      </c>
      <c r="BG186" s="42">
        <f>[11]Kredit!$E$976</f>
        <v>319500</v>
      </c>
      <c r="BH186" s="42">
        <v>0</v>
      </c>
      <c r="BI186" s="42">
        <f t="shared" si="135"/>
        <v>849500</v>
      </c>
      <c r="BJ186" s="42">
        <f t="shared" si="136"/>
        <v>949500</v>
      </c>
      <c r="BK186" s="42">
        <v>100000</v>
      </c>
      <c r="BL186" s="42">
        <v>531250</v>
      </c>
      <c r="BM186" s="42">
        <f>[12]Credit!$E$896</f>
        <v>457500</v>
      </c>
      <c r="BN186" s="42">
        <v>0</v>
      </c>
      <c r="BO186" s="42">
        <f t="shared" si="137"/>
        <v>988750</v>
      </c>
      <c r="BP186" s="42">
        <f t="shared" si="138"/>
        <v>1088750</v>
      </c>
      <c r="BQ186" s="69">
        <f t="shared" si="139"/>
        <v>3975000</v>
      </c>
      <c r="BR186" s="37"/>
    </row>
    <row r="187" spans="1:73">
      <c r="A187" s="15">
        <f t="shared" si="111"/>
        <v>183</v>
      </c>
      <c r="B187" s="48">
        <v>11108457</v>
      </c>
      <c r="C187" s="44" t="s">
        <v>272</v>
      </c>
      <c r="D187" s="44" t="s">
        <v>261</v>
      </c>
      <c r="E187" s="42">
        <v>2675000</v>
      </c>
      <c r="F187" s="17">
        <v>100000</v>
      </c>
      <c r="G187" s="17">
        <f>530000+170000</f>
        <v>700000</v>
      </c>
      <c r="H187" s="17">
        <f t="shared" si="159"/>
        <v>800000</v>
      </c>
      <c r="I187" s="17">
        <v>100000</v>
      </c>
      <c r="J187" s="17">
        <f>530000+108000</f>
        <v>638000</v>
      </c>
      <c r="K187" s="17">
        <f t="shared" si="160"/>
        <v>738000</v>
      </c>
      <c r="L187" s="17">
        <v>100000</v>
      </c>
      <c r="M187" s="17">
        <f>530000+90000</f>
        <v>620000</v>
      </c>
      <c r="N187" s="17">
        <f t="shared" si="161"/>
        <v>720000</v>
      </c>
      <c r="O187" s="17">
        <v>100000</v>
      </c>
      <c r="P187" s="17">
        <f>97000+530000</f>
        <v>627000</v>
      </c>
      <c r="Q187" s="17">
        <f t="shared" si="162"/>
        <v>727000</v>
      </c>
      <c r="R187" s="17">
        <v>100000</v>
      </c>
      <c r="S187" s="17">
        <f>530000</f>
        <v>530000</v>
      </c>
      <c r="T187" s="17">
        <f>[7]System!$F$830</f>
        <v>115500</v>
      </c>
      <c r="U187" s="17">
        <v>0</v>
      </c>
      <c r="V187" s="17">
        <v>0</v>
      </c>
      <c r="W187" s="17">
        <f t="shared" si="163"/>
        <v>745500</v>
      </c>
      <c r="X187" s="17">
        <v>100000</v>
      </c>
      <c r="Y187" s="17">
        <v>636000</v>
      </c>
      <c r="Z187" s="17">
        <f>[8]Credit!$E$925</f>
        <v>214000</v>
      </c>
      <c r="AA187" s="17"/>
      <c r="AB187" s="17">
        <v>25000</v>
      </c>
      <c r="AC187" s="17">
        <f t="shared" si="164"/>
        <v>875000</v>
      </c>
      <c r="AD187" s="17">
        <f t="shared" si="165"/>
        <v>975000</v>
      </c>
      <c r="AE187" s="17">
        <v>100000</v>
      </c>
      <c r="AF187" s="17">
        <v>636000</v>
      </c>
      <c r="AG187" s="17">
        <f>[9]Credit!$F$570</f>
        <v>232000</v>
      </c>
      <c r="AH187" s="17"/>
      <c r="AI187" s="17"/>
      <c r="AJ187" s="17">
        <f t="shared" si="166"/>
        <v>868000</v>
      </c>
      <c r="AK187" s="17">
        <f t="shared" si="167"/>
        <v>968000</v>
      </c>
      <c r="AL187" s="17">
        <v>100000</v>
      </c>
      <c r="AM187" s="42">
        <v>636000</v>
      </c>
      <c r="AN187" s="42">
        <f>[5]Credit!$E$1068</f>
        <v>210500</v>
      </c>
      <c r="AO187" s="42">
        <v>0</v>
      </c>
      <c r="AP187" s="17">
        <v>10000</v>
      </c>
      <c r="AQ187" s="17">
        <f t="shared" si="154"/>
        <v>856500</v>
      </c>
      <c r="AR187" s="17">
        <f t="shared" si="155"/>
        <v>956500</v>
      </c>
      <c r="AS187" s="42">
        <v>100000</v>
      </c>
      <c r="AT187" s="42">
        <v>636000</v>
      </c>
      <c r="AU187" s="42">
        <v>0</v>
      </c>
      <c r="AV187" s="42">
        <v>0</v>
      </c>
      <c r="AW187" s="17">
        <f t="shared" si="156"/>
        <v>636000</v>
      </c>
      <c r="AX187" s="42">
        <f t="shared" si="157"/>
        <v>736000</v>
      </c>
      <c r="AY187" s="42">
        <v>100000</v>
      </c>
      <c r="AZ187" s="42">
        <f>[6]Credit!$F$1037</f>
        <v>92500</v>
      </c>
      <c r="BA187" s="42">
        <v>636000</v>
      </c>
      <c r="BB187" s="42"/>
      <c r="BC187" s="42">
        <f t="shared" si="158"/>
        <v>728500</v>
      </c>
      <c r="BD187" s="42">
        <f t="shared" si="134"/>
        <v>828500</v>
      </c>
      <c r="BE187" s="42">
        <v>100000</v>
      </c>
      <c r="BF187" s="42">
        <v>0</v>
      </c>
      <c r="BG187" s="42">
        <f>[11]Kredit!$E$1006</f>
        <v>177500</v>
      </c>
      <c r="BH187" s="42">
        <v>0</v>
      </c>
      <c r="BI187" s="42">
        <f t="shared" si="135"/>
        <v>177500</v>
      </c>
      <c r="BJ187" s="42">
        <f t="shared" si="136"/>
        <v>277500</v>
      </c>
      <c r="BK187" s="42">
        <v>100000</v>
      </c>
      <c r="BL187" s="42">
        <v>0</v>
      </c>
      <c r="BM187" s="42">
        <f>[12]Credit!$E$922</f>
        <v>96500</v>
      </c>
      <c r="BN187" s="42">
        <v>0</v>
      </c>
      <c r="BO187" s="42">
        <f t="shared" si="137"/>
        <v>96500</v>
      </c>
      <c r="BP187" s="42">
        <f t="shared" si="138"/>
        <v>196500</v>
      </c>
      <c r="BQ187" s="69">
        <f t="shared" si="139"/>
        <v>3875000</v>
      </c>
      <c r="BR187" s="49"/>
    </row>
    <row r="188" spans="1:73">
      <c r="A188" s="15">
        <f t="shared" si="111"/>
        <v>184</v>
      </c>
      <c r="B188" s="43">
        <v>99101747</v>
      </c>
      <c r="C188" s="44" t="s">
        <v>273</v>
      </c>
      <c r="D188" s="44" t="s">
        <v>261</v>
      </c>
      <c r="E188" s="42">
        <v>2775000</v>
      </c>
      <c r="F188" s="17">
        <v>100000</v>
      </c>
      <c r="G188" s="17">
        <f>540000+287500</f>
        <v>827500</v>
      </c>
      <c r="H188" s="17">
        <f t="shared" si="159"/>
        <v>927500</v>
      </c>
      <c r="I188" s="17">
        <v>100000</v>
      </c>
      <c r="J188" s="17">
        <f>540000+435000</f>
        <v>975000</v>
      </c>
      <c r="K188" s="17">
        <f t="shared" si="160"/>
        <v>1075000</v>
      </c>
      <c r="L188" s="17">
        <v>100000</v>
      </c>
      <c r="M188" s="17">
        <v>107000</v>
      </c>
      <c r="N188" s="17">
        <f t="shared" si="161"/>
        <v>207000</v>
      </c>
      <c r="O188" s="17">
        <v>100000</v>
      </c>
      <c r="P188" s="17">
        <f>135500+32500+494200</f>
        <v>662200</v>
      </c>
      <c r="Q188" s="17">
        <f t="shared" si="162"/>
        <v>762200</v>
      </c>
      <c r="R188" s="17">
        <v>100000</v>
      </c>
      <c r="S188" s="17">
        <v>0</v>
      </c>
      <c r="T188" s="17">
        <f>153000+[7]System!$F$907</f>
        <v>213000</v>
      </c>
      <c r="U188" s="17">
        <v>0</v>
      </c>
      <c r="V188" s="17">
        <f>225000</f>
        <v>225000</v>
      </c>
      <c r="W188" s="17">
        <f t="shared" si="163"/>
        <v>538000</v>
      </c>
      <c r="X188" s="17">
        <v>100000</v>
      </c>
      <c r="Y188" s="17"/>
      <c r="Z188" s="17">
        <f>[8]Credit!$E$1019</f>
        <v>941000</v>
      </c>
      <c r="AA188" s="17"/>
      <c r="AB188" s="17">
        <f>90000+20000</f>
        <v>110000</v>
      </c>
      <c r="AC188" s="17">
        <f t="shared" si="164"/>
        <v>1051000</v>
      </c>
      <c r="AD188" s="17">
        <f t="shared" si="165"/>
        <v>1151000</v>
      </c>
      <c r="AE188" s="17">
        <v>100000</v>
      </c>
      <c r="AF188" s="17"/>
      <c r="AG188" s="17">
        <f>[9]Credit!$F$635</f>
        <v>556000</v>
      </c>
      <c r="AH188" s="17"/>
      <c r="AI188" s="17">
        <v>70000</v>
      </c>
      <c r="AJ188" s="17">
        <f t="shared" si="166"/>
        <v>626000</v>
      </c>
      <c r="AK188" s="17">
        <f t="shared" si="167"/>
        <v>726000</v>
      </c>
      <c r="AL188" s="17">
        <v>100000</v>
      </c>
      <c r="AM188" s="42">
        <v>636000</v>
      </c>
      <c r="AN188" s="42">
        <f>[5]Credit!$E$1182</f>
        <v>190000</v>
      </c>
      <c r="AO188" s="42">
        <v>0</v>
      </c>
      <c r="AP188" s="17"/>
      <c r="AQ188" s="17">
        <f t="shared" si="154"/>
        <v>826000</v>
      </c>
      <c r="AR188" s="17">
        <f t="shared" si="155"/>
        <v>926000</v>
      </c>
      <c r="AS188" s="42">
        <v>100000</v>
      </c>
      <c r="AT188" s="42">
        <v>636000</v>
      </c>
      <c r="AU188" s="42">
        <f>[10]Credit!$E$1120</f>
        <v>315000</v>
      </c>
      <c r="AV188" s="42">
        <v>0</v>
      </c>
      <c r="AW188" s="17">
        <f t="shared" si="156"/>
        <v>951000</v>
      </c>
      <c r="AX188" s="42">
        <f t="shared" si="157"/>
        <v>1051000</v>
      </c>
      <c r="AY188" s="42">
        <v>100000</v>
      </c>
      <c r="AZ188" s="42">
        <f>[6]Credit!$F$1124</f>
        <v>259500</v>
      </c>
      <c r="BA188" s="42">
        <v>636000</v>
      </c>
      <c r="BB188" s="42"/>
      <c r="BC188" s="42">
        <f t="shared" si="158"/>
        <v>895500</v>
      </c>
      <c r="BD188" s="42">
        <f t="shared" ref="BD188:BD194" si="168">AY188+BC188</f>
        <v>995500</v>
      </c>
      <c r="BE188" s="42">
        <v>100000</v>
      </c>
      <c r="BF188" s="42">
        <v>636000</v>
      </c>
      <c r="BG188" s="42">
        <f>[11]Kredit!$E$1103</f>
        <v>476600</v>
      </c>
      <c r="BH188" s="42">
        <v>0</v>
      </c>
      <c r="BI188" s="42">
        <f t="shared" si="135"/>
        <v>1112600</v>
      </c>
      <c r="BJ188" s="42">
        <f t="shared" si="136"/>
        <v>1212600</v>
      </c>
      <c r="BK188" s="42">
        <v>100000</v>
      </c>
      <c r="BL188" s="42">
        <v>636000</v>
      </c>
      <c r="BM188" s="42">
        <f>[12]Credit!$E$1021</f>
        <v>214500</v>
      </c>
      <c r="BN188" s="42">
        <v>0</v>
      </c>
      <c r="BO188" s="42">
        <f t="shared" si="137"/>
        <v>850500</v>
      </c>
      <c r="BP188" s="42">
        <f t="shared" si="138"/>
        <v>950500</v>
      </c>
      <c r="BQ188" s="69">
        <f t="shared" si="139"/>
        <v>3975000</v>
      </c>
      <c r="BR188" s="37"/>
    </row>
    <row r="189" spans="1:73">
      <c r="A189" s="15">
        <f t="shared" si="111"/>
        <v>185</v>
      </c>
      <c r="B189" s="53" t="s">
        <v>274</v>
      </c>
      <c r="C189" s="54" t="s">
        <v>275</v>
      </c>
      <c r="D189" s="44" t="s">
        <v>261</v>
      </c>
      <c r="E189" s="42">
        <v>2775000</v>
      </c>
      <c r="F189" s="17">
        <v>100000</v>
      </c>
      <c r="G189" s="17">
        <f>540000</f>
        <v>540000</v>
      </c>
      <c r="H189" s="17">
        <f t="shared" si="159"/>
        <v>640000</v>
      </c>
      <c r="I189" s="17">
        <v>100000</v>
      </c>
      <c r="J189" s="17">
        <f>540000</f>
        <v>540000</v>
      </c>
      <c r="K189" s="17">
        <f t="shared" si="160"/>
        <v>640000</v>
      </c>
      <c r="L189" s="17">
        <v>100000</v>
      </c>
      <c r="M189" s="17">
        <v>540000</v>
      </c>
      <c r="N189" s="17">
        <f t="shared" si="161"/>
        <v>640000</v>
      </c>
      <c r="O189" s="17">
        <v>100000</v>
      </c>
      <c r="P189" s="17">
        <f>540000</f>
        <v>540000</v>
      </c>
      <c r="Q189" s="17">
        <f t="shared" si="162"/>
        <v>640000</v>
      </c>
      <c r="R189" s="17">
        <v>100000</v>
      </c>
      <c r="S189" s="17">
        <v>530000</v>
      </c>
      <c r="T189" s="17">
        <v>0</v>
      </c>
      <c r="U189" s="17">
        <v>0</v>
      </c>
      <c r="V189" s="17">
        <f>24000</f>
        <v>24000</v>
      </c>
      <c r="W189" s="17">
        <f t="shared" si="163"/>
        <v>654000</v>
      </c>
      <c r="X189" s="17">
        <v>100000</v>
      </c>
      <c r="Y189" s="17">
        <v>530000</v>
      </c>
      <c r="Z189" s="17"/>
      <c r="AA189" s="17"/>
      <c r="AB189" s="17">
        <f>10000+50000</f>
        <v>60000</v>
      </c>
      <c r="AC189" s="17">
        <f t="shared" si="164"/>
        <v>590000</v>
      </c>
      <c r="AD189" s="17">
        <f t="shared" si="165"/>
        <v>690000</v>
      </c>
      <c r="AE189" s="17">
        <v>100000</v>
      </c>
      <c r="AF189" s="17">
        <v>530000</v>
      </c>
      <c r="AG189" s="17"/>
      <c r="AH189" s="17"/>
      <c r="AI189" s="17"/>
      <c r="AJ189" s="17">
        <f t="shared" si="166"/>
        <v>530000</v>
      </c>
      <c r="AK189" s="17">
        <f t="shared" si="167"/>
        <v>630000</v>
      </c>
      <c r="AL189" s="17">
        <v>100000</v>
      </c>
      <c r="AM189" s="42">
        <v>530000</v>
      </c>
      <c r="AN189" s="42">
        <v>0</v>
      </c>
      <c r="AO189" s="42">
        <v>0</v>
      </c>
      <c r="AP189" s="17"/>
      <c r="AQ189" s="17">
        <f t="shared" si="154"/>
        <v>530000</v>
      </c>
      <c r="AR189" s="17">
        <f t="shared" si="155"/>
        <v>630000</v>
      </c>
      <c r="AS189" s="42">
        <v>100000</v>
      </c>
      <c r="AT189" s="42">
        <v>530000</v>
      </c>
      <c r="AU189" s="42">
        <v>0</v>
      </c>
      <c r="AV189" s="42">
        <v>0</v>
      </c>
      <c r="AW189" s="17">
        <f t="shared" si="156"/>
        <v>530000</v>
      </c>
      <c r="AX189" s="42">
        <f t="shared" si="157"/>
        <v>630000</v>
      </c>
      <c r="AY189" s="42">
        <v>100000</v>
      </c>
      <c r="AZ189" s="42">
        <v>0</v>
      </c>
      <c r="BA189" s="42">
        <v>530000</v>
      </c>
      <c r="BB189" s="42"/>
      <c r="BC189" s="42">
        <f t="shared" si="158"/>
        <v>530000</v>
      </c>
      <c r="BD189" s="42">
        <f t="shared" si="168"/>
        <v>630000</v>
      </c>
      <c r="BE189" s="42">
        <v>100000</v>
      </c>
      <c r="BF189" s="42">
        <v>1060000</v>
      </c>
      <c r="BG189" s="42"/>
      <c r="BH189" s="42">
        <v>0</v>
      </c>
      <c r="BI189" s="42">
        <f t="shared" si="135"/>
        <v>1060000</v>
      </c>
      <c r="BJ189" s="42">
        <f t="shared" si="136"/>
        <v>1160000</v>
      </c>
      <c r="BK189" s="42">
        <v>100000</v>
      </c>
      <c r="BL189" s="42">
        <v>1060000</v>
      </c>
      <c r="BM189" s="42">
        <v>0</v>
      </c>
      <c r="BN189" s="42">
        <v>0</v>
      </c>
      <c r="BO189" s="42">
        <f t="shared" si="137"/>
        <v>1060000</v>
      </c>
      <c r="BP189" s="42">
        <f t="shared" si="138"/>
        <v>1160000</v>
      </c>
      <c r="BQ189" s="69">
        <f t="shared" si="139"/>
        <v>3975000</v>
      </c>
      <c r="BR189" s="37"/>
    </row>
    <row r="190" spans="1:73">
      <c r="A190" s="15">
        <f t="shared" si="111"/>
        <v>186</v>
      </c>
      <c r="B190" s="48" t="s">
        <v>276</v>
      </c>
      <c r="C190" s="44" t="s">
        <v>277</v>
      </c>
      <c r="D190" s="44" t="s">
        <v>261</v>
      </c>
      <c r="E190" s="42">
        <v>2775000</v>
      </c>
      <c r="F190" s="17">
        <v>100000</v>
      </c>
      <c r="G190" s="17">
        <v>170000</v>
      </c>
      <c r="H190" s="17">
        <f t="shared" si="159"/>
        <v>270000</v>
      </c>
      <c r="I190" s="17">
        <v>100000</v>
      </c>
      <c r="J190" s="17"/>
      <c r="K190" s="17">
        <f t="shared" si="160"/>
        <v>100000</v>
      </c>
      <c r="L190" s="17">
        <v>100000</v>
      </c>
      <c r="M190" s="17"/>
      <c r="N190" s="17">
        <f t="shared" si="161"/>
        <v>100000</v>
      </c>
      <c r="O190" s="17">
        <v>100000</v>
      </c>
      <c r="P190" s="17">
        <f>531250</f>
        <v>531250</v>
      </c>
      <c r="Q190" s="17">
        <f t="shared" si="162"/>
        <v>631250</v>
      </c>
      <c r="R190" s="17">
        <v>100000</v>
      </c>
      <c r="S190" s="17">
        <f>531250</f>
        <v>531250</v>
      </c>
      <c r="T190" s="17">
        <v>0</v>
      </c>
      <c r="U190" s="17">
        <v>0</v>
      </c>
      <c r="V190" s="17">
        <f>21000</f>
        <v>21000</v>
      </c>
      <c r="W190" s="17">
        <f t="shared" si="163"/>
        <v>652250</v>
      </c>
      <c r="X190" s="17">
        <v>100000</v>
      </c>
      <c r="Y190" s="17">
        <v>531250</v>
      </c>
      <c r="Z190" s="17"/>
      <c r="AA190" s="17"/>
      <c r="AB190" s="17"/>
      <c r="AC190" s="17">
        <f t="shared" si="164"/>
        <v>531250</v>
      </c>
      <c r="AD190" s="17">
        <f t="shared" si="165"/>
        <v>631250</v>
      </c>
      <c r="AE190" s="17">
        <v>100000</v>
      </c>
      <c r="AF190" s="17">
        <v>531250</v>
      </c>
      <c r="AG190" s="17"/>
      <c r="AH190" s="17"/>
      <c r="AI190" s="17"/>
      <c r="AJ190" s="17">
        <f t="shared" si="166"/>
        <v>531250</v>
      </c>
      <c r="AK190" s="17">
        <f t="shared" si="167"/>
        <v>631250</v>
      </c>
      <c r="AL190" s="17">
        <v>100000</v>
      </c>
      <c r="AM190" s="42">
        <v>0</v>
      </c>
      <c r="AN190" s="42">
        <v>0</v>
      </c>
      <c r="AO190" s="42">
        <v>0</v>
      </c>
      <c r="AP190" s="17"/>
      <c r="AQ190" s="17">
        <f t="shared" si="154"/>
        <v>0</v>
      </c>
      <c r="AR190" s="17">
        <f t="shared" si="155"/>
        <v>100000</v>
      </c>
      <c r="AS190" s="42">
        <v>100000</v>
      </c>
      <c r="AT190" s="42">
        <v>531250</v>
      </c>
      <c r="AU190" s="42">
        <v>0</v>
      </c>
      <c r="AV190" s="42">
        <v>0</v>
      </c>
      <c r="AW190" s="17">
        <f t="shared" si="156"/>
        <v>531250</v>
      </c>
      <c r="AX190" s="42">
        <f t="shared" si="157"/>
        <v>631250</v>
      </c>
      <c r="AY190" s="42">
        <v>100000</v>
      </c>
      <c r="AZ190" s="42">
        <v>0</v>
      </c>
      <c r="BA190" s="42">
        <v>531250</v>
      </c>
      <c r="BB190" s="42"/>
      <c r="BC190" s="42">
        <f t="shared" si="158"/>
        <v>531250</v>
      </c>
      <c r="BD190" s="42">
        <f t="shared" si="168"/>
        <v>631250</v>
      </c>
      <c r="BE190" s="42">
        <v>100000</v>
      </c>
      <c r="BF190" s="42">
        <v>531250</v>
      </c>
      <c r="BG190" s="42">
        <f>[11]Kredit!$E$1338</f>
        <v>200000</v>
      </c>
      <c r="BH190" s="42">
        <v>0</v>
      </c>
      <c r="BI190" s="42">
        <f t="shared" si="135"/>
        <v>731250</v>
      </c>
      <c r="BJ190" s="42">
        <f t="shared" si="136"/>
        <v>831250</v>
      </c>
      <c r="BK190" s="42">
        <v>100000</v>
      </c>
      <c r="BL190" s="42">
        <v>531250</v>
      </c>
      <c r="BM190" s="42">
        <v>0</v>
      </c>
      <c r="BN190" s="42">
        <v>0</v>
      </c>
      <c r="BO190" s="42">
        <f t="shared" si="137"/>
        <v>531250</v>
      </c>
      <c r="BP190" s="42">
        <f t="shared" si="138"/>
        <v>631250</v>
      </c>
      <c r="BQ190" s="69">
        <f t="shared" si="139"/>
        <v>3975000</v>
      </c>
      <c r="BR190" s="37"/>
    </row>
    <row r="191" spans="1:73">
      <c r="A191" s="15">
        <f t="shared" si="111"/>
        <v>187</v>
      </c>
      <c r="B191" s="48" t="s">
        <v>278</v>
      </c>
      <c r="C191" s="44" t="s">
        <v>223</v>
      </c>
      <c r="D191" s="44" t="s">
        <v>261</v>
      </c>
      <c r="E191" s="42">
        <v>2775000</v>
      </c>
      <c r="F191" s="17">
        <v>100000</v>
      </c>
      <c r="G191" s="17">
        <f>648000</f>
        <v>648000</v>
      </c>
      <c r="H191" s="17">
        <f t="shared" si="159"/>
        <v>748000</v>
      </c>
      <c r="I191" s="17">
        <v>100000</v>
      </c>
      <c r="J191" s="17">
        <f>636000</f>
        <v>636000</v>
      </c>
      <c r="K191" s="17">
        <f t="shared" si="160"/>
        <v>736000</v>
      </c>
      <c r="L191" s="17">
        <v>100000</v>
      </c>
      <c r="M191" s="17">
        <v>636000</v>
      </c>
      <c r="N191" s="17">
        <f t="shared" si="161"/>
        <v>736000</v>
      </c>
      <c r="O191" s="17">
        <v>100000</v>
      </c>
      <c r="P191" s="17">
        <f>148000+636000</f>
        <v>784000</v>
      </c>
      <c r="Q191" s="17">
        <f t="shared" si="162"/>
        <v>884000</v>
      </c>
      <c r="R191" s="17">
        <v>100000</v>
      </c>
      <c r="S191" s="17">
        <f>636000</f>
        <v>636000</v>
      </c>
      <c r="T191" s="17">
        <f>[7]System!$F$1113</f>
        <v>150000</v>
      </c>
      <c r="U191" s="17">
        <v>0</v>
      </c>
      <c r="V191" s="17">
        <v>0</v>
      </c>
      <c r="W191" s="17">
        <f t="shared" si="163"/>
        <v>886000</v>
      </c>
      <c r="X191" s="17">
        <v>100000</v>
      </c>
      <c r="Y191" s="17">
        <v>636000</v>
      </c>
      <c r="Z191" s="17">
        <f>[8]Credit!$E$1218</f>
        <v>151000</v>
      </c>
      <c r="AA191" s="17"/>
      <c r="AB191" s="17"/>
      <c r="AC191" s="17">
        <f t="shared" si="164"/>
        <v>787000</v>
      </c>
      <c r="AD191" s="17">
        <f t="shared" si="165"/>
        <v>887000</v>
      </c>
      <c r="AE191" s="17">
        <v>100000</v>
      </c>
      <c r="AF191" s="17">
        <v>636000</v>
      </c>
      <c r="AG191" s="17"/>
      <c r="AH191" s="17"/>
      <c r="AI191" s="17"/>
      <c r="AJ191" s="17">
        <f t="shared" si="166"/>
        <v>636000</v>
      </c>
      <c r="AK191" s="17">
        <f t="shared" si="167"/>
        <v>736000</v>
      </c>
      <c r="AL191" s="17">
        <v>100000</v>
      </c>
      <c r="AM191" s="42">
        <v>636000</v>
      </c>
      <c r="AN191" s="42">
        <f>[5]Credit!$E$1390</f>
        <v>154000</v>
      </c>
      <c r="AO191" s="42">
        <v>348400</v>
      </c>
      <c r="AP191" s="17"/>
      <c r="AQ191" s="17">
        <f t="shared" si="154"/>
        <v>1138400</v>
      </c>
      <c r="AR191" s="17">
        <f t="shared" si="155"/>
        <v>1238400</v>
      </c>
      <c r="AS191" s="42">
        <v>100000</v>
      </c>
      <c r="AT191" s="42">
        <v>636000</v>
      </c>
      <c r="AU191" s="42">
        <f>[10]Credit!$E$1335</f>
        <v>153000</v>
      </c>
      <c r="AV191" s="42">
        <v>348400</v>
      </c>
      <c r="AW191" s="17">
        <f t="shared" si="156"/>
        <v>1137400</v>
      </c>
      <c r="AX191" s="42">
        <f t="shared" si="157"/>
        <v>1237400</v>
      </c>
      <c r="AY191" s="42">
        <v>100000</v>
      </c>
      <c r="AZ191" s="42">
        <f>[6]Credit!$F$1316</f>
        <v>160000</v>
      </c>
      <c r="BA191" s="42">
        <v>636000</v>
      </c>
      <c r="BB191" s="42">
        <v>348000</v>
      </c>
      <c r="BC191" s="42">
        <f t="shared" si="158"/>
        <v>1144000</v>
      </c>
      <c r="BD191" s="42">
        <f t="shared" si="168"/>
        <v>1244000</v>
      </c>
      <c r="BE191" s="42">
        <v>100000</v>
      </c>
      <c r="BF191" s="42">
        <v>636000</v>
      </c>
      <c r="BG191" s="42">
        <f>[11]Kredit!$E$1344</f>
        <v>210000</v>
      </c>
      <c r="BH191" s="42">
        <v>0</v>
      </c>
      <c r="BI191" s="42">
        <f t="shared" si="135"/>
        <v>846000</v>
      </c>
      <c r="BJ191" s="42">
        <f t="shared" si="136"/>
        <v>946000</v>
      </c>
      <c r="BK191" s="42">
        <v>100000</v>
      </c>
      <c r="BL191" s="42">
        <v>636000</v>
      </c>
      <c r="BM191" s="42">
        <f>[12]Credit!$E$1245</f>
        <v>153000</v>
      </c>
      <c r="BN191" s="42">
        <v>0</v>
      </c>
      <c r="BO191" s="42">
        <f t="shared" si="137"/>
        <v>789000</v>
      </c>
      <c r="BP191" s="42">
        <f t="shared" si="138"/>
        <v>889000</v>
      </c>
      <c r="BQ191" s="69">
        <f t="shared" si="139"/>
        <v>3975000</v>
      </c>
      <c r="BR191" s="37"/>
    </row>
    <row r="192" spans="1:73" s="46" customFormat="1">
      <c r="A192" s="15">
        <f t="shared" si="111"/>
        <v>188</v>
      </c>
      <c r="B192" s="43">
        <v>14081097</v>
      </c>
      <c r="C192" s="44" t="s">
        <v>416</v>
      </c>
      <c r="D192" s="44" t="s">
        <v>261</v>
      </c>
      <c r="E192" s="42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>
        <v>200000</v>
      </c>
      <c r="S192" s="17">
        <v>0</v>
      </c>
      <c r="T192" s="17">
        <v>0</v>
      </c>
      <c r="U192" s="17">
        <v>0</v>
      </c>
      <c r="V192" s="17">
        <v>0</v>
      </c>
      <c r="W192" s="17">
        <f t="shared" si="163"/>
        <v>200000</v>
      </c>
      <c r="X192" s="17">
        <v>100000</v>
      </c>
      <c r="Y192" s="17"/>
      <c r="Z192" s="17">
        <f>[8]Credit!$E$1257</f>
        <v>682000</v>
      </c>
      <c r="AA192" s="17"/>
      <c r="AB192" s="17">
        <f>20000+30000</f>
        <v>50000</v>
      </c>
      <c r="AC192" s="17">
        <f t="shared" si="164"/>
        <v>732000</v>
      </c>
      <c r="AD192" s="17">
        <f t="shared" si="165"/>
        <v>832000</v>
      </c>
      <c r="AE192" s="17">
        <v>100000</v>
      </c>
      <c r="AF192" s="17"/>
      <c r="AG192" s="17">
        <f>[9]Credit!$F$772</f>
        <v>580500</v>
      </c>
      <c r="AH192" s="17"/>
      <c r="AI192" s="17"/>
      <c r="AJ192" s="17">
        <f t="shared" si="166"/>
        <v>580500</v>
      </c>
      <c r="AK192" s="17">
        <f t="shared" si="167"/>
        <v>680500</v>
      </c>
      <c r="AL192" s="17">
        <v>100000</v>
      </c>
      <c r="AM192" s="42">
        <v>265000</v>
      </c>
      <c r="AN192" s="42">
        <f>[5]Credit!$E$1431</f>
        <v>692000</v>
      </c>
      <c r="AO192" s="42">
        <v>0</v>
      </c>
      <c r="AP192" s="17"/>
      <c r="AQ192" s="17">
        <f t="shared" si="154"/>
        <v>957000</v>
      </c>
      <c r="AR192" s="17">
        <f t="shared" si="155"/>
        <v>1057000</v>
      </c>
      <c r="AS192" s="42">
        <v>100000</v>
      </c>
      <c r="AT192" s="42">
        <v>265000</v>
      </c>
      <c r="AU192" s="42">
        <f>[10]Credit!$E$1383</f>
        <v>697500</v>
      </c>
      <c r="AV192" s="42">
        <v>0</v>
      </c>
      <c r="AW192" s="17">
        <f t="shared" si="156"/>
        <v>962500</v>
      </c>
      <c r="AX192" s="42">
        <f t="shared" si="157"/>
        <v>1062500</v>
      </c>
      <c r="AY192" s="42">
        <v>100000</v>
      </c>
      <c r="AZ192" s="42">
        <f>[6]Credit!$F$1370</f>
        <v>665000</v>
      </c>
      <c r="BA192" s="42">
        <v>265000</v>
      </c>
      <c r="BB192" s="42"/>
      <c r="BC192" s="42">
        <f t="shared" si="158"/>
        <v>930000</v>
      </c>
      <c r="BD192" s="42">
        <f t="shared" si="168"/>
        <v>1030000</v>
      </c>
      <c r="BE192" s="42">
        <v>100000</v>
      </c>
      <c r="BF192" s="42">
        <v>265000</v>
      </c>
      <c r="BG192" s="42">
        <f>[11]Kredit!$E$1392</f>
        <v>583000</v>
      </c>
      <c r="BH192" s="42">
        <v>0</v>
      </c>
      <c r="BI192" s="42">
        <f t="shared" si="135"/>
        <v>848000</v>
      </c>
      <c r="BJ192" s="42">
        <f t="shared" si="136"/>
        <v>948000</v>
      </c>
      <c r="BK192" s="42">
        <v>100000</v>
      </c>
      <c r="BL192" s="42">
        <v>0</v>
      </c>
      <c r="BM192" s="42">
        <f>[12]Credit!$E$1307</f>
        <v>543000</v>
      </c>
      <c r="BN192" s="42">
        <v>0</v>
      </c>
      <c r="BO192" s="42">
        <f t="shared" si="137"/>
        <v>543000</v>
      </c>
      <c r="BP192" s="42">
        <f t="shared" si="138"/>
        <v>643000</v>
      </c>
      <c r="BQ192" s="69">
        <f t="shared" si="139"/>
        <v>900000</v>
      </c>
      <c r="BR192" s="37" t="s">
        <v>381</v>
      </c>
      <c r="BS192" s="45"/>
      <c r="BT192" s="45"/>
      <c r="BU192" s="45"/>
    </row>
    <row r="193" spans="1:70">
      <c r="A193" s="15">
        <f t="shared" si="111"/>
        <v>189</v>
      </c>
      <c r="B193" s="48" t="s">
        <v>279</v>
      </c>
      <c r="C193" s="44" t="s">
        <v>280</v>
      </c>
      <c r="D193" s="44" t="s">
        <v>261</v>
      </c>
      <c r="E193" s="42">
        <v>2775000</v>
      </c>
      <c r="F193" s="17">
        <v>100000</v>
      </c>
      <c r="G193" s="17">
        <f>550000</f>
        <v>550000</v>
      </c>
      <c r="H193" s="17">
        <f>F193+G193</f>
        <v>650000</v>
      </c>
      <c r="I193" s="17">
        <v>100000</v>
      </c>
      <c r="J193" s="17">
        <f>550000</f>
        <v>550000</v>
      </c>
      <c r="K193" s="17">
        <f>I193+J193</f>
        <v>650000</v>
      </c>
      <c r="L193" s="17">
        <v>100000</v>
      </c>
      <c r="M193" s="17">
        <v>1060000</v>
      </c>
      <c r="N193" s="17">
        <f>L193+M193</f>
        <v>1160000</v>
      </c>
      <c r="O193" s="17">
        <v>100000</v>
      </c>
      <c r="P193" s="17">
        <v>1060000</v>
      </c>
      <c r="Q193" s="17">
        <f>O193+P193</f>
        <v>1160000</v>
      </c>
      <c r="R193" s="17">
        <v>100000</v>
      </c>
      <c r="S193" s="17">
        <f>1060000</f>
        <v>1060000</v>
      </c>
      <c r="T193" s="17">
        <f>14000</f>
        <v>14000</v>
      </c>
      <c r="U193" s="17">
        <v>0</v>
      </c>
      <c r="V193" s="17">
        <v>0</v>
      </c>
      <c r="W193" s="17">
        <f t="shared" si="163"/>
        <v>1174000</v>
      </c>
      <c r="X193" s="17">
        <v>100000</v>
      </c>
      <c r="Y193" s="17">
        <v>1060000</v>
      </c>
      <c r="Z193" s="17"/>
      <c r="AA193" s="17"/>
      <c r="AB193" s="17"/>
      <c r="AC193" s="17">
        <f t="shared" si="164"/>
        <v>1060000</v>
      </c>
      <c r="AD193" s="17">
        <f t="shared" si="165"/>
        <v>1160000</v>
      </c>
      <c r="AE193" s="17">
        <v>100000</v>
      </c>
      <c r="AF193" s="17">
        <v>1060000</v>
      </c>
      <c r="AG193" s="17"/>
      <c r="AH193" s="17"/>
      <c r="AI193" s="17"/>
      <c r="AJ193" s="17">
        <f t="shared" si="166"/>
        <v>1060000</v>
      </c>
      <c r="AK193" s="17">
        <f t="shared" si="167"/>
        <v>1160000</v>
      </c>
      <c r="AL193" s="17">
        <v>100000</v>
      </c>
      <c r="AM193" s="42">
        <v>1060000</v>
      </c>
      <c r="AN193" s="42">
        <v>0</v>
      </c>
      <c r="AO193" s="42">
        <v>0</v>
      </c>
      <c r="AP193" s="17"/>
      <c r="AQ193" s="17">
        <f t="shared" si="154"/>
        <v>1060000</v>
      </c>
      <c r="AR193" s="17">
        <f t="shared" si="155"/>
        <v>1160000</v>
      </c>
      <c r="AS193" s="42">
        <v>100000</v>
      </c>
      <c r="AT193" s="42">
        <v>1060000</v>
      </c>
      <c r="AU193" s="42">
        <v>0</v>
      </c>
      <c r="AV193" s="42">
        <v>0</v>
      </c>
      <c r="AW193" s="17">
        <f t="shared" si="156"/>
        <v>1060000</v>
      </c>
      <c r="AX193" s="42">
        <f t="shared" si="157"/>
        <v>1160000</v>
      </c>
      <c r="AY193" s="42">
        <v>100000</v>
      </c>
      <c r="AZ193" s="42">
        <v>0</v>
      </c>
      <c r="BA193" s="42">
        <v>1060000</v>
      </c>
      <c r="BB193" s="42"/>
      <c r="BC193" s="42">
        <f t="shared" si="158"/>
        <v>1060000</v>
      </c>
      <c r="BD193" s="42">
        <f t="shared" si="168"/>
        <v>1160000</v>
      </c>
      <c r="BE193" s="42">
        <v>100000</v>
      </c>
      <c r="BF193" s="42">
        <v>1060000</v>
      </c>
      <c r="BG193" s="42"/>
      <c r="BH193" s="42">
        <v>0</v>
      </c>
      <c r="BI193" s="42">
        <f t="shared" ref="BI193:BI194" si="169">SUM(BF193:BH193)</f>
        <v>1060000</v>
      </c>
      <c r="BJ193" s="42">
        <f t="shared" ref="BJ193:BJ194" si="170">BE193+BI193</f>
        <v>1160000</v>
      </c>
      <c r="BK193" s="42">
        <v>100000</v>
      </c>
      <c r="BL193" s="42">
        <v>1060000</v>
      </c>
      <c r="BM193" s="42">
        <v>0</v>
      </c>
      <c r="BN193" s="42">
        <v>0</v>
      </c>
      <c r="BO193" s="42">
        <f t="shared" si="137"/>
        <v>1060000</v>
      </c>
      <c r="BP193" s="42">
        <f t="shared" si="138"/>
        <v>1160000</v>
      </c>
      <c r="BQ193" s="69">
        <f t="shared" si="139"/>
        <v>3975000</v>
      </c>
      <c r="BR193" s="37"/>
    </row>
    <row r="194" spans="1:70">
      <c r="A194" s="15">
        <f t="shared" si="111"/>
        <v>190</v>
      </c>
      <c r="B194" s="68" t="s">
        <v>281</v>
      </c>
      <c r="C194" s="44" t="s">
        <v>282</v>
      </c>
      <c r="D194" s="44" t="s">
        <v>261</v>
      </c>
      <c r="E194" s="42">
        <v>2500000</v>
      </c>
      <c r="F194" s="17">
        <v>100000</v>
      </c>
      <c r="G194" s="17"/>
      <c r="H194" s="17">
        <f>F194+G194</f>
        <v>100000</v>
      </c>
      <c r="I194" s="17">
        <v>100000</v>
      </c>
      <c r="J194" s="17"/>
      <c r="K194" s="17">
        <f>I194+J194</f>
        <v>100000</v>
      </c>
      <c r="L194" s="17">
        <v>100000</v>
      </c>
      <c r="M194" s="17"/>
      <c r="N194" s="17">
        <f>L194+M194</f>
        <v>100000</v>
      </c>
      <c r="O194" s="17">
        <v>100000</v>
      </c>
      <c r="P194" s="17">
        <f>530000+6000</f>
        <v>536000</v>
      </c>
      <c r="Q194" s="17">
        <f>O194+P194</f>
        <v>636000</v>
      </c>
      <c r="R194" s="17">
        <v>100000</v>
      </c>
      <c r="S194" s="17">
        <f>530000</f>
        <v>530000</v>
      </c>
      <c r="T194" s="17">
        <f>42000+[7]System!$F$1155</f>
        <v>67000</v>
      </c>
      <c r="U194" s="17">
        <v>0</v>
      </c>
      <c r="V194" s="17">
        <f>21000+100000+60000</f>
        <v>181000</v>
      </c>
      <c r="W194" s="17">
        <f t="shared" si="163"/>
        <v>878000</v>
      </c>
      <c r="X194" s="17">
        <v>100000</v>
      </c>
      <c r="Y194" s="17">
        <v>530000</v>
      </c>
      <c r="Z194" s="17">
        <f>[8]Credit!$E$1281</f>
        <v>11000</v>
      </c>
      <c r="AA194" s="17"/>
      <c r="AB194" s="17">
        <v>70000</v>
      </c>
      <c r="AC194" s="17">
        <f t="shared" si="164"/>
        <v>611000</v>
      </c>
      <c r="AD194" s="17">
        <f t="shared" si="165"/>
        <v>711000</v>
      </c>
      <c r="AE194" s="17">
        <v>100000</v>
      </c>
      <c r="AF194" s="17">
        <v>530000</v>
      </c>
      <c r="AG194" s="17">
        <f>[9]Credit!$F$798</f>
        <v>5000</v>
      </c>
      <c r="AH194" s="17"/>
      <c r="AI194" s="17"/>
      <c r="AJ194" s="17">
        <f t="shared" si="166"/>
        <v>535000</v>
      </c>
      <c r="AK194" s="17">
        <f t="shared" si="167"/>
        <v>635000</v>
      </c>
      <c r="AL194" s="17">
        <v>100000</v>
      </c>
      <c r="AM194" s="42">
        <v>530000</v>
      </c>
      <c r="AN194" s="42">
        <v>0</v>
      </c>
      <c r="AO194" s="42">
        <v>0</v>
      </c>
      <c r="AP194" s="17"/>
      <c r="AQ194" s="17">
        <f t="shared" si="154"/>
        <v>530000</v>
      </c>
      <c r="AR194" s="17">
        <f t="shared" si="155"/>
        <v>630000</v>
      </c>
      <c r="AS194" s="42">
        <v>100000</v>
      </c>
      <c r="AT194" s="42">
        <v>530000</v>
      </c>
      <c r="AU194" s="42">
        <f>[10]Credit!$E$1447</f>
        <v>27000</v>
      </c>
      <c r="AV194" s="42">
        <v>0</v>
      </c>
      <c r="AW194" s="17">
        <f t="shared" si="156"/>
        <v>557000</v>
      </c>
      <c r="AX194" s="42">
        <f t="shared" si="157"/>
        <v>657000</v>
      </c>
      <c r="AY194" s="42">
        <v>100000</v>
      </c>
      <c r="AZ194" s="42">
        <f>[6]Credit!$F$1435</f>
        <v>56500</v>
      </c>
      <c r="BA194" s="42">
        <v>530000</v>
      </c>
      <c r="BB194" s="42"/>
      <c r="BC194" s="42">
        <f t="shared" si="158"/>
        <v>586500</v>
      </c>
      <c r="BD194" s="42">
        <f t="shared" si="168"/>
        <v>686500</v>
      </c>
      <c r="BE194" s="42">
        <v>100000</v>
      </c>
      <c r="BF194" s="42">
        <v>530000</v>
      </c>
      <c r="BG194" s="42">
        <f>[11]Kredit!$E$1462</f>
        <v>59500</v>
      </c>
      <c r="BH194" s="42">
        <v>0</v>
      </c>
      <c r="BI194" s="42">
        <f t="shared" si="169"/>
        <v>589500</v>
      </c>
      <c r="BJ194" s="42">
        <f t="shared" si="170"/>
        <v>689500</v>
      </c>
      <c r="BK194" s="42">
        <v>100000</v>
      </c>
      <c r="BL194" s="42">
        <v>530000</v>
      </c>
      <c r="BM194" s="42">
        <f>[12]Credit!$E$1370</f>
        <v>57000</v>
      </c>
      <c r="BN194" s="42">
        <v>0</v>
      </c>
      <c r="BO194" s="42">
        <f t="shared" si="137"/>
        <v>587000</v>
      </c>
      <c r="BP194" s="42">
        <f t="shared" si="138"/>
        <v>687000</v>
      </c>
      <c r="BQ194" s="69">
        <f t="shared" si="139"/>
        <v>3700000</v>
      </c>
      <c r="BR194" s="49"/>
    </row>
    <row r="195" spans="1:70">
      <c r="D195" s="18" t="s">
        <v>283</v>
      </c>
      <c r="E195" s="19">
        <f>SUM(E5:E194)</f>
        <v>423050000</v>
      </c>
      <c r="F195" s="19">
        <f>SUM(F5:F194)</f>
        <v>17300000</v>
      </c>
      <c r="G195" s="19">
        <f t="shared" ref="G195:BP195" si="171">SUM(G5:G194)</f>
        <v>74807125</v>
      </c>
      <c r="H195" s="19">
        <f t="shared" si="171"/>
        <v>92107125</v>
      </c>
      <c r="I195" s="19">
        <f t="shared" si="171"/>
        <v>17100000</v>
      </c>
      <c r="J195" s="19">
        <f t="shared" si="171"/>
        <v>85444575</v>
      </c>
      <c r="K195" s="19">
        <f t="shared" si="171"/>
        <v>102544575</v>
      </c>
      <c r="L195" s="19">
        <f t="shared" si="171"/>
        <v>17500000</v>
      </c>
      <c r="M195" s="19">
        <f t="shared" si="171"/>
        <v>84647625</v>
      </c>
      <c r="N195" s="19">
        <f t="shared" si="171"/>
        <v>102147625</v>
      </c>
      <c r="O195" s="19">
        <f t="shared" si="171"/>
        <v>18500000</v>
      </c>
      <c r="P195" s="19">
        <f t="shared" si="171"/>
        <v>99277790</v>
      </c>
      <c r="Q195" s="19">
        <f t="shared" si="171"/>
        <v>117777790</v>
      </c>
      <c r="R195" s="19">
        <f t="shared" si="171"/>
        <v>18600000</v>
      </c>
      <c r="S195" s="19">
        <f t="shared" si="171"/>
        <v>65635500</v>
      </c>
      <c r="T195" s="19">
        <f t="shared" si="171"/>
        <v>37563328</v>
      </c>
      <c r="U195" s="19">
        <f t="shared" si="171"/>
        <v>2720325</v>
      </c>
      <c r="V195" s="19">
        <f t="shared" si="171"/>
        <v>3080000</v>
      </c>
      <c r="W195" s="19">
        <f t="shared" si="171"/>
        <v>127599153</v>
      </c>
      <c r="X195" s="19">
        <f t="shared" si="171"/>
        <v>18700000</v>
      </c>
      <c r="Y195" s="19">
        <f t="shared" si="171"/>
        <v>64357750</v>
      </c>
      <c r="Z195" s="19">
        <f t="shared" si="171"/>
        <v>34230750</v>
      </c>
      <c r="AA195" s="19">
        <f t="shared" si="171"/>
        <v>4383941</v>
      </c>
      <c r="AB195" s="19">
        <f t="shared" si="171"/>
        <v>5135000</v>
      </c>
      <c r="AC195" s="19">
        <f t="shared" si="171"/>
        <v>108107441</v>
      </c>
      <c r="AD195" s="19">
        <f t="shared" si="171"/>
        <v>126807441</v>
      </c>
      <c r="AE195" s="19">
        <f t="shared" si="171"/>
        <v>18500000</v>
      </c>
      <c r="AF195" s="19">
        <f t="shared" si="171"/>
        <v>64211875</v>
      </c>
      <c r="AG195" s="19">
        <f t="shared" si="171"/>
        <v>26515600</v>
      </c>
      <c r="AH195" s="19">
        <f t="shared" si="171"/>
        <v>5981441</v>
      </c>
      <c r="AI195" s="19">
        <f t="shared" si="171"/>
        <v>2890000</v>
      </c>
      <c r="AJ195" s="19">
        <f t="shared" si="171"/>
        <v>99598916</v>
      </c>
      <c r="AK195" s="19">
        <f t="shared" si="171"/>
        <v>118098916</v>
      </c>
      <c r="AL195" s="19">
        <f t="shared" si="171"/>
        <v>18900000</v>
      </c>
      <c r="AM195" s="19">
        <f t="shared" si="171"/>
        <v>70173000</v>
      </c>
      <c r="AN195" s="19">
        <f t="shared" si="171"/>
        <v>36003600</v>
      </c>
      <c r="AO195" s="19">
        <f t="shared" si="171"/>
        <v>7638241</v>
      </c>
      <c r="AP195" s="19">
        <f t="shared" si="171"/>
        <v>759000</v>
      </c>
      <c r="AQ195" s="19">
        <f t="shared" si="171"/>
        <v>114573841</v>
      </c>
      <c r="AR195" s="19">
        <f t="shared" si="171"/>
        <v>133473841</v>
      </c>
      <c r="AS195" s="19">
        <f t="shared" si="171"/>
        <v>18700000</v>
      </c>
      <c r="AT195" s="19">
        <f t="shared" si="171"/>
        <v>74836375</v>
      </c>
      <c r="AU195" s="19">
        <f t="shared" si="171"/>
        <v>35757665</v>
      </c>
      <c r="AV195" s="19">
        <f>SUM(AV5:AV194)</f>
        <v>9214826</v>
      </c>
      <c r="AW195" s="19">
        <f t="shared" si="171"/>
        <v>119808866</v>
      </c>
      <c r="AX195" s="19">
        <f t="shared" si="171"/>
        <v>138508866</v>
      </c>
      <c r="AY195" s="19">
        <f t="shared" si="171"/>
        <v>18900000</v>
      </c>
      <c r="AZ195" s="19">
        <f t="shared" si="171"/>
        <v>42466235</v>
      </c>
      <c r="BA195" s="19">
        <f t="shared" si="171"/>
        <v>75167750</v>
      </c>
      <c r="BB195" s="19">
        <f t="shared" si="171"/>
        <v>10988067</v>
      </c>
      <c r="BC195" s="19">
        <f t="shared" si="171"/>
        <v>125749102</v>
      </c>
      <c r="BD195" s="19">
        <f t="shared" si="171"/>
        <v>144649102</v>
      </c>
      <c r="BE195" s="19">
        <f t="shared" si="171"/>
        <v>19000000</v>
      </c>
      <c r="BF195" s="19">
        <f t="shared" si="171"/>
        <v>73577000</v>
      </c>
      <c r="BG195" s="19">
        <f t="shared" si="171"/>
        <v>43355775</v>
      </c>
      <c r="BH195" s="19">
        <f t="shared" si="171"/>
        <v>12362592</v>
      </c>
      <c r="BI195" s="19">
        <f t="shared" si="171"/>
        <v>129295367</v>
      </c>
      <c r="BJ195" s="19">
        <f t="shared" si="171"/>
        <v>148295367</v>
      </c>
      <c r="BK195" s="19">
        <f t="shared" si="171"/>
        <v>19100000</v>
      </c>
      <c r="BL195" s="19">
        <f t="shared" si="171"/>
        <v>74808000</v>
      </c>
      <c r="BM195" s="19">
        <f t="shared" si="171"/>
        <v>41239075</v>
      </c>
      <c r="BN195" s="19">
        <f t="shared" si="171"/>
        <v>12382451</v>
      </c>
      <c r="BO195" s="19">
        <f t="shared" si="171"/>
        <v>128429526</v>
      </c>
      <c r="BP195" s="19">
        <f t="shared" si="171"/>
        <v>147529526</v>
      </c>
      <c r="BQ195" s="19">
        <f>SUM(BQ5:BQ194)</f>
        <v>643850000</v>
      </c>
      <c r="BR195" s="65"/>
    </row>
    <row r="196" spans="1:70">
      <c r="D196" s="20"/>
      <c r="E196" s="21"/>
      <c r="F196" s="22"/>
      <c r="G196" s="22"/>
      <c r="H196" s="23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>
        <f>33407600-AG195</f>
        <v>6892000</v>
      </c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>
        <f>142181781-AW195</f>
        <v>22372915</v>
      </c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>
        <f>BF195-BL195</f>
        <v>-1231000</v>
      </c>
      <c r="BM196" s="22">
        <f>BG195-BM195</f>
        <v>2116700</v>
      </c>
      <c r="BN196" s="22">
        <f>BH195-BN195</f>
        <v>-19859</v>
      </c>
      <c r="BO196" s="22"/>
      <c r="BP196" s="22"/>
      <c r="BQ196" s="12"/>
    </row>
    <row r="197" spans="1:70">
      <c r="H197" s="12"/>
      <c r="J197" s="12"/>
      <c r="L197" s="10"/>
      <c r="M197" s="10"/>
      <c r="O197" s="10"/>
      <c r="P197" s="10"/>
      <c r="R197" s="10"/>
      <c r="S197" s="10"/>
      <c r="T197" s="10"/>
      <c r="U197" s="10"/>
      <c r="V197" s="10"/>
      <c r="X197" s="10"/>
      <c r="Y197" s="10"/>
      <c r="Z197" s="10"/>
      <c r="AA197" s="10"/>
      <c r="AB197" s="10"/>
      <c r="AC197" s="10"/>
      <c r="AE197" s="10"/>
      <c r="AF197" s="10"/>
      <c r="AG197" s="10"/>
      <c r="AH197" s="10"/>
      <c r="AI197" s="10"/>
      <c r="AJ197" s="12"/>
      <c r="AL197" s="10"/>
      <c r="AM197" s="10"/>
      <c r="AN197" s="10"/>
      <c r="AO197" s="10"/>
      <c r="AP197" s="10"/>
      <c r="AS197" s="10"/>
      <c r="AT197" s="10"/>
      <c r="AU197" s="10"/>
      <c r="AV197" s="10"/>
      <c r="AW197" s="10"/>
      <c r="AY197" s="10"/>
      <c r="AZ197" s="10"/>
      <c r="BA197" s="10"/>
      <c r="BB197" s="10"/>
      <c r="BC197" s="10"/>
      <c r="BE197" s="10"/>
      <c r="BF197" s="10"/>
      <c r="BG197" s="10"/>
      <c r="BH197" s="10"/>
      <c r="BI197" s="10"/>
      <c r="BK197" s="10"/>
      <c r="BL197" s="10"/>
      <c r="BM197" s="10"/>
      <c r="BN197" s="10"/>
      <c r="BO197" s="10"/>
      <c r="BQ197" s="25"/>
    </row>
    <row r="198" spans="1:70">
      <c r="A198" s="26"/>
      <c r="B198" s="26"/>
      <c r="H198" s="12"/>
      <c r="J198" s="12"/>
      <c r="M198" s="10"/>
      <c r="W198" s="12"/>
      <c r="Y198" s="10"/>
      <c r="Z198" s="10"/>
      <c r="AA198" s="10"/>
      <c r="AB198" s="10"/>
      <c r="AC198" s="10"/>
      <c r="AF198" s="10"/>
      <c r="AG198" s="10"/>
      <c r="AH198" s="10"/>
      <c r="AI198" s="10"/>
      <c r="AJ198" s="12"/>
      <c r="AM198" s="12"/>
      <c r="AN198" s="12"/>
      <c r="AO198" s="12"/>
      <c r="AP198" s="12"/>
      <c r="AT198" s="10"/>
      <c r="AU198" s="12"/>
      <c r="AV198" s="12"/>
      <c r="AZ198" s="10"/>
      <c r="BA198" s="10"/>
      <c r="BB198" s="10"/>
      <c r="BC198" s="10"/>
      <c r="BF198" s="10"/>
      <c r="BG198" s="10"/>
      <c r="BH198" s="10"/>
      <c r="BI198" s="10"/>
      <c r="BM198" s="10"/>
      <c r="BN198" s="10"/>
      <c r="BO198" s="10"/>
      <c r="BQ198" s="12"/>
    </row>
    <row r="199" spans="1:70">
      <c r="A199" s="26"/>
      <c r="B199" s="26"/>
      <c r="G199" s="12"/>
      <c r="H199" s="12"/>
      <c r="J199" s="12"/>
      <c r="T199" s="12"/>
      <c r="U199" s="12"/>
      <c r="V199" s="12"/>
      <c r="W199" s="10"/>
      <c r="AE199" s="10"/>
      <c r="AJ199" s="12"/>
      <c r="AM199" s="12"/>
      <c r="AN199" s="12"/>
      <c r="AO199" s="12"/>
      <c r="AP199" s="12"/>
      <c r="AT199" s="10"/>
      <c r="AU199" s="12"/>
      <c r="AV199" s="12"/>
      <c r="AZ199" s="10"/>
      <c r="BA199" s="10"/>
      <c r="BB199" s="10"/>
      <c r="BC199" s="10"/>
      <c r="BF199" s="10"/>
      <c r="BG199" s="10"/>
      <c r="BH199" s="10"/>
      <c r="BI199" s="10"/>
      <c r="BM199" s="10"/>
      <c r="BN199" s="10"/>
      <c r="BO199" s="10"/>
      <c r="BQ199" s="10"/>
      <c r="BR199" s="27"/>
    </row>
    <row r="200" spans="1:70">
      <c r="G200" s="12"/>
      <c r="H200" s="12"/>
      <c r="J200" s="12"/>
      <c r="T200" s="12"/>
      <c r="U200" s="12"/>
      <c r="V200" s="12"/>
      <c r="AI200" s="10"/>
      <c r="AJ200" s="12"/>
      <c r="AM200" s="12"/>
      <c r="AN200" s="12"/>
      <c r="AO200" s="12"/>
      <c r="AP200" s="12"/>
      <c r="AU200" s="12"/>
      <c r="AV200" s="12"/>
      <c r="BM200" s="12"/>
      <c r="BN200" s="12"/>
      <c r="BO200" s="12"/>
    </row>
    <row r="201" spans="1:70">
      <c r="G201" s="12"/>
      <c r="H201" s="12"/>
      <c r="J201" s="12"/>
      <c r="T201" s="12"/>
      <c r="U201" s="12"/>
      <c r="V201" s="12"/>
      <c r="AJ201" s="12"/>
      <c r="AM201" s="12"/>
      <c r="AN201" s="12"/>
      <c r="AO201" s="12"/>
      <c r="AP201" s="12"/>
      <c r="AU201" s="12"/>
      <c r="AV201" s="12"/>
      <c r="BM201" s="12"/>
      <c r="BN201" s="12"/>
      <c r="BO201" s="12"/>
      <c r="BQ201" s="10"/>
    </row>
    <row r="202" spans="1:70">
      <c r="G202" s="12"/>
      <c r="H202" s="12"/>
      <c r="J202" s="12"/>
      <c r="T202" s="12"/>
      <c r="U202" s="12"/>
      <c r="V202" s="12"/>
      <c r="AJ202" s="12"/>
      <c r="AM202" s="12"/>
      <c r="AN202" s="12"/>
      <c r="AO202" s="12"/>
      <c r="AP202" s="12"/>
      <c r="AU202" s="12"/>
      <c r="AV202" s="12"/>
      <c r="BM202" s="12"/>
      <c r="BN202" s="12"/>
      <c r="BO202" s="12"/>
      <c r="BQ202" s="10"/>
      <c r="BR202" s="27"/>
    </row>
    <row r="203" spans="1:70">
      <c r="G203" s="12"/>
      <c r="H203" s="12"/>
      <c r="J203" s="12"/>
      <c r="T203" s="12"/>
      <c r="U203" s="12"/>
      <c r="V203" s="12"/>
      <c r="AJ203" s="12"/>
      <c r="AM203" s="12"/>
      <c r="AN203" s="12"/>
      <c r="AO203" s="12"/>
      <c r="AP203" s="12"/>
      <c r="AU203" s="12"/>
      <c r="AV203" s="12"/>
      <c r="BM203" s="12"/>
      <c r="BN203" s="12"/>
      <c r="BO203" s="12"/>
      <c r="BR203" s="27"/>
    </row>
    <row r="204" spans="1:70">
      <c r="G204" s="12"/>
      <c r="H204" s="12"/>
      <c r="J204" s="12"/>
      <c r="T204" s="12"/>
      <c r="U204" s="12"/>
      <c r="V204" s="12"/>
      <c r="AJ204" s="12"/>
      <c r="AM204" s="12"/>
      <c r="AN204" s="12"/>
      <c r="AO204" s="12"/>
      <c r="AP204" s="12"/>
      <c r="AU204" s="12"/>
      <c r="AV204" s="12"/>
      <c r="BM204" s="10"/>
      <c r="BN204" s="10"/>
      <c r="BO204" s="10"/>
    </row>
    <row r="205" spans="1:70">
      <c r="A205" s="28"/>
      <c r="B205" s="28"/>
      <c r="C205" s="29"/>
      <c r="D205" s="29"/>
      <c r="E205" s="30"/>
      <c r="F205" s="29"/>
      <c r="G205" s="31"/>
      <c r="H205" s="31"/>
      <c r="I205" s="29"/>
      <c r="J205" s="31"/>
      <c r="K205" s="29"/>
      <c r="L205" s="29"/>
      <c r="M205" s="29"/>
      <c r="N205" s="29"/>
      <c r="O205" s="29"/>
      <c r="P205" s="29"/>
      <c r="Q205" s="29"/>
      <c r="R205" s="29"/>
      <c r="S205" s="29"/>
      <c r="T205" s="31"/>
      <c r="U205" s="31"/>
      <c r="V205" s="31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31"/>
      <c r="AK205" s="29"/>
      <c r="AL205" s="29"/>
      <c r="AM205" s="31"/>
      <c r="AN205" s="31"/>
      <c r="AO205" s="31"/>
      <c r="AP205" s="31"/>
      <c r="AQ205" s="29"/>
      <c r="AR205" s="29"/>
      <c r="AS205" s="29"/>
      <c r="AT205" s="29"/>
      <c r="AU205" s="31"/>
      <c r="AV205" s="31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5"/>
      <c r="BN205" s="25"/>
      <c r="BO205" s="25"/>
      <c r="BP205" s="29"/>
    </row>
    <row r="206" spans="1:70">
      <c r="A206" s="26"/>
      <c r="B206" s="26"/>
      <c r="G206" s="12"/>
      <c r="H206" s="12"/>
      <c r="J206" s="12"/>
      <c r="T206" s="12"/>
      <c r="U206" s="12"/>
      <c r="V206" s="12"/>
      <c r="AJ206" s="12"/>
      <c r="AM206" s="12"/>
      <c r="AN206" s="12"/>
      <c r="AO206" s="12"/>
      <c r="AP206" s="12"/>
      <c r="AU206" s="12"/>
      <c r="AV206" s="12"/>
    </row>
    <row r="207" spans="1:70">
      <c r="G207" s="12"/>
      <c r="H207" s="12"/>
      <c r="J207" s="12"/>
      <c r="T207" s="12"/>
      <c r="U207" s="12"/>
      <c r="V207" s="12"/>
      <c r="AJ207" s="12"/>
      <c r="AM207" s="12"/>
      <c r="AN207" s="12"/>
      <c r="AO207" s="12"/>
      <c r="AP207" s="12"/>
      <c r="AU207" s="12"/>
      <c r="AV207" s="12"/>
    </row>
    <row r="208" spans="1:70">
      <c r="G208" s="12"/>
      <c r="H208" s="12"/>
      <c r="J208" s="12"/>
      <c r="T208" s="12"/>
      <c r="U208" s="12"/>
      <c r="V208" s="12"/>
      <c r="AJ208" s="12"/>
      <c r="AM208" s="10"/>
      <c r="AN208" s="10"/>
      <c r="AO208" s="10"/>
      <c r="AP208" s="10"/>
      <c r="AU208" s="10"/>
      <c r="AV208" s="10"/>
    </row>
    <row r="209" spans="7:48">
      <c r="G209" s="12"/>
      <c r="H209" s="12"/>
      <c r="J209" s="12"/>
      <c r="T209" s="12"/>
      <c r="U209" s="12"/>
      <c r="V209" s="12"/>
      <c r="AJ209" s="12"/>
    </row>
    <row r="210" spans="7:48">
      <c r="G210" s="12"/>
      <c r="J210" s="12"/>
      <c r="T210" s="12"/>
      <c r="U210" s="12"/>
      <c r="V210" s="12"/>
      <c r="AJ210" s="12"/>
      <c r="AM210" s="10"/>
      <c r="AN210" s="10"/>
      <c r="AO210" s="10"/>
      <c r="AP210" s="10"/>
      <c r="AU210" s="10"/>
      <c r="AV210" s="10"/>
    </row>
    <row r="211" spans="7:48">
      <c r="G211" s="12"/>
      <c r="J211" s="12"/>
      <c r="T211" s="12"/>
      <c r="U211" s="12"/>
      <c r="V211" s="12"/>
      <c r="AJ211" s="12"/>
    </row>
    <row r="212" spans="7:48">
      <c r="G212" s="12"/>
      <c r="J212" s="12"/>
      <c r="AJ212" s="12"/>
    </row>
    <row r="213" spans="7:48">
      <c r="G213" s="12"/>
      <c r="J213" s="12"/>
      <c r="AJ213" s="12"/>
    </row>
    <row r="214" spans="7:48">
      <c r="G214" s="12"/>
      <c r="J214" s="12"/>
      <c r="AJ214" s="12"/>
    </row>
    <row r="215" spans="7:48">
      <c r="G215" s="12"/>
      <c r="AJ215" s="12"/>
    </row>
    <row r="216" spans="7:48">
      <c r="G216" s="12"/>
      <c r="AJ216" s="12"/>
    </row>
    <row r="217" spans="7:48">
      <c r="G217" s="12"/>
      <c r="AJ217" s="12"/>
    </row>
    <row r="218" spans="7:48">
      <c r="G218" s="12"/>
      <c r="AJ218" s="12"/>
    </row>
    <row r="219" spans="7:48">
      <c r="G219" s="12"/>
      <c r="AJ219" s="12"/>
    </row>
    <row r="220" spans="7:48">
      <c r="G220" s="12"/>
      <c r="AJ220" s="12"/>
    </row>
    <row r="221" spans="7:48">
      <c r="G221" s="12"/>
      <c r="AJ221" s="12"/>
    </row>
    <row r="222" spans="7:48">
      <c r="G222" s="12"/>
      <c r="AJ222" s="12"/>
    </row>
    <row r="223" spans="7:48">
      <c r="G223" s="12"/>
      <c r="AJ223" s="12"/>
    </row>
    <row r="224" spans="7:48">
      <c r="G224" s="12"/>
      <c r="AJ224" s="12"/>
    </row>
    <row r="225" spans="7:7">
      <c r="G225" s="12"/>
    </row>
    <row r="226" spans="7:7">
      <c r="G226" s="12"/>
    </row>
    <row r="227" spans="7:7">
      <c r="G227" s="12"/>
    </row>
    <row r="228" spans="7:7">
      <c r="G228" s="12"/>
    </row>
    <row r="229" spans="7:7">
      <c r="G229" s="12"/>
    </row>
    <row r="230" spans="7:7">
      <c r="G230" s="12"/>
    </row>
    <row r="231" spans="7:7">
      <c r="G231" s="12"/>
    </row>
    <row r="232" spans="7:7">
      <c r="G232" s="12"/>
    </row>
    <row r="233" spans="7:7">
      <c r="G233" s="12"/>
    </row>
    <row r="234" spans="7:7">
      <c r="G234" s="12"/>
    </row>
    <row r="235" spans="7:7">
      <c r="G235" s="12"/>
    </row>
    <row r="236" spans="7:7">
      <c r="G236" s="12"/>
    </row>
    <row r="237" spans="7:7">
      <c r="G237" s="12"/>
    </row>
    <row r="238" spans="7:7">
      <c r="G238" s="12"/>
    </row>
    <row r="239" spans="7:7">
      <c r="G239" s="12"/>
    </row>
    <row r="240" spans="7:7">
      <c r="G240" s="12"/>
    </row>
    <row r="241" spans="7:7">
      <c r="G241" s="12"/>
    </row>
    <row r="242" spans="7:7">
      <c r="G242" s="12"/>
    </row>
    <row r="243" spans="7:7">
      <c r="G243" s="12"/>
    </row>
    <row r="244" spans="7:7">
      <c r="G244" s="12"/>
    </row>
    <row r="245" spans="7:7">
      <c r="G245" s="12"/>
    </row>
    <row r="246" spans="7:7">
      <c r="G246" s="12"/>
    </row>
    <row r="247" spans="7:7">
      <c r="G247" s="12"/>
    </row>
  </sheetData>
  <sortState ref="B5:BQ195">
    <sortCondition ref="D5:D195"/>
    <sortCondition ref="C5:C195"/>
  </sortState>
  <mergeCells count="8">
    <mergeCell ref="BQ3:BQ4"/>
    <mergeCell ref="BR3:BR4"/>
    <mergeCell ref="A2:Q2"/>
    <mergeCell ref="A3:A4"/>
    <mergeCell ref="B3:B4"/>
    <mergeCell ref="C3:C4"/>
    <mergeCell ref="D3:D4"/>
    <mergeCell ref="E3:E4"/>
  </mergeCells>
  <printOptions horizontalCentered="1"/>
  <pageMargins left="0.25" right="0.25" top="0.25" bottom="0.2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>
      <selection activeCell="E3" sqref="E3"/>
    </sheetView>
  </sheetViews>
  <sheetFormatPr baseColWidth="10" defaultColWidth="8.83203125" defaultRowHeight="14" x14ac:dyDescent="0"/>
  <cols>
    <col min="1" max="1" width="4.5" customWidth="1"/>
    <col min="2" max="2" width="39.83203125" customWidth="1"/>
    <col min="3" max="3" width="15.33203125" style="1" bestFit="1" customWidth="1"/>
    <col min="4" max="4" width="16.1640625" customWidth="1"/>
    <col min="5" max="5" width="17.5" style="1" customWidth="1"/>
    <col min="6" max="6" width="15.33203125" bestFit="1" customWidth="1"/>
    <col min="9" max="9" width="14.33203125" style="1" bestFit="1" customWidth="1"/>
  </cols>
  <sheetData>
    <row r="1" spans="1:6">
      <c r="A1" s="34">
        <v>1</v>
      </c>
      <c r="B1" t="s">
        <v>622</v>
      </c>
      <c r="D1" s="2">
        <f>'Saldo Anggota'!BQ195</f>
        <v>643850000</v>
      </c>
    </row>
    <row r="2" spans="1:6">
      <c r="A2" s="34">
        <v>2</v>
      </c>
      <c r="B2" t="s">
        <v>623</v>
      </c>
      <c r="D2" s="2">
        <f>Pendapatan!F384</f>
        <v>89509813.313333333</v>
      </c>
    </row>
    <row r="3" spans="1:6">
      <c r="A3" s="34">
        <v>3</v>
      </c>
      <c r="B3" t="s">
        <v>624</v>
      </c>
      <c r="C3" s="1">
        <v>241435787.87</v>
      </c>
      <c r="D3" s="1"/>
    </row>
    <row r="4" spans="1:6">
      <c r="A4" s="34">
        <v>4</v>
      </c>
      <c r="B4" t="s">
        <v>285</v>
      </c>
      <c r="C4" s="1">
        <f>[13]Desember!$BP$205</f>
        <v>151933526</v>
      </c>
      <c r="D4" s="2"/>
    </row>
    <row r="5" spans="1:6">
      <c r="A5" s="34">
        <v>5</v>
      </c>
      <c r="B5" t="s">
        <v>667</v>
      </c>
      <c r="C5" s="1">
        <f>'[14]Pinjaman 2017'!$AC$222</f>
        <v>235564500</v>
      </c>
      <c r="D5" s="1"/>
      <c r="F5" s="2"/>
    </row>
    <row r="6" spans="1:6">
      <c r="A6" s="34">
        <v>5</v>
      </c>
      <c r="B6" t="s">
        <v>668</v>
      </c>
      <c r="C6" s="1">
        <f>'[2]Electronic 2017'!$AC$200</f>
        <v>33353493</v>
      </c>
      <c r="D6" s="1"/>
      <c r="F6" s="2"/>
    </row>
    <row r="7" spans="1:6">
      <c r="A7" s="34">
        <v>6</v>
      </c>
      <c r="B7" t="s">
        <v>669</v>
      </c>
      <c r="C7" s="1">
        <f>31657550+2000000+5000000</f>
        <v>38657550</v>
      </c>
      <c r="D7" s="2"/>
    </row>
    <row r="8" spans="1:6">
      <c r="A8" s="34">
        <v>7</v>
      </c>
      <c r="B8" t="s">
        <v>284</v>
      </c>
      <c r="D8" s="2"/>
    </row>
    <row r="9" spans="1:6">
      <c r="A9" s="34">
        <v>8</v>
      </c>
      <c r="B9" t="s">
        <v>670</v>
      </c>
    </row>
    <row r="10" spans="1:6">
      <c r="C10" s="32">
        <f>SUM(C1:C9)</f>
        <v>700944856.87</v>
      </c>
      <c r="D10" s="33">
        <f>SUM(D1:D9)</f>
        <v>733359813.31333327</v>
      </c>
      <c r="E10" s="32"/>
    </row>
    <row r="11" spans="1:6">
      <c r="D11" s="2">
        <f>D10-C10</f>
        <v>32414956.443333268</v>
      </c>
    </row>
    <row r="14" spans="1:6">
      <c r="D14" s="1"/>
    </row>
    <row r="15" spans="1:6">
      <c r="D15" s="1"/>
    </row>
    <row r="16" spans="1:6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tabSelected="1" workbookViewId="0">
      <selection activeCell="D10" sqref="D10"/>
    </sheetView>
  </sheetViews>
  <sheetFormatPr baseColWidth="10" defaultColWidth="8.83203125" defaultRowHeight="14" x14ac:dyDescent="0"/>
  <cols>
    <col min="1" max="1" width="4.5" customWidth="1"/>
    <col min="2" max="2" width="41.1640625" customWidth="1"/>
    <col min="3" max="3" width="15.83203125" style="1" customWidth="1"/>
    <col min="4" max="4" width="18" style="1" customWidth="1"/>
    <col min="5" max="5" width="13.33203125" bestFit="1" customWidth="1"/>
    <col min="6" max="6" width="16.5" customWidth="1"/>
    <col min="7" max="7" width="13.33203125" bestFit="1" customWidth="1"/>
  </cols>
  <sheetData>
    <row r="1" spans="1:9">
      <c r="A1" s="35" t="s">
        <v>286</v>
      </c>
      <c r="E1" s="1"/>
      <c r="I1" s="1"/>
    </row>
    <row r="2" spans="1:9">
      <c r="A2" s="34">
        <v>1</v>
      </c>
      <c r="B2" t="s">
        <v>297</v>
      </c>
      <c r="C2" s="1">
        <f>'Posisi Keuangan'!$D$2</f>
        <v>89509813.313333333</v>
      </c>
      <c r="D2" s="1">
        <f>C2*20/100</f>
        <v>17901962.662666667</v>
      </c>
      <c r="E2" s="1"/>
      <c r="I2" s="1"/>
    </row>
    <row r="3" spans="1:9">
      <c r="A3" s="34">
        <f>A2+1</f>
        <v>2</v>
      </c>
      <c r="B3" t="s">
        <v>298</v>
      </c>
      <c r="C3" s="1">
        <f>'Posisi Keuangan'!$D$2</f>
        <v>89509813.313333333</v>
      </c>
      <c r="D3" s="1">
        <f>C3*60/100</f>
        <v>53705887.988000005</v>
      </c>
      <c r="E3" s="1"/>
      <c r="I3" s="1"/>
    </row>
    <row r="4" spans="1:9">
      <c r="A4" s="34">
        <f t="shared" ref="A4:A5" si="0">A3+1</f>
        <v>3</v>
      </c>
      <c r="B4" t="s">
        <v>299</v>
      </c>
      <c r="C4" s="1">
        <f>'Posisi Keuangan'!$D$2</f>
        <v>89509813.313333333</v>
      </c>
      <c r="D4" s="1">
        <f>C4*5/100</f>
        <v>4475490.6656666668</v>
      </c>
      <c r="E4" s="1"/>
      <c r="I4" s="1"/>
    </row>
    <row r="5" spans="1:9">
      <c r="A5" s="34">
        <f t="shared" si="0"/>
        <v>4</v>
      </c>
      <c r="B5" t="s">
        <v>300</v>
      </c>
      <c r="C5" s="1">
        <f>'Posisi Keuangan'!$D$2</f>
        <v>89509813.313333333</v>
      </c>
      <c r="D5" s="1">
        <f>C5*15/100</f>
        <v>13426471.997000001</v>
      </c>
      <c r="E5" s="1"/>
      <c r="F5" s="2"/>
      <c r="G5" s="2"/>
      <c r="I5" s="1"/>
    </row>
    <row r="6" spans="1:9">
      <c r="D6" s="32">
        <f>SUM(D2:D5)</f>
        <v>89509813.313333333</v>
      </c>
      <c r="E6" s="1"/>
      <c r="F6" s="2"/>
      <c r="I6" s="1"/>
    </row>
    <row r="7" spans="1:9">
      <c r="F7" s="1"/>
      <c r="G7" s="2"/>
    </row>
    <row r="8" spans="1:9">
      <c r="B8" t="s">
        <v>287</v>
      </c>
      <c r="C8" s="1">
        <f>D3</f>
        <v>53705887.988000005</v>
      </c>
      <c r="D8" s="1">
        <f>C8*70/100</f>
        <v>37594121.591600001</v>
      </c>
      <c r="G8" s="2"/>
    </row>
    <row r="9" spans="1:9">
      <c r="B9" t="s">
        <v>288</v>
      </c>
      <c r="C9" s="1">
        <f>D3</f>
        <v>53705887.988000005</v>
      </c>
      <c r="D9" s="1">
        <f>C9*30/100</f>
        <v>16111766.396400001</v>
      </c>
    </row>
    <row r="10" spans="1:9">
      <c r="D10" s="32">
        <f>SUM(D8:D9)</f>
        <v>53705887.988000005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9"/>
  <sheetViews>
    <sheetView workbookViewId="0">
      <selection activeCell="B1" sqref="B1"/>
    </sheetView>
  </sheetViews>
  <sheetFormatPr baseColWidth="10" defaultColWidth="8.83203125" defaultRowHeight="14" x14ac:dyDescent="0"/>
  <cols>
    <col min="2" max="2" width="14.33203125" style="1" bestFit="1" customWidth="1"/>
  </cols>
  <sheetData>
    <row r="3" spans="2:2">
      <c r="B3" s="1">
        <v>2908250</v>
      </c>
    </row>
    <row r="4" spans="2:2">
      <c r="B4" s="1">
        <v>2076250</v>
      </c>
    </row>
    <row r="5" spans="2:2">
      <c r="B5" s="1">
        <v>554250</v>
      </c>
    </row>
    <row r="6" spans="2:2">
      <c r="B6" s="1">
        <v>3755700</v>
      </c>
    </row>
    <row r="7" spans="2:2">
      <c r="B7" s="1">
        <v>2304450</v>
      </c>
    </row>
    <row r="8" spans="2:2">
      <c r="B8" s="1">
        <v>2676340</v>
      </c>
    </row>
    <row r="9" spans="2:2">
      <c r="B9" s="1">
        <f>SUM(B2:B8)</f>
        <v>14275240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Neraca 2016</vt:lpstr>
      <vt:lpstr>Pendapatan</vt:lpstr>
      <vt:lpstr>Saldo Anggota</vt:lpstr>
      <vt:lpstr>Posisi Keuangan</vt:lpstr>
      <vt:lpstr>Hitung SHU</vt:lpstr>
      <vt:lpstr>Sheet1</vt:lpstr>
    </vt:vector>
  </TitlesOfParts>
  <Company>Redtop Hotel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samuel erwardi</cp:lastModifiedBy>
  <cp:lastPrinted>2016-02-04T03:14:35Z</cp:lastPrinted>
  <dcterms:created xsi:type="dcterms:W3CDTF">2015-10-02T10:24:09Z</dcterms:created>
  <dcterms:modified xsi:type="dcterms:W3CDTF">2017-03-13T11:13:36Z</dcterms:modified>
</cp:coreProperties>
</file>