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135" windowHeight="7365" activeTab="4"/>
  </bookViews>
  <sheets>
    <sheet name="Neraca 2015" sheetId="4" r:id="rId1"/>
    <sheet name="Pendapatan" sheetId="2" r:id="rId2"/>
    <sheet name="Saldo Anggota" sheetId="3" r:id="rId3"/>
    <sheet name="Posisi Keuangan" sheetId="5" r:id="rId4"/>
    <sheet name="Hitung SHU" sheetId="6" r:id="rId5"/>
    <sheet name="Piutang Pinjaman" sheetId="7" r:id="rId6"/>
    <sheet name="Piutang Belanja" sheetId="8" r:id="rId7"/>
  </sheets>
  <externalReferences>
    <externalReference r:id="rId8"/>
    <externalReference r:id="rId9"/>
    <externalReference r:id="rId10"/>
  </externalReferences>
  <definedNames>
    <definedName name="_xlnm.Print_Area" localSheetId="0">'Neraca 2015'!$A$5:$D$199</definedName>
    <definedName name="_xlnm.Print_Area" localSheetId="1">Pendapatan!$A$1:$E$229</definedName>
    <definedName name="_xlnm.Print_Area" localSheetId="2">'Saldo Anggota'!$A$1:$AP$159</definedName>
    <definedName name="_xlnm.Print_Titles" localSheetId="1">Pendapatan!$3:$3</definedName>
  </definedNames>
  <calcPr calcId="124519"/>
</workbook>
</file>

<file path=xl/calcChain.xml><?xml version="1.0" encoding="utf-8"?>
<calcChain xmlns="http://schemas.openxmlformats.org/spreadsheetml/2006/main">
  <c r="H17" i="6"/>
  <c r="H13"/>
  <c r="G13"/>
  <c r="J2"/>
  <c r="J3"/>
  <c r="G5"/>
  <c r="G8" s="1"/>
  <c r="C7" i="5"/>
  <c r="G9" i="6" l="1"/>
  <c r="G10"/>
  <c r="H18" s="1"/>
  <c r="E220" i="2"/>
  <c r="AQ214" i="3"/>
  <c r="AQ213"/>
  <c r="AQ212"/>
  <c r="AQ211"/>
  <c r="AQ210"/>
  <c r="AQ209"/>
  <c r="AQ208"/>
  <c r="AQ207"/>
  <c r="AQ206"/>
  <c r="AQ205"/>
  <c r="AQ204"/>
  <c r="AQ203"/>
  <c r="AQ202"/>
  <c r="AQ201"/>
  <c r="AQ200"/>
  <c r="AQ199"/>
  <c r="AQ198"/>
  <c r="AQ197"/>
  <c r="AQ196"/>
  <c r="AQ195"/>
  <c r="AQ194"/>
  <c r="AQ193"/>
  <c r="AQ192"/>
  <c r="AQ191"/>
  <c r="AQ190"/>
  <c r="AQ189"/>
  <c r="AQ188"/>
  <c r="AQ187"/>
  <c r="AQ186"/>
  <c r="AQ185"/>
  <c r="AQ184"/>
  <c r="AQ183"/>
  <c r="AQ182"/>
  <c r="AQ181"/>
  <c r="AQ180"/>
  <c r="AQ179"/>
  <c r="AQ178"/>
  <c r="AQ177"/>
  <c r="AQ176"/>
  <c r="AQ175"/>
  <c r="AQ174"/>
  <c r="AQ173"/>
  <c r="AQ172"/>
  <c r="AQ171"/>
  <c r="AQ170"/>
  <c r="AQ169"/>
  <c r="AQ168"/>
  <c r="AQ167"/>
  <c r="AQ166"/>
  <c r="AQ165"/>
  <c r="AQ164"/>
  <c r="AQ163"/>
  <c r="AQ162"/>
  <c r="AQ161"/>
  <c r="AQ160"/>
  <c r="AQ159"/>
  <c r="AQ158"/>
  <c r="AQ157"/>
  <c r="AQ156"/>
  <c r="AQ155"/>
  <c r="AQ154"/>
  <c r="AQ153"/>
  <c r="AQ152"/>
  <c r="AQ151"/>
  <c r="AQ150"/>
  <c r="AQ149"/>
  <c r="AQ148"/>
  <c r="AQ147"/>
  <c r="AQ146"/>
  <c r="AQ145"/>
  <c r="AQ144"/>
  <c r="AQ143"/>
  <c r="AQ142"/>
  <c r="AQ141"/>
  <c r="AQ140"/>
  <c r="AQ139"/>
  <c r="AQ138"/>
  <c r="AQ137"/>
  <c r="AQ136"/>
  <c r="AQ135"/>
  <c r="AQ134"/>
  <c r="AQ133"/>
  <c r="AQ132"/>
  <c r="AQ131"/>
  <c r="AQ130"/>
  <c r="AQ129"/>
  <c r="AQ128"/>
  <c r="AQ127"/>
  <c r="AQ126"/>
  <c r="AQ125"/>
  <c r="AQ124"/>
  <c r="AQ123"/>
  <c r="AQ122"/>
  <c r="AQ121"/>
  <c r="AQ120"/>
  <c r="AQ119"/>
  <c r="AQ118"/>
  <c r="AQ117"/>
  <c r="AQ116"/>
  <c r="AQ115"/>
  <c r="AQ114"/>
  <c r="AQ113"/>
  <c r="AQ112"/>
  <c r="AQ111"/>
  <c r="AQ110"/>
  <c r="AQ109"/>
  <c r="AQ108"/>
  <c r="AQ107"/>
  <c r="AQ106"/>
  <c r="AQ105"/>
  <c r="AQ104"/>
  <c r="AQ103"/>
  <c r="AQ102"/>
  <c r="AQ101"/>
  <c r="AQ100"/>
  <c r="AQ99"/>
  <c r="AQ98"/>
  <c r="AQ97"/>
  <c r="AQ96"/>
  <c r="AQ95"/>
  <c r="AQ94"/>
  <c r="AQ93"/>
  <c r="AQ92"/>
  <c r="AQ91"/>
  <c r="AQ90"/>
  <c r="AQ89"/>
  <c r="AQ88"/>
  <c r="AQ87"/>
  <c r="AQ86"/>
  <c r="AQ85"/>
  <c r="AQ84"/>
  <c r="AQ83"/>
  <c r="AQ82"/>
  <c r="AQ81"/>
  <c r="AQ80"/>
  <c r="AQ79"/>
  <c r="AQ78"/>
  <c r="AQ77"/>
  <c r="AQ76"/>
  <c r="AQ75"/>
  <c r="AQ74"/>
  <c r="AQ73"/>
  <c r="AQ72"/>
  <c r="AQ71"/>
  <c r="AQ70"/>
  <c r="AQ69"/>
  <c r="AQ68"/>
  <c r="AQ67"/>
  <c r="AQ66"/>
  <c r="AQ65"/>
  <c r="AQ64"/>
  <c r="AQ63"/>
  <c r="AQ62"/>
  <c r="AQ61"/>
  <c r="AQ60"/>
  <c r="AQ59"/>
  <c r="AQ58"/>
  <c r="AQ57"/>
  <c r="AQ56"/>
  <c r="AQ55"/>
  <c r="AQ54"/>
  <c r="AQ53"/>
  <c r="AQ52"/>
  <c r="AQ51"/>
  <c r="AQ50"/>
  <c r="AQ49"/>
  <c r="AQ48"/>
  <c r="AQ47"/>
  <c r="AQ46"/>
  <c r="AQ45"/>
  <c r="AQ44"/>
  <c r="AQ43"/>
  <c r="AQ42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F219" i="2"/>
  <c r="AQ215" i="3"/>
  <c r="C9" i="5"/>
  <c r="D10" s="1"/>
  <c r="D9"/>
  <c r="H14" i="6" l="1"/>
  <c r="C5" i="5"/>
  <c r="D1"/>
  <c r="D202" i="2"/>
  <c r="C195"/>
  <c r="C194"/>
  <c r="C164"/>
  <c r="C163"/>
  <c r="C162"/>
  <c r="C137"/>
  <c r="C136"/>
  <c r="C122"/>
  <c r="C121"/>
  <c r="D143"/>
  <c r="D382" i="4" l="1"/>
  <c r="D307"/>
  <c r="D248"/>
  <c r="D206"/>
  <c r="C256" l="1"/>
  <c r="D5" i="6"/>
  <c r="D4"/>
  <c r="D3"/>
  <c r="C9" s="1"/>
  <c r="D9" s="1"/>
  <c r="D14" s="1"/>
  <c r="D2"/>
  <c r="D8" i="4"/>
  <c r="O129" i="7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130" s="1"/>
  <c r="N130"/>
  <c r="M130"/>
  <c r="L130"/>
  <c r="K130"/>
  <c r="J130"/>
  <c r="I130"/>
  <c r="H130"/>
  <c r="G130"/>
  <c r="F130"/>
  <c r="E130"/>
  <c r="D130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G88"/>
  <c r="F88"/>
  <c r="E88"/>
  <c r="D88"/>
  <c r="E83"/>
  <c r="D83"/>
  <c r="A5"/>
  <c r="D6" i="6" l="1"/>
  <c r="C8"/>
  <c r="D8" s="1"/>
  <c r="D13" s="1"/>
  <c r="A7" i="3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H5"/>
  <c r="N5"/>
  <c r="Q5"/>
  <c r="T5"/>
  <c r="V5"/>
  <c r="W5" s="1"/>
  <c r="Z5"/>
  <c r="AB5"/>
  <c r="AC5" s="1"/>
  <c r="AE5"/>
  <c r="AF5" s="1"/>
  <c r="AH5"/>
  <c r="AI5" s="1"/>
  <c r="AK5"/>
  <c r="AL5" s="1"/>
  <c r="AN5"/>
  <c r="AO5" s="1"/>
  <c r="H6"/>
  <c r="N6"/>
  <c r="Q6"/>
  <c r="T6"/>
  <c r="W6"/>
  <c r="Z6"/>
  <c r="AC6"/>
  <c r="AF6"/>
  <c r="AH6"/>
  <c r="AI6" s="1"/>
  <c r="AL6"/>
  <c r="AO6"/>
  <c r="H7"/>
  <c r="N7"/>
  <c r="Q7"/>
  <c r="T7"/>
  <c r="W7"/>
  <c r="Z7"/>
  <c r="AC7"/>
  <c r="AF7"/>
  <c r="AI7"/>
  <c r="AL7"/>
  <c r="AN7"/>
  <c r="AO7" s="1"/>
  <c r="H8"/>
  <c r="N8"/>
  <c r="Q8"/>
  <c r="T8"/>
  <c r="W8"/>
  <c r="Z8"/>
  <c r="AC8"/>
  <c r="AF8"/>
  <c r="AI8"/>
  <c r="AL8"/>
  <c r="AO8"/>
  <c r="H9"/>
  <c r="M9"/>
  <c r="N9" s="1"/>
  <c r="Q9"/>
  <c r="T9"/>
  <c r="W9"/>
  <c r="Z9"/>
  <c r="AC9"/>
  <c r="AF9"/>
  <c r="AI9"/>
  <c r="AL9"/>
  <c r="AO9"/>
  <c r="H10"/>
  <c r="N10"/>
  <c r="Q10"/>
  <c r="T10"/>
  <c r="W10"/>
  <c r="Y10"/>
  <c r="Z10" s="1"/>
  <c r="AC10"/>
  <c r="AE10"/>
  <c r="AF10" s="1"/>
  <c r="AI10"/>
  <c r="AK10"/>
  <c r="AL10" s="1"/>
  <c r="AN10"/>
  <c r="AO10" s="1"/>
  <c r="H11"/>
  <c r="N11"/>
  <c r="Q11"/>
  <c r="T11"/>
  <c r="W11"/>
  <c r="Z11"/>
  <c r="AC11"/>
  <c r="AF11"/>
  <c r="AI11"/>
  <c r="AL11"/>
  <c r="AO11"/>
  <c r="G12"/>
  <c r="H12" s="1"/>
  <c r="N12"/>
  <c r="P12"/>
  <c r="Q12" s="1"/>
  <c r="S12"/>
  <c r="T12" s="1"/>
  <c r="V12"/>
  <c r="W12" s="1"/>
  <c r="Z12"/>
  <c r="AC12"/>
  <c r="AF12"/>
  <c r="AH12"/>
  <c r="AI12" s="1"/>
  <c r="AK12"/>
  <c r="AL12" s="1"/>
  <c r="AN12"/>
  <c r="AO12" s="1"/>
  <c r="H13"/>
  <c r="N13"/>
  <c r="Q13"/>
  <c r="T13"/>
  <c r="W13"/>
  <c r="Z13"/>
  <c r="AC13"/>
  <c r="AF13"/>
  <c r="AI13"/>
  <c r="AL13"/>
  <c r="AO13"/>
  <c r="H14"/>
  <c r="M14"/>
  <c r="N14" s="1"/>
  <c r="P14"/>
  <c r="Q14" s="1"/>
  <c r="S14"/>
  <c r="T14" s="1"/>
  <c r="V14"/>
  <c r="W14"/>
  <c r="Y14"/>
  <c r="Z14"/>
  <c r="AC14"/>
  <c r="AF14"/>
  <c r="AH14"/>
  <c r="AI14"/>
  <c r="AK14"/>
  <c r="AL14"/>
  <c r="AN14"/>
  <c r="AO14"/>
  <c r="G15"/>
  <c r="H15"/>
  <c r="M15"/>
  <c r="N15"/>
  <c r="P15"/>
  <c r="Q15"/>
  <c r="S15"/>
  <c r="T15"/>
  <c r="V15"/>
  <c r="W15"/>
  <c r="Y15"/>
  <c r="Z15"/>
  <c r="AB15"/>
  <c r="AC15"/>
  <c r="AE15"/>
  <c r="AF15"/>
  <c r="AH15"/>
  <c r="AI15"/>
  <c r="AK15"/>
  <c r="AL15"/>
  <c r="AN15"/>
  <c r="AO15"/>
  <c r="H16"/>
  <c r="N16"/>
  <c r="Q16"/>
  <c r="T16"/>
  <c r="W16"/>
  <c r="Z16"/>
  <c r="AC16"/>
  <c r="AF16"/>
  <c r="AI16"/>
  <c r="AK16"/>
  <c r="AL16" s="1"/>
  <c r="AN16"/>
  <c r="AO16" s="1"/>
  <c r="H17"/>
  <c r="N17"/>
  <c r="Q17"/>
  <c r="T17"/>
  <c r="W17"/>
  <c r="Z17"/>
  <c r="AC17"/>
  <c r="AF17"/>
  <c r="AI17"/>
  <c r="AL17"/>
  <c r="AN17"/>
  <c r="AO17" s="1"/>
  <c r="H18"/>
  <c r="M18"/>
  <c r="N18" s="1"/>
  <c r="P18"/>
  <c r="Q18" s="1"/>
  <c r="S18"/>
  <c r="T18" s="1"/>
  <c r="V18"/>
  <c r="W18" s="1"/>
  <c r="Z18"/>
  <c r="AC18"/>
  <c r="AF18"/>
  <c r="AH18"/>
  <c r="AI18" s="1"/>
  <c r="AK18"/>
  <c r="AL18" s="1"/>
  <c r="AN18"/>
  <c r="AO18" s="1"/>
  <c r="H19"/>
  <c r="N19"/>
  <c r="Q19"/>
  <c r="T19"/>
  <c r="W19"/>
  <c r="Z19"/>
  <c r="AC19"/>
  <c r="AF19"/>
  <c r="AH19"/>
  <c r="AI19" s="1"/>
  <c r="AL19"/>
  <c r="AN19"/>
  <c r="AO19" s="1"/>
  <c r="H20"/>
  <c r="N20"/>
  <c r="Q20"/>
  <c r="T20"/>
  <c r="W20"/>
  <c r="Z20"/>
  <c r="AC20"/>
  <c r="AF20"/>
  <c r="AI20"/>
  <c r="AL20"/>
  <c r="AO20"/>
  <c r="H21"/>
  <c r="N21"/>
  <c r="Q21"/>
  <c r="T21"/>
  <c r="W21"/>
  <c r="Z21"/>
  <c r="AC21"/>
  <c r="AF21"/>
  <c r="AI21"/>
  <c r="AL21"/>
  <c r="AN21"/>
  <c r="AO21" s="1"/>
  <c r="H22"/>
  <c r="N22"/>
  <c r="Q22"/>
  <c r="S22"/>
  <c r="T22" s="1"/>
  <c r="W22"/>
  <c r="Z22"/>
  <c r="AC22"/>
  <c r="AF22"/>
  <c r="AH22"/>
  <c r="AI22" s="1"/>
  <c r="AK22"/>
  <c r="AL22" s="1"/>
  <c r="AN22"/>
  <c r="AO22" s="1"/>
  <c r="G23"/>
  <c r="H23" s="1"/>
  <c r="M23"/>
  <c r="N23" s="1"/>
  <c r="P23"/>
  <c r="Q23" s="1"/>
  <c r="S23"/>
  <c r="T23" s="1"/>
  <c r="V23"/>
  <c r="W23" s="1"/>
  <c r="Y23"/>
  <c r="Z23" s="1"/>
  <c r="AC23"/>
  <c r="AF23"/>
  <c r="AH23"/>
  <c r="AI23" s="1"/>
  <c r="AL23"/>
  <c r="AN23"/>
  <c r="AO23" s="1"/>
  <c r="H24"/>
  <c r="N24"/>
  <c r="Q24"/>
  <c r="T24"/>
  <c r="W24"/>
  <c r="Z24"/>
  <c r="AC24"/>
  <c r="AE24"/>
  <c r="AF24" s="1"/>
  <c r="AH24"/>
  <c r="AI24" s="1"/>
  <c r="AK24"/>
  <c r="AL24" s="1"/>
  <c r="AN24"/>
  <c r="AO24" s="1"/>
  <c r="H25"/>
  <c r="N25"/>
  <c r="Q25"/>
  <c r="S25"/>
  <c r="T25" s="1"/>
  <c r="W25"/>
  <c r="Y25"/>
  <c r="Z25" s="1"/>
  <c r="AC25"/>
  <c r="AF25"/>
  <c r="AI25"/>
  <c r="AK25"/>
  <c r="AL25" s="1"/>
  <c r="AN25"/>
  <c r="AO25" s="1"/>
  <c r="H26"/>
  <c r="N26"/>
  <c r="Q26"/>
  <c r="T26"/>
  <c r="W26"/>
  <c r="Y26"/>
  <c r="Z26" s="1"/>
  <c r="AC26"/>
  <c r="AF26"/>
  <c r="AH26"/>
  <c r="AI26" s="1"/>
  <c r="AK26"/>
  <c r="AL26" s="1"/>
  <c r="AO26"/>
  <c r="H27"/>
  <c r="N27"/>
  <c r="Q27"/>
  <c r="T27"/>
  <c r="W27"/>
  <c r="Z27"/>
  <c r="AC27"/>
  <c r="AF27"/>
  <c r="AI27"/>
  <c r="AL27"/>
  <c r="AO27"/>
  <c r="G28"/>
  <c r="H28" s="1"/>
  <c r="M28"/>
  <c r="N28" s="1"/>
  <c r="Q28"/>
  <c r="S28"/>
  <c r="T28" s="1"/>
  <c r="V28"/>
  <c r="W28" s="1"/>
  <c r="Y28"/>
  <c r="Z28" s="1"/>
  <c r="AC28"/>
  <c r="AF28"/>
  <c r="AH28"/>
  <c r="AI28" s="1"/>
  <c r="AL28"/>
  <c r="AN28"/>
  <c r="AO28" s="1"/>
  <c r="H194"/>
  <c r="N194"/>
  <c r="Q194"/>
  <c r="T194"/>
  <c r="W194"/>
  <c r="Z194"/>
  <c r="AC194"/>
  <c r="AE194"/>
  <c r="AF194" s="1"/>
  <c r="AH194"/>
  <c r="AI194" s="1"/>
  <c r="AL194"/>
  <c r="AN194"/>
  <c r="AO194" s="1"/>
  <c r="G59"/>
  <c r="H59" s="1"/>
  <c r="M59"/>
  <c r="N59" s="1"/>
  <c r="P59"/>
  <c r="Q59" s="1"/>
  <c r="S59"/>
  <c r="T59" s="1"/>
  <c r="V59"/>
  <c r="W59" s="1"/>
  <c r="Z59"/>
  <c r="AC59"/>
  <c r="AE59"/>
  <c r="AF59" s="1"/>
  <c r="AH59"/>
  <c r="AI59" s="1"/>
  <c r="AK59"/>
  <c r="AL59" s="1"/>
  <c r="AN59"/>
  <c r="AO59" s="1"/>
  <c r="H36"/>
  <c r="M36"/>
  <c r="N36" s="1"/>
  <c r="Q36"/>
  <c r="T36"/>
  <c r="W36"/>
  <c r="Z36"/>
  <c r="AC36"/>
  <c r="AF36"/>
  <c r="AH36"/>
  <c r="AI36" s="1"/>
  <c r="AL36"/>
  <c r="AO36"/>
  <c r="H29"/>
  <c r="N29"/>
  <c r="Q29"/>
  <c r="T29"/>
  <c r="W29"/>
  <c r="Y29"/>
  <c r="Z29" s="1"/>
  <c r="AC29"/>
  <c r="AE29"/>
  <c r="AF29" s="1"/>
  <c r="AI29"/>
  <c r="AK29"/>
  <c r="AL29" s="1"/>
  <c r="AO29"/>
  <c r="H30"/>
  <c r="N30"/>
  <c r="Q30"/>
  <c r="S30"/>
  <c r="T30" s="1"/>
  <c r="V30"/>
  <c r="W30" s="1"/>
  <c r="Z30"/>
  <c r="AB30"/>
  <c r="AC30" s="1"/>
  <c r="AF30"/>
  <c r="AH30"/>
  <c r="AI30" s="1"/>
  <c r="AK30"/>
  <c r="AL30" s="1"/>
  <c r="AN30"/>
  <c r="AO30" s="1"/>
  <c r="G31"/>
  <c r="H31" s="1"/>
  <c r="M31"/>
  <c r="N31" s="1"/>
  <c r="P31"/>
  <c r="Q31" s="1"/>
  <c r="S31"/>
  <c r="T31" s="1"/>
  <c r="V31"/>
  <c r="W31" s="1"/>
  <c r="Y31"/>
  <c r="Z31" s="1"/>
  <c r="AB31"/>
  <c r="AC31" s="1"/>
  <c r="AE31"/>
  <c r="AF31" s="1"/>
  <c r="AH31"/>
  <c r="AI31" s="1"/>
  <c r="AK31"/>
  <c r="AL31" s="1"/>
  <c r="AN31"/>
  <c r="AO31" s="1"/>
  <c r="H32"/>
  <c r="N32"/>
  <c r="Q32"/>
  <c r="T32"/>
  <c r="W32"/>
  <c r="Y32"/>
  <c r="Z32" s="1"/>
  <c r="AB32"/>
  <c r="AC32" s="1"/>
  <c r="AF32"/>
  <c r="AH32"/>
  <c r="AI32" s="1"/>
  <c r="AK32"/>
  <c r="AL32" s="1"/>
  <c r="AN32"/>
  <c r="AO32" s="1"/>
  <c r="G33"/>
  <c r="H33" s="1"/>
  <c r="M33"/>
  <c r="N33" s="1"/>
  <c r="P33"/>
  <c r="Q33" s="1"/>
  <c r="S33"/>
  <c r="T33" s="1"/>
  <c r="Y33"/>
  <c r="V33" s="1"/>
  <c r="AB33"/>
  <c r="AC33" s="1"/>
  <c r="AE33"/>
  <c r="AF33" s="1"/>
  <c r="AH33"/>
  <c r="AI33" s="1"/>
  <c r="AK33"/>
  <c r="AL33" s="1"/>
  <c r="AN33"/>
  <c r="AO33" s="1"/>
  <c r="H34"/>
  <c r="N34"/>
  <c r="Q34"/>
  <c r="T34"/>
  <c r="W34"/>
  <c r="Z34"/>
  <c r="AC34"/>
  <c r="AF34"/>
  <c r="AH34"/>
  <c r="AI34" s="1"/>
  <c r="AL34"/>
  <c r="AO34"/>
  <c r="G35"/>
  <c r="H35" s="1"/>
  <c r="M35"/>
  <c r="N35" s="1"/>
  <c r="P35"/>
  <c r="Q35" s="1"/>
  <c r="S35"/>
  <c r="T35" s="1"/>
  <c r="V35"/>
  <c r="W35" s="1"/>
  <c r="Y35"/>
  <c r="Z35" s="1"/>
  <c r="AB35"/>
  <c r="AC35" s="1"/>
  <c r="AE35"/>
  <c r="AF35"/>
  <c r="AH35"/>
  <c r="AI35"/>
  <c r="AL35"/>
  <c r="AN35"/>
  <c r="AO35" s="1"/>
  <c r="G37"/>
  <c r="H37" s="1"/>
  <c r="M37"/>
  <c r="N37" s="1"/>
  <c r="Q37"/>
  <c r="T37"/>
  <c r="V37"/>
  <c r="W37" s="1"/>
  <c r="Y37"/>
  <c r="Z37" s="1"/>
  <c r="AC37"/>
  <c r="AF37"/>
  <c r="AH37"/>
  <c r="AI37" s="1"/>
  <c r="AK37"/>
  <c r="AL37" s="1"/>
  <c r="AN37"/>
  <c r="AO37" s="1"/>
  <c r="H38"/>
  <c r="N38"/>
  <c r="P38"/>
  <c r="Q38" s="1"/>
  <c r="S38"/>
  <c r="T38" s="1"/>
  <c r="W38"/>
  <c r="Z38"/>
  <c r="AC38"/>
  <c r="AF38"/>
  <c r="AH38"/>
  <c r="AI38" s="1"/>
  <c r="AK38"/>
  <c r="AL38" s="1"/>
  <c r="AN38"/>
  <c r="AO38" s="1"/>
  <c r="H39"/>
  <c r="N39"/>
  <c r="Q39"/>
  <c r="T39"/>
  <c r="W39"/>
  <c r="Z39"/>
  <c r="AC39"/>
  <c r="AF39"/>
  <c r="AI39"/>
  <c r="AL39"/>
  <c r="AO39"/>
  <c r="H40"/>
  <c r="N40"/>
  <c r="Q40"/>
  <c r="T40"/>
  <c r="W40"/>
  <c r="Z40"/>
  <c r="AC40"/>
  <c r="AF40"/>
  <c r="AH40"/>
  <c r="AI40" s="1"/>
  <c r="AL40"/>
  <c r="AN40"/>
  <c r="AO40" s="1"/>
  <c r="H41"/>
  <c r="M41"/>
  <c r="N41" s="1"/>
  <c r="Q41"/>
  <c r="T41"/>
  <c r="W41"/>
  <c r="Y41"/>
  <c r="Z41" s="1"/>
  <c r="AC41"/>
  <c r="AF41"/>
  <c r="AH41"/>
  <c r="AI41" s="1"/>
  <c r="AL41"/>
  <c r="AN41"/>
  <c r="AO41" s="1"/>
  <c r="H42"/>
  <c r="M42"/>
  <c r="N42" s="1"/>
  <c r="P42"/>
  <c r="Q42" s="1"/>
  <c r="S42"/>
  <c r="T42" s="1"/>
  <c r="W42"/>
  <c r="Y42"/>
  <c r="Z42" s="1"/>
  <c r="AB42"/>
  <c r="AC42" s="1"/>
  <c r="AF42"/>
  <c r="AH42"/>
  <c r="AI42" s="1"/>
  <c r="AL42"/>
  <c r="AN42"/>
  <c r="AO42" s="1"/>
  <c r="H43"/>
  <c r="N43"/>
  <c r="Q43"/>
  <c r="T43"/>
  <c r="W43"/>
  <c r="Z43"/>
  <c r="AC43"/>
  <c r="AF43"/>
  <c r="AH43"/>
  <c r="AI43" s="1"/>
  <c r="AL43"/>
  <c r="AO43"/>
  <c r="H44"/>
  <c r="N44"/>
  <c r="Q44"/>
  <c r="T44"/>
  <c r="W44"/>
  <c r="Z44"/>
  <c r="AC44"/>
  <c r="AF44"/>
  <c r="AH44"/>
  <c r="AI44" s="1"/>
  <c r="AL44"/>
  <c r="AN44"/>
  <c r="AO44" s="1"/>
  <c r="H45"/>
  <c r="N45"/>
  <c r="Q45"/>
  <c r="T45"/>
  <c r="W45"/>
  <c r="Z45"/>
  <c r="AC45"/>
  <c r="AF45"/>
  <c r="AH45"/>
  <c r="AI45" s="1"/>
  <c r="AL45"/>
  <c r="AN45"/>
  <c r="AO45" s="1"/>
  <c r="G46"/>
  <c r="H46" s="1"/>
  <c r="N46"/>
  <c r="Q46"/>
  <c r="T46"/>
  <c r="W46"/>
  <c r="Z46"/>
  <c r="AC46"/>
  <c r="AF46"/>
  <c r="AI46"/>
  <c r="AL46"/>
  <c r="AN46"/>
  <c r="AO46" s="1"/>
  <c r="AI47"/>
  <c r="AL47"/>
  <c r="AN47"/>
  <c r="AO47" s="1"/>
  <c r="H48"/>
  <c r="N48"/>
  <c r="Q48"/>
  <c r="T48"/>
  <c r="W48"/>
  <c r="Z48"/>
  <c r="AC48"/>
  <c r="AF48"/>
  <c r="AH48"/>
  <c r="AI48" s="1"/>
  <c r="AL48"/>
  <c r="AO48"/>
  <c r="G49"/>
  <c r="H49" s="1"/>
  <c r="M49"/>
  <c r="N49" s="1"/>
  <c r="P49"/>
  <c r="Q49"/>
  <c r="S49"/>
  <c r="T49"/>
  <c r="V49"/>
  <c r="W49"/>
  <c r="Y49"/>
  <c r="Z49"/>
  <c r="AB49"/>
  <c r="AC49"/>
  <c r="AE49"/>
  <c r="AF49"/>
  <c r="AH49"/>
  <c r="AI49"/>
  <c r="AK49"/>
  <c r="AL49"/>
  <c r="AN49"/>
  <c r="AO49"/>
  <c r="H50"/>
  <c r="N50"/>
  <c r="Q50"/>
  <c r="T50"/>
  <c r="W50"/>
  <c r="Z50"/>
  <c r="AC50"/>
  <c r="AF50"/>
  <c r="AH50"/>
  <c r="AI50" s="1"/>
  <c r="AL50"/>
  <c r="AN50"/>
  <c r="AO50" s="1"/>
  <c r="G51"/>
  <c r="H51" s="1"/>
  <c r="M51"/>
  <c r="N51" s="1"/>
  <c r="P51"/>
  <c r="Q51" s="1"/>
  <c r="S51"/>
  <c r="T51" s="1"/>
  <c r="V51"/>
  <c r="W51" s="1"/>
  <c r="Z51"/>
  <c r="AC51"/>
  <c r="AF51"/>
  <c r="AH51"/>
  <c r="AI51" s="1"/>
  <c r="AL51"/>
  <c r="AN51"/>
  <c r="AO51" s="1"/>
  <c r="H52"/>
  <c r="N52"/>
  <c r="Q52"/>
  <c r="T52"/>
  <c r="W52"/>
  <c r="Z52"/>
  <c r="AC52"/>
  <c r="AF52"/>
  <c r="AI52"/>
  <c r="AL52"/>
  <c r="AO52"/>
  <c r="H53"/>
  <c r="N53"/>
  <c r="Q53"/>
  <c r="T53"/>
  <c r="W53"/>
  <c r="Z53"/>
  <c r="AC53"/>
  <c r="AF53"/>
  <c r="AH53"/>
  <c r="AI53" s="1"/>
  <c r="AL53"/>
  <c r="AO53"/>
  <c r="H54"/>
  <c r="N54"/>
  <c r="Q54"/>
  <c r="T54"/>
  <c r="W54"/>
  <c r="Z54"/>
  <c r="AC54"/>
  <c r="AF54"/>
  <c r="AH54"/>
  <c r="AI54" s="1"/>
  <c r="AL54"/>
  <c r="AO54"/>
  <c r="H55"/>
  <c r="N55"/>
  <c r="P55"/>
  <c r="Q55" s="1"/>
  <c r="S55"/>
  <c r="T55" s="1"/>
  <c r="W55"/>
  <c r="Z55"/>
  <c r="AC55"/>
  <c r="AF55"/>
  <c r="AH55"/>
  <c r="AI55" s="1"/>
  <c r="AL55"/>
  <c r="AN55"/>
  <c r="AO55" s="1"/>
  <c r="H56"/>
  <c r="N56"/>
  <c r="Q56"/>
  <c r="T56"/>
  <c r="W56"/>
  <c r="Z56"/>
  <c r="AC56"/>
  <c r="AF56"/>
  <c r="AI56"/>
  <c r="AL56"/>
  <c r="AO56"/>
  <c r="H57"/>
  <c r="N57"/>
  <c r="P57"/>
  <c r="Q57" s="1"/>
  <c r="S57"/>
  <c r="T57" s="1"/>
  <c r="W57"/>
  <c r="Z57"/>
  <c r="AC57"/>
  <c r="AF57"/>
  <c r="AH57"/>
  <c r="AI57" s="1"/>
  <c r="AL57"/>
  <c r="AO57"/>
  <c r="H58"/>
  <c r="N58"/>
  <c r="Q58"/>
  <c r="T58"/>
  <c r="W58"/>
  <c r="Z58"/>
  <c r="AC58"/>
  <c r="AF58"/>
  <c r="AH58"/>
  <c r="AI58" s="1"/>
  <c r="AL58"/>
  <c r="AN58"/>
  <c r="AO58" s="1"/>
  <c r="H60"/>
  <c r="N60"/>
  <c r="Q60"/>
  <c r="T60"/>
  <c r="W60"/>
  <c r="Z60"/>
  <c r="AC60"/>
  <c r="AF60"/>
  <c r="AH60"/>
  <c r="AI60" s="1"/>
  <c r="AK60"/>
  <c r="AL60" s="1"/>
  <c r="AN60"/>
  <c r="AO60" s="1"/>
  <c r="H61"/>
  <c r="N61"/>
  <c r="Q61"/>
  <c r="S61"/>
  <c r="T61" s="1"/>
  <c r="W61"/>
  <c r="Z61"/>
  <c r="AC61"/>
  <c r="AF61"/>
  <c r="AI61"/>
  <c r="AL61"/>
  <c r="AO61"/>
  <c r="H62"/>
  <c r="N62"/>
  <c r="Q62"/>
  <c r="T62"/>
  <c r="W62"/>
  <c r="Z62"/>
  <c r="AC62"/>
  <c r="AE62"/>
  <c r="AF62" s="1"/>
  <c r="AH62"/>
  <c r="AI62" s="1"/>
  <c r="AL62"/>
  <c r="AO62"/>
  <c r="H63"/>
  <c r="N63"/>
  <c r="Q63"/>
  <c r="T63"/>
  <c r="W63"/>
  <c r="Z63"/>
  <c r="AC63"/>
  <c r="AE63"/>
  <c r="AF63" s="1"/>
  <c r="AI63"/>
  <c r="AL63"/>
  <c r="AO63"/>
  <c r="Z64"/>
  <c r="AC64"/>
  <c r="AF64"/>
  <c r="AI64"/>
  <c r="AL64"/>
  <c r="AO64"/>
  <c r="AF65"/>
  <c r="AI65"/>
  <c r="AL65"/>
  <c r="AO65"/>
  <c r="H66"/>
  <c r="N66"/>
  <c r="Q66"/>
  <c r="T66"/>
  <c r="W66"/>
  <c r="Z66"/>
  <c r="AC66"/>
  <c r="AF66"/>
  <c r="AI66"/>
  <c r="AL66"/>
  <c r="AO66"/>
  <c r="H67"/>
  <c r="N67"/>
  <c r="Q67"/>
  <c r="T67"/>
  <c r="W67"/>
  <c r="Z67"/>
  <c r="AB67"/>
  <c r="AC67" s="1"/>
  <c r="AF67"/>
  <c r="AH67"/>
  <c r="AI67" s="1"/>
  <c r="AK67"/>
  <c r="AL67" s="1"/>
  <c r="AN67"/>
  <c r="AO67" s="1"/>
  <c r="H68"/>
  <c r="N68"/>
  <c r="Q68"/>
  <c r="T68"/>
  <c r="W68"/>
  <c r="Z68"/>
  <c r="AC68"/>
  <c r="AF68"/>
  <c r="AI68"/>
  <c r="AL68"/>
  <c r="AO68"/>
  <c r="H69"/>
  <c r="N69"/>
  <c r="Q69"/>
  <c r="T69"/>
  <c r="W69"/>
  <c r="Z69"/>
  <c r="AC69"/>
  <c r="AF69"/>
  <c r="AI69"/>
  <c r="AL69"/>
  <c r="AO69"/>
  <c r="H70"/>
  <c r="N70"/>
  <c r="Q70"/>
  <c r="T70"/>
  <c r="W70"/>
  <c r="Z70"/>
  <c r="AC70"/>
  <c r="AF70"/>
  <c r="AH70"/>
  <c r="AI70" s="1"/>
  <c r="AL70"/>
  <c r="AO70"/>
  <c r="H193"/>
  <c r="N193"/>
  <c r="Q193"/>
  <c r="T193"/>
  <c r="W193"/>
  <c r="Z193"/>
  <c r="AC193"/>
  <c r="AF193"/>
  <c r="AH193"/>
  <c r="AI193" s="1"/>
  <c r="AL193"/>
  <c r="AN193"/>
  <c r="AO193" s="1"/>
  <c r="G71"/>
  <c r="H71" s="1"/>
  <c r="M71"/>
  <c r="N71" s="1"/>
  <c r="P71"/>
  <c r="Q71" s="1"/>
  <c r="S71"/>
  <c r="T71" s="1"/>
  <c r="V71"/>
  <c r="W71" s="1"/>
  <c r="Z71"/>
  <c r="AB71"/>
  <c r="AC71" s="1"/>
  <c r="AE71"/>
  <c r="AF71" s="1"/>
  <c r="AH71"/>
  <c r="AI71" s="1"/>
  <c r="AK71"/>
  <c r="AL71" s="1"/>
  <c r="AN71"/>
  <c r="AO71" s="1"/>
  <c r="H72"/>
  <c r="N72"/>
  <c r="Q72"/>
  <c r="T72"/>
  <c r="W72"/>
  <c r="Z72"/>
  <c r="AC72"/>
  <c r="AF72"/>
  <c r="AI72"/>
  <c r="AL72"/>
  <c r="AO72"/>
  <c r="H74"/>
  <c r="N74"/>
  <c r="Q74"/>
  <c r="T74"/>
  <c r="W74"/>
  <c r="Z74"/>
  <c r="AC74"/>
  <c r="AF74"/>
  <c r="AH74"/>
  <c r="AI74" s="1"/>
  <c r="AL74"/>
  <c r="AN74"/>
  <c r="AO74" s="1"/>
  <c r="H75"/>
  <c r="N75"/>
  <c r="Q75"/>
  <c r="T75"/>
  <c r="W75"/>
  <c r="Z75"/>
  <c r="AC75"/>
  <c r="AF75"/>
  <c r="AI75"/>
  <c r="AL75"/>
  <c r="AN75"/>
  <c r="AO75" s="1"/>
  <c r="H76"/>
  <c r="N76"/>
  <c r="Q76"/>
  <c r="T76"/>
  <c r="W76"/>
  <c r="Z76"/>
  <c r="AC76"/>
  <c r="AF76"/>
  <c r="AI76"/>
  <c r="AL76"/>
  <c r="AN76"/>
  <c r="AO76" s="1"/>
  <c r="H77"/>
  <c r="N77"/>
  <c r="Q77"/>
  <c r="T77"/>
  <c r="W77"/>
  <c r="Z77"/>
  <c r="AC77"/>
  <c r="AF77"/>
  <c r="AI77"/>
  <c r="AL77"/>
  <c r="AO77"/>
  <c r="G78"/>
  <c r="H78" s="1"/>
  <c r="N78"/>
  <c r="Q78"/>
  <c r="T78"/>
  <c r="W78"/>
  <c r="Z78"/>
  <c r="AB78"/>
  <c r="AC78" s="1"/>
  <c r="AF78"/>
  <c r="AI78"/>
  <c r="AL78"/>
  <c r="AO78"/>
  <c r="H79"/>
  <c r="N79"/>
  <c r="Q79"/>
  <c r="T79"/>
  <c r="W79"/>
  <c r="Z79"/>
  <c r="AC79"/>
  <c r="AF79"/>
  <c r="AH79"/>
  <c r="AI79" s="1"/>
  <c r="AL79"/>
  <c r="AO79"/>
  <c r="H80"/>
  <c r="N80"/>
  <c r="P80"/>
  <c r="Q80" s="1"/>
  <c r="S80"/>
  <c r="T80" s="1"/>
  <c r="V80"/>
  <c r="W80" s="1"/>
  <c r="Y80"/>
  <c r="Z80" s="1"/>
  <c r="AB80"/>
  <c r="AC80" s="1"/>
  <c r="AF80"/>
  <c r="AH80"/>
  <c r="AI80" s="1"/>
  <c r="AK80"/>
  <c r="AL80" s="1"/>
  <c r="AN80"/>
  <c r="AO80" s="1"/>
  <c r="H81"/>
  <c r="N81"/>
  <c r="Q81"/>
  <c r="T81"/>
  <c r="W81"/>
  <c r="Z81"/>
  <c r="AC81"/>
  <c r="AF81"/>
  <c r="AI81"/>
  <c r="AL81"/>
  <c r="AO81"/>
  <c r="G82"/>
  <c r="H82" s="1"/>
  <c r="N82"/>
  <c r="P82"/>
  <c r="Q82" s="1"/>
  <c r="S82"/>
  <c r="T82" s="1"/>
  <c r="Y82"/>
  <c r="V82" s="1"/>
  <c r="W82" s="1"/>
  <c r="AC82"/>
  <c r="AF82"/>
  <c r="AH82"/>
  <c r="AI82" s="1"/>
  <c r="AK82"/>
  <c r="AL82" s="1"/>
  <c r="AN82"/>
  <c r="AO82" s="1"/>
  <c r="H83"/>
  <c r="N83"/>
  <c r="Q83"/>
  <c r="T83"/>
  <c r="W83"/>
  <c r="Z83"/>
  <c r="AC83"/>
  <c r="AF83"/>
  <c r="AI83"/>
  <c r="AL83"/>
  <c r="AN83"/>
  <c r="AO83" s="1"/>
  <c r="Z73"/>
  <c r="AC73"/>
  <c r="AF73"/>
  <c r="AI73"/>
  <c r="AL73"/>
  <c r="AO73"/>
  <c r="H84"/>
  <c r="N84"/>
  <c r="Q84"/>
  <c r="T84"/>
  <c r="W84"/>
  <c r="Z84"/>
  <c r="AC84"/>
  <c r="AF84"/>
  <c r="AH84"/>
  <c r="AI84" s="1"/>
  <c r="AL84"/>
  <c r="AN84"/>
  <c r="AO84" s="1"/>
  <c r="G85"/>
  <c r="H85" s="1"/>
  <c r="N85"/>
  <c r="P85"/>
  <c r="Q85" s="1"/>
  <c r="T85"/>
  <c r="V85"/>
  <c r="W85" s="1"/>
  <c r="Z85"/>
  <c r="AB85"/>
  <c r="AC85" s="1"/>
  <c r="AE85"/>
  <c r="AF85" s="1"/>
  <c r="AH85"/>
  <c r="AI85" s="1"/>
  <c r="AK85"/>
  <c r="AL85" s="1"/>
  <c r="AN85"/>
  <c r="AO85" s="1"/>
  <c r="G86"/>
  <c r="H86" s="1"/>
  <c r="N86"/>
  <c r="P86"/>
  <c r="Q86" s="1"/>
  <c r="S86"/>
  <c r="T86" s="1"/>
  <c r="V86"/>
  <c r="W86" s="1"/>
  <c r="Y86"/>
  <c r="Z86" s="1"/>
  <c r="AB86"/>
  <c r="AC86" s="1"/>
  <c r="AF86"/>
  <c r="AH86"/>
  <c r="AI86" s="1"/>
  <c r="AL86"/>
  <c r="AN86"/>
  <c r="AO86" s="1"/>
  <c r="H87"/>
  <c r="N87"/>
  <c r="Q87"/>
  <c r="T87"/>
  <c r="W87"/>
  <c r="Z87"/>
  <c r="AC87"/>
  <c r="AF87"/>
  <c r="AI87"/>
  <c r="AL87"/>
  <c r="AN87"/>
  <c r="AO87" s="1"/>
  <c r="H88"/>
  <c r="M88"/>
  <c r="N88" s="1"/>
  <c r="Q88"/>
  <c r="T88"/>
  <c r="W88"/>
  <c r="Y88"/>
  <c r="Z88" s="1"/>
  <c r="AC88"/>
  <c r="AF88"/>
  <c r="AH88"/>
  <c r="AI88" s="1"/>
  <c r="AK88"/>
  <c r="AL88" s="1"/>
  <c r="AN88"/>
  <c r="AO88" s="1"/>
  <c r="H89"/>
  <c r="N89"/>
  <c r="Q89"/>
  <c r="T89"/>
  <c r="W89"/>
  <c r="Z89"/>
  <c r="AC89"/>
  <c r="AF89"/>
  <c r="AI89"/>
  <c r="AL89"/>
  <c r="AO89"/>
  <c r="H90"/>
  <c r="N90"/>
  <c r="Q90"/>
  <c r="T90"/>
  <c r="W90"/>
  <c r="Z90"/>
  <c r="AC90"/>
  <c r="AF90"/>
  <c r="AI90"/>
  <c r="AL90"/>
  <c r="AO90"/>
  <c r="H91"/>
  <c r="N91"/>
  <c r="Q91"/>
  <c r="T91"/>
  <c r="W91"/>
  <c r="Z91"/>
  <c r="AC91"/>
  <c r="AF91"/>
  <c r="AI91"/>
  <c r="AK91"/>
  <c r="AL91" s="1"/>
  <c r="AO91"/>
  <c r="H92"/>
  <c r="N92"/>
  <c r="Q92"/>
  <c r="S92"/>
  <c r="T92" s="1"/>
  <c r="V92"/>
  <c r="W92" s="1"/>
  <c r="Y92"/>
  <c r="Z92" s="1"/>
  <c r="AB92"/>
  <c r="AC92" s="1"/>
  <c r="AF92"/>
  <c r="AH92"/>
  <c r="AI92" s="1"/>
  <c r="AK92"/>
  <c r="AL92" s="1"/>
  <c r="AN92"/>
  <c r="AO92" s="1"/>
  <c r="G93"/>
  <c r="H93" s="1"/>
  <c r="M93"/>
  <c r="N93" s="1"/>
  <c r="Q93"/>
  <c r="S93"/>
  <c r="T93" s="1"/>
  <c r="V93"/>
  <c r="W93" s="1"/>
  <c r="Y93"/>
  <c r="Z93" s="1"/>
  <c r="AB93"/>
  <c r="AC93" s="1"/>
  <c r="AE93"/>
  <c r="AF93" s="1"/>
  <c r="AH93"/>
  <c r="AI93" s="1"/>
  <c r="AK93"/>
  <c r="AL93" s="1"/>
  <c r="AN93"/>
  <c r="AO93" s="1"/>
  <c r="H94"/>
  <c r="N94"/>
  <c r="Q94"/>
  <c r="T94"/>
  <c r="W94"/>
  <c r="Z94"/>
  <c r="AC94"/>
  <c r="AF94"/>
  <c r="AI94"/>
  <c r="AK94"/>
  <c r="AL94" s="1"/>
  <c r="AO94"/>
  <c r="H95"/>
  <c r="N95"/>
  <c r="Q95"/>
  <c r="T95"/>
  <c r="W95"/>
  <c r="Z95"/>
  <c r="AC95"/>
  <c r="AF95"/>
  <c r="AH95"/>
  <c r="AI95" s="1"/>
  <c r="AK95"/>
  <c r="AL95" s="1"/>
  <c r="AN95"/>
  <c r="AO95" s="1"/>
  <c r="AI96"/>
  <c r="AL96"/>
  <c r="AN96"/>
  <c r="AO96" s="1"/>
  <c r="H97"/>
  <c r="N97"/>
  <c r="P97"/>
  <c r="Q97" s="1"/>
  <c r="S97"/>
  <c r="T97" s="1"/>
  <c r="W97"/>
  <c r="Z97"/>
  <c r="AC97"/>
  <c r="AF97"/>
  <c r="AH97"/>
  <c r="AI97" s="1"/>
  <c r="AK97"/>
  <c r="AL97" s="1"/>
  <c r="AN97"/>
  <c r="AO97" s="1"/>
  <c r="H98"/>
  <c r="N98"/>
  <c r="Q98"/>
  <c r="T98"/>
  <c r="W98"/>
  <c r="Z98"/>
  <c r="AC98"/>
  <c r="AF98"/>
  <c r="AH98"/>
  <c r="AI98" s="1"/>
  <c r="AK98"/>
  <c r="AL98" s="1"/>
  <c r="AN98"/>
  <c r="AO98" s="1"/>
  <c r="H99"/>
  <c r="N99"/>
  <c r="Q99"/>
  <c r="T99"/>
  <c r="W99"/>
  <c r="Z99"/>
  <c r="AC99"/>
  <c r="AF99"/>
  <c r="AH99"/>
  <c r="AI99" s="1"/>
  <c r="AL99"/>
  <c r="AN99"/>
  <c r="AO99" s="1"/>
  <c r="H100"/>
  <c r="N100"/>
  <c r="Q100"/>
  <c r="T100"/>
  <c r="W100"/>
  <c r="Z100"/>
  <c r="AC100"/>
  <c r="AF100"/>
  <c r="AI100"/>
  <c r="AL100"/>
  <c r="AO100"/>
  <c r="H101"/>
  <c r="N101"/>
  <c r="Q101"/>
  <c r="T101"/>
  <c r="W101"/>
  <c r="Z101"/>
  <c r="AC101"/>
  <c r="AF101"/>
  <c r="AI101"/>
  <c r="AL101"/>
  <c r="AO101"/>
  <c r="H102"/>
  <c r="N102"/>
  <c r="P102"/>
  <c r="Q102" s="1"/>
  <c r="T102"/>
  <c r="W102"/>
  <c r="Z102"/>
  <c r="AC102"/>
  <c r="AF102"/>
  <c r="AH102"/>
  <c r="AI102" s="1"/>
  <c r="AL102"/>
  <c r="AN102"/>
  <c r="AO102" s="1"/>
  <c r="H103"/>
  <c r="M103"/>
  <c r="N103" s="1"/>
  <c r="P103"/>
  <c r="Q103" s="1"/>
  <c r="S103"/>
  <c r="T103" s="1"/>
  <c r="V103"/>
  <c r="W103" s="1"/>
  <c r="Y103"/>
  <c r="Z103" s="1"/>
  <c r="AB103"/>
  <c r="AC103" s="1"/>
  <c r="AF103"/>
  <c r="AH103"/>
  <c r="AI103" s="1"/>
  <c r="AK103"/>
  <c r="AL103" s="1"/>
  <c r="AN103"/>
  <c r="AO103" s="1"/>
  <c r="H104"/>
  <c r="M104"/>
  <c r="N104" s="1"/>
  <c r="P104"/>
  <c r="Q104" s="1"/>
  <c r="T104"/>
  <c r="V104"/>
  <c r="W104" s="1"/>
  <c r="Y104"/>
  <c r="Z104" s="1"/>
  <c r="AB104"/>
  <c r="AC104" s="1"/>
  <c r="AE104"/>
  <c r="AF104" s="1"/>
  <c r="AH104"/>
  <c r="AI104" s="1"/>
  <c r="AK104"/>
  <c r="AL104" s="1"/>
  <c r="AN104"/>
  <c r="AO104" s="1"/>
  <c r="G105"/>
  <c r="H105" s="1"/>
  <c r="M105"/>
  <c r="N105" s="1"/>
  <c r="P105"/>
  <c r="Q105" s="1"/>
  <c r="S105"/>
  <c r="T105" s="1"/>
  <c r="V105"/>
  <c r="W105" s="1"/>
  <c r="Z105"/>
  <c r="AC105"/>
  <c r="AF105"/>
  <c r="AH105"/>
  <c r="AI105" s="1"/>
  <c r="AK105"/>
  <c r="AL105" s="1"/>
  <c r="AN105"/>
  <c r="AO105" s="1"/>
  <c r="H106"/>
  <c r="N106"/>
  <c r="Q106"/>
  <c r="T106"/>
  <c r="W106"/>
  <c r="Z106"/>
  <c r="AC106"/>
  <c r="AE106"/>
  <c r="AF106" s="1"/>
  <c r="AI106"/>
  <c r="AL106"/>
  <c r="AN106"/>
  <c r="AO106" s="1"/>
  <c r="AI107"/>
  <c r="AL107"/>
  <c r="AO107"/>
  <c r="G108"/>
  <c r="H108" s="1"/>
  <c r="N108"/>
  <c r="Q108"/>
  <c r="T108"/>
  <c r="W108"/>
  <c r="Y108"/>
  <c r="Z108" s="1"/>
  <c r="AC108"/>
  <c r="AF108"/>
  <c r="AI108"/>
  <c r="AL108"/>
  <c r="AN108"/>
  <c r="AO108" s="1"/>
  <c r="AL109"/>
  <c r="AN109"/>
  <c r="AO109" s="1"/>
  <c r="H110"/>
  <c r="N110"/>
  <c r="Q110"/>
  <c r="T110"/>
  <c r="W110"/>
  <c r="Z110"/>
  <c r="AC110"/>
  <c r="AF110"/>
  <c r="AH110"/>
  <c r="AI110" s="1"/>
  <c r="AL110"/>
  <c r="AN110"/>
  <c r="AO110" s="1"/>
  <c r="H111"/>
  <c r="N111"/>
  <c r="Q111"/>
  <c r="T111"/>
  <c r="W111"/>
  <c r="Z111"/>
  <c r="AC111"/>
  <c r="AF111"/>
  <c r="AH111"/>
  <c r="AI111" s="1"/>
  <c r="AL111"/>
  <c r="AN111"/>
  <c r="AO111" s="1"/>
  <c r="G112"/>
  <c r="H112" s="1"/>
  <c r="N112"/>
  <c r="P112"/>
  <c r="Q112" s="1"/>
  <c r="S112"/>
  <c r="T112" s="1"/>
  <c r="W112"/>
  <c r="Y112"/>
  <c r="Z112" s="1"/>
  <c r="AC112"/>
  <c r="AF112"/>
  <c r="AH112"/>
  <c r="AI112" s="1"/>
  <c r="AK112"/>
  <c r="AL112" s="1"/>
  <c r="AN112"/>
  <c r="AO112" s="1"/>
  <c r="H113"/>
  <c r="N113"/>
  <c r="Q113"/>
  <c r="T113"/>
  <c r="W113"/>
  <c r="Z113"/>
  <c r="AC113"/>
  <c r="AF113"/>
  <c r="AH113"/>
  <c r="AI113" s="1"/>
  <c r="AK113"/>
  <c r="AL113" s="1"/>
  <c r="AN113"/>
  <c r="AO113" s="1"/>
  <c r="H114"/>
  <c r="N114"/>
  <c r="Q114"/>
  <c r="T114"/>
  <c r="W114"/>
  <c r="Z114"/>
  <c r="AC114"/>
  <c r="AF114"/>
  <c r="AI114"/>
  <c r="AL114"/>
  <c r="AO114"/>
  <c r="H115"/>
  <c r="N115"/>
  <c r="Q115"/>
  <c r="S115"/>
  <c r="T115" s="1"/>
  <c r="W115"/>
  <c r="Z115"/>
  <c r="AB115"/>
  <c r="AC115" s="1"/>
  <c r="AE115"/>
  <c r="AF115" s="1"/>
  <c r="AH115"/>
  <c r="AI115" s="1"/>
  <c r="AK115"/>
  <c r="AL115" s="1"/>
  <c r="AN115"/>
  <c r="AO115" s="1"/>
  <c r="H116"/>
  <c r="N116"/>
  <c r="Q116"/>
  <c r="T116"/>
  <c r="W116"/>
  <c r="Z116"/>
  <c r="AC116"/>
  <c r="AF116"/>
  <c r="AH116"/>
  <c r="AI116" s="1"/>
  <c r="AK116"/>
  <c r="AL116" s="1"/>
  <c r="AO116"/>
  <c r="AI117"/>
  <c r="AK117"/>
  <c r="AL117" s="1"/>
  <c r="AO117"/>
  <c r="H118"/>
  <c r="N118"/>
  <c r="Q118"/>
  <c r="T118"/>
  <c r="W118"/>
  <c r="Z118"/>
  <c r="AC118"/>
  <c r="AF118"/>
  <c r="AI118"/>
  <c r="AL118"/>
  <c r="AO118"/>
  <c r="G119"/>
  <c r="H119" s="1"/>
  <c r="N119"/>
  <c r="Q119"/>
  <c r="T119"/>
  <c r="W119"/>
  <c r="Z119"/>
  <c r="AB119"/>
  <c r="AC119" s="1"/>
  <c r="AF119"/>
  <c r="AH119"/>
  <c r="AI119" s="1"/>
  <c r="AK119"/>
  <c r="AL119" s="1"/>
  <c r="AN119"/>
  <c r="AO119" s="1"/>
  <c r="G120"/>
  <c r="H120" s="1"/>
  <c r="N120"/>
  <c r="Q120"/>
  <c r="T120"/>
  <c r="W120"/>
  <c r="Y120"/>
  <c r="Z120" s="1"/>
  <c r="AC120"/>
  <c r="AF120"/>
  <c r="AI120"/>
  <c r="AL120"/>
  <c r="AN120"/>
  <c r="AO120" s="1"/>
  <c r="H121"/>
  <c r="N121"/>
  <c r="Q121"/>
  <c r="T121"/>
  <c r="W121"/>
  <c r="Z121"/>
  <c r="AC121"/>
  <c r="AF121"/>
  <c r="AH121"/>
  <c r="AI121" s="1"/>
  <c r="AL121"/>
  <c r="AO121"/>
  <c r="H122"/>
  <c r="N122"/>
  <c r="Q122"/>
  <c r="T122"/>
  <c r="W122"/>
  <c r="Z122"/>
  <c r="AC122"/>
  <c r="AF122"/>
  <c r="AH122"/>
  <c r="AI122" s="1"/>
  <c r="AL122"/>
  <c r="AO122"/>
  <c r="H123"/>
  <c r="M123"/>
  <c r="N123" s="1"/>
  <c r="Q123"/>
  <c r="T123"/>
  <c r="W123"/>
  <c r="Z123"/>
  <c r="AC123"/>
  <c r="AF123"/>
  <c r="AH123"/>
  <c r="AI123" s="1"/>
  <c r="AL123"/>
  <c r="AO123"/>
  <c r="H124"/>
  <c r="N124"/>
  <c r="Q124"/>
  <c r="T124"/>
  <c r="W124"/>
  <c r="Z124"/>
  <c r="AC124"/>
  <c r="AF124"/>
  <c r="AH124"/>
  <c r="AI124" s="1"/>
  <c r="AL124"/>
  <c r="AN124"/>
  <c r="AO124" s="1"/>
  <c r="G125"/>
  <c r="H125" s="1"/>
  <c r="M125"/>
  <c r="N125" s="1"/>
  <c r="Q125"/>
  <c r="S125"/>
  <c r="T125" s="1"/>
  <c r="V125"/>
  <c r="W125" s="1"/>
  <c r="Y125"/>
  <c r="Z125" s="1"/>
  <c r="AB125"/>
  <c r="AC125" s="1"/>
  <c r="AF125"/>
  <c r="AH125"/>
  <c r="AI125" s="1"/>
  <c r="AK125"/>
  <c r="AL125" s="1"/>
  <c r="AN125"/>
  <c r="AO125" s="1"/>
  <c r="H126"/>
  <c r="N126"/>
  <c r="Q126"/>
  <c r="T126"/>
  <c r="W126"/>
  <c r="Z126"/>
  <c r="AC126"/>
  <c r="AF126"/>
  <c r="AH126"/>
  <c r="AI126" s="1"/>
  <c r="AK126"/>
  <c r="AL126" s="1"/>
  <c r="AN126"/>
  <c r="AO126" s="1"/>
  <c r="H127"/>
  <c r="N127"/>
  <c r="Q127"/>
  <c r="T127"/>
  <c r="W127"/>
  <c r="Z127"/>
  <c r="AC127"/>
  <c r="AF127"/>
  <c r="AI127"/>
  <c r="AL127"/>
  <c r="AN127"/>
  <c r="AO127" s="1"/>
  <c r="H128"/>
  <c r="N128"/>
  <c r="Q128"/>
  <c r="T128"/>
  <c r="W128"/>
  <c r="Z128"/>
  <c r="AC128"/>
  <c r="AF128"/>
  <c r="AI128"/>
  <c r="AL128"/>
  <c r="AO128"/>
  <c r="H129"/>
  <c r="N129"/>
  <c r="Q129"/>
  <c r="T129"/>
  <c r="W129"/>
  <c r="Z129"/>
  <c r="AC129"/>
  <c r="AF129"/>
  <c r="AI129"/>
  <c r="AL129"/>
  <c r="AN129"/>
  <c r="AO129" s="1"/>
  <c r="H130"/>
  <c r="N130"/>
  <c r="Q130"/>
  <c r="T130"/>
  <c r="W130"/>
  <c r="Y130"/>
  <c r="Z130" s="1"/>
  <c r="AC130"/>
  <c r="AF130"/>
  <c r="AH130"/>
  <c r="AI130" s="1"/>
  <c r="AL130"/>
  <c r="AN130"/>
  <c r="AO130" s="1"/>
  <c r="AI131"/>
  <c r="AL131"/>
  <c r="AN131"/>
  <c r="AO131" s="1"/>
  <c r="H132"/>
  <c r="N132"/>
  <c r="Q132"/>
  <c r="T132"/>
  <c r="W132"/>
  <c r="Z132"/>
  <c r="AC132"/>
  <c r="AF132"/>
  <c r="AH132"/>
  <c r="AI132" s="1"/>
  <c r="AK132"/>
  <c r="AL132" s="1"/>
  <c r="AO132"/>
  <c r="H133"/>
  <c r="N133"/>
  <c r="Q133"/>
  <c r="T133"/>
  <c r="W133"/>
  <c r="Z133"/>
  <c r="AC133"/>
  <c r="AF133"/>
  <c r="AI133"/>
  <c r="AL133"/>
  <c r="AO133"/>
  <c r="H134"/>
  <c r="N134"/>
  <c r="Q134"/>
  <c r="T134"/>
  <c r="W134"/>
  <c r="Z134"/>
  <c r="AC134"/>
  <c r="AF134"/>
  <c r="AH134"/>
  <c r="AI134" s="1"/>
  <c r="AL134"/>
  <c r="AO134"/>
  <c r="G135"/>
  <c r="H135" s="1"/>
  <c r="M135"/>
  <c r="N135" s="1"/>
  <c r="P135"/>
  <c r="Q135" s="1"/>
  <c r="S135"/>
  <c r="T135" s="1"/>
  <c r="V135"/>
  <c r="W135" s="1"/>
  <c r="Z135"/>
  <c r="AB135"/>
  <c r="AC135" s="1"/>
  <c r="AF135"/>
  <c r="AH135"/>
  <c r="AI135" s="1"/>
  <c r="AK135"/>
  <c r="AL135" s="1"/>
  <c r="AN135"/>
  <c r="AO135" s="1"/>
  <c r="G136"/>
  <c r="H136" s="1"/>
  <c r="M136"/>
  <c r="N136" s="1"/>
  <c r="P136"/>
  <c r="Q136" s="1"/>
  <c r="S136"/>
  <c r="T136" s="1"/>
  <c r="V136"/>
  <c r="W136" s="1"/>
  <c r="Y136"/>
  <c r="Z136" s="1"/>
  <c r="AC136"/>
  <c r="AE136"/>
  <c r="AF136" s="1"/>
  <c r="AH136"/>
  <c r="AI136" s="1"/>
  <c r="AK136"/>
  <c r="AL136" s="1"/>
  <c r="AN136"/>
  <c r="AO136" s="1"/>
  <c r="H137"/>
  <c r="N137"/>
  <c r="Q137"/>
  <c r="T137"/>
  <c r="W137"/>
  <c r="Z137"/>
  <c r="AC137"/>
  <c r="AF137"/>
  <c r="AH137"/>
  <c r="AI137" s="1"/>
  <c r="AL137"/>
  <c r="AN137"/>
  <c r="AO137" s="1"/>
  <c r="Z138"/>
  <c r="AC138"/>
  <c r="AF138"/>
  <c r="AH138"/>
  <c r="AI138" s="1"/>
  <c r="AL138"/>
  <c r="AN138"/>
  <c r="AO138" s="1"/>
  <c r="G139"/>
  <c r="H139" s="1"/>
  <c r="M139"/>
  <c r="N139" s="1"/>
  <c r="P139"/>
  <c r="Q139" s="1"/>
  <c r="S139"/>
  <c r="T139" s="1"/>
  <c r="V139"/>
  <c r="W139" s="1"/>
  <c r="Y139"/>
  <c r="Z139" s="1"/>
  <c r="AB139"/>
  <c r="AC139" s="1"/>
  <c r="AE139"/>
  <c r="AF139" s="1"/>
  <c r="AH139"/>
  <c r="AI139" s="1"/>
  <c r="AK139"/>
  <c r="AL139" s="1"/>
  <c r="AN139"/>
  <c r="AO139" s="1"/>
  <c r="Q140"/>
  <c r="T140"/>
  <c r="W140"/>
  <c r="Z140"/>
  <c r="AC140"/>
  <c r="AF140"/>
  <c r="AH140"/>
  <c r="AI140" s="1"/>
  <c r="AL140"/>
  <c r="AN140"/>
  <c r="AO140" s="1"/>
  <c r="G141"/>
  <c r="H141" s="1"/>
  <c r="M141"/>
  <c r="N141" s="1"/>
  <c r="P141"/>
  <c r="Q141" s="1"/>
  <c r="S141"/>
  <c r="T141" s="1"/>
  <c r="V141"/>
  <c r="W141" s="1"/>
  <c r="Y141"/>
  <c r="Z141" s="1"/>
  <c r="AB141"/>
  <c r="AC141" s="1"/>
  <c r="AE141"/>
  <c r="AF141" s="1"/>
  <c r="AH141"/>
  <c r="AI141" s="1"/>
  <c r="AK141"/>
  <c r="AL141" s="1"/>
  <c r="AN141"/>
  <c r="AO141" s="1"/>
  <c r="G142"/>
  <c r="H142" s="1"/>
  <c r="N142"/>
  <c r="P142"/>
  <c r="Q142" s="1"/>
  <c r="S142"/>
  <c r="T142" s="1"/>
  <c r="V142"/>
  <c r="W142" s="1"/>
  <c r="Y142"/>
  <c r="Z142" s="1"/>
  <c r="AB142"/>
  <c r="AC142" s="1"/>
  <c r="AE142"/>
  <c r="AF142" s="1"/>
  <c r="AH142"/>
  <c r="AI142" s="1"/>
  <c r="AL142"/>
  <c r="AN142"/>
  <c r="AO142" s="1"/>
  <c r="H143"/>
  <c r="N143"/>
  <c r="Q143"/>
  <c r="T143"/>
  <c r="W143"/>
  <c r="Z143"/>
  <c r="AC143"/>
  <c r="AF143"/>
  <c r="AH143"/>
  <c r="AI143" s="1"/>
  <c r="AL143"/>
  <c r="AO143"/>
  <c r="H144"/>
  <c r="N144"/>
  <c r="Q144"/>
  <c r="T144"/>
  <c r="W144"/>
  <c r="Z144"/>
  <c r="AC144"/>
  <c r="AF144"/>
  <c r="AI144"/>
  <c r="AL144"/>
  <c r="AO144"/>
  <c r="H146"/>
  <c r="N146"/>
  <c r="Q146"/>
  <c r="S146"/>
  <c r="T146" s="1"/>
  <c r="W146"/>
  <c r="Y146"/>
  <c r="Z146" s="1"/>
  <c r="AB146"/>
  <c r="AC146" s="1"/>
  <c r="AE146"/>
  <c r="AF146" s="1"/>
  <c r="AH146"/>
  <c r="AI146" s="1"/>
  <c r="AL146"/>
  <c r="AN146"/>
  <c r="AO146" s="1"/>
  <c r="H147"/>
  <c r="N147"/>
  <c r="Q147"/>
  <c r="T147"/>
  <c r="W147"/>
  <c r="Z147"/>
  <c r="AC147"/>
  <c r="AF147"/>
  <c r="AH147"/>
  <c r="AI147" s="1"/>
  <c r="AL147"/>
  <c r="AO147"/>
  <c r="H148"/>
  <c r="M148"/>
  <c r="N148" s="1"/>
  <c r="Q148"/>
  <c r="S148"/>
  <c r="T148" s="1"/>
  <c r="W148"/>
  <c r="Z148"/>
  <c r="AC148"/>
  <c r="AE148"/>
  <c r="AF148" s="1"/>
  <c r="AH148"/>
  <c r="AI148" s="1"/>
  <c r="AL148"/>
  <c r="AN148"/>
  <c r="AO148" s="1"/>
  <c r="G149"/>
  <c r="H149" s="1"/>
  <c r="M149"/>
  <c r="N149" s="1"/>
  <c r="Q149"/>
  <c r="S149"/>
  <c r="T149" s="1"/>
  <c r="V149"/>
  <c r="W149" s="1"/>
  <c r="Y149"/>
  <c r="Z149" s="1"/>
  <c r="AB149"/>
  <c r="AC149" s="1"/>
  <c r="AE149"/>
  <c r="AF149" s="1"/>
  <c r="AH149"/>
  <c r="AI149" s="1"/>
  <c r="AK149"/>
  <c r="AL149" s="1"/>
  <c r="AN149"/>
  <c r="AO149" s="1"/>
  <c r="H150"/>
  <c r="N150"/>
  <c r="Q150"/>
  <c r="T150"/>
  <c r="W150"/>
  <c r="Z150"/>
  <c r="AC150"/>
  <c r="AF150"/>
  <c r="AH150"/>
  <c r="AI150" s="1"/>
  <c r="AL150"/>
  <c r="AN150"/>
  <c r="AO150" s="1"/>
  <c r="H151"/>
  <c r="N151"/>
  <c r="Q151"/>
  <c r="T151"/>
  <c r="W151"/>
  <c r="Z151"/>
  <c r="AC151"/>
  <c r="AF151"/>
  <c r="AI151"/>
  <c r="AL151"/>
  <c r="AO151"/>
  <c r="H152"/>
  <c r="N152"/>
  <c r="Q152"/>
  <c r="T152"/>
  <c r="W152"/>
  <c r="Z152"/>
  <c r="AC152"/>
  <c r="AF152"/>
  <c r="AH152"/>
  <c r="AI152" s="1"/>
  <c r="AL152"/>
  <c r="AN152"/>
  <c r="AO152" s="1"/>
  <c r="H153"/>
  <c r="N153"/>
  <c r="Q153"/>
  <c r="T153"/>
  <c r="W153"/>
  <c r="Z153"/>
  <c r="AC153"/>
  <c r="AF153"/>
  <c r="AH153"/>
  <c r="AI153" s="1"/>
  <c r="AL153"/>
  <c r="AN153"/>
  <c r="AO153" s="1"/>
  <c r="H145"/>
  <c r="N145"/>
  <c r="Q145"/>
  <c r="T145"/>
  <c r="W145"/>
  <c r="Z145"/>
  <c r="AC145"/>
  <c r="AF145"/>
  <c r="AH145"/>
  <c r="AI145" s="1"/>
  <c r="AL145"/>
  <c r="AO145"/>
  <c r="G154"/>
  <c r="H154" s="1"/>
  <c r="N154"/>
  <c r="Q154"/>
  <c r="T154"/>
  <c r="W154"/>
  <c r="Y154"/>
  <c r="Z154" s="1"/>
  <c r="AC154"/>
  <c r="AF154"/>
  <c r="AH154"/>
  <c r="AI154" s="1"/>
  <c r="AL154"/>
  <c r="AN154"/>
  <c r="AO154" s="1"/>
  <c r="H155"/>
  <c r="N155"/>
  <c r="Q155"/>
  <c r="T155"/>
  <c r="W155"/>
  <c r="Z155"/>
  <c r="AC155"/>
  <c r="AF155"/>
  <c r="AH155"/>
  <c r="AI155" s="1"/>
  <c r="AL155"/>
  <c r="AN155"/>
  <c r="AO155" s="1"/>
  <c r="Q156"/>
  <c r="T156"/>
  <c r="W156"/>
  <c r="Z156"/>
  <c r="AC156"/>
  <c r="AF156"/>
  <c r="AH156"/>
  <c r="AI156" s="1"/>
  <c r="AK156"/>
  <c r="AL156" s="1"/>
  <c r="AN156"/>
  <c r="AO156" s="1"/>
  <c r="H157"/>
  <c r="M157"/>
  <c r="N157" s="1"/>
  <c r="P157"/>
  <c r="Q157" s="1"/>
  <c r="S157"/>
  <c r="T157" s="1"/>
  <c r="V157"/>
  <c r="W157" s="1"/>
  <c r="Z157"/>
  <c r="AC157"/>
  <c r="AE157"/>
  <c r="AF157" s="1"/>
  <c r="AH157"/>
  <c r="AI157" s="1"/>
  <c r="AK157"/>
  <c r="AL157" s="1"/>
  <c r="AN157"/>
  <c r="AO157" s="1"/>
  <c r="H158"/>
  <c r="N158"/>
  <c r="Q158"/>
  <c r="S158"/>
  <c r="T158" s="1"/>
  <c r="W158"/>
  <c r="Z158"/>
  <c r="AC158"/>
  <c r="AF158"/>
  <c r="AI158"/>
  <c r="AL158"/>
  <c r="AN158"/>
  <c r="AO158" s="1"/>
  <c r="H159"/>
  <c r="N159"/>
  <c r="P159"/>
  <c r="Q159" s="1"/>
  <c r="S159"/>
  <c r="T159" s="1"/>
  <c r="V159"/>
  <c r="W159" s="1"/>
  <c r="Y159"/>
  <c r="Z159" s="1"/>
  <c r="AB159"/>
  <c r="AC159" s="1"/>
  <c r="AE159"/>
  <c r="AF159" s="1"/>
  <c r="AH159"/>
  <c r="AI159" s="1"/>
  <c r="AL159"/>
  <c r="AN159"/>
  <c r="AO159" s="1"/>
  <c r="G160"/>
  <c r="H160" s="1"/>
  <c r="M160"/>
  <c r="N160" s="1"/>
  <c r="Q160"/>
  <c r="T160"/>
  <c r="W160"/>
  <c r="Y160"/>
  <c r="Z160" s="1"/>
  <c r="AB160"/>
  <c r="AC160" s="1"/>
  <c r="AE160"/>
  <c r="AF160" s="1"/>
  <c r="AH160"/>
  <c r="AI160" s="1"/>
  <c r="AL160"/>
  <c r="AN160"/>
  <c r="AO160" s="1"/>
  <c r="G161"/>
  <c r="H161" s="1"/>
  <c r="M161"/>
  <c r="N161" s="1"/>
  <c r="P161"/>
  <c r="Q161" s="1"/>
  <c r="S161"/>
  <c r="T161" s="1"/>
  <c r="W161"/>
  <c r="Y161"/>
  <c r="Z161" s="1"/>
  <c r="AC161"/>
  <c r="AF161"/>
  <c r="AH161"/>
  <c r="AI161" s="1"/>
  <c r="AK161"/>
  <c r="AL161" s="1"/>
  <c r="AN161"/>
  <c r="AO161" s="1"/>
  <c r="H162"/>
  <c r="N162"/>
  <c r="P162"/>
  <c r="Q162" s="1"/>
  <c r="T162"/>
  <c r="V162"/>
  <c r="W162" s="1"/>
  <c r="Z162"/>
  <c r="AC162"/>
  <c r="AF162"/>
  <c r="AH162"/>
  <c r="AI162" s="1"/>
  <c r="AK162"/>
  <c r="AL162" s="1"/>
  <c r="AO162"/>
  <c r="H163"/>
  <c r="N163"/>
  <c r="Q163"/>
  <c r="T163"/>
  <c r="V163"/>
  <c r="W163" s="1"/>
  <c r="Y163"/>
  <c r="Z163" s="1"/>
  <c r="AC163"/>
  <c r="AF163"/>
  <c r="AH163"/>
  <c r="AI163" s="1"/>
  <c r="AL163"/>
  <c r="AN163"/>
  <c r="AO163" s="1"/>
  <c r="N164"/>
  <c r="P164"/>
  <c r="Q164" s="1"/>
  <c r="T164"/>
  <c r="W164"/>
  <c r="Z164"/>
  <c r="AC164"/>
  <c r="AF164"/>
  <c r="AI164"/>
  <c r="AK164"/>
  <c r="AL164" s="1"/>
  <c r="AN164"/>
  <c r="AO164" s="1"/>
  <c r="H165"/>
  <c r="N165"/>
  <c r="Q165"/>
  <c r="T165"/>
  <c r="W165"/>
  <c r="Y165"/>
  <c r="Z165" s="1"/>
  <c r="AC165"/>
  <c r="AF165"/>
  <c r="AI165"/>
  <c r="AL165"/>
  <c r="AN165"/>
  <c r="AO165" s="1"/>
  <c r="H166"/>
  <c r="N166"/>
  <c r="Q166"/>
  <c r="T166"/>
  <c r="W166"/>
  <c r="Z166"/>
  <c r="AC166"/>
  <c r="AF166"/>
  <c r="AH166"/>
  <c r="AI166" s="1"/>
  <c r="AL166"/>
  <c r="AN166"/>
  <c r="AO166" s="1"/>
  <c r="H167"/>
  <c r="N167"/>
  <c r="Q167"/>
  <c r="T167"/>
  <c r="W167"/>
  <c r="Z167"/>
  <c r="AC167"/>
  <c r="AF167"/>
  <c r="AH167"/>
  <c r="AI167" s="1"/>
  <c r="AL167"/>
  <c r="AN167"/>
  <c r="AO167" s="1"/>
  <c r="G168"/>
  <c r="H168" s="1"/>
  <c r="M168"/>
  <c r="N168" s="1"/>
  <c r="P168"/>
  <c r="Q168" s="1"/>
  <c r="S168"/>
  <c r="T168" s="1"/>
  <c r="V168"/>
  <c r="W168" s="1"/>
  <c r="Y168"/>
  <c r="Z168" s="1"/>
  <c r="AB168"/>
  <c r="AC168" s="1"/>
  <c r="AE168"/>
  <c r="AF168" s="1"/>
  <c r="AH168"/>
  <c r="AI168" s="1"/>
  <c r="AK168"/>
  <c r="AL168" s="1"/>
  <c r="AN168"/>
  <c r="AO168" s="1"/>
  <c r="G169"/>
  <c r="H169" s="1"/>
  <c r="M169"/>
  <c r="N169" s="1"/>
  <c r="P169"/>
  <c r="Q169" s="1"/>
  <c r="S169"/>
  <c r="T169" s="1"/>
  <c r="V169"/>
  <c r="W169"/>
  <c r="Y169"/>
  <c r="Z169"/>
  <c r="AB169"/>
  <c r="AC169"/>
  <c r="AE169"/>
  <c r="AF169"/>
  <c r="AH169"/>
  <c r="AI169"/>
  <c r="AL169"/>
  <c r="AN169"/>
  <c r="AO169" s="1"/>
  <c r="H170"/>
  <c r="N170"/>
  <c r="Q170"/>
  <c r="T170"/>
  <c r="W170"/>
  <c r="Z170"/>
  <c r="AC170"/>
  <c r="AF170"/>
  <c r="AH170"/>
  <c r="AI170" s="1"/>
  <c r="AL170"/>
  <c r="AN170"/>
  <c r="AO170"/>
  <c r="G171"/>
  <c r="H171"/>
  <c r="M171"/>
  <c r="N171"/>
  <c r="P171"/>
  <c r="Q171"/>
  <c r="S171"/>
  <c r="T171"/>
  <c r="V171"/>
  <c r="W171"/>
  <c r="Y171"/>
  <c r="Z171"/>
  <c r="AB171"/>
  <c r="AC171"/>
  <c r="AE171"/>
  <c r="AF171"/>
  <c r="AH171"/>
  <c r="AI171"/>
  <c r="AK171"/>
  <c r="AL171"/>
  <c r="AN171"/>
  <c r="AO171"/>
  <c r="H172"/>
  <c r="N172"/>
  <c r="Q172"/>
  <c r="T172"/>
  <c r="W172"/>
  <c r="Z172"/>
  <c r="AC172"/>
  <c r="AF172"/>
  <c r="AH172"/>
  <c r="AI172"/>
  <c r="AL172"/>
  <c r="AN172"/>
  <c r="AO172" s="1"/>
  <c r="G173"/>
  <c r="H173" s="1"/>
  <c r="M173"/>
  <c r="N173" s="1"/>
  <c r="P173"/>
  <c r="Q173" s="1"/>
  <c r="S173"/>
  <c r="T173" s="1"/>
  <c r="V173"/>
  <c r="W173" s="1"/>
  <c r="Y173"/>
  <c r="Z173" s="1"/>
  <c r="AB173"/>
  <c r="AC173" s="1"/>
  <c r="AE173"/>
  <c r="AF173" s="1"/>
  <c r="AH173"/>
  <c r="AI173"/>
  <c r="AK173"/>
  <c r="AL173"/>
  <c r="AN173"/>
  <c r="AO173"/>
  <c r="G174"/>
  <c r="H174"/>
  <c r="M174"/>
  <c r="N174"/>
  <c r="P174"/>
  <c r="Q174"/>
  <c r="S174"/>
  <c r="T174"/>
  <c r="W174"/>
  <c r="Z174"/>
  <c r="AB174"/>
  <c r="AC174"/>
  <c r="AE174"/>
  <c r="AF174"/>
  <c r="AH174"/>
  <c r="AI174"/>
  <c r="AK174"/>
  <c r="AL174"/>
  <c r="AN174"/>
  <c r="AO174"/>
  <c r="H175"/>
  <c r="M175"/>
  <c r="N175" s="1"/>
  <c r="P175"/>
  <c r="Q175" s="1"/>
  <c r="S175"/>
  <c r="T175" s="1"/>
  <c r="V175"/>
  <c r="W175"/>
  <c r="Y175"/>
  <c r="Z175"/>
  <c r="AB175"/>
  <c r="AC175"/>
  <c r="AE175"/>
  <c r="AF175"/>
  <c r="AH175"/>
  <c r="AI175"/>
  <c r="AK175"/>
  <c r="AL175"/>
  <c r="AN175"/>
  <c r="AO175"/>
  <c r="H176"/>
  <c r="M176"/>
  <c r="N176" s="1"/>
  <c r="P176"/>
  <c r="Q176" s="1"/>
  <c r="S176"/>
  <c r="T176" s="1"/>
  <c r="V176"/>
  <c r="W176" s="1"/>
  <c r="Y176"/>
  <c r="Z176" s="1"/>
  <c r="AB176"/>
  <c r="AC176" s="1"/>
  <c r="AE176"/>
  <c r="AF176" s="1"/>
  <c r="AH176"/>
  <c r="AI176" s="1"/>
  <c r="AK176"/>
  <c r="AL176" s="1"/>
  <c r="AN176"/>
  <c r="AO176" s="1"/>
  <c r="H177"/>
  <c r="N177"/>
  <c r="P177"/>
  <c r="Q177" s="1"/>
  <c r="S177"/>
  <c r="T177" s="1"/>
  <c r="W177"/>
  <c r="Y177"/>
  <c r="Z177" s="1"/>
  <c r="AB177"/>
  <c r="AC177" s="1"/>
  <c r="AF177"/>
  <c r="AH177"/>
  <c r="AI177" s="1"/>
  <c r="AL177"/>
  <c r="AN177"/>
  <c r="AO177" s="1"/>
  <c r="H178"/>
  <c r="N178"/>
  <c r="Q178"/>
  <c r="T178"/>
  <c r="W178"/>
  <c r="Z178"/>
  <c r="AC178"/>
  <c r="AF178"/>
  <c r="AH178"/>
  <c r="AI178" s="1"/>
  <c r="AL178"/>
  <c r="AN178"/>
  <c r="AO178" s="1"/>
  <c r="H179"/>
  <c r="N179"/>
  <c r="Q179"/>
  <c r="T179"/>
  <c r="W179"/>
  <c r="Z179"/>
  <c r="AC179"/>
  <c r="AF179"/>
  <c r="AI179"/>
  <c r="AL179"/>
  <c r="AO179"/>
  <c r="N180"/>
  <c r="P180"/>
  <c r="Q180" s="1"/>
  <c r="S180"/>
  <c r="T180" s="1"/>
  <c r="V180"/>
  <c r="W180" s="1"/>
  <c r="Y180"/>
  <c r="Z180" s="1"/>
  <c r="AB180"/>
  <c r="AC180" s="1"/>
  <c r="AE180"/>
  <c r="AF180" s="1"/>
  <c r="AH180"/>
  <c r="AI180" s="1"/>
  <c r="AK180"/>
  <c r="AL180" s="1"/>
  <c r="AN180"/>
  <c r="AO180" s="1"/>
  <c r="H181"/>
  <c r="N181"/>
  <c r="Q181"/>
  <c r="T181"/>
  <c r="W181"/>
  <c r="Z181"/>
  <c r="AC181"/>
  <c r="AF181"/>
  <c r="AH181"/>
  <c r="AI181" s="1"/>
  <c r="AL181"/>
  <c r="AN181"/>
  <c r="AO181" s="1"/>
  <c r="G182"/>
  <c r="H182" s="1"/>
  <c r="M182"/>
  <c r="N182" s="1"/>
  <c r="P182"/>
  <c r="Q182" s="1"/>
  <c r="S182"/>
  <c r="T182"/>
  <c r="V182"/>
  <c r="W182"/>
  <c r="Y182"/>
  <c r="Z182"/>
  <c r="AB182"/>
  <c r="AC182"/>
  <c r="AE182"/>
  <c r="AF182"/>
  <c r="AH182"/>
  <c r="AI182"/>
  <c r="AK182"/>
  <c r="AL182"/>
  <c r="AN182"/>
  <c r="AO182"/>
  <c r="H183"/>
  <c r="N183"/>
  <c r="Q183"/>
  <c r="T183"/>
  <c r="W183"/>
  <c r="Z183"/>
  <c r="AC183"/>
  <c r="AF183"/>
  <c r="AH183"/>
  <c r="AI183"/>
  <c r="AL183"/>
  <c r="AN183"/>
  <c r="AO183" s="1"/>
  <c r="H184"/>
  <c r="M184"/>
  <c r="N184" s="1"/>
  <c r="P184"/>
  <c r="Q184" s="1"/>
  <c r="S184"/>
  <c r="T184" s="1"/>
  <c r="V184"/>
  <c r="W184" s="1"/>
  <c r="Z184"/>
  <c r="AC184"/>
  <c r="AE184"/>
  <c r="AF184" s="1"/>
  <c r="AH184"/>
  <c r="AI184" s="1"/>
  <c r="AK184"/>
  <c r="AL184" s="1"/>
  <c r="AN184"/>
  <c r="AO184" s="1"/>
  <c r="H185"/>
  <c r="N185"/>
  <c r="Q185"/>
  <c r="T185"/>
  <c r="W185"/>
  <c r="Y185"/>
  <c r="Z185" s="1"/>
  <c r="AC185"/>
  <c r="AF185"/>
  <c r="AH185"/>
  <c r="AI185" s="1"/>
  <c r="AL185"/>
  <c r="AN185"/>
  <c r="AO185" s="1"/>
  <c r="H186"/>
  <c r="N186"/>
  <c r="P186"/>
  <c r="Q186"/>
  <c r="S186"/>
  <c r="T186"/>
  <c r="V186"/>
  <c r="W186"/>
  <c r="Y186"/>
  <c r="Z186"/>
  <c r="AC186"/>
  <c r="AF186"/>
  <c r="AH186"/>
  <c r="AI186"/>
  <c r="AK186"/>
  <c r="AL186"/>
  <c r="AN186"/>
  <c r="AO186"/>
  <c r="H187"/>
  <c r="N187"/>
  <c r="Q187"/>
  <c r="T187"/>
  <c r="W187"/>
  <c r="Z187"/>
  <c r="AC187"/>
  <c r="AF187"/>
  <c r="AH187"/>
  <c r="AI187"/>
  <c r="AK187"/>
  <c r="AL187"/>
  <c r="AN187"/>
  <c r="AO187"/>
  <c r="H188"/>
  <c r="N188"/>
  <c r="Q188"/>
  <c r="T188"/>
  <c r="W188"/>
  <c r="Z188"/>
  <c r="AC188"/>
  <c r="AF188"/>
  <c r="AH188"/>
  <c r="AI188"/>
  <c r="AL188"/>
  <c r="AN188"/>
  <c r="AO188" s="1"/>
  <c r="G189"/>
  <c r="H189" s="1"/>
  <c r="N189"/>
  <c r="P189"/>
  <c r="Q189"/>
  <c r="S189"/>
  <c r="T189"/>
  <c r="V189"/>
  <c r="W189"/>
  <c r="Y189"/>
  <c r="Z189"/>
  <c r="AC189"/>
  <c r="AF189"/>
  <c r="AH189"/>
  <c r="AI189"/>
  <c r="AK189"/>
  <c r="AL189"/>
  <c r="AN189"/>
  <c r="AO189"/>
  <c r="H190"/>
  <c r="N190"/>
  <c r="Q190"/>
  <c r="T190"/>
  <c r="W190"/>
  <c r="Z190"/>
  <c r="AC190"/>
  <c r="AF190"/>
  <c r="AH190"/>
  <c r="AI190"/>
  <c r="AK190"/>
  <c r="AL190"/>
  <c r="AN190"/>
  <c r="AO190"/>
  <c r="H191"/>
  <c r="N191"/>
  <c r="Q191"/>
  <c r="T191"/>
  <c r="W191"/>
  <c r="Z191"/>
  <c r="AC191"/>
  <c r="AF191"/>
  <c r="AI191"/>
  <c r="AL191"/>
  <c r="AO191"/>
  <c r="H192"/>
  <c r="N192"/>
  <c r="Q192"/>
  <c r="S192"/>
  <c r="T192"/>
  <c r="W192"/>
  <c r="Z192"/>
  <c r="AC192"/>
  <c r="AF192"/>
  <c r="AH192"/>
  <c r="AI192"/>
  <c r="AL192"/>
  <c r="AN192"/>
  <c r="AO192" s="1"/>
  <c r="H195"/>
  <c r="M195"/>
  <c r="N195" s="1"/>
  <c r="Q195"/>
  <c r="S195"/>
  <c r="T195" s="1"/>
  <c r="V195"/>
  <c r="W195" s="1"/>
  <c r="Z195"/>
  <c r="AB195"/>
  <c r="AC195" s="1"/>
  <c r="AE195"/>
  <c r="AF195" s="1"/>
  <c r="AH195"/>
  <c r="AI195" s="1"/>
  <c r="AL195"/>
  <c r="AN195"/>
  <c r="AO195" s="1"/>
  <c r="H196"/>
  <c r="N196"/>
  <c r="Q196"/>
  <c r="T196"/>
  <c r="W196"/>
  <c r="Z196"/>
  <c r="AC196"/>
  <c r="AF196"/>
  <c r="AH196"/>
  <c r="AI196" s="1"/>
  <c r="AL196"/>
  <c r="AO196"/>
  <c r="H197"/>
  <c r="N197"/>
  <c r="Q197"/>
  <c r="T197"/>
  <c r="W197"/>
  <c r="Z197"/>
  <c r="AC197"/>
  <c r="AF197"/>
  <c r="AI197"/>
  <c r="AL197"/>
  <c r="AO197"/>
  <c r="H198"/>
  <c r="N198"/>
  <c r="P198"/>
  <c r="Q198" s="1"/>
  <c r="T198"/>
  <c r="W198"/>
  <c r="Y198"/>
  <c r="Z198" s="1"/>
  <c r="AB198"/>
  <c r="AC198" s="1"/>
  <c r="AF198"/>
  <c r="AH198"/>
  <c r="AI198" s="1"/>
  <c r="AL198"/>
  <c r="AN198"/>
  <c r="AO198" s="1"/>
  <c r="G199"/>
  <c r="H199" s="1"/>
  <c r="M199"/>
  <c r="N199" s="1"/>
  <c r="P199"/>
  <c r="Q199" s="1"/>
  <c r="S199"/>
  <c r="T199" s="1"/>
  <c r="V199"/>
  <c r="W199" s="1"/>
  <c r="Y199"/>
  <c r="Z199" s="1"/>
  <c r="AB199"/>
  <c r="AC199" s="1"/>
  <c r="AF199"/>
  <c r="AH199"/>
  <c r="AI199" s="1"/>
  <c r="AL199"/>
  <c r="AN199"/>
  <c r="AO199" s="1"/>
  <c r="H200"/>
  <c r="N200"/>
  <c r="Q200"/>
  <c r="T200"/>
  <c r="W200"/>
  <c r="Z200"/>
  <c r="AC200"/>
  <c r="AF200"/>
  <c r="AH200"/>
  <c r="AI200" s="1"/>
  <c r="AL200"/>
  <c r="AN200"/>
  <c r="AO200" s="1"/>
  <c r="G201"/>
  <c r="H201" s="1"/>
  <c r="M201"/>
  <c r="N201" s="1"/>
  <c r="P201"/>
  <c r="Q201" s="1"/>
  <c r="S201"/>
  <c r="T201" s="1"/>
  <c r="V201"/>
  <c r="W201" s="1"/>
  <c r="Y201"/>
  <c r="Z201" s="1"/>
  <c r="AC201"/>
  <c r="AF201"/>
  <c r="AH201"/>
  <c r="AI201" s="1"/>
  <c r="AK201"/>
  <c r="AL201" s="1"/>
  <c r="AN201"/>
  <c r="AO201" s="1"/>
  <c r="G202"/>
  <c r="H202" s="1"/>
  <c r="M202"/>
  <c r="N202" s="1"/>
  <c r="P202"/>
  <c r="Q202" s="1"/>
  <c r="S202"/>
  <c r="T202" s="1"/>
  <c r="Y202"/>
  <c r="V202" s="1"/>
  <c r="W202" s="1"/>
  <c r="AB202"/>
  <c r="AC202" s="1"/>
  <c r="AE202"/>
  <c r="AF202" s="1"/>
  <c r="AH202"/>
  <c r="AI202" s="1"/>
  <c r="AK202"/>
  <c r="AL202" s="1"/>
  <c r="AN202"/>
  <c r="AO202" s="1"/>
  <c r="H203"/>
  <c r="N203"/>
  <c r="Q203"/>
  <c r="T203"/>
  <c r="W203"/>
  <c r="Z203"/>
  <c r="AB203"/>
  <c r="AC203" s="1"/>
  <c r="AF203"/>
  <c r="AH203"/>
  <c r="AI203" s="1"/>
  <c r="AL203"/>
  <c r="AO203"/>
  <c r="H204"/>
  <c r="M204"/>
  <c r="N204" s="1"/>
  <c r="P204"/>
  <c r="Q204" s="1"/>
  <c r="T204"/>
  <c r="W204"/>
  <c r="Y204"/>
  <c r="Z204" s="1"/>
  <c r="AC204"/>
  <c r="AF204"/>
  <c r="AH204"/>
  <c r="AI204" s="1"/>
  <c r="AL204"/>
  <c r="AN204"/>
  <c r="AO204" s="1"/>
  <c r="H205"/>
  <c r="N205"/>
  <c r="P205"/>
  <c r="Q205" s="1"/>
  <c r="S205"/>
  <c r="T205" s="1"/>
  <c r="W205"/>
  <c r="Y205"/>
  <c r="Z205" s="1"/>
  <c r="AC205"/>
  <c r="AE205"/>
  <c r="AF205" s="1"/>
  <c r="AH205"/>
  <c r="AI205" s="1"/>
  <c r="AL205"/>
  <c r="AN205"/>
  <c r="AO205" s="1"/>
  <c r="H206"/>
  <c r="N206"/>
  <c r="Q206"/>
  <c r="T206"/>
  <c r="W206"/>
  <c r="Z206"/>
  <c r="AC206"/>
  <c r="AF206"/>
  <c r="AI206"/>
  <c r="AL206"/>
  <c r="AO206"/>
  <c r="H207"/>
  <c r="N207"/>
  <c r="Q207"/>
  <c r="T207"/>
  <c r="W207"/>
  <c r="Z207"/>
  <c r="AB207"/>
  <c r="AC207" s="1"/>
  <c r="AE207"/>
  <c r="AF207" s="1"/>
  <c r="AH207"/>
  <c r="AI207" s="1"/>
  <c r="AK207"/>
  <c r="AL207" s="1"/>
  <c r="AN207"/>
  <c r="AO207" s="1"/>
  <c r="H208"/>
  <c r="N208"/>
  <c r="P208"/>
  <c r="Q208" s="1"/>
  <c r="S208"/>
  <c r="T208" s="1"/>
  <c r="V208"/>
  <c r="W208" s="1"/>
  <c r="Y208"/>
  <c r="Z208" s="1"/>
  <c r="AC208"/>
  <c r="AE208"/>
  <c r="AF208" s="1"/>
  <c r="AH208"/>
  <c r="AI208" s="1"/>
  <c r="AK208"/>
  <c r="AL208" s="1"/>
  <c r="AN208"/>
  <c r="AO208" s="1"/>
  <c r="H209"/>
  <c r="M209"/>
  <c r="N209" s="1"/>
  <c r="P209"/>
  <c r="Q209" s="1"/>
  <c r="T209"/>
  <c r="V209"/>
  <c r="W209" s="1"/>
  <c r="Y209"/>
  <c r="Z209" s="1"/>
  <c r="AC209"/>
  <c r="AF209"/>
  <c r="AH209"/>
  <c r="AI209" s="1"/>
  <c r="AK209"/>
  <c r="AL209" s="1"/>
  <c r="AN209"/>
  <c r="AO209" s="1"/>
  <c r="H210"/>
  <c r="N210"/>
  <c r="Q210"/>
  <c r="T210"/>
  <c r="W210"/>
  <c r="Z210"/>
  <c r="AC210"/>
  <c r="AF210"/>
  <c r="AI210"/>
  <c r="AL210"/>
  <c r="AN210"/>
  <c r="AO210" s="1"/>
  <c r="H211"/>
  <c r="M211"/>
  <c r="N211" s="1"/>
  <c r="Q211"/>
  <c r="T211"/>
  <c r="W211"/>
  <c r="Z211"/>
  <c r="AC211"/>
  <c r="AF211"/>
  <c r="AH211"/>
  <c r="AI211" s="1"/>
  <c r="AL211"/>
  <c r="AN211"/>
  <c r="AO211" s="1"/>
  <c r="H212"/>
  <c r="N212"/>
  <c r="Q212"/>
  <c r="S212"/>
  <c r="T212" s="1"/>
  <c r="V212"/>
  <c r="W212" s="1"/>
  <c r="Y212"/>
  <c r="Z212" s="1"/>
  <c r="AB212"/>
  <c r="AC212" s="1"/>
  <c r="AF212"/>
  <c r="AH212"/>
  <c r="AI212" s="1"/>
  <c r="AL212"/>
  <c r="AN212"/>
  <c r="AO212" s="1"/>
  <c r="H213"/>
  <c r="N213"/>
  <c r="Q213"/>
  <c r="T213"/>
  <c r="W213"/>
  <c r="Z213"/>
  <c r="AC213"/>
  <c r="AF213"/>
  <c r="AI213"/>
  <c r="AK213"/>
  <c r="AL213" s="1"/>
  <c r="AN213"/>
  <c r="AO213" s="1"/>
  <c r="G214"/>
  <c r="H214" s="1"/>
  <c r="M214"/>
  <c r="N214" s="1"/>
  <c r="P214"/>
  <c r="Q214" s="1"/>
  <c r="S214"/>
  <c r="T214" s="1"/>
  <c r="W214"/>
  <c r="Y214"/>
  <c r="Z214" s="1"/>
  <c r="AC214"/>
  <c r="AF214"/>
  <c r="AH214"/>
  <c r="AI214" s="1"/>
  <c r="AL214"/>
  <c r="AN214"/>
  <c r="AO214" s="1"/>
  <c r="E215"/>
  <c r="F215"/>
  <c r="I215"/>
  <c r="J215"/>
  <c r="K215"/>
  <c r="L215"/>
  <c r="M215"/>
  <c r="O215"/>
  <c r="P215"/>
  <c r="R215"/>
  <c r="S215"/>
  <c r="U215"/>
  <c r="X215"/>
  <c r="AB215"/>
  <c r="AD215"/>
  <c r="AE215"/>
  <c r="AG215"/>
  <c r="AH215"/>
  <c r="AJ215"/>
  <c r="AK215"/>
  <c r="AM215"/>
  <c r="AN215"/>
  <c r="T218"/>
  <c r="T219" s="1"/>
  <c r="AP214"/>
  <c r="AP213"/>
  <c r="AP212"/>
  <c r="AP211"/>
  <c r="AP210"/>
  <c r="AP209"/>
  <c r="AP208"/>
  <c r="AP207"/>
  <c r="AP206"/>
  <c r="AP205"/>
  <c r="AP204"/>
  <c r="AP203"/>
  <c r="AP202"/>
  <c r="AP201"/>
  <c r="AP200"/>
  <c r="AP199"/>
  <c r="AP198"/>
  <c r="AP197"/>
  <c r="AP196"/>
  <c r="AP195"/>
  <c r="AP192"/>
  <c r="AP191"/>
  <c r="AP190"/>
  <c r="AP189"/>
  <c r="AP188"/>
  <c r="AP187"/>
  <c r="AP186"/>
  <c r="AP185"/>
  <c r="AP184"/>
  <c r="AP183"/>
  <c r="AP182"/>
  <c r="AP181"/>
  <c r="AP180"/>
  <c r="AP179"/>
  <c r="AP178"/>
  <c r="AP177"/>
  <c r="AP176"/>
  <c r="AP175"/>
  <c r="AP174"/>
  <c r="AP173"/>
  <c r="AP172"/>
  <c r="AP171"/>
  <c r="AP170"/>
  <c r="AP169"/>
  <c r="AP168"/>
  <c r="AP167"/>
  <c r="AP166"/>
  <c r="AP165"/>
  <c r="AP164"/>
  <c r="AP163"/>
  <c r="AP162"/>
  <c r="AP161"/>
  <c r="AP160"/>
  <c r="AP159"/>
  <c r="AP158"/>
  <c r="AP157"/>
  <c r="AP156"/>
  <c r="AP155"/>
  <c r="AP154"/>
  <c r="AP145"/>
  <c r="AP153"/>
  <c r="AP152"/>
  <c r="AP151"/>
  <c r="AP150"/>
  <c r="AP149"/>
  <c r="AP148"/>
  <c r="AP147"/>
  <c r="AP146"/>
  <c r="AP144"/>
  <c r="AP143"/>
  <c r="AP142"/>
  <c r="AP141"/>
  <c r="AP140"/>
  <c r="AP139"/>
  <c r="AP138"/>
  <c r="AP137"/>
  <c r="AP136"/>
  <c r="AP135"/>
  <c r="AP134"/>
  <c r="AP133"/>
  <c r="AP132"/>
  <c r="AP131"/>
  <c r="AP130"/>
  <c r="AP129"/>
  <c r="AP128"/>
  <c r="AP127"/>
  <c r="AP126"/>
  <c r="AP125"/>
  <c r="AP124"/>
  <c r="AP123"/>
  <c r="AP122"/>
  <c r="AP121"/>
  <c r="AP120"/>
  <c r="AP119"/>
  <c r="AP118"/>
  <c r="AP117"/>
  <c r="AP116"/>
  <c r="AP115"/>
  <c r="AP114"/>
  <c r="AP113"/>
  <c r="AP112"/>
  <c r="AP111"/>
  <c r="AP110"/>
  <c r="AP109"/>
  <c r="AP108"/>
  <c r="AP107"/>
  <c r="AP106"/>
  <c r="AP105"/>
  <c r="AP104"/>
  <c r="AP103"/>
  <c r="AP102"/>
  <c r="AP101"/>
  <c r="AP100"/>
  <c r="AP99"/>
  <c r="AP98"/>
  <c r="AP97"/>
  <c r="AP96"/>
  <c r="AP95"/>
  <c r="AP94"/>
  <c r="AP93"/>
  <c r="AP92"/>
  <c r="AP91"/>
  <c r="AP90"/>
  <c r="AP89"/>
  <c r="AP88"/>
  <c r="AP87"/>
  <c r="AP86"/>
  <c r="AP85"/>
  <c r="AP84"/>
  <c r="AP73"/>
  <c r="AP83"/>
  <c r="AP82"/>
  <c r="AP81"/>
  <c r="AP80"/>
  <c r="AP79"/>
  <c r="AP78"/>
  <c r="AP77"/>
  <c r="AP76"/>
  <c r="AP75"/>
  <c r="AP74"/>
  <c r="AP72"/>
  <c r="AP71"/>
  <c r="AP193"/>
  <c r="AP70"/>
  <c r="AP69"/>
  <c r="AP68"/>
  <c r="AP67"/>
  <c r="AP66"/>
  <c r="AP65"/>
  <c r="AP64"/>
  <c r="AP63"/>
  <c r="AP62"/>
  <c r="AP61"/>
  <c r="AP60"/>
  <c r="AP58"/>
  <c r="AP57"/>
  <c r="AP56"/>
  <c r="AP55"/>
  <c r="AP54"/>
  <c r="AP53"/>
  <c r="AP52"/>
  <c r="AP51"/>
  <c r="AP50"/>
  <c r="AP49"/>
  <c r="AP48"/>
  <c r="AP47"/>
  <c r="AP46"/>
  <c r="AP45"/>
  <c r="AP44"/>
  <c r="AP43"/>
  <c r="AP42"/>
  <c r="AP41"/>
  <c r="AP40"/>
  <c r="AP39"/>
  <c r="AP38"/>
  <c r="AP37"/>
  <c r="AP35"/>
  <c r="AP34"/>
  <c r="AP33"/>
  <c r="AP32"/>
  <c r="AP31"/>
  <c r="AP30"/>
  <c r="AP29"/>
  <c r="AP36"/>
  <c r="AP59"/>
  <c r="AP194"/>
  <c r="AP28"/>
  <c r="AP27"/>
  <c r="AP26"/>
  <c r="AP25"/>
  <c r="AP24"/>
  <c r="AP23"/>
  <c r="AP22"/>
  <c r="AP21"/>
  <c r="AP20"/>
  <c r="AP19"/>
  <c r="AP18"/>
  <c r="AP17"/>
  <c r="AP16"/>
  <c r="AP15"/>
  <c r="AP14"/>
  <c r="AP13"/>
  <c r="AP12"/>
  <c r="AP11"/>
  <c r="AP10"/>
  <c r="AP9"/>
  <c r="AP8"/>
  <c r="AP7"/>
  <c r="AP6"/>
  <c r="A6"/>
  <c r="AP5"/>
  <c r="Z202" l="1"/>
  <c r="Y215"/>
  <c r="G215"/>
  <c r="Z33"/>
  <c r="AA215"/>
  <c r="AL215"/>
  <c r="H215"/>
  <c r="T215"/>
  <c r="N215"/>
  <c r="V215"/>
  <c r="W33"/>
  <c r="W215" s="1"/>
  <c r="AO215"/>
  <c r="AC215"/>
  <c r="AI215"/>
  <c r="Q215"/>
  <c r="AF215"/>
  <c r="Z82"/>
  <c r="Z215" s="1"/>
  <c r="AP215" l="1"/>
  <c r="A3" i="6" l="1"/>
  <c r="A4" s="1"/>
  <c r="A5" s="1"/>
  <c r="D10" l="1"/>
  <c r="E4" i="4" l="1"/>
  <c r="C208"/>
  <c r="D176"/>
  <c r="C158"/>
  <c r="C157"/>
  <c r="D153"/>
  <c r="C139"/>
  <c r="D133"/>
  <c r="C126"/>
  <c r="D117"/>
  <c r="C110"/>
  <c r="C453" s="1"/>
  <c r="D92"/>
  <c r="D60"/>
  <c r="D34"/>
  <c r="D11"/>
  <c r="D453" s="1"/>
  <c r="E453" l="1"/>
  <c r="C114" i="2" l="1"/>
  <c r="C108"/>
  <c r="D103"/>
  <c r="C101"/>
  <c r="C96"/>
  <c r="D93"/>
  <c r="D219" s="1"/>
  <c r="C91"/>
  <c r="C77"/>
  <c r="C70"/>
  <c r="C62"/>
  <c r="C54"/>
  <c r="C49"/>
  <c r="C43"/>
  <c r="C37"/>
  <c r="C219" s="1"/>
  <c r="E219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D15" i="6" l="1"/>
  <c r="D2" i="5" l="1"/>
</calcChain>
</file>

<file path=xl/comments1.xml><?xml version="1.0" encoding="utf-8"?>
<comments xmlns="http://schemas.openxmlformats.org/spreadsheetml/2006/main">
  <authors>
    <author>benny</author>
  </authors>
  <commentList>
    <comment ref="H18" authorId="0">
      <text>
        <r>
          <rPr>
            <b/>
            <sz val="9"/>
            <color indexed="81"/>
            <rFont val="Tahoma"/>
            <family val="2"/>
          </rPr>
          <t>@simpanan_anggota :
seluruh_total_simpanan *
SHU SIMPANAN</t>
        </r>
      </text>
    </comment>
  </commentList>
</comments>
</file>

<file path=xl/sharedStrings.xml><?xml version="1.0" encoding="utf-8"?>
<sst xmlns="http://schemas.openxmlformats.org/spreadsheetml/2006/main" count="1584" uniqueCount="999">
  <si>
    <t>NERACA KEUANGAN KOPERASI KARYAWAN MANDIRI</t>
  </si>
  <si>
    <t>No.</t>
  </si>
  <si>
    <t>Keterangan</t>
  </si>
  <si>
    <t xml:space="preserve">Debit </t>
  </si>
  <si>
    <t>Kredit</t>
  </si>
  <si>
    <t>Saldo</t>
  </si>
  <si>
    <t>Pendapatan bunga pinjaman anggota bulan Juni 2013</t>
  </si>
  <si>
    <t>Pendapatan bunga pinjaman anggota bulan Juli 2013</t>
  </si>
  <si>
    <t>Pendapatan bunga pinjaman anggota bulan Agustus 2013</t>
  </si>
  <si>
    <t>Pendapatan bunga pinjaman anggota bulan September 2013</t>
  </si>
  <si>
    <t>Pendapatan hasil penjualan paket daging lebaran</t>
  </si>
  <si>
    <t>Pendapatan bunga pinjaman anggota bulan Oktober 2013</t>
  </si>
  <si>
    <t>Pendapatan bunga pinjaman anggota bulan November 2013</t>
  </si>
  <si>
    <t>Pendapatan bunga pinjaman anggota bulan Desember 2013</t>
  </si>
  <si>
    <t>Pendapatan bunga pinjaman anggota bulan Januari 2014</t>
  </si>
  <si>
    <t>Pendapatan bunga pinjaman anggota bulan Februari 2014</t>
  </si>
  <si>
    <t>Pendapatan bunga pinjaman anggota bulan Maret 2014</t>
  </si>
  <si>
    <t>Pendapatan bunga pinjaman anggota bulan April 2014</t>
  </si>
  <si>
    <t>Pendapatan bunga pinjaman anggota bulan Mei 2014</t>
  </si>
  <si>
    <t>Pendapatan bunga pinjaman anggota bulan Juni 2014</t>
  </si>
  <si>
    <t>Pembelian etalase</t>
  </si>
  <si>
    <t>Pendapatan bunga pinjaman anggota bulan Juli 2014</t>
  </si>
  <si>
    <t>Biaya pembuatan bon koperasi</t>
  </si>
  <si>
    <t>Biaya pembuatan stempel lunas</t>
  </si>
  <si>
    <t>Biaya pembelian Numerator "Great Wall"</t>
  </si>
  <si>
    <t>Biaya pembelian Tinta Stempel Lion</t>
  </si>
  <si>
    <t>Pendapatan bunga pinjaman anggota bulan Agustus 2014</t>
  </si>
  <si>
    <t>Pembayaran pembuatan amplop Cashier Remitance</t>
  </si>
  <si>
    <t>Pembelian karangan bunga HUT REDTOP</t>
  </si>
  <si>
    <t>Pendapatan bunga pinjaman anggota bulan September 2014</t>
  </si>
  <si>
    <t>Pembelian plastik kresek</t>
  </si>
  <si>
    <t>Pembayaran pencetakan kartu rekapitulasi belanja anggota</t>
  </si>
  <si>
    <t>Pendapatan bunga pinjaman anggota bulan Oktober 2014</t>
  </si>
  <si>
    <t>Pendapatan kaus Family Outing 2014</t>
  </si>
  <si>
    <t>Fee Bendahara bulan Oktober 2014</t>
  </si>
  <si>
    <t>Pembelian kunci etalase</t>
  </si>
  <si>
    <t>Pembayaran belanja barang toko (stocking)</t>
  </si>
  <si>
    <t>Fee Bendahara bulan November 2014</t>
  </si>
  <si>
    <t>Fee Bendahara bulan Desember 2014</t>
  </si>
  <si>
    <t>Pembayaran belanja barang toko (Kariuk, gemblong, onde-onde)</t>
  </si>
  <si>
    <t>Pembayaran belanja barang toko (kantong plastik &amp; gelas plastik)</t>
  </si>
  <si>
    <t>Pembayaran belanja barang toko (kantong plastik)</t>
  </si>
  <si>
    <t>Biaya survey ke Grand Tropic (meals &amp; taxi)</t>
  </si>
  <si>
    <t>Pembayaran belanja barang toko (gorengan)</t>
  </si>
  <si>
    <t>Pinjaman anggota bulan Januari 2015</t>
  </si>
  <si>
    <t>Iuran anggota bulan Januari 2015</t>
  </si>
  <si>
    <t>Pengembalian cicilan pinjaman anggota bulan Januari 2015</t>
  </si>
  <si>
    <t>Pendapatan bunga pinjaman anggota bulan Januari 2015</t>
  </si>
  <si>
    <t>Pendapatan belanja karyawan bulan Januari 2015</t>
  </si>
  <si>
    <t>Pendapatan belanja tunai karyawan bulan Januari 2015</t>
  </si>
  <si>
    <t>Pendapatan bunga belanja karyawan Januari 2015</t>
  </si>
  <si>
    <t>Fee Bendahara bulan Januari 2015</t>
  </si>
  <si>
    <t>Fee Karyawan Toko Januari 2015</t>
  </si>
  <si>
    <t>Pembayaran invoice No. 002-KPHRT/01-2015 (belanja barang toko)</t>
  </si>
  <si>
    <t>Pembayaran invoice No. 004-KPHRT/01-2015 (belanja barang toko)</t>
  </si>
  <si>
    <t>Pembayaran invoice No. 005-KPHRT/01-2015 (belanja barang toko)</t>
  </si>
  <si>
    <t>Pembayaran belanja barang toko (Keripik pisang madu)</t>
  </si>
  <si>
    <t>Pengembalian kelebihan pemotongan belanja a/n : Hendra (HK)</t>
  </si>
  <si>
    <t>Pembayaran belanja barang toko (lontong bumbu)</t>
  </si>
  <si>
    <t>Pinjaman anggota bulan Februari 2015</t>
  </si>
  <si>
    <t>Iuran anggota bulan Februari 2015</t>
  </si>
  <si>
    <t>Pengembalian cicilan pinjaman anggota bulan Februari 2015</t>
  </si>
  <si>
    <t>Pendapatan bunga pinjaman anggota bulan Februari 2015</t>
  </si>
  <si>
    <t>Pendapatan belanja karyawan bulan Februari 2015</t>
  </si>
  <si>
    <t>Pendapatan belanja tunai karyawan bulan Februari 2015</t>
  </si>
  <si>
    <t>Pendapatan bunga belanja karyawan Februari 2015</t>
  </si>
  <si>
    <t>Fee Bendahara bulan Februari 2015</t>
  </si>
  <si>
    <t>Fee Karyawan Toko Februari 2015</t>
  </si>
  <si>
    <t>Pembayaran invoice No. 006-KPHRT/02-2015 (belanja barang toko)</t>
  </si>
  <si>
    <t>Pembayaran belanja barang toko (Keripik pisang madu/Yola)</t>
  </si>
  <si>
    <t>Pembayaran invoice No. 001/PP/2015 (Indra)</t>
  </si>
  <si>
    <t xml:space="preserve">Pembayaran invoice No. 005-AJP/II/2015 (Gorengan/ Karmilah Wati) </t>
  </si>
  <si>
    <t>Pembayaran belanja barang toko (stocking/Dewi)</t>
  </si>
  <si>
    <t>Pembayaran belanja barang toko (lontong bumbu/Dhiza)</t>
  </si>
  <si>
    <t>Pengembalian dana anggota : Agung Budi Santoso (Security)</t>
  </si>
  <si>
    <t>Pengembalian dana anggota : Santi Tiurma (S&amp;M)</t>
  </si>
  <si>
    <t>Pengembalian dana anggota : Suharyani Ayu Lestari (FO)</t>
  </si>
  <si>
    <t>Pengembalian dana anggota : Hariyanto (HK)</t>
  </si>
  <si>
    <t>Pembayaran belanja barang toko Tgl. 5 Feb 2015 (kantong plastik)</t>
  </si>
  <si>
    <t>Pembayaran belanja barang toko Tgl. 16 Feb 2015 (kantong plastik)</t>
  </si>
  <si>
    <t>Pembayaran belanja barang toko Tgl. 18 Feb 2015 (kantong plastik)</t>
  </si>
  <si>
    <t>Pinjaman anggota bulan Maret 2015</t>
  </si>
  <si>
    <t>Iuran anggota bulan Maret 2015</t>
  </si>
  <si>
    <t>Pengembalian cicilan pinjaman anggota bulan Maret 2015</t>
  </si>
  <si>
    <t>Pendapatan bunga pinjaman anggota bulan Maret 2015</t>
  </si>
  <si>
    <t>Pendapatan belanja karyawan bulan Maret 2015</t>
  </si>
  <si>
    <t>Pendapatan belanja tunai karyawan bulan Maret 2015</t>
  </si>
  <si>
    <t>Pendapatan bunga belanja karyawan Maret 2015</t>
  </si>
  <si>
    <t>Fee Bendahara bulan Maret 2015</t>
  </si>
  <si>
    <t>Fee Karyawan Toko Maret 2015</t>
  </si>
  <si>
    <t>Pembayaran invoice No. 007-KPHRT/02-2015 (belanja barang toko)</t>
  </si>
  <si>
    <t>Pembayaran invoice No. 008-KPHRT/02-2015 (belanja barang toko)</t>
  </si>
  <si>
    <t>Pembayaran invoice Tgl. 16 Maret 2015 (belanja barang toko)</t>
  </si>
  <si>
    <t>Pembayaran invoice Tgl. 23 Maret 2015 (belanja barang toko)</t>
  </si>
  <si>
    <t>Pembayaran invoice Tgl. 31 Maret 2015 (belanja barang toko)</t>
  </si>
  <si>
    <t>Pembayaran invoice Toko Susu Alfar 22 Maret 2015</t>
  </si>
  <si>
    <t>Pembayaran invoice No. 002/PP/2015 (Indra)</t>
  </si>
  <si>
    <t>Biaya pindahan &amp; peresmian Koperasi Karyawan 23 Maret 2015</t>
  </si>
  <si>
    <t>Pembayaran invoice No. 001-ALKN/II/2015 (Amik)</t>
  </si>
  <si>
    <t>Pengembalian dana anggota : Budhi Kusuma Jaya (FO)</t>
  </si>
  <si>
    <t>Pengembalian dana anggota : M. Siroj (FB Service)</t>
  </si>
  <si>
    <t>Pengembalian dana anggota : Purwanto (Sec)</t>
  </si>
  <si>
    <t>Pembayaran belanja barang toko Tgl. 4 Maret 2015 (kantong plastik)</t>
  </si>
  <si>
    <t>Pembayaran belanja barang toko Tgl. 11 Maret 2015 (kantong plastik)</t>
  </si>
  <si>
    <t>Pembayaran belanja barang toko Tgl. 14 Maret 2015 (telur)</t>
  </si>
  <si>
    <t>Pembayaran belanja barang toko Tgl. 13 Maret 2015 (kantong plastik)</t>
  </si>
  <si>
    <t>Pembayaran belanja barang toko Tgl. 18 Maret 2015 (kantong plastik)</t>
  </si>
  <si>
    <t>Pembayaran belanja barang toko Tgl. 20 Maret 2015 (kantong air)</t>
  </si>
  <si>
    <t>Pembayaran belanja barang toko Tgl. 26 Maret 2015 (kopi)</t>
  </si>
  <si>
    <t xml:space="preserve">Pembayaran belanja barang toko Tgl. 27 Maret 2015 (kopi, plastik, sapu) </t>
  </si>
  <si>
    <t xml:space="preserve">Pembayaran belanja barang toko Tgl. 28 Maret 2015 (peralatan masak) </t>
  </si>
  <si>
    <t>Pinjaman anggota bulan April 2015</t>
  </si>
  <si>
    <t>Iuran anggota bulan April 2015</t>
  </si>
  <si>
    <t>Pengembalian cicilan pinjaman anggota bulan April 2015</t>
  </si>
  <si>
    <t>Pendapatan bunga pinjaman anggota bulan April 2015</t>
  </si>
  <si>
    <t>Pendapatan belanja karyawan bulan April 2015</t>
  </si>
  <si>
    <t>Pendapatan belanja tunai karyawan bulan April 2015</t>
  </si>
  <si>
    <t>Pendapatan bunga belanja karyawan April 2015</t>
  </si>
  <si>
    <t>Fee Bendahara bulan April 2015</t>
  </si>
  <si>
    <t>Fee Karyawan Toko April 2015</t>
  </si>
  <si>
    <t>Pembayaran invoice Tgl. 1 April 2015 (belanja barang toko)</t>
  </si>
  <si>
    <t>Pembayaran invoice Tgl. 9 April 2015 (belanja barang toko)</t>
  </si>
  <si>
    <t>Pembayaran invoice Tgl. 20 April 2015 (belanja barang toko)</t>
  </si>
  <si>
    <t>Pembayaran invoice Tgl. 22 April 2015 (belanja barang toko)</t>
  </si>
  <si>
    <t>Pembayaran invoice Tgl. 28 April 2015 (belanja barang toko)</t>
  </si>
  <si>
    <t>Pembayaran belanja barang toko (Keripik pisang/ Dasep)</t>
  </si>
  <si>
    <t>Pembayaran belanja barang toko (Keripik pisang madu/ Yola)</t>
  </si>
  <si>
    <t>Pembayaran belanja barang toko (Mie Lidi/ Ifik)</t>
  </si>
  <si>
    <t xml:space="preserve">Pembayaran invoice No. 006-AJP/IV/2015 (Gorengan/ Karmilah Wati) </t>
  </si>
  <si>
    <t>Pembayaran invoice No. 002-ALKN/IV/2015 (Amik)</t>
  </si>
  <si>
    <t>Pengembalian dana anggota : Andika Purnama (S&amp;M/PR)</t>
  </si>
  <si>
    <t>Pengembalian dana anggota : Yasser Isnaeni (FB Service)</t>
  </si>
  <si>
    <t>Pengembalian dana anggota : Silvy Evaline (Sec)</t>
  </si>
  <si>
    <t>Belanja peralatan (sendok, garpu, asbak dll)</t>
  </si>
  <si>
    <t>Pinjaman anggota bulan Mei 2015</t>
  </si>
  <si>
    <t>Iuran anggota bulan Mei 2015</t>
  </si>
  <si>
    <t>Pengembalian cicilan pinjaman anggota bulan Mei 2015</t>
  </si>
  <si>
    <t>Pendapatan bunga pinjaman anggota bulan Mei 2015</t>
  </si>
  <si>
    <t>Pendapatan belanja karyawan bulan Mei 2015</t>
  </si>
  <si>
    <t>Pendapatan belanja tunai karyawan bulan Mei 2014</t>
  </si>
  <si>
    <t>Pendapatan bunga belanja karyawan Mei 2015</t>
  </si>
  <si>
    <t>Fee Bendahara bulan Mei 2015</t>
  </si>
  <si>
    <t>Fee Karyawan Toko Mei 2015</t>
  </si>
  <si>
    <t>Pembayaran invoice Tgl. 1 Mei 2015 (belanja barang toko)</t>
  </si>
  <si>
    <t>Pembayaran invoice Tgl. 9 Mei 2015 (belanja barang toko)</t>
  </si>
  <si>
    <t xml:space="preserve"> </t>
  </si>
  <si>
    <t>Pembayaran invoice Tgl. 23 Mei 2015 (belanja barang toko)</t>
  </si>
  <si>
    <t>Pembayaran invoice No. 003-ALKN/V/2015 (Amik)</t>
  </si>
  <si>
    <t>Pengembalian dana anggota : Ismail (Eng)</t>
  </si>
  <si>
    <t>Pengembalian dana anggota : Aleph Nanda Haris (FO)</t>
  </si>
  <si>
    <t>Belanja peralatan (telor, gelas plastik, sedotan)</t>
  </si>
  <si>
    <t>Pinjaman anggota bulan Juni 2015</t>
  </si>
  <si>
    <t>Iuran anggota bulan Juni 2015</t>
  </si>
  <si>
    <t>Pengembalian cicilan pinjaman anggota bulan Juni 2015</t>
  </si>
  <si>
    <t>Pendapatan bunga pinjaman anggota bulan Juni 2015</t>
  </si>
  <si>
    <t>Pendapatan belanja karyawan bulan Juni 2015</t>
  </si>
  <si>
    <t>Pendapatan belanja tunai karyawan bulan Juni 2015</t>
  </si>
  <si>
    <t>Pendapatan bunga belanja karyawan Juni 2015</t>
  </si>
  <si>
    <t>Fee Bendahara bulan Juni 2015</t>
  </si>
  <si>
    <t>Fee Karyawan Toko Juni 2015</t>
  </si>
  <si>
    <t>Pembayaran invoice Tgl. 5 Juni 2015 (belanja barang toko)</t>
  </si>
  <si>
    <t>Pembayaran invoice Tgl. 15 Juni 2015 (belanja barang toko)</t>
  </si>
  <si>
    <t>Pembayaran invoice Tgl. 22 Juni 2015 (belanja barang toko)</t>
  </si>
  <si>
    <t>Pembayaran belanja toko 2 Juni'15 (gelas plastik, Kantong plastik, telur)</t>
  </si>
  <si>
    <t>Pembayaran belanja toko 17 Juni'15 (Kopi)</t>
  </si>
  <si>
    <t>Pembayaran belanja toko 20 Juni'15 (Gelas plastik, kopi)</t>
  </si>
  <si>
    <t>Pengembalian dana anggota : Doni Kurniawan (Eng)</t>
  </si>
  <si>
    <t>Pengembalian dana anggota : Suryo Prantoko (FB/Sapphire)</t>
  </si>
  <si>
    <t xml:space="preserve">Pengembalian dana anggota : Andri Prakoso (Steward) </t>
  </si>
  <si>
    <t>Pengembalian dana anggota : Renny Mega Safitri (S&amp;M)</t>
  </si>
  <si>
    <t>Pengembalian dana anggota : Nidya Indriasari (PR)</t>
  </si>
  <si>
    <t>Pinjaman anggota bulan Juli 2015</t>
  </si>
  <si>
    <t>Iuran anggota bulan Juli 2015</t>
  </si>
  <si>
    <t>Pengembalian cicilan pinjaman anggota bulan Juli 2015</t>
  </si>
  <si>
    <t>Pendapatan bunga pinjaman anggota bulan Juli 2015</t>
  </si>
  <si>
    <t>Pendapatan belanja karyawan bulan Juli 2015</t>
  </si>
  <si>
    <t>Pendapatan belanja tunai karyawan bulan Juli 2015</t>
  </si>
  <si>
    <t>Pendapatan bunga belanja karyawan Juli 2015</t>
  </si>
  <si>
    <t>Pendapatan penjualan paket daging lebaran</t>
  </si>
  <si>
    <t>Fee Bendahara bulan Juli 2015</t>
  </si>
  <si>
    <t>Fee Karyawan Toko Juli 2015</t>
  </si>
  <si>
    <t>THR petugas toko (P'Amir)</t>
  </si>
  <si>
    <t>THR petugas toko (B'Wati)</t>
  </si>
  <si>
    <t>Pembayaran invoice Tgl. 1 Juli 2015 (belanja barang toko)</t>
  </si>
  <si>
    <t>Pembayaran invoice Tgl. 13 Juli 2015 (belanja barang toko)</t>
  </si>
  <si>
    <t>Pembayaran invoice Tgl. 25 Juli 2015 (belanja barang toko)</t>
  </si>
  <si>
    <t>Pembelian 20 pcs Yakult, 31 Juli 2015</t>
  </si>
  <si>
    <t>Pengembalian dana anggota : Bambang S (FB/Room Svc.)</t>
  </si>
  <si>
    <t>Pengembalian dana anggota : Karsono (Fitness &amp; Spa)</t>
  </si>
  <si>
    <t>Pengembalian dana anggota : Edwan Ridandi (FO)</t>
  </si>
  <si>
    <t>Pengembalian dana anggota : Asni (FB/Cake Shop)</t>
  </si>
  <si>
    <t>Pengembalian dana anggota : Suharyanto (Ktc/Gallery)</t>
  </si>
  <si>
    <t>Pengembalian dana anggota : Tri Mutiara (PR)</t>
  </si>
  <si>
    <t>Pinjaman anggota bulan Agustus 2015</t>
  </si>
  <si>
    <t>Iuran anggota bulan Agustus 2015</t>
  </si>
  <si>
    <t>Pengembalian cicilan pinjaman anggota bulan Agustus 2015</t>
  </si>
  <si>
    <t>Pendapatan bunga pinjaman anggota bulan Agustus 2015</t>
  </si>
  <si>
    <t>Pendapatan belanja karyawan bulan Agustus  2015</t>
  </si>
  <si>
    <t>Pendapatan belanja tunai karyawan bulan Agustus 2015</t>
  </si>
  <si>
    <t>Pendapatan bunga belanja karyawan Agustus 2015</t>
  </si>
  <si>
    <t>Pendapatan bunga penjualan 4 unit kipas</t>
  </si>
  <si>
    <t>Fee Bendahara bulan Agustus 2015</t>
  </si>
  <si>
    <t>Fee Karyawan Toko Agustus 2015</t>
  </si>
  <si>
    <t>Pembayaran faktur No. 3400 (Kipas Angin : Ronny/Ldy)</t>
  </si>
  <si>
    <t>Pembayaran faktur No. 3402 (Kipas Angin : Ilmarni/ FB)</t>
  </si>
  <si>
    <t>Pembayaran faktur No. 3403 (Kipas Angin : Melly/Ldy)</t>
  </si>
  <si>
    <t>Pembayaran faktur No. 3404 (Kipas Angin : Sarina/Sec)</t>
  </si>
  <si>
    <t>Pembayaran invoice Tgl. 3 Agustus 2015 (belanja barang toko)</t>
  </si>
  <si>
    <t>Pembelian gas 4 Agustus 2015</t>
  </si>
  <si>
    <t>Pembelian 1 galon Aqua perdana</t>
  </si>
  <si>
    <t>Isi ulang Aqua</t>
  </si>
  <si>
    <t>Pembelian gas 20 Agustus 2015</t>
  </si>
  <si>
    <t>Isi ulang Aqua 27 Agustus 2015</t>
  </si>
  <si>
    <t xml:space="preserve">Pembelian 10 pcs Yakult </t>
  </si>
  <si>
    <t>Pembayaran invoice Tgl. 12 Agustus 2015 (Johan Distributor)</t>
  </si>
  <si>
    <t>Pembayaran invoice Tgl. 17 Agustus 2015 (Lulu Kids)</t>
  </si>
  <si>
    <t>Pembayaran invoice Tgl. 24 Agustus 2015 (belanja barang toko)</t>
  </si>
  <si>
    <t>Pembayaran invoice Tgl. 30 Agustus 2015 (Lulu Kids)</t>
  </si>
  <si>
    <t>Pengembalian dana anggota : Sudrajat Kartadinata (Acc)</t>
  </si>
  <si>
    <t>Pengembalian dana anggota : Septiana Eka (FO)</t>
  </si>
  <si>
    <t>Pengembalian dana anggota : Ernawati (FO)</t>
  </si>
  <si>
    <t>Pengembalian dana anggota : Rahmat Hidayat (HK)</t>
  </si>
  <si>
    <t>Pengembalian dana anggota : Yandri Hanafi Daud (Stw)</t>
  </si>
  <si>
    <t>Pinjaman anggota bulan September 2015</t>
  </si>
  <si>
    <t>Iuran anggota bulan September 2015</t>
  </si>
  <si>
    <t>Pengembalian cicilan pinjaman anggota bulan September 2015</t>
  </si>
  <si>
    <t>Pendapatan bunga pinjaman anggota bulan September 2015</t>
  </si>
  <si>
    <t>Pendapatan belanja non tunai karyawan bulan September 2015</t>
  </si>
  <si>
    <t>Pendapatan belanja tunai karyawan bulan September 2015</t>
  </si>
  <si>
    <t>Pendapatan bunga belanja karyawan September 2015</t>
  </si>
  <si>
    <t>Fee Bendahara bulan September 2015</t>
  </si>
  <si>
    <t>Fee Karyawan Toko September 2015</t>
  </si>
  <si>
    <t>Pembelian 2 galon Aqua kosong + 1 galon Aqua isi</t>
  </si>
  <si>
    <t>Pembelian 1 pcs serbet handuk</t>
  </si>
  <si>
    <t>Pembayaran invoice Tgl. 1 September 2015 (Toko Johan)</t>
  </si>
  <si>
    <t>Operasional inventory Tgl. 5 september 2015 (makan siang)</t>
  </si>
  <si>
    <t>Pembelian 1 pack sticker Tom &amp; Jerry</t>
  </si>
  <si>
    <t>Pembelian 10 botol Yakult (11 Sept'15)</t>
  </si>
  <si>
    <t>Pembelian 3 pcs lap gelas</t>
  </si>
  <si>
    <t>Pembayaran invoice Tgl. 16 September 2015 (Toko Johan)</t>
  </si>
  <si>
    <t>Pembayaran invoice Tgl. 17 September 2015 (Toko Beras Haris)</t>
  </si>
  <si>
    <t>Pembelian 10 botol Yakult (15 Sept'15)</t>
  </si>
  <si>
    <t>Pembelian 2 air Aqua galon @Rp. 16.000,-</t>
  </si>
  <si>
    <t>Pembelian 2 bal es kristal besar</t>
  </si>
  <si>
    <t>Pembelian 1 bal es kristal besar</t>
  </si>
  <si>
    <t xml:space="preserve">Pembelian gas </t>
  </si>
  <si>
    <t>Ongkos + makan siang kunjungan pengurus ke Dinas Koperasi</t>
  </si>
  <si>
    <t>Pembelian 3 air Aqua galon @Rp. 16.000,-</t>
  </si>
  <si>
    <t>Pembayaran invoice Tgl. 19 September 2015 (Toko Johan)</t>
  </si>
  <si>
    <t>Ongkos antar barang</t>
  </si>
  <si>
    <t>Pembayaran invoice Tgl. 21 September 2015 (Toko Beras Haris)</t>
  </si>
  <si>
    <t>Pembayaran invoice Tgl. 22 September 2015 (Toko Johan)</t>
  </si>
  <si>
    <t>Pembayaran invoice Tgl. 22 September 2015 (Toko Beras Haris)</t>
  </si>
  <si>
    <t>Pengembalian dana anggota : Sri Herowati (HK)</t>
  </si>
  <si>
    <t>Dibuat oleh,</t>
  </si>
  <si>
    <t>Mengetahui,</t>
  </si>
  <si>
    <t>Tedy Rinaldy</t>
  </si>
  <si>
    <t>Maryati</t>
  </si>
  <si>
    <t>Bendahara</t>
  </si>
  <si>
    <t>Ketua</t>
  </si>
  <si>
    <t>DATA PENDAPATAN KOPERASI KARYAWAN MANDIRI</t>
  </si>
  <si>
    <t>Debit</t>
  </si>
  <si>
    <t>Pendapatan bunga pinjaman anggota bulan Maret 2013</t>
  </si>
  <si>
    <t>Pendapatan bunga pinjaman anggota bulan April 2013</t>
  </si>
  <si>
    <t>Pendapatan bunga pinjaman anggota bulan Mei 2013</t>
  </si>
  <si>
    <t>Pendapatan bagi hasil pinjaman uang muka jaket R2HC (Periode 1)</t>
  </si>
  <si>
    <t>Pendapatan bagi hasil pinjaman uang muka jaket R2HC (Periode 2)</t>
  </si>
  <si>
    <t>Pendapatan bunga belanja karyawan bulan Juli 2014</t>
  </si>
  <si>
    <t>Pendapatan bunga belanja karyawan bulan Agustus 2014</t>
  </si>
  <si>
    <t>Pendapatan bunga belanja karyawan bulan September 2014</t>
  </si>
  <si>
    <t>Fee Bendahara Januari - September 2014 @ Rp. 300.000,-</t>
  </si>
  <si>
    <t>Fee Penjaga Toko September 2014</t>
  </si>
  <si>
    <t>Pendapatan bunga belanja karyawan bulan Oktober 2014</t>
  </si>
  <si>
    <t>Pendapatan pembelian snack Family Outing</t>
  </si>
  <si>
    <t>Fee Penjaga Toko Oktober 2014</t>
  </si>
  <si>
    <t>Pendapatan bunga pinjaman karyawan bulan November 2014</t>
  </si>
  <si>
    <t>Pendapatan bunga belanja karyawan bulan November 2014</t>
  </si>
  <si>
    <t>Pendapatan lelang Bed Cover</t>
  </si>
  <si>
    <t>Fee Penjaga Toko November 2014</t>
  </si>
  <si>
    <t>Pendapatan bunga pinjaman karyawan bulan Desember 2014</t>
  </si>
  <si>
    <t xml:space="preserve">Pendapatan bunga belanja karyawan bulan Desember 2014 </t>
  </si>
  <si>
    <t>Fee Penjaga Toko Desember 2014</t>
  </si>
  <si>
    <t>Pendapatan bunga pinjaman karyawan bulan Januari 2015</t>
  </si>
  <si>
    <t>Pendapatan bunga belanja karyawan bulan Januari 2015</t>
  </si>
  <si>
    <t>Fee Penjaga Toko Januari 2015</t>
  </si>
  <si>
    <t>Pendapatan bunga pinjaman karyawan bulan Februari 2015</t>
  </si>
  <si>
    <t>Pendapatan bunga belanja karyawan bulan Februari 2015</t>
  </si>
  <si>
    <t>Fee Penjaga Toko Februari 2015</t>
  </si>
  <si>
    <t>Pendapatan bunga pinjaman karyawan bulan Maret 2015</t>
  </si>
  <si>
    <t>Pendapatan bunga belanja karyawan bulan Maret 2015</t>
  </si>
  <si>
    <t>Fee Penjaga Toko Maret 2015</t>
  </si>
  <si>
    <t>Fee Penjaga Toko April 2015</t>
  </si>
  <si>
    <t>Pendapatan bunga pinjaman karyawan bulan April 2015</t>
  </si>
  <si>
    <t>Pendapatan bunga belanja karyawan bulan April 2015</t>
  </si>
  <si>
    <t>Fee Penjaga Toko Mei 2015</t>
  </si>
  <si>
    <t>Pendapatan bunga pinjaman karyawan bulan Mei 2015</t>
  </si>
  <si>
    <t>Pendapatan bunga belanja karyawan bulan Mei 2015</t>
  </si>
  <si>
    <t>Fee Penjaga Toko Juni 2015</t>
  </si>
  <si>
    <t>Pendapatan bunga pinjaman karyawan bulan Juni 2015</t>
  </si>
  <si>
    <t>Pendapatan bunga belanja karyawan bulan Juni 2015</t>
  </si>
  <si>
    <t>Pembayaran belanja toko 2 Juni'15 (gelas plastik, Kantong plastik)</t>
  </si>
  <si>
    <t>Pembayaran belanja toko 20 Juni'15 (Gelas plastik)</t>
  </si>
  <si>
    <t>Fee Penjaga Toko Juli 2015</t>
  </si>
  <si>
    <t>THR Penjaga Toko Juli 2015</t>
  </si>
  <si>
    <t>Pendapatan bunga pinjaman karyawan bulan Juli 2015</t>
  </si>
  <si>
    <t>Pendapatan bunga belanja karyawan bulan Juli 2015</t>
  </si>
  <si>
    <t>Pendapatan Penjualan Paket Daging Lebaran</t>
  </si>
  <si>
    <t>Fee Penjaga Toko Agustus 2015</t>
  </si>
  <si>
    <t>Pendapatan bunga pinjaman karyawan bulan Agustus 2015</t>
  </si>
  <si>
    <t>Pendapatan bunga belanja karyawan bulan Agustus 2015</t>
  </si>
  <si>
    <t>Total Pendapatan Koperasi  :</t>
  </si>
  <si>
    <t>Jakarta, September 2015</t>
  </si>
  <si>
    <t>Data Pemotongan Iuran Anggota Koperasi " Mandiri" REDTOP Hotel</t>
  </si>
  <si>
    <t>No</t>
  </si>
  <si>
    <t>NIK</t>
  </si>
  <si>
    <t>Nama Karyawan</t>
  </si>
  <si>
    <t>Department/ Outlet</t>
  </si>
  <si>
    <t>Iuran wajib</t>
  </si>
  <si>
    <t>Cicilan</t>
  </si>
  <si>
    <t>Total</t>
  </si>
  <si>
    <t>January</t>
  </si>
  <si>
    <t>Potongan</t>
  </si>
  <si>
    <t>February</t>
  </si>
  <si>
    <t>March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</si>
  <si>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</si>
  <si>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</si>
  <si>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</si>
  <si>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</si>
  <si>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</si>
  <si>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</si>
  <si>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</si>
  <si>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</si>
  <si>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</si>
  <si>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Sri Kurniawati </t>
  </si>
  <si>
    <t>A&amp;G</t>
  </si>
  <si>
    <t>09076931</t>
  </si>
  <si>
    <t>Ady Fitriadi</t>
  </si>
  <si>
    <t>Accounting</t>
  </si>
  <si>
    <t>04023715</t>
  </si>
  <si>
    <t>Andriansyah</t>
  </si>
  <si>
    <t>Fifi Kusuma Dewi</t>
  </si>
  <si>
    <t>Nita Apriani</t>
  </si>
  <si>
    <t>Safikurrohman</t>
  </si>
  <si>
    <t>Trisno</t>
  </si>
  <si>
    <t>06014806</t>
  </si>
  <si>
    <t>Aan Kayan</t>
  </si>
  <si>
    <t>Engineering</t>
  </si>
  <si>
    <t>Agus</t>
  </si>
  <si>
    <t>05014236</t>
  </si>
  <si>
    <t>Asep Saprudin</t>
  </si>
  <si>
    <t xml:space="preserve">Bambang </t>
  </si>
  <si>
    <t>09087076</t>
  </si>
  <si>
    <t>Dwi Prihatno</t>
  </si>
  <si>
    <t>04104096</t>
  </si>
  <si>
    <t>Ervin Rasilani</t>
  </si>
  <si>
    <t>06014796</t>
  </si>
  <si>
    <t>Guntur Prabowo</t>
  </si>
  <si>
    <t>09076896</t>
  </si>
  <si>
    <t>Irwan</t>
  </si>
  <si>
    <t>Junjungan Tambunan</t>
  </si>
  <si>
    <t>09087046</t>
  </si>
  <si>
    <t>Sahrudin bin Maftuh</t>
  </si>
  <si>
    <t>Sirmawan</t>
  </si>
  <si>
    <t>Siswanto</t>
  </si>
  <si>
    <t>Sugyono</t>
  </si>
  <si>
    <t>05014216</t>
  </si>
  <si>
    <t>Sukiyanto</t>
  </si>
  <si>
    <t>Sunari</t>
  </si>
  <si>
    <t>Supoyo</t>
  </si>
  <si>
    <t>Suyono</t>
  </si>
  <si>
    <t>Siti Solikhah</t>
  </si>
  <si>
    <t>Ahyani</t>
  </si>
  <si>
    <t>FB/Banquet Opr.</t>
  </si>
  <si>
    <t>Badol Saragi</t>
  </si>
  <si>
    <t>J. Jacob Sitanggang</t>
  </si>
  <si>
    <t>Leonardo Davinci</t>
  </si>
  <si>
    <t>Rahardjo</t>
  </si>
  <si>
    <t>Randy Fadilah</t>
  </si>
  <si>
    <t>03023111</t>
  </si>
  <si>
    <t>Satria</t>
  </si>
  <si>
    <t>01052599</t>
  </si>
  <si>
    <t>Sobirin HR</t>
  </si>
  <si>
    <t>Thalib MP Manihiya</t>
  </si>
  <si>
    <t>FB/Gallery Rest.</t>
  </si>
  <si>
    <t>Gatot Agung Imansyah</t>
  </si>
  <si>
    <t>M. Herman Hakim</t>
  </si>
  <si>
    <t>Muhamad Zackyansyah</t>
  </si>
  <si>
    <t>05064499</t>
  </si>
  <si>
    <t>Nurdin</t>
  </si>
  <si>
    <t>Subarini</t>
  </si>
  <si>
    <t>00022349</t>
  </si>
  <si>
    <t>Supriyono</t>
  </si>
  <si>
    <t>01062679</t>
  </si>
  <si>
    <t>Syarifudin (Gallery)</t>
  </si>
  <si>
    <t>04073999</t>
  </si>
  <si>
    <t>Agustin Rina Astuti</t>
  </si>
  <si>
    <t>FB/Lobby Lounge &amp; Bar</t>
  </si>
  <si>
    <t>Amelia Octa Della</t>
  </si>
  <si>
    <t>Citra Wulandari</t>
  </si>
  <si>
    <t>00022339</t>
  </si>
  <si>
    <t>Mulyadi</t>
  </si>
  <si>
    <t>FB/Mini Bar</t>
  </si>
  <si>
    <t>Riswanto</t>
  </si>
  <si>
    <t>Agus Hermawan</t>
  </si>
  <si>
    <t>FB/O Café</t>
  </si>
  <si>
    <t>Bahrudin</t>
  </si>
  <si>
    <t>03093439</t>
  </si>
  <si>
    <t>Hari Sugeng Kurnianto</t>
  </si>
  <si>
    <t>Izmi</t>
  </si>
  <si>
    <t>Muhammad Fahrizal</t>
  </si>
  <si>
    <t>Supriadi (O Café)</t>
  </si>
  <si>
    <t>Yola Nivi Astriyani</t>
  </si>
  <si>
    <t>Yudi Herawadi</t>
  </si>
  <si>
    <t>FB/Room Service</t>
  </si>
  <si>
    <t>Kusrini</t>
  </si>
  <si>
    <t>FB/Sapphire Lounge &amp; Bar</t>
  </si>
  <si>
    <t>04104069</t>
  </si>
  <si>
    <t>S. Harriyono</t>
  </si>
  <si>
    <t>Fitness &amp; Spa</t>
  </si>
  <si>
    <t>M. Subkhan</t>
  </si>
  <si>
    <t>Theresia Veronica Linogi</t>
  </si>
  <si>
    <t>A. Rifqi</t>
  </si>
  <si>
    <t>FO</t>
  </si>
  <si>
    <t>Bagus Gudiawan</t>
  </si>
  <si>
    <t>Bambang Wisono</t>
  </si>
  <si>
    <t>06065024</t>
  </si>
  <si>
    <t>Dini Marianta Putri</t>
  </si>
  <si>
    <t>03093474</t>
  </si>
  <si>
    <t>Dwini Setyowati</t>
  </si>
  <si>
    <t>Een Nuragina Meilasari</t>
  </si>
  <si>
    <t>Fara Nurfadila</t>
  </si>
  <si>
    <t>Fifi Kuryani</t>
  </si>
  <si>
    <t>Herti Mulyasari</t>
  </si>
  <si>
    <t>08026204</t>
  </si>
  <si>
    <t>Hosein Rahmat Ibrahim</t>
  </si>
  <si>
    <t>03063194</t>
  </si>
  <si>
    <t>Ifik Rorowilis</t>
  </si>
  <si>
    <t>Rina Rakhmi</t>
  </si>
  <si>
    <t>Roksi Ricardo</t>
  </si>
  <si>
    <t>Yesicha Nur Sriati</t>
  </si>
  <si>
    <t>FO/Concierge</t>
  </si>
  <si>
    <t>Erwinadi</t>
  </si>
  <si>
    <t xml:space="preserve">Ferry Setiawan </t>
  </si>
  <si>
    <t>09016625</t>
  </si>
  <si>
    <t>H. Abdul Hamid</t>
  </si>
  <si>
    <t>I Made Gde Suryadi</t>
  </si>
  <si>
    <t>05034315</t>
  </si>
  <si>
    <t>Jakaria Gunawan</t>
  </si>
  <si>
    <t>Jamil</t>
  </si>
  <si>
    <t>01062689</t>
  </si>
  <si>
    <t>Joko Susilo</t>
  </si>
  <si>
    <t>Lusiani</t>
  </si>
  <si>
    <t>Matsani</t>
  </si>
  <si>
    <t>09127304</t>
  </si>
  <si>
    <t>Redi Ramdhani</t>
  </si>
  <si>
    <t>Rudy Kurniawan</t>
  </si>
  <si>
    <t>00082499</t>
  </si>
  <si>
    <t>Sammy Raflimy</t>
  </si>
  <si>
    <t>Supriyadi (Driver)</t>
  </si>
  <si>
    <t>Agus Sukmawijaya</t>
  </si>
  <si>
    <t>FO/Operator</t>
  </si>
  <si>
    <t>Amik Hari Priyanto</t>
  </si>
  <si>
    <t>02092994</t>
  </si>
  <si>
    <t>Bonny Firmansyah</t>
  </si>
  <si>
    <t>FO/Reservation</t>
  </si>
  <si>
    <t>Fisty Helny Risnawati</t>
  </si>
  <si>
    <t>Agus Ridwan</t>
  </si>
  <si>
    <t>Housekeeping</t>
  </si>
  <si>
    <t>03073285</t>
  </si>
  <si>
    <t>Agus Supriyanto</t>
  </si>
  <si>
    <t>04023735</t>
  </si>
  <si>
    <t>Ahmad Sofyan</t>
  </si>
  <si>
    <t>06075035</t>
  </si>
  <si>
    <t>Budhi Waluyojati</t>
  </si>
  <si>
    <t>Dede Mulyadi</t>
  </si>
  <si>
    <t>03053175</t>
  </si>
  <si>
    <t>Dodi Casmadi</t>
  </si>
  <si>
    <t>03083335</t>
  </si>
  <si>
    <t>Dwi Riyantoko</t>
  </si>
  <si>
    <t>05014195</t>
  </si>
  <si>
    <t>Eko Muliono</t>
  </si>
  <si>
    <t>05054445</t>
  </si>
  <si>
    <t>Hafiz Sulaiman</t>
  </si>
  <si>
    <t>Hari Supriadi</t>
  </si>
  <si>
    <t>Hartono</t>
  </si>
  <si>
    <t>03053165</t>
  </si>
  <si>
    <t>Hendra</t>
  </si>
  <si>
    <t>00052445</t>
  </si>
  <si>
    <t>Heru Cahyono</t>
  </si>
  <si>
    <t>00122525</t>
  </si>
  <si>
    <t>Irwan Krisnawan</t>
  </si>
  <si>
    <t>06044925</t>
  </si>
  <si>
    <t>Komarulloh</t>
  </si>
  <si>
    <t>M Firdaus Fahlevi</t>
  </si>
  <si>
    <t>01082735</t>
  </si>
  <si>
    <t>M. Djufriadi</t>
  </si>
  <si>
    <t>Melita Padmanegara</t>
  </si>
  <si>
    <t>Nawawi</t>
  </si>
  <si>
    <t>Ni Made Sariani</t>
  </si>
  <si>
    <t>Norlia BR Manurung</t>
  </si>
  <si>
    <t>Prawoto</t>
  </si>
  <si>
    <t>Ratna Suminar</t>
  </si>
  <si>
    <t>02032885</t>
  </si>
  <si>
    <t>Rian Purna Indrianto</t>
  </si>
  <si>
    <t>02072925</t>
  </si>
  <si>
    <t>Sobari</t>
  </si>
  <si>
    <t>03053155</t>
  </si>
  <si>
    <t>Srianto</t>
  </si>
  <si>
    <t>Sunarno</t>
  </si>
  <si>
    <t>04023725</t>
  </si>
  <si>
    <t>Susamto</t>
  </si>
  <si>
    <t>Suwarno</t>
  </si>
  <si>
    <t>Taryuni</t>
  </si>
  <si>
    <t>Yatmin</t>
  </si>
  <si>
    <t>06024855</t>
  </si>
  <si>
    <t>Zuwandi</t>
  </si>
  <si>
    <t>01062635</t>
  </si>
  <si>
    <t>Andri Surawidjaya</t>
  </si>
  <si>
    <t>HRD</t>
  </si>
  <si>
    <t>Inayah</t>
  </si>
  <si>
    <t>Mustopha</t>
  </si>
  <si>
    <t>04073983</t>
  </si>
  <si>
    <t>05094583</t>
  </si>
  <si>
    <t>Yulindah Nawangtyas</t>
  </si>
  <si>
    <t>Kitchen/Admin</t>
  </si>
  <si>
    <t>Wahyudi Winarso</t>
  </si>
  <si>
    <t>Azwar Hamzah</t>
  </si>
  <si>
    <t>Kitchen/Banquet</t>
  </si>
  <si>
    <t>Nakam</t>
  </si>
  <si>
    <t>Sugiyanto</t>
  </si>
  <si>
    <t>Tono</t>
  </si>
  <si>
    <t>04043818</t>
  </si>
  <si>
    <t>Zaenal Mutaqin</t>
  </si>
  <si>
    <t>Agus Bahtiar</t>
  </si>
  <si>
    <t>Kitchen/Commissary</t>
  </si>
  <si>
    <t>Dasep Supriatna</t>
  </si>
  <si>
    <t>05124718</t>
  </si>
  <si>
    <t>Muslihat</t>
  </si>
  <si>
    <t>Agus Mulyadi</t>
  </si>
  <si>
    <t>Kitchen/Gallery</t>
  </si>
  <si>
    <t>Ceky Kuncoro</t>
  </si>
  <si>
    <t>00052458</t>
  </si>
  <si>
    <t>Dede Wahyudi</t>
  </si>
  <si>
    <t>Edelhard Soedira</t>
  </si>
  <si>
    <t>02022868</t>
  </si>
  <si>
    <t>Isnanto</t>
  </si>
  <si>
    <t>Setiyayadi</t>
  </si>
  <si>
    <t>01092768</t>
  </si>
  <si>
    <t>Syarifudin (Kitchen)</t>
  </si>
  <si>
    <t>05124708</t>
  </si>
  <si>
    <t>Yanuar Setiawan</t>
  </si>
  <si>
    <t>Yusuf Bara Laluhangga</t>
  </si>
  <si>
    <t>Adi Priyanto</t>
  </si>
  <si>
    <t>Kitchen/Oriental</t>
  </si>
  <si>
    <t>Agus Siswanto</t>
  </si>
  <si>
    <t>FX Bayu Adhi Nugroho</t>
  </si>
  <si>
    <t>Hari Sutopo</t>
  </si>
  <si>
    <t>Moch Arifin Anwar</t>
  </si>
  <si>
    <t>09026678</t>
  </si>
  <si>
    <t>Rusli Widayat</t>
  </si>
  <si>
    <t>Sudono Suharyanto</t>
  </si>
  <si>
    <t>09107148</t>
  </si>
  <si>
    <t>Sudrajat</t>
  </si>
  <si>
    <t>Sutrisno</t>
  </si>
  <si>
    <t>Suwandi</t>
  </si>
  <si>
    <t>09127248</t>
  </si>
  <si>
    <t>Yopi Bayu Heryanto</t>
  </si>
  <si>
    <t>04013648</t>
  </si>
  <si>
    <t>Guntur Gunawan</t>
  </si>
  <si>
    <t>Kitchen/Pastry</t>
  </si>
  <si>
    <t>Rohman Sujana</t>
  </si>
  <si>
    <t>Sade Rusyana</t>
  </si>
  <si>
    <t>Kitchen/Steward</t>
  </si>
  <si>
    <t>Faisal</t>
  </si>
  <si>
    <t>02022858</t>
  </si>
  <si>
    <t>Farizal Andriawan</t>
  </si>
  <si>
    <t>Herry Heryanto Supantoro</t>
  </si>
  <si>
    <t>Ishak Kurniawan</t>
  </si>
  <si>
    <t>M. Muslih</t>
  </si>
  <si>
    <t>M. Syah</t>
  </si>
  <si>
    <t>R. Budi Wibisono</t>
  </si>
  <si>
    <t>Rinto Tampubolon</t>
  </si>
  <si>
    <t>Saidi</t>
  </si>
  <si>
    <t>Subanar</t>
  </si>
  <si>
    <t>01042578</t>
  </si>
  <si>
    <t>Suparman</t>
  </si>
  <si>
    <t>Warsono</t>
  </si>
  <si>
    <t>Benny Mustika Alam</t>
  </si>
  <si>
    <t>Laundry</t>
  </si>
  <si>
    <t>00042415</t>
  </si>
  <si>
    <t>Deniawan</t>
  </si>
  <si>
    <t>04053865</t>
  </si>
  <si>
    <t>Dery Octavian</t>
  </si>
  <si>
    <t>06014829</t>
  </si>
  <si>
    <t>Dewi Priatni</t>
  </si>
  <si>
    <t>Herman Susilo</t>
  </si>
  <si>
    <t>Iwan Agus Setiawan</t>
  </si>
  <si>
    <t>M Rizki P Ariwibowo</t>
  </si>
  <si>
    <t>Rista Meliana</t>
  </si>
  <si>
    <t>03083365</t>
  </si>
  <si>
    <t>Riwanto</t>
  </si>
  <si>
    <t>00042405</t>
  </si>
  <si>
    <t>Rodean Dermawan</t>
  </si>
  <si>
    <t>Ronny</t>
  </si>
  <si>
    <t>00032385</t>
  </si>
  <si>
    <t>Yayat Sufriyatna</t>
  </si>
  <si>
    <t>00012315</t>
  </si>
  <si>
    <t>Yuli Wahyudin</t>
  </si>
  <si>
    <t>Sales &amp; Marketing</t>
  </si>
  <si>
    <t>Wahyu Shandi Setiawan</t>
  </si>
  <si>
    <t>Citra Lusita</t>
  </si>
  <si>
    <t>Sales &amp; Marketing/PR</t>
  </si>
  <si>
    <t>Security</t>
  </si>
  <si>
    <t>09087017</t>
  </si>
  <si>
    <t>Agus Lasadi</t>
  </si>
  <si>
    <t>Agustus MAM Djoka</t>
  </si>
  <si>
    <t>05104627</t>
  </si>
  <si>
    <t>Dedi Junaedi</t>
  </si>
  <si>
    <t>Eddy Kurnianto</t>
  </si>
  <si>
    <t>05094577</t>
  </si>
  <si>
    <t>Gusfinardi</t>
  </si>
  <si>
    <t>Harryman</t>
  </si>
  <si>
    <t>03073267</t>
  </si>
  <si>
    <t>Joko Budiono</t>
  </si>
  <si>
    <t>Perdiansyah</t>
  </si>
  <si>
    <t>03083417</t>
  </si>
  <si>
    <t>Ramsis E Pangaribuan</t>
  </si>
  <si>
    <t>Ranto Parluhutan</t>
  </si>
  <si>
    <t>Robby Sutikno</t>
  </si>
  <si>
    <t>Rudi Suhartono</t>
  </si>
  <si>
    <t xml:space="preserve">Sarina Damanik </t>
  </si>
  <si>
    <t>03083427</t>
  </si>
  <si>
    <t>Sunarto (Security)</t>
  </si>
  <si>
    <t>05014257</t>
  </si>
  <si>
    <t>Surasa</t>
  </si>
  <si>
    <t>01042587</t>
  </si>
  <si>
    <t>02012847</t>
  </si>
  <si>
    <t>Teguh Utomo</t>
  </si>
  <si>
    <t>06105147</t>
  </si>
  <si>
    <t>Tri Mardianto</t>
  </si>
  <si>
    <t>Total :</t>
  </si>
  <si>
    <t>Saldo tahun 2014</t>
  </si>
  <si>
    <t>Jakarta,  6 September 2015</t>
  </si>
  <si>
    <t>Cash on hand</t>
  </si>
  <si>
    <t>Giro</t>
  </si>
  <si>
    <t>PERHITUNGAN SHU YANG DIPAKAI KOPERASI INDONESIA</t>
  </si>
  <si>
    <t>SHU atas aktivitas ekonomi 70 %</t>
  </si>
  <si>
    <t>SHU atas modal usaha 30 %</t>
  </si>
  <si>
    <t>Sri Kurniawati</t>
  </si>
  <si>
    <t>SHU Simpanan</t>
  </si>
  <si>
    <t>SHU Transaksi</t>
  </si>
  <si>
    <t>Contoh :</t>
  </si>
  <si>
    <t>Total SHU</t>
  </si>
  <si>
    <t>Pengembalian dana anggota : Awang Soleh (FB/Gallery)</t>
  </si>
  <si>
    <t>Pengembalian dana anggota : Andres NZ (FO)</t>
  </si>
  <si>
    <t>07035366</t>
  </si>
  <si>
    <t>Yudistira</t>
  </si>
  <si>
    <t>Alhamdika R. Matari</t>
  </si>
  <si>
    <t>Irfan Maulana</t>
  </si>
  <si>
    <t>Jeffry</t>
  </si>
  <si>
    <t>07045435</t>
  </si>
  <si>
    <t>Nurhadi</t>
  </si>
  <si>
    <t>K. Alice Irangani</t>
  </si>
  <si>
    <t>08016148</t>
  </si>
  <si>
    <t>Total simpanan anggota per 31 Desember'15</t>
  </si>
  <si>
    <t>Saldo 2014</t>
  </si>
  <si>
    <t>Saldo Desember'15</t>
  </si>
  <si>
    <t>Dept./ Outlet</t>
  </si>
  <si>
    <t>Edy Kurnianto</t>
  </si>
  <si>
    <t>Syarifudin</t>
  </si>
  <si>
    <t>Kitchen/O Café</t>
  </si>
  <si>
    <t>Yopi Bayu</t>
  </si>
  <si>
    <t>Februari</t>
  </si>
  <si>
    <t>FB/Sapphire</t>
  </si>
  <si>
    <t>Hafiz Sulaeman</t>
  </si>
  <si>
    <t>Maret</t>
  </si>
  <si>
    <t>FB/Lobby Lounge</t>
  </si>
  <si>
    <t>FO/FDA</t>
  </si>
  <si>
    <t>Sarina Damanik</t>
  </si>
  <si>
    <t>Randy Fadillah</t>
  </si>
  <si>
    <t>FB/Gallery Rest</t>
  </si>
  <si>
    <t>W. Shandy Setiawan</t>
  </si>
  <si>
    <t>Robby Sutino</t>
  </si>
  <si>
    <t>Supriadi</t>
  </si>
  <si>
    <t>FB/Room service</t>
  </si>
  <si>
    <t>Komaruloh</t>
  </si>
  <si>
    <t>Ervin</t>
  </si>
  <si>
    <t>Rian Purna</t>
  </si>
  <si>
    <t>Sudono</t>
  </si>
  <si>
    <t>Sunarto</t>
  </si>
  <si>
    <t xml:space="preserve">Security </t>
  </si>
  <si>
    <t>Supriyadi</t>
  </si>
  <si>
    <t>Syahrudin</t>
  </si>
  <si>
    <t>Raharjo</t>
  </si>
  <si>
    <t>Rina Rakhmi Mardiyani</t>
  </si>
  <si>
    <t>M. Arifin Anwar</t>
  </si>
  <si>
    <t>Ramsis Pangaribuan</t>
  </si>
  <si>
    <t>Bambang</t>
  </si>
  <si>
    <t>Housekeping</t>
  </si>
  <si>
    <t>Andri Surawijaya</t>
  </si>
  <si>
    <t>Hosein Rachmat Ibrahim</t>
  </si>
  <si>
    <t>Ferry Setiawan</t>
  </si>
  <si>
    <t>Derry Oktavian</t>
  </si>
  <si>
    <t>FO/Duty Manager</t>
  </si>
  <si>
    <t>Redy Ramdhani</t>
  </si>
  <si>
    <t>Kitchen</t>
  </si>
  <si>
    <t>DATA PIUTANG PINJAMAN ANGGOTA</t>
  </si>
  <si>
    <t>Dana cadangan 20 %</t>
  </si>
  <si>
    <t>SHU dibagi anggota 60 %</t>
  </si>
  <si>
    <t>Dana pendidikan 5%</t>
  </si>
  <si>
    <t>Dana lain - lain 15 %</t>
  </si>
  <si>
    <t>Pinjaman anggota bulan Oktober 2015</t>
  </si>
  <si>
    <t>Iuran anggota bulan Oktober 2015</t>
  </si>
  <si>
    <t>Pengembalian cicilan pinjaman anggota bulan Oktober 2015</t>
  </si>
  <si>
    <t>Pendapatan bunga pinjaman anggota bulan Oktober 2015</t>
  </si>
  <si>
    <t>Pendapatan belanja non tunai karyawan bulan Oktober 2015</t>
  </si>
  <si>
    <t>Pendapatan belanja tunai karyawan bulan Oktober 2015</t>
  </si>
  <si>
    <t>Pendapatan bunga belanja karyawan Oktober 2015</t>
  </si>
  <si>
    <t>Fee Bendahara bulan Oktober 2015</t>
  </si>
  <si>
    <t>Fee Karyawan Toko Oktober 2015</t>
  </si>
  <si>
    <t>Ongkos belanja</t>
  </si>
  <si>
    <t>Pembayaran invoice Tgl. 27 September 2015 (Toko Beras Haris)</t>
  </si>
  <si>
    <t>Pembayaran invoice Tgl. 29 September 2015 (Toko Beras Haris)</t>
  </si>
  <si>
    <t>Pembayaran invoice Tgl. 29 September 2015 (Toko Johan)</t>
  </si>
  <si>
    <t>Pembayaran DP Sistem Koperasi 16 Oktober 2015</t>
  </si>
  <si>
    <t>Pembelian Refrigerator Show Case</t>
  </si>
  <si>
    <t>Ongkos bajaj beli Show Case</t>
  </si>
  <si>
    <t>Operasional pembelian Show Case (Tip, makan siang)</t>
  </si>
  <si>
    <t>Pembayaran invoice Tgl. 5 Oktober 2015 (Toko Johan)</t>
  </si>
  <si>
    <t>Pembayaran invoice Tgl. 9 Oktober 2015 (Toko Johan)</t>
  </si>
  <si>
    <t>Pembayaran invoice Tgl. 10 Oktober 2015 (Toko Lulu Kids)</t>
  </si>
  <si>
    <t>Pembayaran invoice Tgl. 13 Oktober 2015 (Toko Beras Haris &amp; Indomart)</t>
  </si>
  <si>
    <t>Pembayaran invoice Tgl. 13 Oktober 2015 (Toko Johan)</t>
  </si>
  <si>
    <t>Pembayaran invoice Tgl. 16 Oktober 2015 (Toko Beras Haris)</t>
  </si>
  <si>
    <t>Pembayaran invoice Tgl. 19 Oktober 2015 (Toko Beras Haris)</t>
  </si>
  <si>
    <t>Pembayaran invoice Tgl. 21 Oktober 2015 (Toko Bambang) Siku-siku besi</t>
  </si>
  <si>
    <t>Pembayaran invoice Tgl. 21 Oktober 2015 (Toko Bebe Milk Shop)</t>
  </si>
  <si>
    <t>Pembayaran invoice Tgl. 22 Oktober 2015 (Toko Johan)</t>
  </si>
  <si>
    <t>Pembayaran invoice Tgl. 23 Oktober 2015 (Toko Johan)</t>
  </si>
  <si>
    <t>Pembayaran invoice Tgl. 28 Oktober 2015 (Toko Beras Haris)</t>
  </si>
  <si>
    <t>Pembayaran invoice Tgl. 28 Oktober 2015 (Toko Beras Haris) : Tisue Paseo</t>
  </si>
  <si>
    <t>Pembayaran invoice Tgl. 28 Oktober 2015 (Toko Johan)</t>
  </si>
  <si>
    <t>Pembayaran invoice Tgl. 16 Oktober 2015 (Toko Indomart)</t>
  </si>
  <si>
    <t>Pinjaman anggota bulan November 2015</t>
  </si>
  <si>
    <t>Iuran anggota bulan November 2015</t>
  </si>
  <si>
    <t>Pengembalian cicilan pinjaman anggota bulan November 2015</t>
  </si>
  <si>
    <t>Pendapatan bunga pinjaman anggota bulan November 2015</t>
  </si>
  <si>
    <t>Pendapatan belanja non tunai karyawan bulan November 2015</t>
  </si>
  <si>
    <t>Pendapatan belanja tunai karyawan bulan November 2015</t>
  </si>
  <si>
    <t>Pendapatan bunga belanja karyawan November 2015</t>
  </si>
  <si>
    <t>Fee Bendahara bulan November 2015</t>
  </si>
  <si>
    <t>Fee Karyawan Toko November 2015</t>
  </si>
  <si>
    <t>Pembayaran invoice Tgl. 1 November 2015 (Toko Lulu Kids)</t>
  </si>
  <si>
    <t>Pembayaran invoice Tgl. 2 November 2015 (Toko Indomart)</t>
  </si>
  <si>
    <t>Pembayaran invoice Tgl. 3 November 2015 (Toko Beras Haris)</t>
  </si>
  <si>
    <t>Pembayaran invoice Tgl. 4 November 2015 (Toko Johan)</t>
  </si>
  <si>
    <t>Pembayaran invoice Tgl. 6 November 2015 (Toko Indomart)</t>
  </si>
  <si>
    <t>Pembayaran invoice Tgl. 5 November 2015 (Toko Beras Haris)</t>
  </si>
  <si>
    <t>Pembayaran invoice Tgl. 6 November 2015 (Toko Johan)</t>
  </si>
  <si>
    <t>Pembayaran invoice Tgl. 9 November 2015 (Toko Beras Haris)</t>
  </si>
  <si>
    <t>Pembayaran invoice Tgl. 11 November 2015 (Toko Johan)</t>
  </si>
  <si>
    <t>Pembayaran invoice Tgl. 12 November 2015 (Toko Johan)</t>
  </si>
  <si>
    <t>Pembayaran invoice Tgl. 13 November 2015 (Toko Johan)</t>
  </si>
  <si>
    <t>Pembayaran invoice Tgl. 13 November 2015 (Toko Beras Haris)</t>
  </si>
  <si>
    <t>Pembayaran invoice Tgl. 17 November 2015 (Toko Beras Haris)</t>
  </si>
  <si>
    <t>Pembayaran invoice Tgl. 18 November 2015 (Toko Beras Haris)</t>
  </si>
  <si>
    <t>Pembayaran invoice Tgl. 12 November 2015 (Toko Indomart)</t>
  </si>
  <si>
    <t>Pembayaran invoice Tgl. 12 November 2015 (Toko Kingkit) : Bembeng, Oreo</t>
  </si>
  <si>
    <t>Pembayaran invoice Tgl. 12 November 2015 (Toko Kingkit) : Tisue Paseo, Molto</t>
  </si>
  <si>
    <t>Pembayaran invoice Tgl. 17 November 2015 (Toko Lulu Kids)</t>
  </si>
  <si>
    <t>Pembayaran invoice Tgl. 22 November 2015 (Toko Lulu Kids)</t>
  </si>
  <si>
    <t>Pembayaran invoice Tgl. 30 November 2015 (Toko Lulu Kids)</t>
  </si>
  <si>
    <t>Pembayaran invoice Tgl. 20 November 2015 (Toko Johan)</t>
  </si>
  <si>
    <t>Pembayaran invoice Tgl. 21 November 2015 (Toko Johan)</t>
  </si>
  <si>
    <t>Pembelian gembok &amp; rantai 23 November 2015</t>
  </si>
  <si>
    <t>Pembayaran invoice Tgl. 23 November 2015 (Toko Indomart)</t>
  </si>
  <si>
    <t>Pembayaran invoice Tgl. 24 November 2015 (Toko Johan)</t>
  </si>
  <si>
    <t>Pembelian pipa &amp; mata gergaji 24 November 2015</t>
  </si>
  <si>
    <t>Pembelian jam dinding</t>
  </si>
  <si>
    <t>Pembayaran invoice Tgl. 26 November 2015 (Toko Beras Haris)</t>
  </si>
  <si>
    <t>Biaya operasional inventory 27 November 2015</t>
  </si>
  <si>
    <t>Pembelian pipa &amp; seal 30 November 2015</t>
  </si>
  <si>
    <t>Pembayaran invoice Tgl. 1 Desember 2015 (Toko Indomart)</t>
  </si>
  <si>
    <t>Pembayaran invoice Tgl. 2 Desember 2015 (Pasar Depok) : Permen, bengbeng</t>
  </si>
  <si>
    <t>Pembayaran invoice Tgl. 7 November 2015 (Toko Lulu Kids)</t>
  </si>
  <si>
    <t>Pembayaran invoice Tgl. 12 November 2015 (Toko Beras Haris) : Tisue Paseo, Molto</t>
  </si>
  <si>
    <t>Pembayaran invoice Tgl. 12 November 2015 (Toko Aneka Snack)</t>
  </si>
  <si>
    <t>Pembayaran invoice Tgl. 2 Desember 2015 (Toko Beras Haris)</t>
  </si>
  <si>
    <t>Pembayaran invoice Tgl. 3 Desember 2015 (Toko Beras Haris)</t>
  </si>
  <si>
    <t>Pembayaran invoice Tgl. 2 Desember 2015 (Toko Johan)</t>
  </si>
  <si>
    <t>Pembayaran invoice Tgl. 3 Desember 2015 (Toko Johan)</t>
  </si>
  <si>
    <t>Pembayaran invoice Tgl. 3 Desember 2015 (Toko Indomart)</t>
  </si>
  <si>
    <t>Pembayaran invoice Tgl. 7 Desember 2015 (Toko Johan)</t>
  </si>
  <si>
    <t>Pembelian pipa</t>
  </si>
  <si>
    <t>Ongkos pasang pipa</t>
  </si>
  <si>
    <t>Pembayaran invoice Tgl. 10 Desember 2015 (PT. Wicaksana)</t>
  </si>
  <si>
    <t>Pembayaran invoice Tgl. 12 Desember 2015 (Toko Johan)</t>
  </si>
  <si>
    <t>Pembayaran invoice Tgl. 14 Desember 2015 (Toko Beras Haris)</t>
  </si>
  <si>
    <t>Pembayaran invoice Tgl. 15 Desember 2015 (Toko Lulu Kids)</t>
  </si>
  <si>
    <t>Pembayaran invoice Tgl. 5 Desember 2015 (Toko Lulu Kids)</t>
  </si>
  <si>
    <t>Pembayaran invoice Tgl. 7 Desember 2015 (Toko Indomart)</t>
  </si>
  <si>
    <t>Pembayaran invoice Tgl. 11 Desember 2015 (Toko Indomart)</t>
  </si>
  <si>
    <t>Pembayaran invoice Tgl. 11 Desember 2015 (Toko Beras Haris)</t>
  </si>
  <si>
    <t>Pembayaran invoice Tgl. 12 Desember 2015 (PT. Midi Utama)</t>
  </si>
  <si>
    <t>Pembayaran invoice Tgl. 13 Desember 2015 (Toko Lulu Kids)</t>
  </si>
  <si>
    <t>Pembayaran invoice Tgl. 17 Desember 2015 (Toko Beras Haris)</t>
  </si>
  <si>
    <t>Pembayaran invoice Tgl. 17 Desember 2015 (Toko Johan)</t>
  </si>
  <si>
    <t>Pembayaran invoice Tgl. 18 Desember 2015 (Toko Johan)</t>
  </si>
  <si>
    <t>Pembayaran invoice Tgl. 18 Desember 2015 (Toko Bintang) : Termos</t>
  </si>
  <si>
    <t>Pembayaran invoice Tgl. 20 Desember 2015 (Toko Susu Thoric)</t>
  </si>
  <si>
    <t>Pembayaran invoice Tgl. 20 Desember 2015 (Toko Susu Anaku)</t>
  </si>
  <si>
    <t>Pembayaran invoice Tgl. 22 Desember 2015 (Toko Susu Anaku)</t>
  </si>
  <si>
    <t>Biaya pemasangan paralon</t>
  </si>
  <si>
    <t>Pembayaran invoice Tgl. 26 Desember 2015 (Toko Susu Thoric)</t>
  </si>
  <si>
    <t>Pembayaran invoice Tgl. 31 Desember 2015 (Toko Susu Thoric)</t>
  </si>
  <si>
    <t>Pembayaran invoice Tgl. 29 Desember 2015 (Toko Indomart)</t>
  </si>
  <si>
    <t>Pembayaran invoice Tgl. 29 Desember 2015 (Toko Johan)</t>
  </si>
  <si>
    <t>Pengembalian dana anggota : Achmad Sabani Latief (FB)</t>
  </si>
  <si>
    <t>Pengembalian dana anggota : Supriyanto (Security)</t>
  </si>
  <si>
    <t>Pengembalian dana anggota : Iswayudi Wio (FO)</t>
  </si>
  <si>
    <t>Pengembalian dana anggota : Kevin Gosal (FO)</t>
  </si>
  <si>
    <t>Pengembalian dana anggota : Katri Himawan (Kitchen)</t>
  </si>
  <si>
    <t>Pengembalian dana anggota : Adhi Mawardi (Sec)</t>
  </si>
  <si>
    <t>Pengembalian dana anggota : Hans Robert (Sec)</t>
  </si>
  <si>
    <t>Pengembalian dana anggota : Ilmarni (FB)</t>
  </si>
  <si>
    <t>Pengembalian dana anggota : Sugiharto (FB)</t>
  </si>
  <si>
    <t>Pengembalian dana anggota : Kadam (Kitchen)</t>
  </si>
  <si>
    <t>Pengembalian dana anggota : Suheri Najmudin (S&amp;M)</t>
  </si>
  <si>
    <t>Pembayaran invoice Tgl. 13 November 2015 (Dwini) : Kacang sangrai</t>
  </si>
  <si>
    <t>Pembayaran invoice Tgl. 3 Desember 2015 (Dwini) : Kacang sangrai</t>
  </si>
  <si>
    <t>Pengembalian dana anggota : Nana Kusnaedi (HK)</t>
  </si>
  <si>
    <t>Pembayaran invoice Tgl. 23 Oktober 2015 (Dwini) : Kacang mede</t>
  </si>
  <si>
    <t>Pembayaran invoice Tgl. 23 Oktober 2015 (Dasep) : Keripik Pisang</t>
  </si>
  <si>
    <t>Pinjaman anggota bulan Desember 2015</t>
  </si>
  <si>
    <t>Iuran anggota bulan Desember 2015</t>
  </si>
  <si>
    <t>Pembayaran madu Assyra Besar, 2 September 2015</t>
  </si>
  <si>
    <t>Pembelian 1 bal es kristal besar 25 September 2015</t>
  </si>
  <si>
    <t>Pembelian 1 bal es kristal besar 28 September 2015</t>
  </si>
  <si>
    <t>Pembelian 10 botol Yakult 28 September 2015</t>
  </si>
  <si>
    <t>Pembelian 3 isi ulang air Aqua galon @Rp. 17.000,-</t>
  </si>
  <si>
    <t>Pembelian 1 bal es kristal besar 30 September 2015</t>
  </si>
  <si>
    <t>Pembelian 1 bal es kristal besar 2 Oktober 2015</t>
  </si>
  <si>
    <t>Pembelian sedotan, gela splastik, kantong plastik 3 Oktober 2015</t>
  </si>
  <si>
    <t>Pembelian 1 bal es kristal besar 5 Oktober 2015</t>
  </si>
  <si>
    <t>Pembelian 3 air Aqua galon @Rp. 16.000,- 6 Oktober 2015</t>
  </si>
  <si>
    <t>Pembelian 10 botol Yakult 7 Oktober 2015</t>
  </si>
  <si>
    <t>Pembelian gas 9 Oktober 2015</t>
  </si>
  <si>
    <t>Pembelian 1 bal es kristal besar 9 Oktober 2015</t>
  </si>
  <si>
    <t>Pembelian 3 air Aqua galon @Rp. 16.000,- 13 Oktober 2015</t>
  </si>
  <si>
    <t>Pembelian gelas splastik 13 Oktober 2015</t>
  </si>
  <si>
    <t>Pembelian sabun cuci 13 Oktober 2015</t>
  </si>
  <si>
    <t>Pembelian 10 botol Yakult 16 Oktober 2015</t>
  </si>
  <si>
    <t>Pembelian 3 air Aqua galon @Rp. 16.000,- 20 Oktober 2015</t>
  </si>
  <si>
    <t>Pembelian gelas splastik 20 Oktober 2015</t>
  </si>
  <si>
    <t>Pembayaran madu kurma &amp; Propolis 23 Oktober 2015</t>
  </si>
  <si>
    <t>Pembelian gas 24 Oktober 2015</t>
  </si>
  <si>
    <t>Pembelian 10 botol Yakult 26 Oktober 2015</t>
  </si>
  <si>
    <t>Pembelian 3 air Aqua galon @Rp. 16.000,- 26 Oktober 2015</t>
  </si>
  <si>
    <t>Pembelian 3 air Aqua galon @Rp. 16.000,- 29 Oktober 2015</t>
  </si>
  <si>
    <t>Pembelian gelas plastik 30 Oktober 2015</t>
  </si>
  <si>
    <t>Pembelian kantong plastik 3 November 2015</t>
  </si>
  <si>
    <t>Pembelian 3 air Aqua galon @Rp. 16.000,- 6 November 2015</t>
  </si>
  <si>
    <t>Pemkbelian gelas plastic &amp; kemoceng 9 November 2015</t>
  </si>
  <si>
    <t>Pembelian gas 9 November 2015</t>
  </si>
  <si>
    <t>Pembelian 10 botol Yakult 11 November 2015</t>
  </si>
  <si>
    <t>Pembelian 3 air Aqua galon @Rp. 16.000,- 12 November 2015</t>
  </si>
  <si>
    <t>Pembelian 10 botol Yakult 13 November 2015</t>
  </si>
  <si>
    <t>Pembelian 3 air Aqua galon @Rp. 16.000,- 19 November 2015</t>
  </si>
  <si>
    <t>Pembayaran faktur PT. Sumber Cipta Multiniaga 20 November 2015</t>
  </si>
  <si>
    <t>Pembelian 25 botol Yakult 20 November 2015</t>
  </si>
  <si>
    <t>Pembelian gas 24 November 2015</t>
  </si>
  <si>
    <t>Pembelian kantong plastik 24 November 2015</t>
  </si>
  <si>
    <t>Pembelian 3 air Aqua galon @Rp. 16.000,- 25 November 2015</t>
  </si>
  <si>
    <t>Pembelian 3 air Aqua galon @Rp. 16.000,- 4 Desember 2015</t>
  </si>
  <si>
    <t>Pembelian gas 10 Desember 2015</t>
  </si>
  <si>
    <t>Pembelian 2 air Aqua galon @Rp. 16.000,- 12 Desember 2015</t>
  </si>
  <si>
    <t>Pembelian gelas plastik, kantong plastik</t>
  </si>
  <si>
    <t>Pembelian 25 botol Yakult 16 Desember  2015</t>
  </si>
  <si>
    <t>Pembelian 3 air Aqua galon @Rp. 16.000,- 17 Desember 2015</t>
  </si>
  <si>
    <t>Pembayaran invoice PT. Atri Distributor 21 Desember 2015</t>
  </si>
  <si>
    <t>Pembelian 3 air Aqua galon @Rp. 16.000,- 26 Desember 2015</t>
  </si>
  <si>
    <t>Pembelian 3 air Aqua galon @Rp. 16.000,- 29 Desember 2015</t>
  </si>
  <si>
    <t>Pembayaran invoice PT. Sumber Cipta Multiniaga 30 Desember 2015</t>
  </si>
  <si>
    <t>Pembelian 25 botol Yakult 30 Desember  2015</t>
  </si>
  <si>
    <t>Pembelian gas 26 Desember 2015</t>
  </si>
  <si>
    <t xml:space="preserve">Pembayaran invoice Tgl. 21 Desember 2015 (Toko Ramayana) </t>
  </si>
  <si>
    <t>Pengembalian cicilan pinjaman anggota bulan Desember 2015</t>
  </si>
  <si>
    <t>Pendapatan bunga pinjaman anggota bulan Desember 2015</t>
  </si>
  <si>
    <t>Pendapatan belanja non tunai karyawan bulan Desember 2015</t>
  </si>
  <si>
    <t>Pendapatan belanja tunai karyawan bulan Desember 2015</t>
  </si>
  <si>
    <t>Fee Bendahara bulan Desember 2015</t>
  </si>
  <si>
    <t>Fee Karyawan Toko Desember 2015</t>
  </si>
  <si>
    <t>Pendapatan pembelian snack Family Outing 2015</t>
  </si>
  <si>
    <t>Pembayaran belanja barang toko Tgl. 27 Maret 2015 (kantong plastik, sapu)</t>
  </si>
  <si>
    <t>Belanja peralatan (gelas plastik, sedotan, kantong plastik)</t>
  </si>
  <si>
    <t>Pembayaran belanja toko 2 Juli'15 (kantong plastik)</t>
  </si>
  <si>
    <t>Pembayaran belanja toko 2 Juli 2015 (kantong plastik)</t>
  </si>
  <si>
    <t>Pembelian galon Aqua 4 Agustus 2015</t>
  </si>
  <si>
    <t>Isi ulang Aqua 4 Agustus 2015</t>
  </si>
  <si>
    <t>Fee Penjaga Toko September 2015</t>
  </si>
  <si>
    <t>Pembelian 2 galon Aqua kosong + isi ulang</t>
  </si>
  <si>
    <t>Operatsional inventory 5 September 2015</t>
  </si>
  <si>
    <t>Pembelian 1 pack Tom &amp; Jerry</t>
  </si>
  <si>
    <t>Operasional kunjungan ke Dinas Koperasi</t>
  </si>
  <si>
    <t>Isi ulang 3 galon aqua</t>
  </si>
  <si>
    <t>Isi ulang 2 galon aqua</t>
  </si>
  <si>
    <t>Fee Penjaga Toko Oktober 2015</t>
  </si>
  <si>
    <t>Pembayaran DP System Koperasi</t>
  </si>
  <si>
    <t>Ongkos belanja 15 Oktober 2015</t>
  </si>
  <si>
    <t>Pembelian refrigerator Show Case</t>
  </si>
  <si>
    <t>Ongkos belanja refrigerator + operasional (tip, makan siang)</t>
  </si>
  <si>
    <t>Pembelian sedotan, gelas plastic, kantong plastik 3 Oktober 2015</t>
  </si>
  <si>
    <t>Isi ulang 3 galon aqua 6 Oktober 2015</t>
  </si>
  <si>
    <t>Isi ulang 3 galon aqua 13 Oktober 2015</t>
  </si>
  <si>
    <t>Pembelian gelas plastic 13 Oktober 2015</t>
  </si>
  <si>
    <t>Ongkos belanja 13 Oktober 2015</t>
  </si>
  <si>
    <t>Ongkos belanja 19 Oktober 2015</t>
  </si>
  <si>
    <t>Isi ulang 3 galon aqua 20 Oktober 2015</t>
  </si>
  <si>
    <t>Pembelian gelas plastic 20 Oktober 2015</t>
  </si>
  <si>
    <t>Ongkos belanja 21 Oktober 2015</t>
  </si>
  <si>
    <t>Ongkos belanja 22 Oktober 2015</t>
  </si>
  <si>
    <t>Ongkos belanja 23 Oktober 2015</t>
  </si>
  <si>
    <t>Isi ulang 3 galon aqua 26 Oktober 2015</t>
  </si>
  <si>
    <t>Ongkos belanja 28 Oktober 2015</t>
  </si>
  <si>
    <t>Isi ulang 3 galon aqua 29 Oktober 2015</t>
  </si>
  <si>
    <t>Pembelian gelas plastic 26 Oktober 2015</t>
  </si>
  <si>
    <t>Fee Penjaga Toko November 2015</t>
  </si>
  <si>
    <t>Ongkos belanja 1 November 2015</t>
  </si>
  <si>
    <t>Ongkos belanja 2 November 2015</t>
  </si>
  <si>
    <t>Pembelian kantong plastic 3 November 2015</t>
  </si>
  <si>
    <t>Ongkos belanja 4 November 2015</t>
  </si>
  <si>
    <t>Isi ulang 3 galon aqua 6 November 2015</t>
  </si>
  <si>
    <t>Ongkos belanja 6 November 2015</t>
  </si>
  <si>
    <t>Ongkos belanja 7 November 2015</t>
  </si>
  <si>
    <t>Pembelian gelas plastic &amp; kemoceng 9 November 2015</t>
  </si>
  <si>
    <t xml:space="preserve">Pembelian gas 9 November </t>
  </si>
  <si>
    <t>Ongkos belanja 11 November 2015</t>
  </si>
  <si>
    <t>Isi ulang 3 galon aqua 12 November 2015</t>
  </si>
  <si>
    <t>Ongkos belanja 12 November 2015</t>
  </si>
  <si>
    <t>Ongkos belanja 13 November 2015</t>
  </si>
  <si>
    <t>Ongkos belanja 17 November 2015</t>
  </si>
  <si>
    <t>Isi ulang 3 galon aqua 19 November 2015</t>
  </si>
  <si>
    <t>Ongkos belanja 20 November 2015</t>
  </si>
  <si>
    <t>Ongkos belanja 21 November 2015</t>
  </si>
  <si>
    <t>Ongkos belanja 22 November 2015</t>
  </si>
  <si>
    <t>Pembelian kantong plastic 24 November 2015</t>
  </si>
  <si>
    <t>Isi ulang 3 galon aqua 25 November 2015</t>
  </si>
  <si>
    <t>Operasional inventory 27 November 2015</t>
  </si>
  <si>
    <t>Ongkos belanja 30 November 2015</t>
  </si>
  <si>
    <t>Fee Penjaga Toko Desember 2015</t>
  </si>
  <si>
    <t>Pendapatan bunga pinjaman karyawan bulan  2015</t>
  </si>
  <si>
    <t>Pendapatan bunga belanja karyawan bulan 2015</t>
  </si>
  <si>
    <t>Pendapatan bunga pinjaman karyawan bulan  September 2015</t>
  </si>
  <si>
    <t>Pendapatan bunga belanja karyawan bulan September 2015</t>
  </si>
  <si>
    <t>Pendapatan bunga pinjaman karyawan bulan  Oktober 2015</t>
  </si>
  <si>
    <t>Pendapatan bunga belanja karyawan bulan Oktober 2015</t>
  </si>
  <si>
    <t>Pendapatan bunga pinjaman karyawan bulan  November 2015</t>
  </si>
  <si>
    <t>Pendapatan bunga belanja karyawan bulan November 2015</t>
  </si>
  <si>
    <t>Ongkos belanja 2 Desember  2015</t>
  </si>
  <si>
    <t>Ongkos belanja 3 Desember  2015</t>
  </si>
  <si>
    <t>Isi ulang 3 galon aqua 4 Desember 2015</t>
  </si>
  <si>
    <t>Ongkos belanja 7 Desember  2015</t>
  </si>
  <si>
    <t>Pembelian pipa &amp; ongkos pasang</t>
  </si>
  <si>
    <t>Ongkos belanja 11 Desember  2015</t>
  </si>
  <si>
    <t>Isi ulang 2 galon aqua 12 Desember 2015</t>
  </si>
  <si>
    <t>Ongkos belanja 12 Desember  2015</t>
  </si>
  <si>
    <t>Pembelian gelas plastic, kantong plastic</t>
  </si>
  <si>
    <t>Isi ulang 3 galon aqua 17 Desember 2015</t>
  </si>
  <si>
    <t>Ongkos belanja 17 Desember  2015</t>
  </si>
  <si>
    <t>Ongkos belanja 18 Desember  2015</t>
  </si>
  <si>
    <t>Ongkos belanja 20 Desember  2015</t>
  </si>
  <si>
    <t>Ongkos belanja 21 Desember  2015</t>
  </si>
  <si>
    <t>Biaya pemasangan peralon</t>
  </si>
  <si>
    <t>Isi ulang 3 galon aqua 26 Desember 2015</t>
  </si>
  <si>
    <t>Isi ulang 3 galon aqua 29 Desember 2015</t>
  </si>
  <si>
    <t>Ongkos belanja 29 Desember  2015</t>
  </si>
  <si>
    <t>Pendapatan Koperasi per 31 Desember'15</t>
  </si>
  <si>
    <t>Saldo rekening per 31 Desember'15</t>
  </si>
  <si>
    <t>Piutang pinjaman per Februari'16</t>
  </si>
  <si>
    <t>Barang toko</t>
  </si>
  <si>
    <t>Piutang belanja per Februari'16</t>
  </si>
  <si>
    <t>Hitung SHU</t>
  </si>
  <si>
    <t>Total biaya sistem</t>
  </si>
  <si>
    <t>Nita</t>
  </si>
  <si>
    <t>samuel</t>
  </si>
  <si>
    <t>t.pinj</t>
  </si>
  <si>
    <t>t.belanja</t>
  </si>
  <si>
    <t>Total laba bruto</t>
  </si>
  <si>
    <t>-</t>
  </si>
  <si>
    <t>t.simpanan</t>
  </si>
  <si>
    <t>SHU TRANSAKSI</t>
  </si>
  <si>
    <t>SHU SIMPANAN</t>
  </si>
  <si>
    <t>Anggota</t>
  </si>
  <si>
    <t>PEMBAGIAN SHU @ANGGOTA 60%</t>
  </si>
  <si>
    <t>Samuel</t>
  </si>
  <si>
    <t>Hasil Trx</t>
  </si>
  <si>
    <t>SHU EKONOMI 70%</t>
  </si>
  <si>
    <t>SHU SIMPANAN 30%</t>
  </si>
  <si>
    <t>Column1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</si>
</sst>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43" fontId="0" fillId="0" borderId="0" xfId="1" applyFont="1"/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0" borderId="2" xfId="0" applyBorder="1"/>
    <xf numFmtId="43" fontId="0" fillId="0" borderId="2" xfId="1" applyFont="1" applyBorder="1"/>
    <xf numFmtId="0" fontId="0" fillId="2" borderId="3" xfId="0" applyFill="1" applyBorder="1" applyAlignment="1">
      <alignment horizontal="center"/>
    </xf>
    <xf numFmtId="0" fontId="0" fillId="0" borderId="3" xfId="0" applyBorder="1"/>
    <xf numFmtId="43" fontId="0" fillId="0" borderId="3" xfId="1" applyFont="1" applyBorder="1"/>
    <xf numFmtId="43" fontId="0" fillId="0" borderId="0" xfId="0" applyNumberFormat="1"/>
    <xf numFmtId="43" fontId="2" fillId="0" borderId="0" xfId="0" applyNumberFormat="1" applyFont="1"/>
    <xf numFmtId="0" fontId="3" fillId="0" borderId="3" xfId="0" applyFont="1" applyBorder="1"/>
    <xf numFmtId="0" fontId="3" fillId="0" borderId="2" xfId="0" applyFont="1" applyBorder="1"/>
    <xf numFmtId="164" fontId="0" fillId="0" borderId="3" xfId="0" applyNumberFormat="1" applyBorder="1" applyAlignment="1">
      <alignment vertical="center"/>
    </xf>
    <xf numFmtId="164" fontId="3" fillId="0" borderId="3" xfId="0" applyNumberFormat="1" applyFont="1" applyBorder="1" applyAlignment="1">
      <alignment vertical="center"/>
    </xf>
    <xf numFmtId="43" fontId="2" fillId="0" borderId="1" xfId="1" applyFont="1" applyBorder="1"/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/>
    <xf numFmtId="43" fontId="6" fillId="0" borderId="0" xfId="1" applyFont="1"/>
    <xf numFmtId="43" fontId="7" fillId="0" borderId="0" xfId="1" applyFont="1"/>
    <xf numFmtId="0" fontId="7" fillId="0" borderId="0" xfId="0" applyFont="1"/>
    <xf numFmtId="0" fontId="6" fillId="0" borderId="1" xfId="0" applyFont="1" applyBorder="1" applyAlignment="1">
      <alignment horizontal="center"/>
    </xf>
    <xf numFmtId="43" fontId="6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43" fontId="7" fillId="0" borderId="1" xfId="1" applyFont="1" applyBorder="1"/>
    <xf numFmtId="0" fontId="7" fillId="0" borderId="3" xfId="0" applyFont="1" applyBorder="1"/>
    <xf numFmtId="43" fontId="7" fillId="0" borderId="3" xfId="1" applyFont="1" applyBorder="1"/>
    <xf numFmtId="43" fontId="6" fillId="0" borderId="1" xfId="1" applyFont="1" applyBorder="1"/>
    <xf numFmtId="0" fontId="7" fillId="0" borderId="2" xfId="0" applyFont="1" applyBorder="1"/>
    <xf numFmtId="43" fontId="7" fillId="0" borderId="2" xfId="1" applyFont="1" applyBorder="1"/>
    <xf numFmtId="0" fontId="6" fillId="0" borderId="1" xfId="0" applyFont="1" applyBorder="1" applyAlignment="1">
      <alignment horizontal="right"/>
    </xf>
    <xf numFmtId="43" fontId="6" fillId="0" borderId="1" xfId="0" applyNumberFormat="1" applyFont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Alignment="1">
      <alignment vertical="center"/>
    </xf>
    <xf numFmtId="0" fontId="6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4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3" fontId="4" fillId="0" borderId="1" xfId="1" applyNumberFormat="1" applyFont="1" applyFill="1" applyBorder="1" applyAlignment="1">
      <alignment vertical="center"/>
    </xf>
    <xf numFmtId="43" fontId="4" fillId="0" borderId="1" xfId="1" applyFont="1" applyFill="1" applyBorder="1" applyAlignment="1">
      <alignment vertical="center"/>
    </xf>
    <xf numFmtId="43" fontId="4" fillId="0" borderId="1" xfId="0" applyNumberFormat="1" applyFont="1" applyFill="1" applyBorder="1" applyAlignment="1">
      <alignment vertical="center"/>
    </xf>
    <xf numFmtId="43" fontId="4" fillId="0" borderId="1" xfId="0" applyNumberFormat="1" applyFont="1" applyFill="1" applyBorder="1" applyAlignment="1">
      <alignment horizontal="center" vertical="center"/>
    </xf>
    <xf numFmtId="0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3" fontId="4" fillId="4" borderId="1" xfId="1" applyFont="1" applyFill="1" applyBorder="1" applyAlignment="1">
      <alignment vertical="center"/>
    </xf>
    <xf numFmtId="0" fontId="5" fillId="0" borderId="1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43" fontId="5" fillId="3" borderId="1" xfId="1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43" fontId="5" fillId="0" borderId="0" xfId="1" applyNumberFormat="1" applyFont="1" applyFill="1" applyBorder="1" applyAlignment="1">
      <alignment horizontal="right" vertical="center"/>
    </xf>
    <xf numFmtId="43" fontId="2" fillId="0" borderId="0" xfId="0" applyNumberFormat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43" fontId="0" fillId="0" borderId="0" xfId="1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43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43" fontId="12" fillId="0" borderId="1" xfId="1" applyFont="1" applyBorder="1"/>
    <xf numFmtId="43" fontId="4" fillId="0" borderId="0" xfId="0" applyNumberFormat="1" applyFont="1" applyAlignment="1">
      <alignment vertical="center"/>
    </xf>
    <xf numFmtId="43" fontId="2" fillId="0" borderId="0" xfId="1" applyFont="1"/>
    <xf numFmtId="43" fontId="12" fillId="0" borderId="0" xfId="1" applyFont="1"/>
    <xf numFmtId="43" fontId="12" fillId="0" borderId="0" xfId="0" applyNumberFormat="1" applyFon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/>
    <xf numFmtId="0" fontId="8" fillId="0" borderId="0" xfId="0" applyFont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43" fontId="4" fillId="0" borderId="0" xfId="1" applyFont="1" applyAlignment="1">
      <alignment vertical="center"/>
    </xf>
    <xf numFmtId="0" fontId="4" fillId="0" borderId="2" xfId="0" quotePrefix="1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/>
    </xf>
    <xf numFmtId="0" fontId="7" fillId="0" borderId="0" xfId="0" applyFont="1" applyFill="1"/>
    <xf numFmtId="43" fontId="7" fillId="0" borderId="0" xfId="1" applyFont="1" applyFill="1"/>
    <xf numFmtId="0" fontId="7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43" fontId="7" fillId="0" borderId="1" xfId="1" applyFont="1" applyFill="1" applyBorder="1"/>
    <xf numFmtId="0" fontId="6" fillId="0" borderId="0" xfId="0" applyFont="1" applyFill="1" applyAlignment="1">
      <alignment horizontal="right"/>
    </xf>
    <xf numFmtId="43" fontId="6" fillId="0" borderId="0" xfId="0" applyNumberFormat="1" applyFont="1" applyFill="1"/>
    <xf numFmtId="43" fontId="6" fillId="0" borderId="1" xfId="0" applyNumberFormat="1" applyFont="1" applyFill="1" applyBorder="1" applyAlignment="1">
      <alignment horizontal="center"/>
    </xf>
    <xf numFmtId="43" fontId="7" fillId="2" borderId="1" xfId="1" applyFont="1" applyFill="1" applyBorder="1"/>
    <xf numFmtId="43" fontId="7" fillId="0" borderId="1" xfId="0" applyNumberFormat="1" applyFont="1" applyFill="1" applyBorder="1"/>
    <xf numFmtId="0" fontId="7" fillId="0" borderId="5" xfId="0" applyFont="1" applyBorder="1"/>
    <xf numFmtId="43" fontId="7" fillId="0" borderId="5" xfId="1" applyFont="1" applyBorder="1"/>
    <xf numFmtId="43" fontId="6" fillId="0" borderId="5" xfId="1" applyFont="1" applyBorder="1"/>
    <xf numFmtId="43" fontId="7" fillId="0" borderId="0" xfId="0" applyNumberFormat="1" applyFont="1"/>
    <xf numFmtId="43" fontId="6" fillId="0" borderId="0" xfId="0" applyNumberFormat="1" applyFont="1"/>
    <xf numFmtId="43" fontId="12" fillId="0" borderId="0" xfId="0" applyNumberFormat="1" applyFont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43" fontId="6" fillId="3" borderId="2" xfId="1" applyNumberFormat="1" applyFont="1" applyFill="1" applyBorder="1" applyAlignment="1">
      <alignment horizontal="center" vertical="center"/>
    </xf>
    <xf numFmtId="0" fontId="0" fillId="0" borderId="0" xfId="0" applyBorder="1"/>
    <xf numFmtId="43" fontId="0" fillId="0" borderId="0" xfId="1" applyFont="1" applyBorder="1"/>
    <xf numFmtId="0" fontId="0" fillId="0" borderId="0" xfId="0" applyNumberFormat="1"/>
  </cellXfs>
  <cellStyles count="2">
    <cellStyle name="Comma" xfId="1" builtinId="3"/>
    <cellStyle name="Normal" xfId="0" builtinId="0"/>
  </cellStyles>
  <dxfs count="7"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Pendapatan%20Bunga%20Anggo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Rekap%20Data%20Belanja%20Tunai%20Anggo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Neraca%20koperas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"/>
      <sheetName val="2014"/>
      <sheetName val="2015"/>
    </sheetNames>
    <sheetDataSet>
      <sheetData sheetId="0"/>
      <sheetData sheetId="1"/>
      <sheetData sheetId="2">
        <row r="252">
          <cell r="AJ252">
            <v>2473000</v>
          </cell>
          <cell r="BL252">
            <v>90544119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ept'14"/>
      <sheetName val="Oct'14"/>
      <sheetName val="Nov'14"/>
      <sheetName val="Dec'14"/>
      <sheetName val="Jan'15"/>
      <sheetName val="Feb'15"/>
      <sheetName val="Mar'15"/>
      <sheetName val="Apr'15"/>
      <sheetName val="May'15"/>
      <sheetName val="June'15"/>
      <sheetName val="July'15"/>
      <sheetName val="Agst'15"/>
      <sheetName val="Sept'15"/>
    </sheetNames>
    <sheetDataSet>
      <sheetData sheetId="0" refreshError="1"/>
      <sheetData sheetId="1">
        <row r="18">
          <cell r="B18">
            <v>38960</v>
          </cell>
        </row>
      </sheetData>
      <sheetData sheetId="2">
        <row r="27">
          <cell r="B27">
            <v>77035</v>
          </cell>
        </row>
      </sheetData>
      <sheetData sheetId="3">
        <row r="23">
          <cell r="B23">
            <v>111820</v>
          </cell>
        </row>
      </sheetData>
      <sheetData sheetId="4">
        <row r="28">
          <cell r="B28">
            <v>121791</v>
          </cell>
        </row>
      </sheetData>
      <sheetData sheetId="5">
        <row r="27">
          <cell r="B27">
            <v>155110</v>
          </cell>
        </row>
      </sheetData>
      <sheetData sheetId="6">
        <row r="31">
          <cell r="B31">
            <v>212387</v>
          </cell>
        </row>
      </sheetData>
      <sheetData sheetId="7">
        <row r="26">
          <cell r="D26">
            <v>833477</v>
          </cell>
        </row>
      </sheetData>
      <sheetData sheetId="8">
        <row r="31">
          <cell r="D31">
            <v>1155548</v>
          </cell>
        </row>
      </sheetData>
      <sheetData sheetId="9">
        <row r="34">
          <cell r="D34">
            <v>905128</v>
          </cell>
        </row>
      </sheetData>
      <sheetData sheetId="10">
        <row r="33">
          <cell r="D33">
            <v>657890</v>
          </cell>
        </row>
      </sheetData>
      <sheetData sheetId="11">
        <row r="29">
          <cell r="D29">
            <v>455914</v>
          </cell>
        </row>
      </sheetData>
      <sheetData sheetId="12">
        <row r="34">
          <cell r="D34">
            <v>406580</v>
          </cell>
        </row>
      </sheetData>
      <sheetData sheetId="1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Neraca"/>
      <sheetName val="Sheet1"/>
      <sheetName val="Pendapatan"/>
      <sheetName val="Desember 2014"/>
      <sheetName val="Neraca Toko"/>
      <sheetName val="Sheet3"/>
    </sheetNames>
    <sheetDataSet>
      <sheetData sheetId="0" refreshError="1"/>
      <sheetData sheetId="1">
        <row r="136">
          <cell r="D136">
            <v>545250</v>
          </cell>
        </row>
        <row r="152">
          <cell r="D152">
            <v>622371</v>
          </cell>
        </row>
        <row r="171">
          <cell r="D171">
            <v>634950</v>
          </cell>
        </row>
        <row r="188">
          <cell r="D188">
            <v>784591</v>
          </cell>
        </row>
        <row r="215">
          <cell r="D215">
            <v>691760</v>
          </cell>
        </row>
        <row r="238">
          <cell r="D238">
            <v>759870</v>
          </cell>
        </row>
        <row r="264">
          <cell r="D264">
            <v>833477</v>
          </cell>
        </row>
        <row r="296">
          <cell r="D296">
            <v>1155548</v>
          </cell>
        </row>
        <row r="321">
          <cell r="D321">
            <v>905128</v>
          </cell>
        </row>
        <row r="337">
          <cell r="D337">
            <v>657890</v>
          </cell>
        </row>
        <row r="357">
          <cell r="D357">
            <v>455914</v>
          </cell>
        </row>
        <row r="380">
          <cell r="D380">
            <v>406580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1" name="Table1" displayName="Table1" ref="F1:J4" totalsRowCount="1">
  <autoFilter ref="F1:J4">
    <filterColumn colId="4"/>
  </autoFilter>
  <tableColumns count="5">
    <tableColumn id="1" name="Anggota" totalsRowDxfId="4"/>
    <tableColumn id="2" name="t.pinj" totalsRowDxfId="3"/>
    <tableColumn id="3" name="t.belanja" totalsRowDxfId="2"/>
    <tableColumn id="4" name="t.simpanan" dataDxfId="6" totalsRowDxfId="1" dataCellStyle="Comma"/>
    <tableColumn id="5" name="Column1" dataDxfId="5" totalsRowDxfId="0">
      <calculatedColumnFormula>SUM(Table1[[#This Row],[t.pinj]:[t.belanja]])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69"/>
  <sheetViews>
    <sheetView showGridLines="0" topLeftCell="A376" workbookViewId="0">
      <selection activeCell="B308" sqref="B308"/>
    </sheetView>
  </sheetViews>
  <sheetFormatPr defaultColWidth="5.140625" defaultRowHeight="15"/>
  <cols>
    <col min="1" max="1" width="5.140625" style="2"/>
    <col min="2" max="2" width="71.42578125" customWidth="1"/>
    <col min="3" max="5" width="18.7109375" style="1" customWidth="1"/>
    <col min="6" max="6" width="15.28515625" bestFit="1" customWidth="1"/>
    <col min="7" max="7" width="18.28515625" style="1" customWidth="1"/>
    <col min="8" max="8" width="15.28515625" style="1" bestFit="1" customWidth="1"/>
    <col min="9" max="9" width="14.28515625" bestFit="1" customWidth="1"/>
  </cols>
  <sheetData>
    <row r="1" spans="1:9">
      <c r="A1" s="52" t="s">
        <v>0</v>
      </c>
    </row>
    <row r="2" spans="1:9" ht="6" customHeight="1">
      <c r="A2" s="52"/>
    </row>
    <row r="3" spans="1:9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</row>
    <row r="4" spans="1:9">
      <c r="A4" s="6">
        <v>1</v>
      </c>
      <c r="B4" s="7" t="s">
        <v>641</v>
      </c>
      <c r="C4" s="90">
        <v>920148350</v>
      </c>
      <c r="D4" s="90">
        <v>1068688766</v>
      </c>
      <c r="E4" s="90">
        <f>D4-C4</f>
        <v>148540416</v>
      </c>
      <c r="F4" s="14"/>
    </row>
    <row r="5" spans="1:9">
      <c r="A5" s="11">
        <v>2</v>
      </c>
      <c r="B5" s="12" t="s">
        <v>44</v>
      </c>
      <c r="C5" s="13">
        <v>50500000</v>
      </c>
      <c r="D5" s="13"/>
      <c r="E5" s="13"/>
      <c r="F5" s="14"/>
      <c r="G5" s="92"/>
      <c r="H5" s="92"/>
      <c r="I5" s="15"/>
    </row>
    <row r="6" spans="1:9">
      <c r="A6" s="11"/>
      <c r="B6" s="12" t="s">
        <v>45</v>
      </c>
      <c r="C6" s="13"/>
      <c r="D6" s="13">
        <v>23900000</v>
      </c>
      <c r="E6" s="13"/>
    </row>
    <row r="7" spans="1:9">
      <c r="A7" s="11"/>
      <c r="B7" s="12" t="s">
        <v>46</v>
      </c>
      <c r="C7" s="13"/>
      <c r="D7" s="13">
        <v>35565000</v>
      </c>
      <c r="E7" s="13"/>
    </row>
    <row r="8" spans="1:9">
      <c r="A8" s="11"/>
      <c r="B8" s="12" t="s">
        <v>47</v>
      </c>
      <c r="C8" s="13"/>
      <c r="D8" s="13">
        <f>'[1]2015'!$AJ$252</f>
        <v>2473000</v>
      </c>
      <c r="E8" s="13"/>
    </row>
    <row r="9" spans="1:9">
      <c r="A9" s="11"/>
      <c r="B9" s="12" t="s">
        <v>48</v>
      </c>
      <c r="C9" s="13"/>
      <c r="D9" s="13">
        <v>26295850</v>
      </c>
      <c r="E9" s="13"/>
      <c r="F9" s="14"/>
    </row>
    <row r="10" spans="1:9">
      <c r="A10" s="11"/>
      <c r="B10" s="12" t="s">
        <v>49</v>
      </c>
      <c r="C10" s="13"/>
      <c r="D10" s="13">
        <v>7600390</v>
      </c>
      <c r="E10" s="13"/>
      <c r="F10" s="14"/>
    </row>
    <row r="11" spans="1:9">
      <c r="A11" s="11"/>
      <c r="B11" s="12" t="s">
        <v>50</v>
      </c>
      <c r="C11" s="13"/>
      <c r="D11" s="13">
        <f>536650+'[2]Jan''15'!$B$27</f>
        <v>691760</v>
      </c>
      <c r="E11" s="13"/>
    </row>
    <row r="12" spans="1:9">
      <c r="A12" s="11"/>
      <c r="B12" s="12" t="s">
        <v>51</v>
      </c>
      <c r="C12" s="13">
        <v>300000</v>
      </c>
      <c r="D12" s="13"/>
      <c r="E12" s="13"/>
    </row>
    <row r="13" spans="1:9">
      <c r="A13" s="11"/>
      <c r="B13" s="12" t="s">
        <v>52</v>
      </c>
      <c r="C13" s="13">
        <v>1000000</v>
      </c>
      <c r="D13" s="13"/>
      <c r="E13" s="13"/>
    </row>
    <row r="14" spans="1:9">
      <c r="A14" s="11"/>
      <c r="B14" s="12" t="s">
        <v>53</v>
      </c>
      <c r="C14" s="13">
        <v>12143700</v>
      </c>
      <c r="D14" s="13"/>
      <c r="E14" s="13"/>
    </row>
    <row r="15" spans="1:9">
      <c r="A15" s="11"/>
      <c r="B15" s="12" t="s">
        <v>54</v>
      </c>
      <c r="C15" s="13">
        <v>12617900</v>
      </c>
      <c r="D15" s="13"/>
      <c r="E15" s="13"/>
    </row>
    <row r="16" spans="1:9">
      <c r="A16" s="11"/>
      <c r="B16" s="12" t="s">
        <v>55</v>
      </c>
      <c r="C16" s="13">
        <v>5117300</v>
      </c>
      <c r="D16" s="13"/>
      <c r="E16" s="13"/>
    </row>
    <row r="17" spans="1:9">
      <c r="A17" s="11"/>
      <c r="B17" s="12" t="s">
        <v>56</v>
      </c>
      <c r="C17" s="13">
        <v>360000</v>
      </c>
      <c r="D17" s="13"/>
      <c r="E17" s="13"/>
    </row>
    <row r="18" spans="1:9">
      <c r="A18" s="11"/>
      <c r="B18" s="12" t="s">
        <v>39</v>
      </c>
      <c r="C18" s="13">
        <v>1170000</v>
      </c>
      <c r="D18" s="13"/>
      <c r="E18" s="13"/>
    </row>
    <row r="19" spans="1:9">
      <c r="A19" s="11"/>
      <c r="B19" s="12" t="s">
        <v>39</v>
      </c>
      <c r="C19" s="13">
        <v>1282500</v>
      </c>
      <c r="D19" s="13"/>
      <c r="E19" s="13"/>
    </row>
    <row r="20" spans="1:9">
      <c r="A20" s="11"/>
      <c r="B20" s="12" t="s">
        <v>57</v>
      </c>
      <c r="C20" s="13">
        <v>364000</v>
      </c>
      <c r="D20" s="13"/>
      <c r="E20" s="13"/>
    </row>
    <row r="21" spans="1:9">
      <c r="A21" s="11"/>
      <c r="B21" s="12" t="s">
        <v>36</v>
      </c>
      <c r="C21" s="13">
        <v>216000</v>
      </c>
      <c r="D21" s="13"/>
      <c r="E21" s="13"/>
    </row>
    <row r="22" spans="1:9">
      <c r="A22" s="11"/>
      <c r="B22" s="12" t="s">
        <v>43</v>
      </c>
      <c r="C22" s="13">
        <v>735000</v>
      </c>
      <c r="D22" s="13"/>
      <c r="E22" s="13"/>
    </row>
    <row r="23" spans="1:9">
      <c r="A23" s="11"/>
      <c r="B23" s="12" t="s">
        <v>58</v>
      </c>
      <c r="C23" s="13">
        <v>280000</v>
      </c>
      <c r="D23" s="13"/>
      <c r="E23" s="13"/>
    </row>
    <row r="24" spans="1:9">
      <c r="A24" s="11"/>
      <c r="B24" s="12" t="s">
        <v>41</v>
      </c>
      <c r="C24" s="13">
        <v>19000</v>
      </c>
      <c r="D24" s="13"/>
      <c r="E24" s="13"/>
    </row>
    <row r="25" spans="1:9">
      <c r="A25" s="11"/>
      <c r="B25" s="12" t="s">
        <v>41</v>
      </c>
      <c r="C25" s="13">
        <v>34000</v>
      </c>
      <c r="D25" s="13"/>
      <c r="E25" s="13"/>
    </row>
    <row r="26" spans="1:9">
      <c r="A26" s="11"/>
      <c r="B26" s="12" t="s">
        <v>41</v>
      </c>
      <c r="C26" s="13">
        <v>45000</v>
      </c>
      <c r="D26" s="13"/>
      <c r="E26" s="13"/>
    </row>
    <row r="27" spans="1:9">
      <c r="A27" s="8"/>
      <c r="B27" s="9" t="s">
        <v>41</v>
      </c>
      <c r="C27" s="10">
        <v>40000</v>
      </c>
      <c r="D27" s="10"/>
      <c r="E27" s="10"/>
    </row>
    <row r="28" spans="1:9">
      <c r="A28" s="11">
        <v>3</v>
      </c>
      <c r="B28" s="12" t="s">
        <v>59</v>
      </c>
      <c r="C28" s="13">
        <v>65500000</v>
      </c>
      <c r="D28" s="13"/>
      <c r="E28" s="13"/>
      <c r="F28" s="14"/>
      <c r="G28" s="92"/>
      <c r="H28" s="92"/>
      <c r="I28" s="15"/>
    </row>
    <row r="29" spans="1:9">
      <c r="A29" s="11"/>
      <c r="B29" s="12" t="s">
        <v>60</v>
      </c>
      <c r="C29" s="13"/>
      <c r="D29" s="13">
        <v>23600000</v>
      </c>
      <c r="E29" s="13"/>
    </row>
    <row r="30" spans="1:9">
      <c r="A30" s="11"/>
      <c r="B30" s="12" t="s">
        <v>61</v>
      </c>
      <c r="C30" s="13"/>
      <c r="D30" s="13">
        <v>46140000</v>
      </c>
      <c r="E30" s="13"/>
    </row>
    <row r="31" spans="1:9">
      <c r="A31" s="11"/>
      <c r="B31" s="12" t="s">
        <v>62</v>
      </c>
      <c r="C31" s="13"/>
      <c r="D31" s="13">
        <v>3650000</v>
      </c>
      <c r="E31" s="13"/>
    </row>
    <row r="32" spans="1:9">
      <c r="A32" s="11"/>
      <c r="B32" s="12" t="s">
        <v>63</v>
      </c>
      <c r="C32" s="13"/>
      <c r="D32" s="13">
        <v>26826667</v>
      </c>
      <c r="E32" s="13"/>
      <c r="F32" s="14"/>
    </row>
    <row r="33" spans="1:6">
      <c r="A33" s="11"/>
      <c r="B33" s="12" t="s">
        <v>64</v>
      </c>
      <c r="C33" s="13"/>
      <c r="D33" s="13">
        <v>10406963</v>
      </c>
      <c r="E33" s="13"/>
      <c r="F33" s="14"/>
    </row>
    <row r="34" spans="1:6">
      <c r="A34" s="11"/>
      <c r="B34" s="12" t="s">
        <v>65</v>
      </c>
      <c r="C34" s="13"/>
      <c r="D34" s="13">
        <f>547483+'[2]Feb''15'!$B$31</f>
        <v>759870</v>
      </c>
      <c r="E34" s="13"/>
    </row>
    <row r="35" spans="1:6">
      <c r="A35" s="11"/>
      <c r="B35" s="12" t="s">
        <v>66</v>
      </c>
      <c r="C35" s="13">
        <v>300000</v>
      </c>
      <c r="D35" s="13"/>
      <c r="E35" s="13"/>
    </row>
    <row r="36" spans="1:6">
      <c r="A36" s="11"/>
      <c r="B36" s="12" t="s">
        <v>67</v>
      </c>
      <c r="C36" s="13">
        <v>1500000</v>
      </c>
      <c r="D36" s="13"/>
      <c r="E36" s="13"/>
    </row>
    <row r="37" spans="1:6">
      <c r="A37" s="11"/>
      <c r="B37" s="12" t="s">
        <v>68</v>
      </c>
      <c r="C37" s="13">
        <v>5783200</v>
      </c>
      <c r="D37" s="13"/>
      <c r="E37" s="13"/>
    </row>
    <row r="38" spans="1:6">
      <c r="A38" s="11"/>
      <c r="B38" s="12" t="s">
        <v>69</v>
      </c>
      <c r="C38" s="13">
        <v>360000</v>
      </c>
      <c r="D38" s="13"/>
      <c r="E38" s="13"/>
    </row>
    <row r="39" spans="1:6">
      <c r="A39" s="11"/>
      <c r="B39" s="12" t="s">
        <v>70</v>
      </c>
      <c r="C39" s="13">
        <v>283400</v>
      </c>
      <c r="D39" s="13"/>
      <c r="E39" s="13"/>
    </row>
    <row r="40" spans="1:6">
      <c r="A40" s="11"/>
      <c r="B40" s="12" t="s">
        <v>39</v>
      </c>
      <c r="C40" s="13">
        <v>1772400</v>
      </c>
      <c r="D40" s="13"/>
      <c r="E40" s="13"/>
    </row>
    <row r="41" spans="1:6">
      <c r="A41" s="11"/>
      <c r="B41" s="12" t="s">
        <v>39</v>
      </c>
      <c r="C41" s="13">
        <v>2026300</v>
      </c>
      <c r="D41" s="13"/>
      <c r="E41" s="13"/>
    </row>
    <row r="42" spans="1:6">
      <c r="A42" s="11"/>
      <c r="B42" s="12" t="s">
        <v>39</v>
      </c>
      <c r="C42" s="13">
        <v>884800</v>
      </c>
      <c r="D42" s="13"/>
      <c r="E42" s="13"/>
    </row>
    <row r="43" spans="1:6">
      <c r="A43" s="11"/>
      <c r="B43" s="16" t="s">
        <v>71</v>
      </c>
      <c r="C43" s="13">
        <v>416500</v>
      </c>
      <c r="D43" s="13"/>
      <c r="E43" s="13"/>
    </row>
    <row r="44" spans="1:6">
      <c r="A44" s="11"/>
      <c r="B44" s="12" t="s">
        <v>72</v>
      </c>
      <c r="C44" s="13">
        <v>390000</v>
      </c>
      <c r="D44" s="13"/>
      <c r="E44" s="13"/>
    </row>
    <row r="45" spans="1:6">
      <c r="A45" s="11"/>
      <c r="B45" s="12" t="s">
        <v>73</v>
      </c>
      <c r="C45" s="13">
        <v>225000</v>
      </c>
      <c r="D45" s="13"/>
      <c r="E45" s="13"/>
    </row>
    <row r="46" spans="1:6">
      <c r="A46" s="11"/>
      <c r="B46" s="12" t="s">
        <v>73</v>
      </c>
      <c r="C46" s="13">
        <v>390000</v>
      </c>
      <c r="D46" s="13"/>
      <c r="E46" s="13"/>
    </row>
    <row r="47" spans="1:6">
      <c r="A47" s="11"/>
      <c r="B47" s="12" t="s">
        <v>74</v>
      </c>
      <c r="C47" s="13">
        <v>1675000</v>
      </c>
      <c r="D47" s="13"/>
      <c r="E47" s="13"/>
    </row>
    <row r="48" spans="1:6">
      <c r="A48" s="11"/>
      <c r="B48" s="12" t="s">
        <v>75</v>
      </c>
      <c r="C48" s="13">
        <v>800000</v>
      </c>
      <c r="D48" s="13"/>
      <c r="E48" s="13"/>
    </row>
    <row r="49" spans="1:9">
      <c r="A49" s="11"/>
      <c r="B49" s="16" t="s">
        <v>76</v>
      </c>
      <c r="C49" s="13">
        <v>1325000</v>
      </c>
      <c r="D49" s="13"/>
      <c r="E49" s="13"/>
    </row>
    <row r="50" spans="1:9">
      <c r="A50" s="11"/>
      <c r="B50" s="16" t="s">
        <v>77</v>
      </c>
      <c r="C50" s="13">
        <v>800000</v>
      </c>
      <c r="D50" s="13"/>
      <c r="E50" s="13"/>
    </row>
    <row r="51" spans="1:9">
      <c r="A51" s="11"/>
      <c r="B51" s="16" t="s">
        <v>78</v>
      </c>
      <c r="C51" s="13">
        <v>22000</v>
      </c>
      <c r="D51" s="13"/>
      <c r="E51" s="13"/>
    </row>
    <row r="52" spans="1:9">
      <c r="A52" s="11"/>
      <c r="B52" s="16" t="s">
        <v>79</v>
      </c>
      <c r="C52" s="13">
        <v>28000</v>
      </c>
      <c r="D52" s="13"/>
      <c r="E52" s="13"/>
    </row>
    <row r="53" spans="1:9">
      <c r="A53" s="8"/>
      <c r="B53" s="17" t="s">
        <v>80</v>
      </c>
      <c r="C53" s="10">
        <v>25000</v>
      </c>
      <c r="D53" s="10"/>
      <c r="E53" s="10"/>
    </row>
    <row r="54" spans="1:9">
      <c r="A54" s="11">
        <v>4</v>
      </c>
      <c r="B54" s="12" t="s">
        <v>81</v>
      </c>
      <c r="C54" s="13">
        <v>58000000</v>
      </c>
      <c r="D54" s="13"/>
      <c r="E54" s="13"/>
      <c r="F54" s="14"/>
      <c r="G54" s="92"/>
      <c r="H54" s="92"/>
      <c r="I54" s="15"/>
    </row>
    <row r="55" spans="1:9">
      <c r="A55" s="11"/>
      <c r="B55" s="12" t="s">
        <v>82</v>
      </c>
      <c r="C55" s="13"/>
      <c r="D55" s="13">
        <v>23500000</v>
      </c>
      <c r="E55" s="13"/>
    </row>
    <row r="56" spans="1:9">
      <c r="A56" s="11"/>
      <c r="B56" s="12" t="s">
        <v>83</v>
      </c>
      <c r="C56" s="13"/>
      <c r="D56" s="13">
        <v>47405000</v>
      </c>
      <c r="E56" s="13"/>
    </row>
    <row r="57" spans="1:9">
      <c r="A57" s="11"/>
      <c r="B57" s="12" t="s">
        <v>84</v>
      </c>
      <c r="C57" s="13"/>
      <c r="D57" s="13">
        <v>4260000</v>
      </c>
      <c r="E57" s="13"/>
    </row>
    <row r="58" spans="1:9">
      <c r="A58" s="11"/>
      <c r="B58" s="12" t="s">
        <v>85</v>
      </c>
      <c r="C58" s="13"/>
      <c r="D58" s="13">
        <v>21707441</v>
      </c>
      <c r="E58" s="13"/>
      <c r="F58" s="14"/>
    </row>
    <row r="59" spans="1:9">
      <c r="A59" s="11"/>
      <c r="B59" s="12" t="s">
        <v>86</v>
      </c>
      <c r="C59" s="13"/>
      <c r="D59" s="13">
        <v>7436632</v>
      </c>
      <c r="E59" s="13"/>
      <c r="F59" s="14"/>
    </row>
    <row r="60" spans="1:9">
      <c r="A60" s="11"/>
      <c r="B60" s="12" t="s">
        <v>87</v>
      </c>
      <c r="C60" s="13"/>
      <c r="D60" s="13">
        <f>'[2]Mar''15'!$D$26</f>
        <v>833477</v>
      </c>
      <c r="E60" s="13"/>
    </row>
    <row r="61" spans="1:9">
      <c r="A61" s="11"/>
      <c r="B61" s="12" t="s">
        <v>88</v>
      </c>
      <c r="C61" s="13">
        <v>300000</v>
      </c>
      <c r="D61" s="13"/>
      <c r="E61" s="13"/>
    </row>
    <row r="62" spans="1:9">
      <c r="A62" s="11"/>
      <c r="B62" s="12" t="s">
        <v>89</v>
      </c>
      <c r="C62" s="13">
        <v>1500000</v>
      </c>
      <c r="D62" s="13"/>
      <c r="E62" s="13"/>
    </row>
    <row r="63" spans="1:9">
      <c r="A63" s="11"/>
      <c r="B63" s="12" t="s">
        <v>90</v>
      </c>
      <c r="C63" s="13">
        <v>8635000</v>
      </c>
      <c r="D63" s="13"/>
      <c r="E63" s="13"/>
    </row>
    <row r="64" spans="1:9">
      <c r="A64" s="11"/>
      <c r="B64" s="12" t="s">
        <v>91</v>
      </c>
      <c r="C64" s="13">
        <v>3585500</v>
      </c>
      <c r="D64" s="13"/>
      <c r="E64" s="13"/>
    </row>
    <row r="65" spans="1:5">
      <c r="A65" s="11"/>
      <c r="B65" s="12" t="s">
        <v>92</v>
      </c>
      <c r="C65" s="13">
        <v>7550350</v>
      </c>
      <c r="D65" s="13"/>
      <c r="E65" s="13"/>
    </row>
    <row r="66" spans="1:5">
      <c r="A66" s="11"/>
      <c r="B66" s="16" t="s">
        <v>93</v>
      </c>
      <c r="C66" s="13">
        <v>11419300</v>
      </c>
      <c r="D66" s="13"/>
      <c r="E66" s="13"/>
    </row>
    <row r="67" spans="1:5">
      <c r="A67" s="11"/>
      <c r="B67" s="16" t="s">
        <v>94</v>
      </c>
      <c r="C67" s="13">
        <v>13427000</v>
      </c>
      <c r="D67" s="13"/>
      <c r="E67" s="13"/>
    </row>
    <row r="68" spans="1:5">
      <c r="A68" s="11"/>
      <c r="B68" s="16" t="s">
        <v>95</v>
      </c>
      <c r="C68" s="13">
        <v>15395000</v>
      </c>
      <c r="D68" s="13"/>
      <c r="E68" s="13"/>
    </row>
    <row r="69" spans="1:5">
      <c r="A69" s="11"/>
      <c r="B69" s="12" t="s">
        <v>96</v>
      </c>
      <c r="C69" s="13">
        <v>308100</v>
      </c>
      <c r="D69" s="13"/>
      <c r="E69" s="13"/>
    </row>
    <row r="70" spans="1:5">
      <c r="A70" s="11"/>
      <c r="B70" s="12" t="s">
        <v>39</v>
      </c>
      <c r="C70" s="13">
        <v>1810800</v>
      </c>
      <c r="D70" s="13"/>
      <c r="E70" s="13"/>
    </row>
    <row r="71" spans="1:5">
      <c r="A71" s="11"/>
      <c r="B71" s="16" t="s">
        <v>97</v>
      </c>
      <c r="C71" s="13">
        <v>3154200</v>
      </c>
      <c r="D71" s="13"/>
      <c r="E71" s="13"/>
    </row>
    <row r="72" spans="1:5">
      <c r="A72" s="11"/>
      <c r="B72" s="12" t="s">
        <v>98</v>
      </c>
      <c r="C72" s="13">
        <v>520500</v>
      </c>
      <c r="D72" s="13"/>
      <c r="E72" s="13"/>
    </row>
    <row r="73" spans="1:5">
      <c r="A73" s="11"/>
      <c r="B73" s="12" t="s">
        <v>73</v>
      </c>
      <c r="C73" s="13">
        <v>335000</v>
      </c>
      <c r="D73" s="13"/>
      <c r="E73" s="13"/>
    </row>
    <row r="74" spans="1:5">
      <c r="A74" s="11"/>
      <c r="B74" s="12" t="s">
        <v>99</v>
      </c>
      <c r="C74" s="13">
        <v>1675000</v>
      </c>
      <c r="D74" s="13"/>
      <c r="E74" s="13"/>
    </row>
    <row r="75" spans="1:5">
      <c r="A75" s="11"/>
      <c r="B75" s="16" t="s">
        <v>100</v>
      </c>
      <c r="C75" s="13">
        <v>1775000</v>
      </c>
      <c r="D75" s="13"/>
      <c r="E75" s="13"/>
    </row>
    <row r="76" spans="1:5">
      <c r="A76" s="11"/>
      <c r="B76" s="16" t="s">
        <v>101</v>
      </c>
      <c r="C76" s="13">
        <v>1335000</v>
      </c>
      <c r="D76" s="13"/>
      <c r="E76" s="13"/>
    </row>
    <row r="77" spans="1:5">
      <c r="A77" s="11"/>
      <c r="B77" s="16" t="s">
        <v>102</v>
      </c>
      <c r="C77" s="13">
        <v>32000</v>
      </c>
      <c r="D77" s="13"/>
      <c r="E77" s="13"/>
    </row>
    <row r="78" spans="1:5">
      <c r="A78" s="11"/>
      <c r="B78" s="16" t="s">
        <v>103</v>
      </c>
      <c r="C78" s="13">
        <v>20000</v>
      </c>
      <c r="D78" s="13"/>
      <c r="E78" s="13"/>
    </row>
    <row r="79" spans="1:5">
      <c r="A79" s="11"/>
      <c r="B79" s="16" t="s">
        <v>104</v>
      </c>
      <c r="C79" s="13">
        <v>10000</v>
      </c>
      <c r="D79" s="13"/>
      <c r="E79" s="13"/>
    </row>
    <row r="80" spans="1:5">
      <c r="A80" s="11"/>
      <c r="B80" s="16" t="s">
        <v>105</v>
      </c>
      <c r="C80" s="13">
        <v>34000</v>
      </c>
      <c r="D80" s="13"/>
      <c r="E80" s="13"/>
    </row>
    <row r="81" spans="1:9">
      <c r="A81" s="11"/>
      <c r="B81" s="16" t="s">
        <v>106</v>
      </c>
      <c r="C81" s="13">
        <v>39000</v>
      </c>
      <c r="D81" s="13"/>
      <c r="E81" s="13"/>
    </row>
    <row r="82" spans="1:9">
      <c r="A82" s="11"/>
      <c r="B82" s="16" t="s">
        <v>107</v>
      </c>
      <c r="C82" s="13">
        <v>18000</v>
      </c>
      <c r="D82" s="13"/>
      <c r="E82" s="13"/>
    </row>
    <row r="83" spans="1:9">
      <c r="A83" s="11"/>
      <c r="B83" s="16" t="s">
        <v>108</v>
      </c>
      <c r="C83" s="13">
        <v>25000</v>
      </c>
      <c r="D83" s="13"/>
      <c r="E83" s="13"/>
    </row>
    <row r="84" spans="1:9">
      <c r="A84" s="11"/>
      <c r="B84" s="16" t="s">
        <v>109</v>
      </c>
      <c r="C84" s="13">
        <v>48000</v>
      </c>
      <c r="D84" s="13"/>
      <c r="E84" s="13"/>
    </row>
    <row r="85" spans="1:9">
      <c r="A85" s="8"/>
      <c r="B85" s="17" t="s">
        <v>110</v>
      </c>
      <c r="C85" s="10">
        <v>160000</v>
      </c>
      <c r="D85" s="10"/>
      <c r="E85" s="10"/>
    </row>
    <row r="86" spans="1:9">
      <c r="A86" s="11">
        <v>5</v>
      </c>
      <c r="B86" s="16" t="s">
        <v>111</v>
      </c>
      <c r="C86" s="13">
        <v>53000000</v>
      </c>
      <c r="D86" s="13"/>
      <c r="E86" s="13"/>
      <c r="F86" s="15"/>
      <c r="G86" s="92"/>
      <c r="H86" s="92"/>
      <c r="I86" s="15"/>
    </row>
    <row r="87" spans="1:9">
      <c r="A87" s="11"/>
      <c r="B87" s="16" t="s">
        <v>112</v>
      </c>
      <c r="C87" s="13"/>
      <c r="D87" s="13">
        <v>23700000</v>
      </c>
      <c r="E87" s="13"/>
    </row>
    <row r="88" spans="1:9">
      <c r="A88" s="11"/>
      <c r="B88" s="16" t="s">
        <v>113</v>
      </c>
      <c r="C88" s="13"/>
      <c r="D88" s="13">
        <v>48965000</v>
      </c>
      <c r="E88" s="13"/>
    </row>
    <row r="89" spans="1:9">
      <c r="A89" s="11"/>
      <c r="B89" s="16" t="s">
        <v>114</v>
      </c>
      <c r="C89" s="13"/>
      <c r="D89" s="13">
        <v>4733000</v>
      </c>
      <c r="E89" s="13"/>
    </row>
    <row r="90" spans="1:9">
      <c r="A90" s="11"/>
      <c r="B90" s="16" t="s">
        <v>115</v>
      </c>
      <c r="C90" s="13"/>
      <c r="D90" s="13">
        <v>34536131</v>
      </c>
      <c r="E90" s="13"/>
      <c r="F90" s="14"/>
    </row>
    <row r="91" spans="1:9">
      <c r="A91" s="11"/>
      <c r="B91" s="12" t="s">
        <v>116</v>
      </c>
      <c r="C91" s="13"/>
      <c r="D91" s="13">
        <v>15798090</v>
      </c>
      <c r="E91" s="13"/>
      <c r="F91" s="14"/>
    </row>
    <row r="92" spans="1:9">
      <c r="A92" s="11"/>
      <c r="B92" s="16" t="s">
        <v>117</v>
      </c>
      <c r="C92" s="13"/>
      <c r="D92" s="13">
        <f>'[2]Apr''15'!$D$31</f>
        <v>1155548</v>
      </c>
      <c r="E92" s="13"/>
    </row>
    <row r="93" spans="1:9">
      <c r="A93" s="11"/>
      <c r="B93" s="16" t="s">
        <v>118</v>
      </c>
      <c r="C93" s="13">
        <v>300000</v>
      </c>
      <c r="D93" s="13"/>
      <c r="E93" s="13"/>
    </row>
    <row r="94" spans="1:9">
      <c r="A94" s="11"/>
      <c r="B94" s="16" t="s">
        <v>119</v>
      </c>
      <c r="C94" s="13">
        <v>3000000</v>
      </c>
      <c r="D94" s="13"/>
      <c r="E94" s="13"/>
    </row>
    <row r="95" spans="1:9">
      <c r="A95" s="11"/>
      <c r="B95" s="16" t="s">
        <v>120</v>
      </c>
      <c r="C95" s="13">
        <v>14344800</v>
      </c>
      <c r="D95" s="13"/>
      <c r="E95" s="13"/>
    </row>
    <row r="96" spans="1:9">
      <c r="A96" s="11"/>
      <c r="B96" s="16" t="s">
        <v>121</v>
      </c>
      <c r="C96" s="13">
        <v>18270000</v>
      </c>
      <c r="D96" s="13"/>
      <c r="E96" s="13"/>
    </row>
    <row r="97" spans="1:9">
      <c r="A97" s="11"/>
      <c r="B97" s="16" t="s">
        <v>122</v>
      </c>
      <c r="C97" s="13">
        <v>16859600</v>
      </c>
      <c r="D97" s="13"/>
      <c r="E97" s="13"/>
    </row>
    <row r="98" spans="1:9">
      <c r="A98" s="11"/>
      <c r="B98" s="16" t="s">
        <v>123</v>
      </c>
      <c r="C98" s="13">
        <v>11890000</v>
      </c>
      <c r="D98" s="13"/>
      <c r="E98" s="13"/>
    </row>
    <row r="99" spans="1:9">
      <c r="A99" s="11"/>
      <c r="B99" s="16" t="s">
        <v>124</v>
      </c>
      <c r="C99" s="13">
        <v>880500</v>
      </c>
      <c r="D99" s="13"/>
      <c r="E99" s="13"/>
    </row>
    <row r="100" spans="1:9">
      <c r="A100" s="11"/>
      <c r="B100" s="16" t="s">
        <v>124</v>
      </c>
      <c r="C100" s="13">
        <v>11761400</v>
      </c>
      <c r="D100" s="13"/>
      <c r="E100" s="13"/>
    </row>
    <row r="101" spans="1:9">
      <c r="A101" s="11"/>
      <c r="B101" s="16" t="s">
        <v>125</v>
      </c>
      <c r="C101" s="13">
        <v>430000</v>
      </c>
      <c r="D101" s="13"/>
      <c r="E101" s="13"/>
    </row>
    <row r="102" spans="1:9">
      <c r="A102" s="11"/>
      <c r="B102" s="16" t="s">
        <v>126</v>
      </c>
      <c r="C102" s="13">
        <v>90000</v>
      </c>
      <c r="D102" s="13"/>
      <c r="E102" s="13"/>
    </row>
    <row r="103" spans="1:9">
      <c r="A103" s="11"/>
      <c r="B103" s="16" t="s">
        <v>127</v>
      </c>
      <c r="C103" s="13">
        <v>414000</v>
      </c>
      <c r="D103" s="13"/>
      <c r="E103" s="13"/>
    </row>
    <row r="104" spans="1:9">
      <c r="A104" s="11"/>
      <c r="B104" s="16" t="s">
        <v>128</v>
      </c>
      <c r="C104" s="13">
        <v>327000</v>
      </c>
      <c r="D104" s="13"/>
      <c r="E104" s="13"/>
    </row>
    <row r="105" spans="1:9">
      <c r="A105" s="11"/>
      <c r="B105" s="16" t="s">
        <v>129</v>
      </c>
      <c r="C105" s="13">
        <v>76500</v>
      </c>
      <c r="D105" s="13"/>
      <c r="E105" s="13"/>
    </row>
    <row r="106" spans="1:9">
      <c r="A106" s="11"/>
      <c r="B106" s="12" t="s">
        <v>73</v>
      </c>
      <c r="C106" s="13">
        <v>42000</v>
      </c>
      <c r="D106" s="13"/>
      <c r="E106" s="13"/>
    </row>
    <row r="107" spans="1:9">
      <c r="A107" s="11"/>
      <c r="B107" s="16" t="s">
        <v>130</v>
      </c>
      <c r="C107" s="13">
        <v>1225000</v>
      </c>
      <c r="D107" s="13"/>
      <c r="E107" s="13"/>
    </row>
    <row r="108" spans="1:9">
      <c r="A108" s="11"/>
      <c r="B108" s="16" t="s">
        <v>131</v>
      </c>
      <c r="C108" s="13">
        <v>700000</v>
      </c>
      <c r="D108" s="13"/>
      <c r="E108" s="13"/>
    </row>
    <row r="109" spans="1:9">
      <c r="A109" s="11"/>
      <c r="B109" s="16" t="s">
        <v>132</v>
      </c>
      <c r="C109" s="13">
        <v>1525000</v>
      </c>
      <c r="D109" s="13"/>
      <c r="E109" s="13"/>
    </row>
    <row r="110" spans="1:9">
      <c r="A110" s="8"/>
      <c r="B110" s="17" t="s">
        <v>133</v>
      </c>
      <c r="C110" s="10">
        <f>471000+22000+30000+100000+38000</f>
        <v>661000</v>
      </c>
      <c r="D110" s="10"/>
      <c r="E110" s="10"/>
    </row>
    <row r="111" spans="1:9">
      <c r="A111" s="11">
        <v>6</v>
      </c>
      <c r="B111" s="16" t="s">
        <v>134</v>
      </c>
      <c r="C111" s="13">
        <v>55500000</v>
      </c>
      <c r="D111" s="13"/>
      <c r="E111" s="13"/>
      <c r="F111" s="15"/>
      <c r="G111" s="92"/>
      <c r="H111" s="92"/>
      <c r="I111" s="15"/>
    </row>
    <row r="112" spans="1:9">
      <c r="A112" s="11"/>
      <c r="B112" s="16" t="s">
        <v>135</v>
      </c>
      <c r="C112" s="13"/>
      <c r="D112" s="13">
        <v>23300000</v>
      </c>
      <c r="E112" s="13"/>
    </row>
    <row r="113" spans="1:9">
      <c r="A113" s="11"/>
      <c r="B113" s="16" t="s">
        <v>136</v>
      </c>
      <c r="C113" s="13"/>
      <c r="D113" s="13">
        <v>49970000</v>
      </c>
      <c r="E113" s="13"/>
    </row>
    <row r="114" spans="1:9">
      <c r="A114" s="11"/>
      <c r="B114" s="16" t="s">
        <v>137</v>
      </c>
      <c r="C114" s="13"/>
      <c r="D114" s="13">
        <v>4754000</v>
      </c>
      <c r="E114" s="13"/>
    </row>
    <row r="115" spans="1:9">
      <c r="A115" s="11"/>
      <c r="B115" s="16" t="s">
        <v>138</v>
      </c>
      <c r="C115" s="13"/>
      <c r="D115" s="13">
        <v>39254782</v>
      </c>
      <c r="E115" s="13"/>
      <c r="F115" s="14"/>
    </row>
    <row r="116" spans="1:9">
      <c r="A116" s="11"/>
      <c r="B116" s="12" t="s">
        <v>139</v>
      </c>
      <c r="C116" s="13"/>
      <c r="D116" s="13">
        <v>16264276</v>
      </c>
      <c r="E116" s="13"/>
      <c r="F116" s="14"/>
    </row>
    <row r="117" spans="1:9">
      <c r="A117" s="11"/>
      <c r="B117" s="16" t="s">
        <v>140</v>
      </c>
      <c r="C117" s="13"/>
      <c r="D117" s="13">
        <f>'[2]May''15'!$D$34</f>
        <v>905128</v>
      </c>
      <c r="E117" s="13"/>
    </row>
    <row r="118" spans="1:9">
      <c r="A118" s="11"/>
      <c r="B118" s="16" t="s">
        <v>141</v>
      </c>
      <c r="C118" s="13">
        <v>300000</v>
      </c>
      <c r="D118" s="13"/>
      <c r="E118" s="13"/>
    </row>
    <row r="119" spans="1:9">
      <c r="A119" s="11"/>
      <c r="B119" s="16" t="s">
        <v>142</v>
      </c>
      <c r="C119" s="13">
        <v>3000000</v>
      </c>
      <c r="D119" s="13"/>
      <c r="E119" s="13"/>
    </row>
    <row r="120" spans="1:9">
      <c r="A120" s="11"/>
      <c r="B120" s="16" t="s">
        <v>143</v>
      </c>
      <c r="C120" s="13">
        <v>9813500</v>
      </c>
      <c r="D120" s="13"/>
      <c r="E120" s="13"/>
    </row>
    <row r="121" spans="1:9">
      <c r="A121" s="11"/>
      <c r="B121" s="16" t="s">
        <v>144</v>
      </c>
      <c r="C121" s="13">
        <v>9187100</v>
      </c>
      <c r="D121" s="13"/>
      <c r="E121" s="13" t="s">
        <v>145</v>
      </c>
    </row>
    <row r="122" spans="1:9">
      <c r="A122" s="11"/>
      <c r="B122" s="16" t="s">
        <v>146</v>
      </c>
      <c r="C122" s="13">
        <v>18470900</v>
      </c>
      <c r="D122" s="13"/>
      <c r="E122" s="13"/>
    </row>
    <row r="123" spans="1:9">
      <c r="A123" s="11"/>
      <c r="B123" s="16" t="s">
        <v>147</v>
      </c>
      <c r="C123" s="13">
        <v>430000</v>
      </c>
      <c r="D123" s="13"/>
      <c r="E123" s="13"/>
    </row>
    <row r="124" spans="1:9">
      <c r="A124" s="11"/>
      <c r="B124" s="16" t="s">
        <v>148</v>
      </c>
      <c r="C124" s="13">
        <v>1975000</v>
      </c>
      <c r="D124" s="13"/>
      <c r="E124" s="13"/>
    </row>
    <row r="125" spans="1:9">
      <c r="A125" s="11"/>
      <c r="B125" s="16" t="s">
        <v>149</v>
      </c>
      <c r="C125" s="13">
        <v>700000</v>
      </c>
      <c r="D125" s="13"/>
      <c r="E125" s="13"/>
    </row>
    <row r="126" spans="1:9">
      <c r="A126" s="8"/>
      <c r="B126" s="17" t="s">
        <v>150</v>
      </c>
      <c r="C126" s="10">
        <f>15000+37000+10000+16000+10000+47000</f>
        <v>135000</v>
      </c>
      <c r="D126" s="10"/>
      <c r="E126" s="10"/>
    </row>
    <row r="127" spans="1:9">
      <c r="A127" s="11">
        <v>7</v>
      </c>
      <c r="B127" s="16" t="s">
        <v>151</v>
      </c>
      <c r="C127" s="13">
        <v>65500000</v>
      </c>
      <c r="D127" s="13"/>
      <c r="E127" s="13"/>
      <c r="F127" s="15"/>
      <c r="G127" s="92"/>
      <c r="H127" s="92"/>
      <c r="I127" s="15"/>
    </row>
    <row r="128" spans="1:9">
      <c r="A128" s="11"/>
      <c r="B128" s="16" t="s">
        <v>152</v>
      </c>
      <c r="C128" s="13"/>
      <c r="D128" s="13">
        <v>22700000</v>
      </c>
      <c r="E128" s="13"/>
    </row>
    <row r="129" spans="1:6">
      <c r="A129" s="11"/>
      <c r="B129" s="16" t="s">
        <v>153</v>
      </c>
      <c r="C129" s="13"/>
      <c r="D129" s="13">
        <v>43870000</v>
      </c>
      <c r="E129" s="13"/>
    </row>
    <row r="130" spans="1:6">
      <c r="A130" s="11"/>
      <c r="B130" s="16" t="s">
        <v>154</v>
      </c>
      <c r="C130" s="13"/>
      <c r="D130" s="13">
        <v>4134000</v>
      </c>
      <c r="E130" s="13"/>
    </row>
    <row r="131" spans="1:6">
      <c r="A131" s="11"/>
      <c r="B131" s="16" t="s">
        <v>155</v>
      </c>
      <c r="C131" s="13"/>
      <c r="D131" s="13">
        <v>28543676</v>
      </c>
      <c r="E131" s="13"/>
      <c r="F131" s="14"/>
    </row>
    <row r="132" spans="1:6">
      <c r="A132" s="11"/>
      <c r="B132" s="12" t="s">
        <v>156</v>
      </c>
      <c r="C132" s="13"/>
      <c r="D132" s="13">
        <v>9823520</v>
      </c>
      <c r="E132" s="13"/>
      <c r="F132" s="14"/>
    </row>
    <row r="133" spans="1:6">
      <c r="A133" s="11"/>
      <c r="B133" s="16" t="s">
        <v>157</v>
      </c>
      <c r="C133" s="13"/>
      <c r="D133" s="13">
        <f>'[2]June''15'!$D$33</f>
        <v>657890</v>
      </c>
      <c r="E133" s="13"/>
    </row>
    <row r="134" spans="1:6">
      <c r="A134" s="11"/>
      <c r="B134" s="16" t="s">
        <v>158</v>
      </c>
      <c r="C134" s="13">
        <v>300000</v>
      </c>
      <c r="D134" s="13"/>
      <c r="E134" s="13"/>
    </row>
    <row r="135" spans="1:6">
      <c r="A135" s="11"/>
      <c r="B135" s="16" t="s">
        <v>159</v>
      </c>
      <c r="C135" s="13">
        <v>3000000</v>
      </c>
      <c r="D135" s="13"/>
      <c r="E135" s="13"/>
    </row>
    <row r="136" spans="1:6">
      <c r="A136" s="11"/>
      <c r="B136" s="16" t="s">
        <v>160</v>
      </c>
      <c r="C136" s="13">
        <v>710400</v>
      </c>
      <c r="D136" s="13"/>
      <c r="E136" s="13"/>
    </row>
    <row r="137" spans="1:6">
      <c r="A137" s="11"/>
      <c r="B137" s="16" t="s">
        <v>161</v>
      </c>
      <c r="C137" s="13">
        <v>8998600</v>
      </c>
      <c r="D137" s="13"/>
      <c r="E137" s="13"/>
    </row>
    <row r="138" spans="1:6">
      <c r="A138" s="11"/>
      <c r="B138" s="16" t="s">
        <v>162</v>
      </c>
      <c r="C138" s="13">
        <v>7989200</v>
      </c>
      <c r="D138" s="13"/>
      <c r="E138" s="13"/>
    </row>
    <row r="139" spans="1:6">
      <c r="A139" s="11"/>
      <c r="B139" s="16" t="s">
        <v>163</v>
      </c>
      <c r="C139" s="13">
        <f>29000+31000</f>
        <v>60000</v>
      </c>
      <c r="D139" s="13"/>
      <c r="E139" s="13"/>
    </row>
    <row r="140" spans="1:6">
      <c r="A140" s="11"/>
      <c r="B140" s="16" t="s">
        <v>164</v>
      </c>
      <c r="C140" s="13">
        <v>42000</v>
      </c>
      <c r="D140" s="13"/>
      <c r="E140" s="13"/>
    </row>
    <row r="141" spans="1:6">
      <c r="A141" s="11"/>
      <c r="B141" s="16" t="s">
        <v>165</v>
      </c>
      <c r="C141" s="13">
        <v>93000</v>
      </c>
      <c r="D141" s="13"/>
      <c r="E141" s="13"/>
    </row>
    <row r="142" spans="1:6">
      <c r="A142" s="11"/>
      <c r="B142" s="16" t="s">
        <v>166</v>
      </c>
      <c r="C142" s="13">
        <v>700000</v>
      </c>
      <c r="D142" s="13"/>
      <c r="E142" s="13"/>
    </row>
    <row r="143" spans="1:6">
      <c r="A143" s="11"/>
      <c r="B143" s="16" t="s">
        <v>167</v>
      </c>
      <c r="C143" s="13">
        <v>1950000</v>
      </c>
      <c r="D143" s="13"/>
      <c r="E143" s="13"/>
    </row>
    <row r="144" spans="1:6">
      <c r="A144" s="11"/>
      <c r="B144" s="16" t="s">
        <v>168</v>
      </c>
      <c r="C144" s="13">
        <v>1925000</v>
      </c>
      <c r="D144" s="13"/>
      <c r="E144" s="13"/>
    </row>
    <row r="145" spans="1:9">
      <c r="A145" s="11"/>
      <c r="B145" s="16" t="s">
        <v>169</v>
      </c>
      <c r="C145" s="13">
        <v>500000</v>
      </c>
      <c r="D145" s="13"/>
      <c r="E145" s="13"/>
    </row>
    <row r="146" spans="1:9">
      <c r="A146" s="8"/>
      <c r="B146" s="17" t="s">
        <v>170</v>
      </c>
      <c r="C146" s="10">
        <v>600000</v>
      </c>
      <c r="D146" s="10"/>
      <c r="E146" s="10"/>
    </row>
    <row r="147" spans="1:9">
      <c r="A147" s="11">
        <v>8</v>
      </c>
      <c r="B147" s="16" t="s">
        <v>171</v>
      </c>
      <c r="C147" s="13">
        <v>69900000</v>
      </c>
      <c r="D147" s="13"/>
      <c r="E147" s="13"/>
      <c r="F147" s="15"/>
      <c r="G147" s="92"/>
      <c r="H147" s="92"/>
      <c r="I147" s="15"/>
    </row>
    <row r="148" spans="1:9">
      <c r="A148" s="11"/>
      <c r="B148" s="16" t="s">
        <v>172</v>
      </c>
      <c r="C148" s="13"/>
      <c r="D148" s="13">
        <v>22700000</v>
      </c>
      <c r="E148" s="13"/>
    </row>
    <row r="149" spans="1:9">
      <c r="A149" s="11"/>
      <c r="B149" s="16" t="s">
        <v>173</v>
      </c>
      <c r="C149" s="13"/>
      <c r="D149" s="13">
        <v>55135000</v>
      </c>
      <c r="E149" s="13"/>
    </row>
    <row r="150" spans="1:9">
      <c r="A150" s="11"/>
      <c r="B150" s="16" t="s">
        <v>174</v>
      </c>
      <c r="C150" s="13"/>
      <c r="D150" s="13">
        <v>4892000</v>
      </c>
      <c r="E150" s="13"/>
    </row>
    <row r="151" spans="1:9">
      <c r="A151" s="11"/>
      <c r="B151" s="16" t="s">
        <v>175</v>
      </c>
      <c r="C151" s="13"/>
      <c r="D151" s="13">
        <v>20492290</v>
      </c>
      <c r="E151" s="13"/>
      <c r="F151" s="14"/>
    </row>
    <row r="152" spans="1:9">
      <c r="A152" s="11"/>
      <c r="B152" s="12" t="s">
        <v>176</v>
      </c>
      <c r="C152" s="13"/>
      <c r="D152" s="13">
        <v>7381556</v>
      </c>
      <c r="E152" s="13"/>
      <c r="F152" s="14"/>
    </row>
    <row r="153" spans="1:9">
      <c r="A153" s="11"/>
      <c r="B153" s="16" t="s">
        <v>177</v>
      </c>
      <c r="C153" s="13"/>
      <c r="D153" s="13">
        <f>'[2]July''15'!$D$29</f>
        <v>455914</v>
      </c>
      <c r="E153" s="13"/>
    </row>
    <row r="154" spans="1:9">
      <c r="A154" s="11"/>
      <c r="B154" s="16" t="s">
        <v>178</v>
      </c>
      <c r="C154" s="13"/>
      <c r="D154" s="13">
        <v>1893000</v>
      </c>
      <c r="E154" s="13"/>
    </row>
    <row r="155" spans="1:9">
      <c r="A155" s="11"/>
      <c r="B155" s="16" t="s">
        <v>179</v>
      </c>
      <c r="C155" s="13">
        <v>300000</v>
      </c>
      <c r="D155" s="13"/>
      <c r="E155" s="13"/>
    </row>
    <row r="156" spans="1:9">
      <c r="A156" s="11"/>
      <c r="B156" s="16" t="s">
        <v>180</v>
      </c>
      <c r="C156" s="13">
        <v>3000000</v>
      </c>
      <c r="D156" s="13"/>
      <c r="E156" s="13"/>
    </row>
    <row r="157" spans="1:9">
      <c r="A157" s="11"/>
      <c r="B157" s="16" t="s">
        <v>181</v>
      </c>
      <c r="C157" s="13">
        <f>400000+107000</f>
        <v>507000</v>
      </c>
      <c r="D157" s="13"/>
      <c r="E157" s="13"/>
    </row>
    <row r="158" spans="1:9">
      <c r="A158" s="11"/>
      <c r="B158" s="16" t="s">
        <v>182</v>
      </c>
      <c r="C158" s="13">
        <f>150000+107000</f>
        <v>257000</v>
      </c>
      <c r="D158" s="13"/>
      <c r="E158" s="13"/>
    </row>
    <row r="159" spans="1:9">
      <c r="A159" s="11"/>
      <c r="B159" s="16" t="s">
        <v>183</v>
      </c>
      <c r="C159" s="13">
        <v>4532000</v>
      </c>
      <c r="D159" s="13"/>
      <c r="E159" s="13"/>
    </row>
    <row r="160" spans="1:9">
      <c r="A160" s="11"/>
      <c r="B160" s="16" t="s">
        <v>184</v>
      </c>
      <c r="C160" s="13">
        <v>1181600</v>
      </c>
      <c r="D160" s="13"/>
      <c r="E160" s="13"/>
    </row>
    <row r="161" spans="1:9">
      <c r="A161" s="11"/>
      <c r="B161" s="16" t="s">
        <v>185</v>
      </c>
      <c r="C161" s="13">
        <v>4854100</v>
      </c>
      <c r="D161" s="13"/>
      <c r="E161" s="13"/>
    </row>
    <row r="162" spans="1:9">
      <c r="A162" s="11"/>
      <c r="B162" s="16" t="s">
        <v>186</v>
      </c>
      <c r="C162" s="13">
        <v>30000</v>
      </c>
      <c r="D162" s="13"/>
      <c r="E162" s="13"/>
    </row>
    <row r="163" spans="1:9">
      <c r="A163" s="11"/>
      <c r="B163" s="16" t="s">
        <v>895</v>
      </c>
      <c r="C163" s="13">
        <v>24000</v>
      </c>
      <c r="D163" s="13"/>
      <c r="E163" s="13"/>
    </row>
    <row r="164" spans="1:9">
      <c r="A164" s="11"/>
      <c r="B164" s="16" t="s">
        <v>187</v>
      </c>
      <c r="C164" s="13">
        <v>2175000</v>
      </c>
      <c r="D164" s="13"/>
      <c r="E164" s="13"/>
    </row>
    <row r="165" spans="1:9">
      <c r="A165" s="11"/>
      <c r="B165" s="16" t="s">
        <v>188</v>
      </c>
      <c r="C165" s="13">
        <v>2175000</v>
      </c>
      <c r="D165" s="13"/>
      <c r="E165" s="13"/>
    </row>
    <row r="166" spans="1:9">
      <c r="A166" s="11"/>
      <c r="B166" s="16" t="s">
        <v>189</v>
      </c>
      <c r="C166" s="13">
        <v>1200000</v>
      </c>
      <c r="D166" s="13"/>
      <c r="E166" s="13"/>
    </row>
    <row r="167" spans="1:9">
      <c r="A167" s="11"/>
      <c r="B167" s="16" t="s">
        <v>190</v>
      </c>
      <c r="C167" s="13">
        <v>1725000</v>
      </c>
      <c r="D167" s="13"/>
      <c r="E167" s="13"/>
    </row>
    <row r="168" spans="1:9">
      <c r="A168" s="11"/>
      <c r="B168" s="16" t="s">
        <v>191</v>
      </c>
      <c r="C168" s="13">
        <v>2175000</v>
      </c>
      <c r="D168" s="13"/>
      <c r="E168" s="13"/>
    </row>
    <row r="169" spans="1:9">
      <c r="A169" s="8"/>
      <c r="B169" s="17" t="s">
        <v>192</v>
      </c>
      <c r="C169" s="10">
        <v>1300000</v>
      </c>
      <c r="D169" s="10"/>
      <c r="E169" s="10"/>
    </row>
    <row r="170" spans="1:9">
      <c r="A170" s="11">
        <v>9</v>
      </c>
      <c r="B170" s="16" t="s">
        <v>193</v>
      </c>
      <c r="C170" s="13">
        <v>65500000</v>
      </c>
      <c r="D170" s="13"/>
      <c r="E170" s="13"/>
      <c r="F170" s="15"/>
      <c r="G170" s="92"/>
      <c r="H170" s="92"/>
      <c r="I170" s="15"/>
    </row>
    <row r="171" spans="1:9">
      <c r="A171" s="11"/>
      <c r="B171" s="16" t="s">
        <v>194</v>
      </c>
      <c r="C171" s="13"/>
      <c r="D171" s="13">
        <v>21900000</v>
      </c>
      <c r="E171" s="13"/>
    </row>
    <row r="172" spans="1:9">
      <c r="A172" s="11"/>
      <c r="B172" s="16" t="s">
        <v>195</v>
      </c>
      <c r="C172" s="13"/>
      <c r="D172" s="13">
        <v>53965000</v>
      </c>
      <c r="E172" s="13"/>
    </row>
    <row r="173" spans="1:9">
      <c r="A173" s="11"/>
      <c r="B173" s="16" t="s">
        <v>196</v>
      </c>
      <c r="C173" s="13"/>
      <c r="D173" s="13">
        <v>4654000</v>
      </c>
      <c r="E173" s="13"/>
    </row>
    <row r="174" spans="1:9">
      <c r="A174" s="11"/>
      <c r="B174" s="16" t="s">
        <v>197</v>
      </c>
      <c r="C174" s="13"/>
      <c r="D174" s="13">
        <v>16113650</v>
      </c>
      <c r="E174" s="13"/>
      <c r="F174" s="14"/>
    </row>
    <row r="175" spans="1:9">
      <c r="A175" s="11"/>
      <c r="B175" s="12" t="s">
        <v>198</v>
      </c>
      <c r="C175" s="13"/>
      <c r="D175" s="13">
        <v>7492100</v>
      </c>
      <c r="E175" s="13"/>
      <c r="F175" s="14"/>
    </row>
    <row r="176" spans="1:9">
      <c r="A176" s="11"/>
      <c r="B176" s="16" t="s">
        <v>199</v>
      </c>
      <c r="C176" s="13"/>
      <c r="D176" s="13">
        <f>'[2]Agst''15'!$D$34</f>
        <v>406580</v>
      </c>
      <c r="E176" s="13"/>
    </row>
    <row r="177" spans="1:5">
      <c r="A177" s="11"/>
      <c r="B177" s="16" t="s">
        <v>200</v>
      </c>
      <c r="C177" s="13"/>
      <c r="D177" s="13">
        <v>880000</v>
      </c>
      <c r="E177" s="13"/>
    </row>
    <row r="178" spans="1:5">
      <c r="A178" s="11"/>
      <c r="B178" s="16" t="s">
        <v>201</v>
      </c>
      <c r="C178" s="13">
        <v>300000</v>
      </c>
      <c r="D178" s="13"/>
      <c r="E178" s="13"/>
    </row>
    <row r="179" spans="1:5">
      <c r="A179" s="11"/>
      <c r="B179" s="16" t="s">
        <v>202</v>
      </c>
      <c r="C179" s="13">
        <v>1500000</v>
      </c>
      <c r="D179" s="13"/>
      <c r="E179" s="13"/>
    </row>
    <row r="180" spans="1:5">
      <c r="A180" s="11"/>
      <c r="B180" s="16" t="s">
        <v>203</v>
      </c>
      <c r="C180" s="13">
        <v>920000</v>
      </c>
      <c r="D180" s="13"/>
      <c r="E180" s="13"/>
    </row>
    <row r="181" spans="1:5">
      <c r="A181" s="11"/>
      <c r="B181" s="16" t="s">
        <v>204</v>
      </c>
      <c r="C181" s="13">
        <v>760000</v>
      </c>
      <c r="D181" s="13"/>
      <c r="E181" s="13"/>
    </row>
    <row r="182" spans="1:5">
      <c r="A182" s="11"/>
      <c r="B182" s="16" t="s">
        <v>205</v>
      </c>
      <c r="C182" s="13">
        <v>920000</v>
      </c>
      <c r="D182" s="13"/>
      <c r="E182" s="13"/>
    </row>
    <row r="183" spans="1:5">
      <c r="A183" s="11"/>
      <c r="B183" s="16" t="s">
        <v>206</v>
      </c>
      <c r="C183" s="13">
        <v>920000</v>
      </c>
      <c r="D183" s="13"/>
      <c r="E183" s="13"/>
    </row>
    <row r="184" spans="1:5">
      <c r="A184" s="11"/>
      <c r="B184" s="16" t="s">
        <v>207</v>
      </c>
      <c r="C184" s="13">
        <v>7220200</v>
      </c>
      <c r="D184" s="13"/>
      <c r="E184" s="13"/>
    </row>
    <row r="185" spans="1:5">
      <c r="A185" s="11"/>
      <c r="B185" s="16" t="s">
        <v>208</v>
      </c>
      <c r="C185" s="13">
        <v>20000</v>
      </c>
      <c r="D185" s="13"/>
      <c r="E185" s="13"/>
    </row>
    <row r="186" spans="1:5">
      <c r="A186" s="11"/>
      <c r="B186" s="16" t="s">
        <v>209</v>
      </c>
      <c r="C186" s="13">
        <v>55000</v>
      </c>
      <c r="D186" s="13"/>
      <c r="E186" s="13"/>
    </row>
    <row r="187" spans="1:5">
      <c r="A187" s="11"/>
      <c r="B187" s="16" t="s">
        <v>210</v>
      </c>
      <c r="C187" s="13">
        <v>18000</v>
      </c>
      <c r="D187" s="13"/>
      <c r="E187" s="13"/>
    </row>
    <row r="188" spans="1:5">
      <c r="A188" s="11"/>
      <c r="B188" s="16" t="s">
        <v>211</v>
      </c>
      <c r="C188" s="13">
        <v>20000</v>
      </c>
      <c r="D188" s="13"/>
      <c r="E188" s="13"/>
    </row>
    <row r="189" spans="1:5">
      <c r="A189" s="11"/>
      <c r="B189" s="16" t="s">
        <v>212</v>
      </c>
      <c r="C189" s="13">
        <v>34000</v>
      </c>
      <c r="D189" s="13"/>
      <c r="E189" s="13"/>
    </row>
    <row r="190" spans="1:5">
      <c r="A190" s="11"/>
      <c r="B190" s="16" t="s">
        <v>213</v>
      </c>
      <c r="C190" s="13">
        <v>15000</v>
      </c>
      <c r="D190" s="13"/>
      <c r="E190" s="13"/>
    </row>
    <row r="191" spans="1:5">
      <c r="A191" s="11"/>
      <c r="B191" s="16" t="s">
        <v>214</v>
      </c>
      <c r="C191" s="13">
        <v>3968250</v>
      </c>
      <c r="D191" s="13"/>
      <c r="E191" s="13"/>
    </row>
    <row r="192" spans="1:5">
      <c r="A192" s="11"/>
      <c r="B192" s="16" t="s">
        <v>215</v>
      </c>
      <c r="C192" s="13">
        <v>1018000</v>
      </c>
      <c r="D192" s="13"/>
      <c r="E192" s="13"/>
    </row>
    <row r="193" spans="1:9">
      <c r="A193" s="11"/>
      <c r="B193" s="16" t="s">
        <v>216</v>
      </c>
      <c r="C193" s="13">
        <v>9631700</v>
      </c>
      <c r="D193" s="13"/>
      <c r="E193" s="13"/>
    </row>
    <row r="194" spans="1:9">
      <c r="A194" s="11"/>
      <c r="B194" s="16" t="s">
        <v>217</v>
      </c>
      <c r="C194" s="13">
        <v>921500</v>
      </c>
      <c r="D194" s="13"/>
      <c r="E194" s="13"/>
    </row>
    <row r="195" spans="1:9">
      <c r="A195" s="11"/>
      <c r="B195" s="16" t="s">
        <v>218</v>
      </c>
      <c r="C195" s="13">
        <v>2275000</v>
      </c>
      <c r="D195" s="13"/>
      <c r="E195" s="13"/>
    </row>
    <row r="196" spans="1:9">
      <c r="A196" s="11"/>
      <c r="B196" s="16" t="s">
        <v>219</v>
      </c>
      <c r="C196" s="13">
        <v>1825000</v>
      </c>
      <c r="D196" s="13"/>
      <c r="E196" s="13"/>
    </row>
    <row r="197" spans="1:9">
      <c r="A197" s="11"/>
      <c r="B197" s="16" t="s">
        <v>220</v>
      </c>
      <c r="C197" s="13">
        <v>2275000</v>
      </c>
      <c r="D197" s="13"/>
      <c r="E197" s="13"/>
    </row>
    <row r="198" spans="1:9">
      <c r="A198" s="11"/>
      <c r="B198" s="16" t="s">
        <v>221</v>
      </c>
      <c r="C198" s="13">
        <v>400000</v>
      </c>
      <c r="D198" s="13"/>
      <c r="E198" s="13"/>
    </row>
    <row r="199" spans="1:9">
      <c r="A199" s="8"/>
      <c r="B199" s="17" t="s">
        <v>222</v>
      </c>
      <c r="C199" s="10">
        <v>1825000</v>
      </c>
      <c r="D199" s="10"/>
      <c r="E199" s="10"/>
    </row>
    <row r="200" spans="1:9">
      <c r="A200" s="11">
        <v>10</v>
      </c>
      <c r="B200" s="16" t="s">
        <v>223</v>
      </c>
      <c r="C200" s="13">
        <v>74000000</v>
      </c>
      <c r="D200" s="13"/>
      <c r="E200" s="13"/>
      <c r="F200" s="15"/>
      <c r="G200" s="92"/>
      <c r="H200" s="92"/>
      <c r="I200" s="15"/>
    </row>
    <row r="201" spans="1:9">
      <c r="A201" s="11"/>
      <c r="B201" s="16" t="s">
        <v>224</v>
      </c>
      <c r="C201" s="13"/>
      <c r="D201" s="13">
        <v>21900000</v>
      </c>
      <c r="E201" s="13"/>
    </row>
    <row r="202" spans="1:9">
      <c r="A202" s="11"/>
      <c r="B202" s="16" t="s">
        <v>225</v>
      </c>
      <c r="C202" s="13"/>
      <c r="D202" s="13">
        <v>61862000</v>
      </c>
      <c r="E202" s="13"/>
    </row>
    <row r="203" spans="1:9">
      <c r="A203" s="11"/>
      <c r="B203" s="16" t="s">
        <v>226</v>
      </c>
      <c r="C203" s="13"/>
      <c r="D203" s="13">
        <v>5240200</v>
      </c>
      <c r="E203" s="13"/>
    </row>
    <row r="204" spans="1:9">
      <c r="A204" s="11"/>
      <c r="B204" s="16" t="s">
        <v>227</v>
      </c>
      <c r="C204" s="13"/>
      <c r="D204" s="13">
        <v>10388490</v>
      </c>
      <c r="E204" s="13"/>
      <c r="F204" s="14"/>
    </row>
    <row r="205" spans="1:9">
      <c r="A205" s="11"/>
      <c r="B205" s="12" t="s">
        <v>228</v>
      </c>
      <c r="C205" s="13"/>
      <c r="D205" s="13">
        <v>5636960</v>
      </c>
      <c r="E205" s="13"/>
      <c r="F205" s="14"/>
    </row>
    <row r="206" spans="1:9">
      <c r="A206" s="11"/>
      <c r="B206" s="16" t="s">
        <v>229</v>
      </c>
      <c r="C206" s="13"/>
      <c r="D206" s="13">
        <f>212810+115040</f>
        <v>327850</v>
      </c>
      <c r="E206" s="13"/>
    </row>
    <row r="207" spans="1:9">
      <c r="A207" s="11"/>
      <c r="B207" s="16" t="s">
        <v>230</v>
      </c>
      <c r="C207" s="13">
        <v>300000</v>
      </c>
      <c r="D207" s="13"/>
      <c r="E207" s="13"/>
    </row>
    <row r="208" spans="1:9">
      <c r="A208" s="11"/>
      <c r="B208" s="16" t="s">
        <v>231</v>
      </c>
      <c r="C208" s="13">
        <f>1500000+750000</f>
        <v>2250000</v>
      </c>
      <c r="D208" s="13"/>
      <c r="E208" s="13"/>
    </row>
    <row r="209" spans="1:5">
      <c r="A209" s="11"/>
      <c r="B209" s="16" t="s">
        <v>232</v>
      </c>
      <c r="C209" s="13">
        <v>90000</v>
      </c>
      <c r="D209" s="13"/>
      <c r="E209" s="13"/>
    </row>
    <row r="210" spans="1:5">
      <c r="A210" s="11"/>
      <c r="B210" s="16" t="s">
        <v>233</v>
      </c>
      <c r="C210" s="13">
        <v>11500</v>
      </c>
      <c r="D210" s="13"/>
      <c r="E210" s="13"/>
    </row>
    <row r="211" spans="1:5">
      <c r="A211" s="11"/>
      <c r="B211" s="16" t="s">
        <v>234</v>
      </c>
      <c r="C211" s="13">
        <v>1536500</v>
      </c>
      <c r="D211" s="13"/>
      <c r="E211" s="13"/>
    </row>
    <row r="212" spans="1:5">
      <c r="A212" s="11"/>
      <c r="B212" s="16" t="s">
        <v>235</v>
      </c>
      <c r="C212" s="13">
        <v>245000</v>
      </c>
      <c r="D212" s="13"/>
      <c r="E212" s="13"/>
    </row>
    <row r="213" spans="1:5">
      <c r="A213" s="11"/>
      <c r="B213" s="16" t="s">
        <v>236</v>
      </c>
      <c r="C213" s="13">
        <v>5000</v>
      </c>
      <c r="D213" s="13"/>
      <c r="E213" s="13"/>
    </row>
    <row r="214" spans="1:5">
      <c r="A214" s="11"/>
      <c r="B214" s="16" t="s">
        <v>237</v>
      </c>
      <c r="C214" s="13">
        <v>15000</v>
      </c>
      <c r="D214" s="13"/>
      <c r="E214" s="13"/>
    </row>
    <row r="215" spans="1:5">
      <c r="A215" s="11"/>
      <c r="B215" s="16" t="s">
        <v>238</v>
      </c>
      <c r="C215" s="13">
        <v>20000</v>
      </c>
      <c r="D215" s="13"/>
      <c r="E215" s="13"/>
    </row>
    <row r="216" spans="1:5">
      <c r="A216" s="11"/>
      <c r="B216" s="16" t="s">
        <v>239</v>
      </c>
      <c r="C216" s="13">
        <v>1003000</v>
      </c>
      <c r="D216" s="13"/>
      <c r="E216" s="13"/>
    </row>
    <row r="217" spans="1:5">
      <c r="A217" s="11"/>
      <c r="B217" s="16" t="s">
        <v>240</v>
      </c>
      <c r="C217" s="13">
        <v>255000</v>
      </c>
      <c r="D217" s="13"/>
      <c r="E217" s="13"/>
    </row>
    <row r="218" spans="1:5">
      <c r="A218" s="11"/>
      <c r="B218" s="16" t="s">
        <v>241</v>
      </c>
      <c r="C218" s="13">
        <v>15000</v>
      </c>
      <c r="D218" s="13"/>
      <c r="E218" s="13"/>
    </row>
    <row r="219" spans="1:5">
      <c r="A219" s="11"/>
      <c r="B219" s="16" t="s">
        <v>242</v>
      </c>
      <c r="C219" s="13">
        <v>32000</v>
      </c>
      <c r="D219" s="13"/>
      <c r="E219" s="13"/>
    </row>
    <row r="220" spans="1:5">
      <c r="A220" s="11"/>
      <c r="B220" s="16" t="s">
        <v>243</v>
      </c>
      <c r="C220" s="13">
        <v>20000</v>
      </c>
      <c r="D220" s="13"/>
      <c r="E220" s="13"/>
    </row>
    <row r="221" spans="1:5">
      <c r="A221" s="11"/>
      <c r="B221" s="16" t="s">
        <v>244</v>
      </c>
      <c r="C221" s="13">
        <v>10000</v>
      </c>
      <c r="D221" s="13"/>
      <c r="E221" s="13"/>
    </row>
    <row r="222" spans="1:5">
      <c r="A222" s="11"/>
      <c r="B222" s="16" t="s">
        <v>245</v>
      </c>
      <c r="C222" s="13">
        <v>19000</v>
      </c>
      <c r="D222" s="13"/>
      <c r="E222" s="13"/>
    </row>
    <row r="223" spans="1:5">
      <c r="A223" s="11"/>
      <c r="B223" s="18" t="s">
        <v>246</v>
      </c>
      <c r="C223" s="13">
        <v>119000</v>
      </c>
      <c r="D223" s="13"/>
      <c r="E223" s="13"/>
    </row>
    <row r="224" spans="1:5">
      <c r="A224" s="11"/>
      <c r="B224" s="16" t="s">
        <v>247</v>
      </c>
      <c r="C224" s="13">
        <v>48000</v>
      </c>
      <c r="D224" s="13"/>
      <c r="E224" s="13"/>
    </row>
    <row r="225" spans="1:5">
      <c r="A225" s="11"/>
      <c r="B225" s="16" t="s">
        <v>248</v>
      </c>
      <c r="C225" s="13">
        <v>2292000</v>
      </c>
      <c r="D225" s="13"/>
      <c r="E225" s="13"/>
    </row>
    <row r="226" spans="1:5">
      <c r="A226" s="11"/>
      <c r="B226" s="19" t="s">
        <v>249</v>
      </c>
      <c r="C226" s="13">
        <v>8000</v>
      </c>
      <c r="D226" s="13"/>
      <c r="E226" s="13"/>
    </row>
    <row r="227" spans="1:5">
      <c r="A227" s="11"/>
      <c r="B227" s="19" t="s">
        <v>835</v>
      </c>
      <c r="C227" s="13">
        <v>43000</v>
      </c>
      <c r="D227" s="13"/>
      <c r="E227" s="13"/>
    </row>
    <row r="228" spans="1:5">
      <c r="A228" s="11"/>
      <c r="B228" s="16" t="s">
        <v>250</v>
      </c>
      <c r="C228" s="13">
        <v>765000</v>
      </c>
      <c r="D228" s="13"/>
      <c r="E228" s="13"/>
    </row>
    <row r="229" spans="1:5">
      <c r="A229" s="11"/>
      <c r="B229" s="16" t="s">
        <v>251</v>
      </c>
      <c r="C229" s="13">
        <v>1932000</v>
      </c>
      <c r="D229" s="13"/>
      <c r="E229" s="13"/>
    </row>
    <row r="230" spans="1:5">
      <c r="A230" s="11"/>
      <c r="B230" s="16" t="s">
        <v>252</v>
      </c>
      <c r="C230" s="13">
        <v>765000</v>
      </c>
      <c r="D230" s="13"/>
      <c r="E230" s="13"/>
    </row>
    <row r="231" spans="1:5">
      <c r="A231" s="11"/>
      <c r="B231" s="16" t="s">
        <v>836</v>
      </c>
      <c r="C231" s="13">
        <v>10000</v>
      </c>
      <c r="D231" s="13"/>
      <c r="E231" s="13"/>
    </row>
    <row r="232" spans="1:5">
      <c r="A232" s="11"/>
      <c r="B232" s="16" t="s">
        <v>721</v>
      </c>
      <c r="C232" s="13">
        <v>1020000</v>
      </c>
      <c r="D232" s="13"/>
      <c r="E232" s="13"/>
    </row>
    <row r="233" spans="1:5">
      <c r="A233" s="11"/>
      <c r="B233" s="16" t="s">
        <v>837</v>
      </c>
      <c r="C233" s="13">
        <v>10000</v>
      </c>
      <c r="D233" s="13"/>
      <c r="E233" s="13"/>
    </row>
    <row r="234" spans="1:5">
      <c r="A234" s="11"/>
      <c r="B234" s="16" t="s">
        <v>838</v>
      </c>
      <c r="C234" s="13">
        <v>15000</v>
      </c>
      <c r="D234" s="13"/>
      <c r="E234" s="13"/>
    </row>
    <row r="235" spans="1:5">
      <c r="A235" s="11"/>
      <c r="B235" s="16" t="s">
        <v>839</v>
      </c>
      <c r="C235" s="13">
        <v>51000</v>
      </c>
      <c r="D235" s="13"/>
      <c r="E235" s="13"/>
    </row>
    <row r="236" spans="1:5">
      <c r="A236" s="11"/>
      <c r="B236" s="16" t="s">
        <v>722</v>
      </c>
      <c r="C236" s="13">
        <v>1020000</v>
      </c>
      <c r="D236" s="13"/>
      <c r="E236" s="13"/>
    </row>
    <row r="237" spans="1:5">
      <c r="A237" s="11"/>
      <c r="B237" s="16" t="s">
        <v>723</v>
      </c>
      <c r="C237" s="13">
        <v>901000</v>
      </c>
      <c r="D237" s="13"/>
      <c r="E237" s="13"/>
    </row>
    <row r="238" spans="1:5">
      <c r="A238" s="11"/>
      <c r="B238" s="16" t="s">
        <v>840</v>
      </c>
      <c r="C238" s="13">
        <v>10000</v>
      </c>
      <c r="D238" s="13"/>
      <c r="E238" s="13"/>
    </row>
    <row r="239" spans="1:5">
      <c r="A239" s="11"/>
      <c r="B239" s="16" t="s">
        <v>653</v>
      </c>
      <c r="C239" s="13">
        <v>2035000</v>
      </c>
      <c r="D239" s="13"/>
      <c r="E239" s="13"/>
    </row>
    <row r="240" spans="1:5">
      <c r="A240" s="11"/>
      <c r="B240" s="16" t="s">
        <v>654</v>
      </c>
      <c r="C240" s="13">
        <v>1200000</v>
      </c>
      <c r="D240" s="13"/>
      <c r="E240" s="13"/>
    </row>
    <row r="241" spans="1:9">
      <c r="A241" s="8"/>
      <c r="B241" s="17" t="s">
        <v>253</v>
      </c>
      <c r="C241" s="10">
        <v>1200000</v>
      </c>
      <c r="D241" s="10"/>
      <c r="E241" s="10"/>
    </row>
    <row r="242" spans="1:9">
      <c r="A242" s="11">
        <v>11</v>
      </c>
      <c r="B242" s="16" t="s">
        <v>711</v>
      </c>
      <c r="C242" s="13">
        <v>62000000</v>
      </c>
      <c r="D242" s="13"/>
      <c r="E242" s="13"/>
      <c r="F242" s="15"/>
      <c r="G242" s="92"/>
      <c r="H242" s="92"/>
      <c r="I242" s="15"/>
    </row>
    <row r="243" spans="1:9">
      <c r="A243" s="11"/>
      <c r="B243" s="16" t="s">
        <v>712</v>
      </c>
      <c r="C243" s="13"/>
      <c r="D243" s="13">
        <v>22300000</v>
      </c>
      <c r="E243" s="13"/>
    </row>
    <row r="244" spans="1:9">
      <c r="A244" s="11"/>
      <c r="B244" s="16" t="s">
        <v>713</v>
      </c>
      <c r="C244" s="13"/>
      <c r="D244" s="13">
        <v>60163000</v>
      </c>
      <c r="E244" s="13"/>
    </row>
    <row r="245" spans="1:9">
      <c r="A245" s="11"/>
      <c r="B245" s="16" t="s">
        <v>714</v>
      </c>
      <c r="C245" s="13"/>
      <c r="D245" s="13">
        <v>5172300</v>
      </c>
      <c r="E245" s="13"/>
    </row>
    <row r="246" spans="1:9">
      <c r="A246" s="11"/>
      <c r="B246" s="16" t="s">
        <v>715</v>
      </c>
      <c r="C246" s="13"/>
      <c r="D246" s="13">
        <v>21612430</v>
      </c>
      <c r="E246" s="13"/>
      <c r="F246" s="14"/>
    </row>
    <row r="247" spans="1:9">
      <c r="A247" s="11"/>
      <c r="B247" s="12" t="s">
        <v>716</v>
      </c>
      <c r="C247" s="13"/>
      <c r="D247" s="13">
        <v>9150260</v>
      </c>
      <c r="E247" s="13"/>
      <c r="F247" s="14"/>
    </row>
    <row r="248" spans="1:9">
      <c r="A248" s="11"/>
      <c r="B248" s="16" t="s">
        <v>717</v>
      </c>
      <c r="C248" s="13"/>
      <c r="D248" s="13">
        <f>441070+186740</f>
        <v>627810</v>
      </c>
      <c r="E248" s="13"/>
    </row>
    <row r="249" spans="1:9">
      <c r="A249" s="11"/>
      <c r="B249" s="16" t="s">
        <v>718</v>
      </c>
      <c r="C249" s="13">
        <v>300000</v>
      </c>
      <c r="D249" s="13"/>
      <c r="E249" s="13"/>
    </row>
    <row r="250" spans="1:9">
      <c r="A250" s="11"/>
      <c r="B250" s="16" t="s">
        <v>719</v>
      </c>
      <c r="C250" s="13">
        <v>1300000</v>
      </c>
      <c r="D250" s="13"/>
      <c r="E250" s="13"/>
    </row>
    <row r="251" spans="1:9">
      <c r="A251" s="11"/>
      <c r="B251" s="16" t="s">
        <v>724</v>
      </c>
      <c r="C251" s="13">
        <v>3450000</v>
      </c>
      <c r="D251" s="13"/>
      <c r="E251" s="13"/>
    </row>
    <row r="252" spans="1:9">
      <c r="A252" s="11"/>
      <c r="B252" s="16" t="s">
        <v>728</v>
      </c>
      <c r="C252" s="13">
        <v>2165000</v>
      </c>
      <c r="D252" s="13"/>
      <c r="E252" s="13"/>
    </row>
    <row r="253" spans="1:9">
      <c r="A253" s="11"/>
      <c r="B253" s="16" t="s">
        <v>720</v>
      </c>
      <c r="C253" s="13">
        <v>15000</v>
      </c>
      <c r="D253" s="13"/>
      <c r="E253" s="13"/>
    </row>
    <row r="254" spans="1:9">
      <c r="A254" s="11"/>
      <c r="B254" s="16" t="s">
        <v>725</v>
      </c>
      <c r="C254" s="13">
        <v>3200000</v>
      </c>
      <c r="D254" s="13"/>
      <c r="E254" s="13"/>
    </row>
    <row r="255" spans="1:9">
      <c r="A255" s="11"/>
      <c r="B255" s="16" t="s">
        <v>726</v>
      </c>
      <c r="C255" s="13">
        <v>60000</v>
      </c>
      <c r="D255" s="13"/>
      <c r="E255" s="13"/>
    </row>
    <row r="256" spans="1:9">
      <c r="A256" s="11"/>
      <c r="B256" s="16" t="s">
        <v>727</v>
      </c>
      <c r="C256" s="13">
        <f>57000+20000</f>
        <v>77000</v>
      </c>
      <c r="D256" s="13"/>
      <c r="E256" s="13"/>
    </row>
    <row r="257" spans="1:5">
      <c r="A257" s="11"/>
      <c r="B257" s="16" t="s">
        <v>841</v>
      </c>
      <c r="C257" s="13">
        <v>10000</v>
      </c>
      <c r="D257" s="13"/>
      <c r="E257" s="13"/>
    </row>
    <row r="258" spans="1:5">
      <c r="A258" s="11"/>
      <c r="B258" s="16" t="s">
        <v>842</v>
      </c>
      <c r="C258" s="13">
        <v>30000</v>
      </c>
      <c r="D258" s="13"/>
      <c r="E258" s="13"/>
    </row>
    <row r="259" spans="1:5">
      <c r="A259" s="11"/>
      <c r="B259" s="16" t="s">
        <v>843</v>
      </c>
      <c r="C259" s="13">
        <v>10000</v>
      </c>
      <c r="D259" s="13"/>
      <c r="E259" s="13"/>
    </row>
    <row r="260" spans="1:5">
      <c r="A260" s="11"/>
      <c r="B260" s="16" t="s">
        <v>844</v>
      </c>
      <c r="C260" s="13">
        <v>48000</v>
      </c>
      <c r="D260" s="13"/>
      <c r="E260" s="13"/>
    </row>
    <row r="261" spans="1:5">
      <c r="A261" s="11"/>
      <c r="B261" s="16" t="s">
        <v>845</v>
      </c>
      <c r="C261" s="13">
        <v>15000</v>
      </c>
      <c r="D261" s="13"/>
      <c r="E261" s="13"/>
    </row>
    <row r="262" spans="1:5">
      <c r="A262" s="11"/>
      <c r="B262" s="16" t="s">
        <v>846</v>
      </c>
      <c r="C262" s="13">
        <v>19000</v>
      </c>
      <c r="D262" s="13"/>
      <c r="E262" s="13"/>
    </row>
    <row r="263" spans="1:5">
      <c r="A263" s="11"/>
      <c r="B263" s="16" t="s">
        <v>729</v>
      </c>
      <c r="C263" s="13">
        <v>195100</v>
      </c>
      <c r="D263" s="13"/>
      <c r="E263" s="13"/>
    </row>
    <row r="264" spans="1:5">
      <c r="A264" s="11"/>
      <c r="B264" s="16" t="s">
        <v>847</v>
      </c>
      <c r="C264" s="13">
        <v>10000</v>
      </c>
      <c r="D264" s="13"/>
      <c r="E264" s="13"/>
    </row>
    <row r="265" spans="1:5">
      <c r="A265" s="11"/>
      <c r="B265" s="16" t="s">
        <v>730</v>
      </c>
      <c r="C265" s="13">
        <v>662500</v>
      </c>
      <c r="D265" s="13"/>
      <c r="E265" s="13"/>
    </row>
    <row r="266" spans="1:5">
      <c r="A266" s="11"/>
      <c r="B266" s="16" t="s">
        <v>848</v>
      </c>
      <c r="C266" s="13">
        <v>48000</v>
      </c>
      <c r="D266" s="13"/>
      <c r="E266" s="13"/>
    </row>
    <row r="267" spans="1:5">
      <c r="A267" s="11"/>
      <c r="B267" s="16" t="s">
        <v>849</v>
      </c>
      <c r="C267" s="13">
        <v>13000</v>
      </c>
      <c r="D267" s="13"/>
      <c r="E267" s="13"/>
    </row>
    <row r="268" spans="1:5">
      <c r="A268" s="11"/>
      <c r="B268" s="16" t="s">
        <v>850</v>
      </c>
      <c r="C268" s="13">
        <v>2000</v>
      </c>
      <c r="D268" s="13"/>
      <c r="E268" s="13"/>
    </row>
    <row r="269" spans="1:5">
      <c r="A269" s="11"/>
      <c r="B269" s="16" t="s">
        <v>731</v>
      </c>
      <c r="C269" s="13">
        <v>549800</v>
      </c>
      <c r="D269" s="13"/>
      <c r="E269" s="13"/>
    </row>
    <row r="270" spans="1:5">
      <c r="A270" s="11"/>
      <c r="B270" s="16" t="s">
        <v>732</v>
      </c>
      <c r="C270" s="13">
        <v>2857000</v>
      </c>
      <c r="D270" s="13"/>
      <c r="E270" s="13"/>
    </row>
    <row r="271" spans="1:5">
      <c r="A271" s="11"/>
      <c r="B271" s="16" t="s">
        <v>720</v>
      </c>
      <c r="C271" s="13">
        <v>13000</v>
      </c>
      <c r="D271" s="13"/>
      <c r="E271" s="13"/>
    </row>
    <row r="272" spans="1:5">
      <c r="A272" s="11"/>
      <c r="B272" s="16" t="s">
        <v>851</v>
      </c>
      <c r="C272" s="13">
        <v>15000</v>
      </c>
      <c r="D272" s="13"/>
      <c r="E272" s="13"/>
    </row>
    <row r="273" spans="1:5">
      <c r="A273" s="11"/>
      <c r="B273" s="16" t="s">
        <v>733</v>
      </c>
      <c r="C273" s="13">
        <v>1275000</v>
      </c>
      <c r="D273" s="13"/>
      <c r="E273" s="13"/>
    </row>
    <row r="274" spans="1:5">
      <c r="A274" s="11"/>
      <c r="B274" s="16" t="s">
        <v>742</v>
      </c>
      <c r="C274" s="13">
        <v>414600</v>
      </c>
      <c r="D274" s="13"/>
      <c r="E274" s="13"/>
    </row>
    <row r="275" spans="1:5">
      <c r="A275" s="11"/>
      <c r="B275" s="16" t="s">
        <v>734</v>
      </c>
      <c r="C275" s="13">
        <v>1771000</v>
      </c>
      <c r="D275" s="13"/>
      <c r="E275" s="13"/>
    </row>
    <row r="276" spans="1:5">
      <c r="A276" s="11"/>
      <c r="B276" s="16" t="s">
        <v>720</v>
      </c>
      <c r="C276" s="13">
        <v>15000</v>
      </c>
      <c r="D276" s="13"/>
      <c r="E276" s="13"/>
    </row>
    <row r="277" spans="1:5">
      <c r="A277" s="11"/>
      <c r="B277" s="16" t="s">
        <v>852</v>
      </c>
      <c r="C277" s="13">
        <v>48000</v>
      </c>
      <c r="D277" s="13"/>
      <c r="E277" s="13"/>
    </row>
    <row r="278" spans="1:5">
      <c r="A278" s="11"/>
      <c r="B278" s="16" t="s">
        <v>853</v>
      </c>
      <c r="C278" s="13">
        <v>12000</v>
      </c>
      <c r="D278" s="13"/>
      <c r="E278" s="13"/>
    </row>
    <row r="279" spans="1:5">
      <c r="A279" s="11"/>
      <c r="B279" s="16" t="s">
        <v>735</v>
      </c>
      <c r="C279" s="13">
        <v>420000</v>
      </c>
      <c r="D279" s="13"/>
      <c r="E279" s="13"/>
    </row>
    <row r="280" spans="1:5">
      <c r="A280" s="11"/>
      <c r="B280" s="16" t="s">
        <v>736</v>
      </c>
      <c r="C280" s="13">
        <v>346000</v>
      </c>
      <c r="D280" s="13"/>
      <c r="E280" s="13"/>
    </row>
    <row r="281" spans="1:5">
      <c r="A281" s="11"/>
      <c r="B281" s="16" t="s">
        <v>720</v>
      </c>
      <c r="C281" s="13">
        <v>30000</v>
      </c>
      <c r="D281" s="13"/>
      <c r="E281" s="13"/>
    </row>
    <row r="282" spans="1:5">
      <c r="A282" s="11"/>
      <c r="B282" s="16" t="s">
        <v>737</v>
      </c>
      <c r="C282" s="13">
        <v>1552000</v>
      </c>
      <c r="D282" s="13"/>
      <c r="E282" s="13"/>
    </row>
    <row r="283" spans="1:5">
      <c r="A283" s="11"/>
      <c r="B283" s="16" t="s">
        <v>720</v>
      </c>
      <c r="C283" s="13">
        <v>15000</v>
      </c>
      <c r="D283" s="13"/>
      <c r="E283" s="13"/>
    </row>
    <row r="284" spans="1:5">
      <c r="A284" s="11"/>
      <c r="B284" s="16" t="s">
        <v>854</v>
      </c>
      <c r="C284" s="13">
        <v>20000</v>
      </c>
      <c r="D284" s="13"/>
      <c r="E284" s="13"/>
    </row>
    <row r="285" spans="1:5">
      <c r="A285" s="11"/>
      <c r="B285" s="16" t="s">
        <v>831</v>
      </c>
      <c r="C285" s="13">
        <v>136500</v>
      </c>
      <c r="D285" s="13"/>
      <c r="E285" s="13"/>
    </row>
    <row r="286" spans="1:5">
      <c r="A286" s="11"/>
      <c r="B286" s="16" t="s">
        <v>832</v>
      </c>
      <c r="C286" s="13">
        <v>198000</v>
      </c>
      <c r="D286" s="13"/>
      <c r="E286" s="13"/>
    </row>
    <row r="287" spans="1:5">
      <c r="A287" s="11"/>
      <c r="B287" s="16" t="s">
        <v>738</v>
      </c>
      <c r="C287" s="13">
        <v>1992000</v>
      </c>
      <c r="D287" s="13"/>
      <c r="E287" s="13"/>
    </row>
    <row r="288" spans="1:5">
      <c r="A288" s="11"/>
      <c r="B288" s="16" t="s">
        <v>720</v>
      </c>
      <c r="C288" s="13">
        <v>18000</v>
      </c>
      <c r="D288" s="13"/>
      <c r="E288" s="13"/>
    </row>
    <row r="289" spans="1:9">
      <c r="A289" s="11"/>
      <c r="B289" s="16" t="s">
        <v>855</v>
      </c>
      <c r="C289" s="13">
        <v>19000</v>
      </c>
      <c r="D289" s="13"/>
      <c r="E289" s="13"/>
    </row>
    <row r="290" spans="1:9">
      <c r="A290" s="11"/>
      <c r="B290" s="16" t="s">
        <v>856</v>
      </c>
      <c r="C290" s="13">
        <v>15000</v>
      </c>
      <c r="D290" s="13"/>
      <c r="E290" s="13"/>
    </row>
    <row r="291" spans="1:9">
      <c r="A291" s="11"/>
      <c r="B291" s="16" t="s">
        <v>857</v>
      </c>
      <c r="C291" s="13">
        <v>48000</v>
      </c>
      <c r="D291" s="13"/>
      <c r="E291" s="13"/>
    </row>
    <row r="292" spans="1:9">
      <c r="A292" s="11"/>
      <c r="B292" s="16" t="s">
        <v>739</v>
      </c>
      <c r="C292" s="13">
        <v>1020000</v>
      </c>
      <c r="D292" s="13"/>
      <c r="E292" s="13"/>
    </row>
    <row r="293" spans="1:9">
      <c r="A293" s="11"/>
      <c r="B293" s="16" t="s">
        <v>740</v>
      </c>
      <c r="C293" s="13">
        <v>45000</v>
      </c>
      <c r="D293" s="13"/>
      <c r="E293" s="13"/>
    </row>
    <row r="294" spans="1:9">
      <c r="A294" s="11"/>
      <c r="B294" s="16" t="s">
        <v>741</v>
      </c>
      <c r="C294" s="13">
        <v>4044600</v>
      </c>
      <c r="D294" s="13"/>
      <c r="E294" s="13"/>
    </row>
    <row r="295" spans="1:9">
      <c r="A295" s="11"/>
      <c r="B295" s="16" t="s">
        <v>720</v>
      </c>
      <c r="C295" s="13">
        <v>25400</v>
      </c>
      <c r="D295" s="13"/>
      <c r="E295" s="13"/>
    </row>
    <row r="296" spans="1:9">
      <c r="A296" s="11"/>
      <c r="B296" s="16" t="s">
        <v>858</v>
      </c>
      <c r="C296" s="13">
        <v>48000</v>
      </c>
      <c r="D296" s="13"/>
      <c r="E296" s="13"/>
    </row>
    <row r="297" spans="1:9">
      <c r="A297" s="11"/>
      <c r="B297" s="16" t="s">
        <v>859</v>
      </c>
      <c r="C297" s="13">
        <v>24000</v>
      </c>
      <c r="D297" s="13"/>
      <c r="E297" s="13"/>
    </row>
    <row r="298" spans="1:9">
      <c r="A298" s="11"/>
      <c r="B298" s="16" t="s">
        <v>856</v>
      </c>
      <c r="C298" s="13">
        <v>15000</v>
      </c>
      <c r="D298" s="13"/>
      <c r="E298" s="13"/>
    </row>
    <row r="299" spans="1:9">
      <c r="A299" s="11"/>
      <c r="B299" s="16" t="s">
        <v>817</v>
      </c>
      <c r="C299" s="13">
        <v>2475000</v>
      </c>
      <c r="D299" s="13"/>
      <c r="E299" s="13"/>
    </row>
    <row r="300" spans="1:9">
      <c r="A300" s="8"/>
      <c r="B300" s="17" t="s">
        <v>818</v>
      </c>
      <c r="C300" s="10">
        <v>2475000</v>
      </c>
      <c r="D300" s="10"/>
      <c r="E300" s="10"/>
    </row>
    <row r="301" spans="1:9">
      <c r="A301" s="11">
        <v>12</v>
      </c>
      <c r="B301" s="16" t="s">
        <v>743</v>
      </c>
      <c r="C301" s="13">
        <v>74420000</v>
      </c>
      <c r="D301" s="13"/>
      <c r="E301" s="13"/>
      <c r="F301" s="15"/>
      <c r="G301" s="92"/>
      <c r="H301" s="92"/>
      <c r="I301" s="15"/>
    </row>
    <row r="302" spans="1:9">
      <c r="A302" s="11"/>
      <c r="B302" s="16" t="s">
        <v>744</v>
      </c>
      <c r="C302" s="13"/>
      <c r="D302" s="13">
        <v>21800000</v>
      </c>
      <c r="E302" s="13"/>
    </row>
    <row r="303" spans="1:9">
      <c r="A303" s="11"/>
      <c r="B303" s="16" t="s">
        <v>745</v>
      </c>
      <c r="C303" s="13"/>
      <c r="D303" s="13">
        <v>63509000</v>
      </c>
      <c r="E303" s="13"/>
    </row>
    <row r="304" spans="1:9">
      <c r="A304" s="11"/>
      <c r="B304" s="16" t="s">
        <v>746</v>
      </c>
      <c r="C304" s="13"/>
      <c r="D304" s="13">
        <v>4901800</v>
      </c>
      <c r="E304" s="13"/>
    </row>
    <row r="305" spans="1:6">
      <c r="A305" s="11"/>
      <c r="B305" s="16" t="s">
        <v>747</v>
      </c>
      <c r="C305" s="13"/>
      <c r="D305" s="13">
        <v>22377614</v>
      </c>
      <c r="E305" s="13"/>
      <c r="F305" s="14"/>
    </row>
    <row r="306" spans="1:6">
      <c r="A306" s="11"/>
      <c r="B306" s="12" t="s">
        <v>748</v>
      </c>
      <c r="C306" s="13"/>
      <c r="D306" s="13">
        <v>12558749</v>
      </c>
      <c r="E306" s="13"/>
      <c r="F306" s="14"/>
    </row>
    <row r="307" spans="1:6">
      <c r="A307" s="11"/>
      <c r="B307" s="16" t="s">
        <v>749</v>
      </c>
      <c r="C307" s="13"/>
      <c r="D307" s="13">
        <f>450686+256301</f>
        <v>706987</v>
      </c>
      <c r="E307" s="13"/>
    </row>
    <row r="308" spans="1:6">
      <c r="A308" s="11"/>
      <c r="B308" s="16" t="s">
        <v>892</v>
      </c>
      <c r="C308" s="13"/>
      <c r="D308" s="13">
        <v>2116000</v>
      </c>
      <c r="E308" s="13"/>
    </row>
    <row r="309" spans="1:6">
      <c r="A309" s="11"/>
      <c r="B309" s="16" t="s">
        <v>750</v>
      </c>
      <c r="C309" s="13">
        <v>300000</v>
      </c>
      <c r="D309" s="13"/>
      <c r="E309" s="13"/>
    </row>
    <row r="310" spans="1:6">
      <c r="A310" s="11"/>
      <c r="B310" s="16" t="s">
        <v>751</v>
      </c>
      <c r="C310" s="13">
        <v>1500000</v>
      </c>
      <c r="D310" s="13"/>
      <c r="E310" s="13"/>
    </row>
    <row r="311" spans="1:6">
      <c r="A311" s="11"/>
      <c r="B311" s="16" t="s">
        <v>752</v>
      </c>
      <c r="C311" s="13">
        <v>405500</v>
      </c>
      <c r="D311" s="13"/>
      <c r="E311" s="13"/>
    </row>
    <row r="312" spans="1:6">
      <c r="A312" s="11"/>
      <c r="B312" s="16" t="s">
        <v>720</v>
      </c>
      <c r="C312" s="13">
        <v>20000</v>
      </c>
      <c r="D312" s="13"/>
      <c r="E312" s="13"/>
    </row>
    <row r="313" spans="1:6">
      <c r="A313" s="11"/>
      <c r="B313" s="16" t="s">
        <v>753</v>
      </c>
      <c r="C313" s="13">
        <v>1129050</v>
      </c>
      <c r="D313" s="13"/>
      <c r="E313" s="13"/>
    </row>
    <row r="314" spans="1:6">
      <c r="A314" s="11"/>
      <c r="B314" s="16" t="s">
        <v>720</v>
      </c>
      <c r="C314" s="13">
        <v>15000</v>
      </c>
      <c r="D314" s="13"/>
      <c r="E314" s="13"/>
    </row>
    <row r="315" spans="1:6">
      <c r="A315" s="11"/>
      <c r="B315" s="16" t="s">
        <v>860</v>
      </c>
      <c r="C315" s="13">
        <v>36000</v>
      </c>
      <c r="D315" s="13"/>
      <c r="E315" s="13"/>
    </row>
    <row r="316" spans="1:6">
      <c r="A316" s="11"/>
      <c r="B316" s="16" t="s">
        <v>754</v>
      </c>
      <c r="C316" s="13">
        <v>1020000</v>
      </c>
      <c r="D316" s="13"/>
      <c r="E316" s="13"/>
    </row>
    <row r="317" spans="1:6">
      <c r="A317" s="11"/>
      <c r="B317" s="16" t="s">
        <v>755</v>
      </c>
      <c r="C317" s="13">
        <v>2509250</v>
      </c>
      <c r="D317" s="13"/>
      <c r="E317" s="13"/>
    </row>
    <row r="318" spans="1:6">
      <c r="A318" s="11"/>
      <c r="B318" s="16" t="s">
        <v>720</v>
      </c>
      <c r="C318" s="13">
        <v>30000</v>
      </c>
      <c r="D318" s="13"/>
      <c r="E318" s="13"/>
    </row>
    <row r="319" spans="1:6">
      <c r="A319" s="11"/>
      <c r="B319" s="16" t="s">
        <v>757</v>
      </c>
      <c r="C319" s="13">
        <v>1020000</v>
      </c>
      <c r="D319" s="13"/>
      <c r="E319" s="13"/>
    </row>
    <row r="320" spans="1:6">
      <c r="A320" s="11"/>
      <c r="B320" s="16" t="s">
        <v>861</v>
      </c>
      <c r="C320" s="13">
        <v>48000</v>
      </c>
      <c r="D320" s="13"/>
      <c r="E320" s="13"/>
    </row>
    <row r="321" spans="1:5">
      <c r="A321" s="11"/>
      <c r="B321" s="16" t="s">
        <v>756</v>
      </c>
      <c r="C321" s="13">
        <v>186350</v>
      </c>
      <c r="D321" s="13"/>
      <c r="E321" s="13"/>
    </row>
    <row r="322" spans="1:5">
      <c r="A322" s="11"/>
      <c r="B322" s="16" t="s">
        <v>758</v>
      </c>
      <c r="C322" s="13">
        <v>3183250</v>
      </c>
      <c r="D322" s="13"/>
      <c r="E322" s="13"/>
    </row>
    <row r="323" spans="1:5">
      <c r="A323" s="11"/>
      <c r="B323" s="16" t="s">
        <v>720</v>
      </c>
      <c r="C323" s="13">
        <v>16750</v>
      </c>
      <c r="D323" s="13"/>
      <c r="E323" s="13"/>
    </row>
    <row r="324" spans="1:5">
      <c r="A324" s="11"/>
      <c r="B324" s="16" t="s">
        <v>784</v>
      </c>
      <c r="C324" s="13">
        <v>930000</v>
      </c>
      <c r="D324" s="13"/>
      <c r="E324" s="13"/>
    </row>
    <row r="325" spans="1:5">
      <c r="A325" s="11"/>
      <c r="B325" s="16" t="s">
        <v>720</v>
      </c>
      <c r="C325" s="13">
        <v>20000</v>
      </c>
      <c r="D325" s="13"/>
      <c r="E325" s="13"/>
    </row>
    <row r="326" spans="1:5">
      <c r="A326" s="11"/>
      <c r="B326" s="16" t="s">
        <v>862</v>
      </c>
      <c r="C326" s="13">
        <v>55000</v>
      </c>
      <c r="D326" s="13"/>
      <c r="E326" s="13"/>
    </row>
    <row r="327" spans="1:5">
      <c r="A327" s="11"/>
      <c r="B327" s="16" t="s">
        <v>863</v>
      </c>
      <c r="C327" s="13">
        <v>19000</v>
      </c>
      <c r="D327" s="13"/>
      <c r="E327" s="13"/>
    </row>
    <row r="328" spans="1:5">
      <c r="A328" s="11"/>
      <c r="B328" s="16" t="s">
        <v>759</v>
      </c>
      <c r="C328" s="13">
        <v>765000</v>
      </c>
      <c r="D328" s="13"/>
      <c r="E328" s="13"/>
    </row>
    <row r="329" spans="1:5">
      <c r="A329" s="11"/>
      <c r="B329" s="16" t="s">
        <v>864</v>
      </c>
      <c r="C329" s="13">
        <v>15000</v>
      </c>
      <c r="D329" s="13"/>
      <c r="E329" s="13"/>
    </row>
    <row r="330" spans="1:5">
      <c r="A330" s="11"/>
      <c r="B330" s="16" t="s">
        <v>760</v>
      </c>
      <c r="C330" s="13">
        <v>3851000</v>
      </c>
      <c r="D330" s="13"/>
      <c r="E330" s="13"/>
    </row>
    <row r="331" spans="1:5">
      <c r="A331" s="11"/>
      <c r="B331" s="16" t="s">
        <v>720</v>
      </c>
      <c r="C331" s="13">
        <v>30000</v>
      </c>
      <c r="D331" s="13"/>
      <c r="E331" s="13"/>
    </row>
    <row r="332" spans="1:5">
      <c r="A332" s="11"/>
      <c r="B332" s="16" t="s">
        <v>865</v>
      </c>
      <c r="C332" s="13">
        <v>48000</v>
      </c>
      <c r="D332" s="13"/>
      <c r="E332" s="13"/>
    </row>
    <row r="333" spans="1:5">
      <c r="A333" s="11"/>
      <c r="B333" s="16" t="s">
        <v>785</v>
      </c>
      <c r="C333" s="13">
        <v>90000</v>
      </c>
      <c r="D333" s="13"/>
      <c r="E333" s="13"/>
    </row>
    <row r="334" spans="1:5">
      <c r="A334" s="11"/>
      <c r="B334" s="16" t="s">
        <v>786</v>
      </c>
      <c r="C334" s="13">
        <v>97500</v>
      </c>
      <c r="D334" s="13"/>
      <c r="E334" s="13"/>
    </row>
    <row r="335" spans="1:5">
      <c r="A335" s="11"/>
      <c r="B335" s="16" t="s">
        <v>761</v>
      </c>
      <c r="C335" s="13">
        <v>3799700</v>
      </c>
      <c r="D335" s="13"/>
      <c r="E335" s="13"/>
    </row>
    <row r="336" spans="1:5">
      <c r="A336" s="11"/>
      <c r="B336" s="16" t="s">
        <v>720</v>
      </c>
      <c r="C336" s="13">
        <v>15000</v>
      </c>
      <c r="D336" s="13"/>
      <c r="E336" s="13"/>
    </row>
    <row r="337" spans="1:5">
      <c r="A337" s="11"/>
      <c r="B337" s="16" t="s">
        <v>766</v>
      </c>
      <c r="C337" s="13">
        <v>163400</v>
      </c>
      <c r="D337" s="13"/>
      <c r="E337" s="13"/>
    </row>
    <row r="338" spans="1:5">
      <c r="A338" s="11"/>
      <c r="B338" s="16" t="s">
        <v>767</v>
      </c>
      <c r="C338" s="13">
        <v>97500</v>
      </c>
      <c r="D338" s="13"/>
      <c r="E338" s="13"/>
    </row>
    <row r="339" spans="1:5">
      <c r="A339" s="11"/>
      <c r="B339" s="16" t="s">
        <v>768</v>
      </c>
      <c r="C339" s="13">
        <v>90000</v>
      </c>
      <c r="D339" s="13"/>
      <c r="E339" s="13"/>
    </row>
    <row r="340" spans="1:5">
      <c r="A340" s="11"/>
      <c r="B340" s="16" t="s">
        <v>762</v>
      </c>
      <c r="C340" s="13">
        <v>1163000</v>
      </c>
      <c r="D340" s="13"/>
      <c r="E340" s="13"/>
    </row>
    <row r="341" spans="1:5">
      <c r="A341" s="11"/>
      <c r="B341" s="16" t="s">
        <v>720</v>
      </c>
      <c r="C341" s="13">
        <v>15000</v>
      </c>
      <c r="D341" s="13"/>
      <c r="E341" s="13"/>
    </row>
    <row r="342" spans="1:5">
      <c r="A342" s="11"/>
      <c r="B342" s="16" t="s">
        <v>866</v>
      </c>
      <c r="C342" s="13">
        <v>15000</v>
      </c>
      <c r="D342" s="13"/>
      <c r="E342" s="13"/>
    </row>
    <row r="343" spans="1:5">
      <c r="A343" s="11"/>
      <c r="B343" s="16" t="s">
        <v>828</v>
      </c>
      <c r="C343" s="13">
        <v>45000</v>
      </c>
      <c r="D343" s="13"/>
      <c r="E343" s="13"/>
    </row>
    <row r="344" spans="1:5">
      <c r="A344" s="11"/>
      <c r="B344" s="16" t="s">
        <v>763</v>
      </c>
      <c r="C344" s="13">
        <v>1020000</v>
      </c>
      <c r="D344" s="13"/>
      <c r="E344" s="13"/>
    </row>
    <row r="345" spans="1:5">
      <c r="A345" s="11"/>
      <c r="B345" s="16" t="s">
        <v>764</v>
      </c>
      <c r="C345" s="13">
        <v>1020000</v>
      </c>
      <c r="D345" s="13"/>
      <c r="E345" s="13"/>
    </row>
    <row r="346" spans="1:5">
      <c r="A346" s="11"/>
      <c r="B346" s="16" t="s">
        <v>769</v>
      </c>
      <c r="C346" s="13">
        <v>930000</v>
      </c>
      <c r="D346" s="13"/>
      <c r="E346" s="13"/>
    </row>
    <row r="347" spans="1:5">
      <c r="A347" s="11"/>
      <c r="B347" s="16" t="s">
        <v>720</v>
      </c>
      <c r="C347" s="13">
        <v>20000</v>
      </c>
      <c r="D347" s="13"/>
      <c r="E347" s="13"/>
    </row>
    <row r="348" spans="1:5">
      <c r="A348" s="11"/>
      <c r="B348" s="16" t="s">
        <v>765</v>
      </c>
      <c r="C348" s="13">
        <v>1020000</v>
      </c>
      <c r="D348" s="13"/>
      <c r="E348" s="13"/>
    </row>
    <row r="349" spans="1:5">
      <c r="A349" s="11"/>
      <c r="B349" s="16" t="s">
        <v>867</v>
      </c>
      <c r="C349" s="13">
        <v>48000</v>
      </c>
      <c r="D349" s="13"/>
      <c r="E349" s="13"/>
    </row>
    <row r="350" spans="1:5">
      <c r="A350" s="11"/>
      <c r="B350" s="16" t="s">
        <v>868</v>
      </c>
      <c r="C350" s="13">
        <v>62500</v>
      </c>
      <c r="D350" s="13"/>
      <c r="E350" s="13"/>
    </row>
    <row r="351" spans="1:5">
      <c r="A351" s="11"/>
      <c r="B351" s="16" t="s">
        <v>869</v>
      </c>
      <c r="C351" s="13">
        <v>37500</v>
      </c>
      <c r="D351" s="13"/>
      <c r="E351" s="13"/>
    </row>
    <row r="352" spans="1:5">
      <c r="A352" s="11"/>
      <c r="B352" s="16" t="s">
        <v>772</v>
      </c>
      <c r="C352" s="13">
        <v>2002400</v>
      </c>
      <c r="D352" s="13"/>
      <c r="E352" s="13"/>
    </row>
    <row r="353" spans="1:5">
      <c r="A353" s="11"/>
      <c r="B353" s="16" t="s">
        <v>720</v>
      </c>
      <c r="C353" s="13">
        <v>20000</v>
      </c>
      <c r="D353" s="13"/>
      <c r="E353" s="13"/>
    </row>
    <row r="354" spans="1:5">
      <c r="A354" s="11"/>
      <c r="B354" s="16" t="s">
        <v>773</v>
      </c>
      <c r="C354" s="13">
        <v>5164000</v>
      </c>
      <c r="D354" s="13"/>
      <c r="E354" s="13"/>
    </row>
    <row r="355" spans="1:5">
      <c r="A355" s="11"/>
      <c r="B355" s="16" t="s">
        <v>720</v>
      </c>
      <c r="C355" s="13">
        <v>20000</v>
      </c>
      <c r="D355" s="13"/>
      <c r="E355" s="13"/>
    </row>
    <row r="356" spans="1:5">
      <c r="A356" s="11"/>
      <c r="B356" s="16" t="s">
        <v>774</v>
      </c>
      <c r="C356" s="13">
        <v>72000</v>
      </c>
      <c r="D356" s="13"/>
      <c r="E356" s="13"/>
    </row>
    <row r="357" spans="1:5">
      <c r="A357" s="11"/>
      <c r="B357" s="16" t="s">
        <v>770</v>
      </c>
      <c r="C357" s="13">
        <v>1136500</v>
      </c>
      <c r="D357" s="13"/>
      <c r="E357" s="13"/>
    </row>
    <row r="358" spans="1:5">
      <c r="A358" s="11"/>
      <c r="B358" s="16" t="s">
        <v>720</v>
      </c>
      <c r="C358" s="13">
        <v>20000</v>
      </c>
      <c r="D358" s="13"/>
      <c r="E358" s="13"/>
    </row>
    <row r="359" spans="1:5">
      <c r="A359" s="11"/>
      <c r="B359" s="16" t="s">
        <v>775</v>
      </c>
      <c r="C359" s="13">
        <v>679500</v>
      </c>
      <c r="D359" s="13"/>
      <c r="E359" s="13"/>
    </row>
    <row r="360" spans="1:5">
      <c r="A360" s="11"/>
      <c r="B360" s="16" t="s">
        <v>870</v>
      </c>
      <c r="C360" s="13">
        <v>19000</v>
      </c>
      <c r="D360" s="13"/>
      <c r="E360" s="13"/>
    </row>
    <row r="361" spans="1:5">
      <c r="A361" s="11"/>
      <c r="B361" s="16" t="s">
        <v>871</v>
      </c>
      <c r="C361" s="13">
        <v>16000</v>
      </c>
      <c r="D361" s="13"/>
      <c r="E361" s="13"/>
    </row>
    <row r="362" spans="1:5">
      <c r="A362" s="11"/>
      <c r="B362" s="16" t="s">
        <v>776</v>
      </c>
      <c r="C362" s="13">
        <v>794000</v>
      </c>
      <c r="D362" s="13"/>
      <c r="E362" s="13"/>
    </row>
    <row r="363" spans="1:5">
      <c r="A363" s="11"/>
      <c r="B363" s="16" t="s">
        <v>777</v>
      </c>
      <c r="C363" s="13">
        <v>154000</v>
      </c>
      <c r="D363" s="13"/>
      <c r="E363" s="13"/>
    </row>
    <row r="364" spans="1:5">
      <c r="A364" s="11"/>
      <c r="B364" s="16" t="s">
        <v>778</v>
      </c>
      <c r="C364" s="13">
        <v>31000</v>
      </c>
      <c r="D364" s="13"/>
      <c r="E364" s="13"/>
    </row>
    <row r="365" spans="1:5">
      <c r="A365" s="11"/>
      <c r="B365" s="16" t="s">
        <v>872</v>
      </c>
      <c r="C365" s="13">
        <v>51000</v>
      </c>
      <c r="D365" s="13"/>
      <c r="E365" s="13"/>
    </row>
    <row r="366" spans="1:5">
      <c r="A366" s="11"/>
      <c r="B366" s="16" t="s">
        <v>779</v>
      </c>
      <c r="C366" s="13">
        <v>510000</v>
      </c>
      <c r="D366" s="13"/>
      <c r="E366" s="13"/>
    </row>
    <row r="367" spans="1:5">
      <c r="A367" s="11"/>
      <c r="B367" s="16" t="s">
        <v>780</v>
      </c>
      <c r="C367" s="13">
        <v>25000</v>
      </c>
      <c r="D367" s="13"/>
      <c r="E367" s="13"/>
    </row>
    <row r="368" spans="1:5">
      <c r="A368" s="11"/>
      <c r="B368" s="16" t="s">
        <v>771</v>
      </c>
      <c r="C368" s="13">
        <v>429000</v>
      </c>
      <c r="D368" s="13"/>
      <c r="E368" s="13"/>
    </row>
    <row r="369" spans="1:6">
      <c r="A369" s="11"/>
      <c r="B369" s="16" t="s">
        <v>720</v>
      </c>
      <c r="C369" s="13">
        <v>20000</v>
      </c>
      <c r="D369" s="13"/>
      <c r="E369" s="13"/>
    </row>
    <row r="370" spans="1:6">
      <c r="A370" s="11"/>
      <c r="B370" s="16" t="s">
        <v>781</v>
      </c>
      <c r="C370" s="13">
        <v>184000</v>
      </c>
      <c r="D370" s="13"/>
      <c r="E370" s="13"/>
    </row>
    <row r="371" spans="1:6">
      <c r="A371" s="11"/>
      <c r="B371" s="16" t="s">
        <v>819</v>
      </c>
      <c r="C371" s="13">
        <v>2575000</v>
      </c>
      <c r="D371" s="13"/>
      <c r="E371" s="13"/>
    </row>
    <row r="372" spans="1:6">
      <c r="A372" s="11"/>
      <c r="B372" s="16" t="s">
        <v>820</v>
      </c>
      <c r="C372" s="13">
        <v>800000</v>
      </c>
      <c r="D372" s="13"/>
      <c r="E372" s="13"/>
    </row>
    <row r="373" spans="1:6">
      <c r="A373" s="11"/>
      <c r="B373" s="16" t="s">
        <v>821</v>
      </c>
      <c r="C373" s="13">
        <v>2575000</v>
      </c>
      <c r="D373" s="13"/>
      <c r="E373" s="13"/>
    </row>
    <row r="374" spans="1:6">
      <c r="A374" s="11"/>
      <c r="B374" s="16" t="s">
        <v>822</v>
      </c>
      <c r="C374" s="13">
        <v>2575000</v>
      </c>
      <c r="D374" s="13"/>
      <c r="E374" s="13"/>
    </row>
    <row r="375" spans="1:6">
      <c r="A375" s="8"/>
      <c r="B375" s="17" t="s">
        <v>823</v>
      </c>
      <c r="C375" s="10">
        <v>2575000</v>
      </c>
      <c r="D375" s="10"/>
      <c r="E375" s="10"/>
    </row>
    <row r="376" spans="1:6">
      <c r="A376" s="11">
        <v>13</v>
      </c>
      <c r="B376" s="16" t="s">
        <v>833</v>
      </c>
      <c r="C376" s="13">
        <v>92190000</v>
      </c>
      <c r="D376" s="13"/>
      <c r="E376" s="13"/>
    </row>
    <row r="377" spans="1:6">
      <c r="A377" s="11"/>
      <c r="B377" s="16" t="s">
        <v>834</v>
      </c>
      <c r="C377" s="13"/>
      <c r="D377" s="13">
        <v>21200000</v>
      </c>
      <c r="E377" s="13"/>
    </row>
    <row r="378" spans="1:6">
      <c r="A378" s="11"/>
      <c r="B378" s="16" t="s">
        <v>886</v>
      </c>
      <c r="C378" s="13"/>
      <c r="D378" s="13">
        <v>65305750</v>
      </c>
      <c r="E378" s="13"/>
    </row>
    <row r="379" spans="1:6">
      <c r="A379" s="11"/>
      <c r="B379" s="16" t="s">
        <v>887</v>
      </c>
      <c r="C379" s="13"/>
      <c r="D379" s="13">
        <v>4792300</v>
      </c>
      <c r="E379" s="13"/>
    </row>
    <row r="380" spans="1:6">
      <c r="A380" s="11"/>
      <c r="B380" s="16" t="s">
        <v>888</v>
      </c>
      <c r="C380" s="13"/>
      <c r="D380" s="13">
        <v>25847451</v>
      </c>
      <c r="E380" s="13"/>
      <c r="F380" s="14"/>
    </row>
    <row r="381" spans="1:6">
      <c r="A381" s="11"/>
      <c r="B381" s="12" t="s">
        <v>889</v>
      </c>
      <c r="C381" s="13"/>
      <c r="D381" s="13">
        <v>10383590</v>
      </c>
      <c r="E381" s="13"/>
      <c r="F381" s="14"/>
    </row>
    <row r="382" spans="1:6">
      <c r="A382" s="11"/>
      <c r="B382" s="16" t="s">
        <v>749</v>
      </c>
      <c r="C382" s="13"/>
      <c r="D382" s="13">
        <f>527499+211910</f>
        <v>739409</v>
      </c>
      <c r="E382" s="13"/>
    </row>
    <row r="383" spans="1:6">
      <c r="A383" s="11"/>
      <c r="B383" s="16" t="s">
        <v>890</v>
      </c>
      <c r="C383" s="13">
        <v>300000</v>
      </c>
      <c r="D383" s="13"/>
      <c r="E383" s="13"/>
    </row>
    <row r="384" spans="1:6">
      <c r="A384" s="11"/>
      <c r="B384" s="16" t="s">
        <v>891</v>
      </c>
      <c r="C384" s="13">
        <v>1500000</v>
      </c>
      <c r="D384" s="13"/>
      <c r="E384" s="13"/>
    </row>
    <row r="385" spans="1:5">
      <c r="A385" s="11"/>
      <c r="B385" s="16" t="s">
        <v>782</v>
      </c>
      <c r="C385" s="13">
        <v>579600</v>
      </c>
      <c r="D385" s="13"/>
      <c r="E385" s="13"/>
    </row>
    <row r="386" spans="1:5">
      <c r="A386" s="11"/>
      <c r="B386" s="16" t="s">
        <v>782</v>
      </c>
      <c r="C386" s="13">
        <v>227500</v>
      </c>
      <c r="D386" s="13"/>
      <c r="E386" s="13"/>
    </row>
    <row r="387" spans="1:5">
      <c r="A387" s="11"/>
      <c r="B387" s="16" t="s">
        <v>783</v>
      </c>
      <c r="C387" s="13">
        <v>70500</v>
      </c>
      <c r="D387" s="13"/>
      <c r="E387" s="13"/>
    </row>
    <row r="388" spans="1:5">
      <c r="A388" s="11"/>
      <c r="B388" s="16" t="s">
        <v>787</v>
      </c>
      <c r="C388" s="13">
        <v>1530000</v>
      </c>
      <c r="D388" s="13"/>
      <c r="E388" s="13"/>
    </row>
    <row r="389" spans="1:5">
      <c r="A389" s="11"/>
      <c r="B389" s="16" t="s">
        <v>789</v>
      </c>
      <c r="C389" s="13">
        <v>1264800</v>
      </c>
      <c r="D389" s="13"/>
      <c r="E389" s="13"/>
    </row>
    <row r="390" spans="1:5">
      <c r="A390" s="11"/>
      <c r="B390" s="16" t="s">
        <v>720</v>
      </c>
      <c r="C390" s="13">
        <v>15000</v>
      </c>
      <c r="D390" s="13"/>
      <c r="E390" s="13"/>
    </row>
    <row r="391" spans="1:5">
      <c r="A391" s="11"/>
      <c r="B391" s="16" t="s">
        <v>829</v>
      </c>
      <c r="C391" s="13">
        <v>95000</v>
      </c>
      <c r="D391" s="13"/>
      <c r="E391" s="13"/>
    </row>
    <row r="392" spans="1:5">
      <c r="A392" s="11"/>
      <c r="B392" s="16" t="s">
        <v>788</v>
      </c>
      <c r="C392" s="13">
        <v>1020000</v>
      </c>
      <c r="D392" s="13"/>
      <c r="E392" s="13"/>
    </row>
    <row r="393" spans="1:5">
      <c r="A393" s="11"/>
      <c r="B393" s="16" t="s">
        <v>790</v>
      </c>
      <c r="C393" s="13">
        <v>5145000</v>
      </c>
      <c r="D393" s="13"/>
      <c r="E393" s="13"/>
    </row>
    <row r="394" spans="1:5">
      <c r="A394" s="11"/>
      <c r="B394" s="16" t="s">
        <v>720</v>
      </c>
      <c r="C394" s="13">
        <v>15000</v>
      </c>
      <c r="D394" s="13"/>
      <c r="E394" s="13"/>
    </row>
    <row r="395" spans="1:5">
      <c r="A395" s="11"/>
      <c r="B395" s="16" t="s">
        <v>791</v>
      </c>
      <c r="C395" s="13">
        <v>119800</v>
      </c>
      <c r="D395" s="13"/>
      <c r="E395" s="13"/>
    </row>
    <row r="396" spans="1:5">
      <c r="A396" s="11"/>
      <c r="B396" s="16" t="s">
        <v>873</v>
      </c>
      <c r="C396" s="13">
        <v>48000</v>
      </c>
      <c r="D396" s="13"/>
      <c r="E396" s="13"/>
    </row>
    <row r="397" spans="1:5">
      <c r="A397" s="11"/>
      <c r="B397" s="16" t="s">
        <v>799</v>
      </c>
      <c r="C397" s="13">
        <v>341000</v>
      </c>
      <c r="D397" s="13"/>
      <c r="E397" s="13"/>
    </row>
    <row r="398" spans="1:5">
      <c r="A398" s="11"/>
      <c r="B398" s="16" t="s">
        <v>800</v>
      </c>
      <c r="C398" s="13">
        <v>227500</v>
      </c>
      <c r="D398" s="13"/>
      <c r="E398" s="13"/>
    </row>
    <row r="399" spans="1:5">
      <c r="A399" s="11"/>
      <c r="B399" s="16" t="s">
        <v>792</v>
      </c>
      <c r="C399" s="13">
        <v>758650</v>
      </c>
      <c r="D399" s="13"/>
      <c r="E399" s="13"/>
    </row>
    <row r="400" spans="1:5">
      <c r="A400" s="11"/>
      <c r="B400" s="16" t="s">
        <v>720</v>
      </c>
      <c r="C400" s="13">
        <v>15000</v>
      </c>
      <c r="D400" s="13"/>
      <c r="E400" s="13"/>
    </row>
    <row r="401" spans="1:5">
      <c r="A401" s="11"/>
      <c r="B401" s="16" t="s">
        <v>793</v>
      </c>
      <c r="C401" s="13">
        <v>78000</v>
      </c>
      <c r="D401" s="13"/>
      <c r="E401" s="13"/>
    </row>
    <row r="402" spans="1:5">
      <c r="A402" s="11"/>
      <c r="B402" s="16" t="s">
        <v>794</v>
      </c>
      <c r="C402" s="13">
        <v>20000</v>
      </c>
      <c r="D402" s="13"/>
      <c r="E402" s="13"/>
    </row>
    <row r="403" spans="1:5">
      <c r="A403" s="11"/>
      <c r="B403" s="16" t="s">
        <v>874</v>
      </c>
      <c r="C403" s="13">
        <v>18000</v>
      </c>
      <c r="D403" s="13"/>
      <c r="E403" s="13"/>
    </row>
    <row r="404" spans="1:5">
      <c r="A404" s="11"/>
      <c r="B404" s="16" t="s">
        <v>795</v>
      </c>
      <c r="C404" s="13">
        <v>215000</v>
      </c>
      <c r="D404" s="13"/>
      <c r="E404" s="13"/>
    </row>
    <row r="405" spans="1:5">
      <c r="A405" s="11"/>
      <c r="B405" s="16" t="s">
        <v>801</v>
      </c>
      <c r="C405" s="13">
        <v>740800</v>
      </c>
      <c r="D405" s="13"/>
      <c r="E405" s="13"/>
    </row>
    <row r="406" spans="1:5">
      <c r="A406" s="11"/>
      <c r="B406" s="16" t="s">
        <v>720</v>
      </c>
      <c r="C406" s="13">
        <v>10000</v>
      </c>
      <c r="D406" s="13"/>
      <c r="E406" s="13"/>
    </row>
    <row r="407" spans="1:5">
      <c r="A407" s="11"/>
      <c r="B407" s="16" t="s">
        <v>802</v>
      </c>
      <c r="C407" s="13">
        <v>1275000</v>
      </c>
      <c r="D407" s="13"/>
      <c r="E407" s="13"/>
    </row>
    <row r="408" spans="1:5">
      <c r="A408" s="11"/>
      <c r="B408" s="16" t="s">
        <v>875</v>
      </c>
      <c r="C408" s="13">
        <v>32000</v>
      </c>
      <c r="D408" s="13"/>
      <c r="E408" s="13"/>
    </row>
    <row r="409" spans="1:5">
      <c r="A409" s="11"/>
      <c r="B409" s="16" t="s">
        <v>803</v>
      </c>
      <c r="C409" s="13">
        <v>73500</v>
      </c>
      <c r="D409" s="13"/>
      <c r="E409" s="13"/>
    </row>
    <row r="410" spans="1:5">
      <c r="A410" s="11"/>
      <c r="B410" s="16" t="s">
        <v>796</v>
      </c>
      <c r="C410" s="13">
        <v>1401600</v>
      </c>
      <c r="D410" s="13"/>
      <c r="E410" s="13"/>
    </row>
    <row r="411" spans="1:5">
      <c r="A411" s="11"/>
      <c r="B411" s="16" t="s">
        <v>720</v>
      </c>
      <c r="C411" s="13">
        <v>15000</v>
      </c>
      <c r="D411" s="13"/>
      <c r="E411" s="13"/>
    </row>
    <row r="412" spans="1:5">
      <c r="A412" s="11"/>
      <c r="B412" s="16" t="s">
        <v>796</v>
      </c>
      <c r="C412" s="13">
        <v>5331000</v>
      </c>
      <c r="D412" s="13"/>
      <c r="E412" s="13"/>
    </row>
    <row r="413" spans="1:5">
      <c r="A413" s="11"/>
      <c r="B413" s="16" t="s">
        <v>720</v>
      </c>
      <c r="C413" s="13">
        <v>15000</v>
      </c>
      <c r="D413" s="13"/>
      <c r="E413" s="13"/>
    </row>
    <row r="414" spans="1:5">
      <c r="A414" s="11"/>
      <c r="B414" s="16" t="s">
        <v>796</v>
      </c>
      <c r="C414" s="13">
        <v>2006250</v>
      </c>
      <c r="D414" s="13"/>
      <c r="E414" s="13"/>
    </row>
    <row r="415" spans="1:5">
      <c r="A415" s="11"/>
      <c r="B415" s="16" t="s">
        <v>720</v>
      </c>
      <c r="C415" s="13">
        <v>15000</v>
      </c>
      <c r="D415" s="13"/>
      <c r="E415" s="13"/>
    </row>
    <row r="416" spans="1:5">
      <c r="A416" s="11"/>
      <c r="B416" s="16" t="s">
        <v>804</v>
      </c>
      <c r="C416" s="13">
        <v>849000</v>
      </c>
      <c r="D416" s="13"/>
      <c r="E416" s="13"/>
    </row>
    <row r="417" spans="1:5">
      <c r="A417" s="11"/>
      <c r="B417" s="16" t="s">
        <v>797</v>
      </c>
      <c r="C417" s="13">
        <v>516000</v>
      </c>
      <c r="D417" s="13"/>
      <c r="E417" s="13"/>
    </row>
    <row r="418" spans="1:5">
      <c r="A418" s="11"/>
      <c r="B418" s="16" t="s">
        <v>876</v>
      </c>
      <c r="C418" s="13">
        <v>44000</v>
      </c>
      <c r="D418" s="13"/>
      <c r="E418" s="13"/>
    </row>
    <row r="419" spans="1:5">
      <c r="A419" s="11"/>
      <c r="B419" s="16" t="s">
        <v>798</v>
      </c>
      <c r="C419" s="13">
        <v>458500</v>
      </c>
      <c r="D419" s="13"/>
      <c r="E419" s="13"/>
    </row>
    <row r="420" spans="1:5">
      <c r="A420" s="11"/>
      <c r="B420" s="16" t="s">
        <v>877</v>
      </c>
      <c r="C420" s="13">
        <v>37500</v>
      </c>
      <c r="D420" s="13"/>
      <c r="E420" s="13"/>
    </row>
    <row r="421" spans="1:5">
      <c r="A421" s="11"/>
      <c r="B421" s="16" t="s">
        <v>878</v>
      </c>
      <c r="C421" s="13">
        <v>48000</v>
      </c>
      <c r="D421" s="13"/>
      <c r="E421" s="13"/>
    </row>
    <row r="422" spans="1:5">
      <c r="A422" s="11"/>
      <c r="B422" s="16" t="s">
        <v>805</v>
      </c>
      <c r="C422" s="13">
        <v>1032000</v>
      </c>
      <c r="D422" s="13"/>
      <c r="E422" s="13"/>
    </row>
    <row r="423" spans="1:5">
      <c r="A423" s="11"/>
      <c r="B423" s="16" t="s">
        <v>806</v>
      </c>
      <c r="C423" s="13">
        <v>4840246</v>
      </c>
      <c r="D423" s="13"/>
      <c r="E423" s="13"/>
    </row>
    <row r="424" spans="1:5">
      <c r="A424" s="11"/>
      <c r="B424" s="16" t="s">
        <v>720</v>
      </c>
      <c r="C424" s="13">
        <v>15000</v>
      </c>
      <c r="D424" s="13"/>
      <c r="E424" s="13"/>
    </row>
    <row r="425" spans="1:5">
      <c r="A425" s="11"/>
      <c r="B425" s="16" t="s">
        <v>807</v>
      </c>
      <c r="C425" s="13">
        <v>545846</v>
      </c>
      <c r="D425" s="13"/>
      <c r="E425" s="13"/>
    </row>
    <row r="426" spans="1:5">
      <c r="A426" s="11"/>
      <c r="B426" s="16" t="s">
        <v>720</v>
      </c>
      <c r="C426" s="13">
        <v>15000</v>
      </c>
      <c r="D426" s="13"/>
      <c r="E426" s="13"/>
    </row>
    <row r="427" spans="1:5">
      <c r="A427" s="11"/>
      <c r="B427" s="16" t="s">
        <v>808</v>
      </c>
      <c r="C427" s="13">
        <v>210000</v>
      </c>
      <c r="D427" s="13"/>
      <c r="E427" s="13"/>
    </row>
    <row r="428" spans="1:5">
      <c r="A428" s="11"/>
      <c r="B428" s="16" t="s">
        <v>720</v>
      </c>
      <c r="C428" s="13">
        <v>10000</v>
      </c>
      <c r="D428" s="13"/>
      <c r="E428" s="13"/>
    </row>
    <row r="429" spans="1:5">
      <c r="A429" s="11"/>
      <c r="B429" s="16" t="s">
        <v>810</v>
      </c>
      <c r="C429" s="13">
        <v>886000</v>
      </c>
      <c r="D429" s="13"/>
      <c r="E429" s="13"/>
    </row>
    <row r="430" spans="1:5">
      <c r="A430" s="11"/>
      <c r="B430" s="16" t="s">
        <v>720</v>
      </c>
      <c r="C430" s="13">
        <v>10000</v>
      </c>
      <c r="D430" s="13"/>
      <c r="E430" s="13"/>
    </row>
    <row r="431" spans="1:5">
      <c r="A431" s="11"/>
      <c r="B431" s="16" t="s">
        <v>809</v>
      </c>
      <c r="C431" s="13">
        <v>738000</v>
      </c>
      <c r="D431" s="13"/>
      <c r="E431" s="13"/>
    </row>
    <row r="432" spans="1:5">
      <c r="A432" s="11"/>
      <c r="B432" s="16" t="s">
        <v>879</v>
      </c>
      <c r="C432" s="13">
        <v>120000</v>
      </c>
      <c r="D432" s="13"/>
      <c r="E432" s="13"/>
    </row>
    <row r="433" spans="1:5">
      <c r="A433" s="11"/>
      <c r="B433" s="16" t="s">
        <v>885</v>
      </c>
      <c r="C433" s="13">
        <v>778850</v>
      </c>
      <c r="D433" s="13"/>
      <c r="E433" s="13"/>
    </row>
    <row r="434" spans="1:5">
      <c r="A434" s="11"/>
      <c r="B434" s="16" t="s">
        <v>720</v>
      </c>
      <c r="C434" s="13">
        <v>15000</v>
      </c>
      <c r="D434" s="13"/>
      <c r="E434" s="13"/>
    </row>
    <row r="435" spans="1:5">
      <c r="A435" s="11"/>
      <c r="B435" s="16" t="s">
        <v>811</v>
      </c>
      <c r="C435" s="13">
        <v>182000</v>
      </c>
      <c r="D435" s="13"/>
      <c r="E435" s="13"/>
    </row>
    <row r="436" spans="1:5">
      <c r="A436" s="11"/>
      <c r="B436" s="16" t="s">
        <v>812</v>
      </c>
      <c r="C436" s="13">
        <v>75000</v>
      </c>
      <c r="D436" s="13"/>
      <c r="E436" s="13"/>
    </row>
    <row r="437" spans="1:5">
      <c r="A437" s="11"/>
      <c r="B437" s="16" t="s">
        <v>880</v>
      </c>
      <c r="C437" s="13">
        <v>48000</v>
      </c>
      <c r="D437" s="13"/>
      <c r="E437" s="13"/>
    </row>
    <row r="438" spans="1:5">
      <c r="A438" s="11"/>
      <c r="B438" s="16" t="s">
        <v>884</v>
      </c>
      <c r="C438" s="13">
        <v>18000</v>
      </c>
      <c r="D438" s="13"/>
      <c r="E438" s="13"/>
    </row>
    <row r="439" spans="1:5">
      <c r="A439" s="11"/>
      <c r="B439" s="16" t="s">
        <v>813</v>
      </c>
      <c r="C439" s="13">
        <v>156000</v>
      </c>
      <c r="D439" s="13"/>
      <c r="E439" s="13"/>
    </row>
    <row r="440" spans="1:5">
      <c r="A440" s="11"/>
      <c r="B440" s="16" t="s">
        <v>881</v>
      </c>
      <c r="C440" s="13">
        <v>48000</v>
      </c>
      <c r="D440" s="13"/>
      <c r="E440" s="13"/>
    </row>
    <row r="441" spans="1:5">
      <c r="A441" s="11"/>
      <c r="B441" s="16" t="s">
        <v>815</v>
      </c>
      <c r="C441" s="13">
        <v>101600</v>
      </c>
      <c r="D441" s="13"/>
      <c r="E441" s="13"/>
    </row>
    <row r="442" spans="1:5">
      <c r="A442" s="11"/>
      <c r="B442" s="16" t="s">
        <v>816</v>
      </c>
      <c r="C442" s="13">
        <v>7178000</v>
      </c>
      <c r="D442" s="13"/>
      <c r="E442" s="13"/>
    </row>
    <row r="443" spans="1:5">
      <c r="A443" s="11"/>
      <c r="B443" s="16" t="s">
        <v>720</v>
      </c>
      <c r="C443" s="13">
        <v>25000</v>
      </c>
      <c r="D443" s="13"/>
      <c r="E443" s="13"/>
    </row>
    <row r="444" spans="1:5">
      <c r="A444" s="11"/>
      <c r="B444" s="16" t="s">
        <v>882</v>
      </c>
      <c r="C444" s="13">
        <v>131000</v>
      </c>
      <c r="D444" s="13"/>
      <c r="E444" s="13"/>
    </row>
    <row r="445" spans="1:5">
      <c r="A445" s="11"/>
      <c r="B445" s="16" t="s">
        <v>883</v>
      </c>
      <c r="C445" s="13">
        <v>37500</v>
      </c>
      <c r="D445" s="13"/>
      <c r="E445" s="13"/>
    </row>
    <row r="446" spans="1:5">
      <c r="A446" s="11"/>
      <c r="B446" s="16" t="s">
        <v>876</v>
      </c>
      <c r="C446" s="13">
        <v>68000</v>
      </c>
      <c r="D446" s="13"/>
      <c r="E446" s="13"/>
    </row>
    <row r="447" spans="1:5">
      <c r="A447" s="11"/>
      <c r="B447" s="16" t="s">
        <v>814</v>
      </c>
      <c r="C447" s="13">
        <v>274000</v>
      </c>
      <c r="D447" s="13"/>
      <c r="E447" s="13"/>
    </row>
    <row r="448" spans="1:5">
      <c r="A448" s="11"/>
      <c r="B448" s="16" t="s">
        <v>824</v>
      </c>
      <c r="C448" s="13">
        <v>2675000</v>
      </c>
      <c r="D448" s="13"/>
      <c r="E448" s="13"/>
    </row>
    <row r="449" spans="1:9">
      <c r="A449" s="11"/>
      <c r="B449" s="16" t="s">
        <v>825</v>
      </c>
      <c r="C449" s="13">
        <v>2675000</v>
      </c>
      <c r="D449" s="13"/>
      <c r="E449" s="13"/>
    </row>
    <row r="450" spans="1:9">
      <c r="A450" s="11"/>
      <c r="B450" s="16" t="s">
        <v>826</v>
      </c>
      <c r="C450" s="13">
        <v>2675000</v>
      </c>
      <c r="D450" s="13"/>
      <c r="E450" s="13"/>
    </row>
    <row r="451" spans="1:9">
      <c r="A451" s="11"/>
      <c r="B451" s="16" t="s">
        <v>827</v>
      </c>
      <c r="C451" s="13">
        <v>2675000</v>
      </c>
      <c r="D451" s="13"/>
      <c r="E451" s="13"/>
    </row>
    <row r="452" spans="1:9">
      <c r="A452" s="11"/>
      <c r="B452" s="16" t="s">
        <v>830</v>
      </c>
      <c r="C452" s="13">
        <v>2775000</v>
      </c>
      <c r="D452" s="13"/>
      <c r="E452" s="13"/>
    </row>
    <row r="453" spans="1:9">
      <c r="A453" s="6"/>
      <c r="B453" s="7"/>
      <c r="C453" s="20">
        <f>SUM(C4:C452)</f>
        <v>2209660642</v>
      </c>
      <c r="D453" s="20">
        <f t="shared" ref="D453" si="0">SUM(D4:D452)</f>
        <v>2453786897</v>
      </c>
      <c r="E453" s="20">
        <f>D453-C453</f>
        <v>244126255</v>
      </c>
    </row>
    <row r="455" spans="1:9">
      <c r="A455" s="21" t="s">
        <v>642</v>
      </c>
      <c r="B455" s="22"/>
      <c r="C455" s="23"/>
      <c r="D455" s="91"/>
    </row>
    <row r="456" spans="1:9">
      <c r="A456" s="21" t="s">
        <v>254</v>
      </c>
      <c r="B456" s="22"/>
      <c r="C456" s="23" t="s">
        <v>255</v>
      </c>
      <c r="D456" s="91"/>
    </row>
    <row r="457" spans="1:9">
      <c r="A457" s="21"/>
      <c r="B457" s="24"/>
      <c r="C457" s="23"/>
      <c r="D457" s="91"/>
    </row>
    <row r="458" spans="1:9">
      <c r="A458" s="21"/>
      <c r="B458" s="24"/>
      <c r="C458" s="23"/>
      <c r="D458" s="23"/>
    </row>
    <row r="459" spans="1:9">
      <c r="A459" s="21"/>
      <c r="B459" s="24"/>
      <c r="C459" s="25"/>
      <c r="D459" s="25"/>
      <c r="E459" s="93"/>
    </row>
    <row r="460" spans="1:9">
      <c r="A460" s="21"/>
      <c r="B460" s="24"/>
      <c r="C460" s="23"/>
      <c r="D460" s="23"/>
      <c r="I460" s="1"/>
    </row>
    <row r="461" spans="1:9">
      <c r="A461" s="21"/>
      <c r="B461" s="24"/>
      <c r="C461" s="25"/>
      <c r="D461" s="25"/>
      <c r="I461" s="1"/>
    </row>
    <row r="462" spans="1:9">
      <c r="A462" s="26" t="s">
        <v>256</v>
      </c>
      <c r="B462" s="27"/>
      <c r="C462" s="25" t="s">
        <v>257</v>
      </c>
      <c r="D462" s="23"/>
      <c r="I462" s="1"/>
    </row>
    <row r="463" spans="1:9">
      <c r="A463" s="21" t="s">
        <v>258</v>
      </c>
      <c r="B463" s="22"/>
      <c r="C463" s="23" t="s">
        <v>259</v>
      </c>
      <c r="D463" s="28"/>
      <c r="I463" s="1"/>
    </row>
    <row r="464" spans="1:9">
      <c r="I464" s="1"/>
    </row>
    <row r="465" spans="9:9">
      <c r="I465" s="1"/>
    </row>
    <row r="466" spans="9:9">
      <c r="I466" s="1"/>
    </row>
    <row r="467" spans="9:9">
      <c r="I467" s="1"/>
    </row>
    <row r="468" spans="9:9">
      <c r="I468" s="14"/>
    </row>
    <row r="469" spans="9:9">
      <c r="I469" s="14"/>
    </row>
  </sheetData>
  <printOptions horizontalCentered="1"/>
  <pageMargins left="0" right="0" top="0" bottom="0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29"/>
  <sheetViews>
    <sheetView showGridLines="0" topLeftCell="A211" workbookViewId="0">
      <selection activeCell="B211" sqref="B211"/>
    </sheetView>
  </sheetViews>
  <sheetFormatPr defaultRowHeight="15"/>
  <cols>
    <col min="1" max="1" width="6" style="32" customWidth="1"/>
    <col min="2" max="2" width="78.85546875" style="32" customWidth="1"/>
    <col min="3" max="4" width="18.7109375" style="31" customWidth="1"/>
    <col min="5" max="5" width="18.7109375" style="32" customWidth="1"/>
    <col min="6" max="6" width="17.5703125" style="32" bestFit="1" customWidth="1"/>
    <col min="7" max="7" width="20.28515625" style="32" customWidth="1"/>
    <col min="8" max="8" width="14.28515625" style="32" bestFit="1" customWidth="1"/>
    <col min="9" max="16384" width="9.140625" style="32"/>
  </cols>
  <sheetData>
    <row r="1" spans="1:5" ht="15.75">
      <c r="A1" s="29" t="s">
        <v>260</v>
      </c>
      <c r="B1" s="29"/>
      <c r="C1" s="30"/>
    </row>
    <row r="2" spans="1:5" ht="2.25" customHeight="1">
      <c r="A2" s="29"/>
      <c r="B2" s="29"/>
      <c r="C2" s="30"/>
    </row>
    <row r="3" spans="1:5" ht="15.75">
      <c r="A3" s="33" t="s">
        <v>1</v>
      </c>
      <c r="B3" s="33" t="s">
        <v>2</v>
      </c>
      <c r="C3" s="34" t="s">
        <v>4</v>
      </c>
      <c r="D3" s="34" t="s">
        <v>261</v>
      </c>
      <c r="E3" s="33" t="s">
        <v>5</v>
      </c>
    </row>
    <row r="4" spans="1:5">
      <c r="A4" s="35">
        <v>1</v>
      </c>
      <c r="B4" s="36" t="s">
        <v>262</v>
      </c>
      <c r="C4" s="37">
        <v>330000</v>
      </c>
      <c r="D4" s="37"/>
      <c r="E4" s="36"/>
    </row>
    <row r="5" spans="1:5">
      <c r="A5" s="35">
        <f>A4+1</f>
        <v>2</v>
      </c>
      <c r="B5" s="36" t="s">
        <v>263</v>
      </c>
      <c r="C5" s="37">
        <v>415000</v>
      </c>
      <c r="D5" s="37"/>
      <c r="E5" s="36"/>
    </row>
    <row r="6" spans="1:5">
      <c r="A6" s="35">
        <f t="shared" ref="A6:A69" si="0">A5+1</f>
        <v>3</v>
      </c>
      <c r="B6" s="36" t="s">
        <v>264</v>
      </c>
      <c r="C6" s="37">
        <v>455000</v>
      </c>
      <c r="D6" s="37"/>
      <c r="E6" s="36"/>
    </row>
    <row r="7" spans="1:5">
      <c r="A7" s="35">
        <f t="shared" si="0"/>
        <v>4</v>
      </c>
      <c r="B7" s="36" t="s">
        <v>6</v>
      </c>
      <c r="C7" s="37">
        <v>390000</v>
      </c>
      <c r="D7" s="37"/>
      <c r="E7" s="36"/>
    </row>
    <row r="8" spans="1:5">
      <c r="A8" s="35">
        <f t="shared" si="0"/>
        <v>5</v>
      </c>
      <c r="B8" s="36" t="s">
        <v>7</v>
      </c>
      <c r="C8" s="37">
        <v>320000</v>
      </c>
      <c r="D8" s="37"/>
      <c r="E8" s="36"/>
    </row>
    <row r="9" spans="1:5">
      <c r="A9" s="35">
        <f t="shared" si="0"/>
        <v>6</v>
      </c>
      <c r="B9" s="36" t="s">
        <v>8</v>
      </c>
      <c r="C9" s="37">
        <v>505000</v>
      </c>
      <c r="D9" s="37"/>
      <c r="E9" s="36"/>
    </row>
    <row r="10" spans="1:5">
      <c r="A10" s="35">
        <f t="shared" si="0"/>
        <v>7</v>
      </c>
      <c r="B10" s="36" t="s">
        <v>9</v>
      </c>
      <c r="C10" s="37">
        <v>515000</v>
      </c>
      <c r="D10" s="37"/>
      <c r="E10" s="36"/>
    </row>
    <row r="11" spans="1:5">
      <c r="A11" s="35">
        <f t="shared" si="0"/>
        <v>8</v>
      </c>
      <c r="B11" s="36" t="s">
        <v>265</v>
      </c>
      <c r="C11" s="37">
        <v>400000</v>
      </c>
      <c r="D11" s="37"/>
      <c r="E11" s="36"/>
    </row>
    <row r="12" spans="1:5">
      <c r="A12" s="35">
        <f t="shared" si="0"/>
        <v>9</v>
      </c>
      <c r="B12" s="36" t="s">
        <v>10</v>
      </c>
      <c r="C12" s="37">
        <v>758000</v>
      </c>
      <c r="D12" s="37"/>
      <c r="E12" s="36"/>
    </row>
    <row r="13" spans="1:5">
      <c r="A13" s="35">
        <f t="shared" si="0"/>
        <v>10</v>
      </c>
      <c r="B13" s="36" t="s">
        <v>11</v>
      </c>
      <c r="C13" s="37">
        <v>536000</v>
      </c>
      <c r="D13" s="37"/>
      <c r="E13" s="36"/>
    </row>
    <row r="14" spans="1:5">
      <c r="A14" s="35">
        <f t="shared" si="0"/>
        <v>11</v>
      </c>
      <c r="B14" s="36" t="s">
        <v>12</v>
      </c>
      <c r="C14" s="37">
        <v>783000</v>
      </c>
      <c r="D14" s="37"/>
      <c r="E14" s="36"/>
    </row>
    <row r="15" spans="1:5">
      <c r="A15" s="35">
        <f t="shared" si="0"/>
        <v>12</v>
      </c>
      <c r="B15" s="36" t="s">
        <v>13</v>
      </c>
      <c r="C15" s="37">
        <v>901000</v>
      </c>
      <c r="D15" s="37"/>
      <c r="E15" s="36"/>
    </row>
    <row r="16" spans="1:5">
      <c r="A16" s="35">
        <f t="shared" si="0"/>
        <v>13</v>
      </c>
      <c r="B16" s="36" t="s">
        <v>266</v>
      </c>
      <c r="C16" s="37">
        <v>250000</v>
      </c>
      <c r="D16" s="37"/>
      <c r="E16" s="36"/>
    </row>
    <row r="17" spans="1:8">
      <c r="A17" s="35">
        <f t="shared" si="0"/>
        <v>14</v>
      </c>
      <c r="B17" s="36" t="s">
        <v>14</v>
      </c>
      <c r="C17" s="37">
        <v>1090000</v>
      </c>
      <c r="D17" s="37"/>
      <c r="E17" s="36"/>
    </row>
    <row r="18" spans="1:8">
      <c r="A18" s="35">
        <f t="shared" si="0"/>
        <v>15</v>
      </c>
      <c r="B18" s="36" t="s">
        <v>15</v>
      </c>
      <c r="C18" s="37">
        <v>1133000</v>
      </c>
      <c r="D18" s="37"/>
      <c r="E18" s="36"/>
    </row>
    <row r="19" spans="1:8">
      <c r="A19" s="35">
        <f t="shared" si="0"/>
        <v>16</v>
      </c>
      <c r="B19" s="36" t="s">
        <v>16</v>
      </c>
      <c r="C19" s="37">
        <v>1108000</v>
      </c>
      <c r="D19" s="37"/>
      <c r="E19" s="36"/>
    </row>
    <row r="20" spans="1:8">
      <c r="A20" s="35">
        <f t="shared" si="0"/>
        <v>17</v>
      </c>
      <c r="B20" s="36" t="s">
        <v>17</v>
      </c>
      <c r="C20" s="37">
        <v>1363000</v>
      </c>
      <c r="D20" s="37"/>
      <c r="E20" s="36"/>
    </row>
    <row r="21" spans="1:8">
      <c r="A21" s="35">
        <f t="shared" si="0"/>
        <v>18</v>
      </c>
      <c r="B21" s="36" t="s">
        <v>18</v>
      </c>
      <c r="C21" s="37">
        <v>1693000</v>
      </c>
      <c r="D21" s="37"/>
      <c r="E21" s="36"/>
    </row>
    <row r="22" spans="1:8">
      <c r="A22" s="35">
        <f t="shared" si="0"/>
        <v>19</v>
      </c>
      <c r="B22" s="36" t="s">
        <v>19</v>
      </c>
      <c r="C22" s="37">
        <v>1992000</v>
      </c>
      <c r="D22" s="37"/>
      <c r="E22" s="36"/>
    </row>
    <row r="23" spans="1:8" customFormat="1" ht="15.75">
      <c r="A23" s="35">
        <f t="shared" si="0"/>
        <v>20</v>
      </c>
      <c r="B23" s="38" t="s">
        <v>20</v>
      </c>
      <c r="C23" s="39"/>
      <c r="D23" s="39">
        <v>1200000</v>
      </c>
      <c r="E23" s="39"/>
      <c r="G23" s="1"/>
      <c r="H23" s="1"/>
    </row>
    <row r="24" spans="1:8">
      <c r="A24" s="35">
        <f t="shared" si="0"/>
        <v>21</v>
      </c>
      <c r="B24" s="36" t="s">
        <v>21</v>
      </c>
      <c r="C24" s="37">
        <v>1997000</v>
      </c>
      <c r="D24" s="37"/>
      <c r="E24" s="36"/>
    </row>
    <row r="25" spans="1:8">
      <c r="A25" s="35">
        <f t="shared" si="0"/>
        <v>22</v>
      </c>
      <c r="B25" s="36" t="s">
        <v>267</v>
      </c>
      <c r="C25" s="37">
        <v>281213.32</v>
      </c>
      <c r="D25" s="37"/>
      <c r="E25" s="36"/>
    </row>
    <row r="26" spans="1:8" customFormat="1" ht="15.75">
      <c r="A26" s="35">
        <f t="shared" si="0"/>
        <v>23</v>
      </c>
      <c r="B26" s="36" t="s">
        <v>22</v>
      </c>
      <c r="C26" s="37"/>
      <c r="D26" s="37">
        <v>1200000</v>
      </c>
      <c r="E26" s="37"/>
      <c r="G26" s="1"/>
      <c r="H26" s="1"/>
    </row>
    <row r="27" spans="1:8" customFormat="1" ht="15.75">
      <c r="A27" s="35">
        <f t="shared" si="0"/>
        <v>24</v>
      </c>
      <c r="B27" s="36" t="s">
        <v>23</v>
      </c>
      <c r="C27" s="37"/>
      <c r="D27" s="37">
        <v>40000</v>
      </c>
      <c r="E27" s="37"/>
      <c r="G27" s="1"/>
      <c r="H27" s="1"/>
    </row>
    <row r="28" spans="1:8" customFormat="1" ht="15.75">
      <c r="A28" s="35">
        <f t="shared" si="0"/>
        <v>25</v>
      </c>
      <c r="B28" s="36" t="s">
        <v>24</v>
      </c>
      <c r="C28" s="37"/>
      <c r="D28" s="37">
        <v>150000</v>
      </c>
      <c r="E28" s="37"/>
      <c r="G28" s="1"/>
      <c r="H28" s="1"/>
    </row>
    <row r="29" spans="1:8" customFormat="1" ht="15.75">
      <c r="A29" s="35">
        <f t="shared" si="0"/>
        <v>26</v>
      </c>
      <c r="B29" s="36" t="s">
        <v>25</v>
      </c>
      <c r="C29" s="37"/>
      <c r="D29" s="37">
        <v>50000</v>
      </c>
      <c r="E29" s="37"/>
      <c r="G29" s="1"/>
      <c r="H29" s="1"/>
    </row>
    <row r="30" spans="1:8">
      <c r="A30" s="35">
        <f t="shared" si="0"/>
        <v>27</v>
      </c>
      <c r="B30" s="36" t="s">
        <v>26</v>
      </c>
      <c r="C30" s="37">
        <v>2018000</v>
      </c>
      <c r="D30" s="37"/>
      <c r="E30" s="36"/>
    </row>
    <row r="31" spans="1:8">
      <c r="A31" s="35">
        <f t="shared" si="0"/>
        <v>28</v>
      </c>
      <c r="B31" s="36" t="s">
        <v>10</v>
      </c>
      <c r="C31" s="37">
        <v>1050000</v>
      </c>
      <c r="D31" s="37"/>
      <c r="E31" s="36"/>
    </row>
    <row r="32" spans="1:8">
      <c r="A32" s="35">
        <f t="shared" si="0"/>
        <v>29</v>
      </c>
      <c r="B32" s="36" t="s">
        <v>268</v>
      </c>
      <c r="C32" s="37">
        <v>228080</v>
      </c>
      <c r="D32" s="37"/>
      <c r="E32" s="36"/>
    </row>
    <row r="33" spans="1:8" customFormat="1" ht="15.75">
      <c r="A33" s="35">
        <f t="shared" si="0"/>
        <v>30</v>
      </c>
      <c r="B33" s="36" t="s">
        <v>27</v>
      </c>
      <c r="C33" s="37"/>
      <c r="D33" s="37">
        <v>600000</v>
      </c>
      <c r="E33" s="37"/>
      <c r="G33" s="1"/>
      <c r="H33" s="1"/>
    </row>
    <row r="34" spans="1:8" customFormat="1" ht="15.75">
      <c r="A34" s="35">
        <f t="shared" si="0"/>
        <v>31</v>
      </c>
      <c r="B34" s="36" t="s">
        <v>28</v>
      </c>
      <c r="C34" s="37"/>
      <c r="D34" s="37">
        <v>450000</v>
      </c>
      <c r="E34" s="37"/>
      <c r="G34" s="1"/>
      <c r="H34" s="1"/>
    </row>
    <row r="35" spans="1:8">
      <c r="A35" s="35">
        <f t="shared" si="0"/>
        <v>32</v>
      </c>
      <c r="B35" s="36" t="s">
        <v>29</v>
      </c>
      <c r="C35" s="37">
        <v>2249000</v>
      </c>
      <c r="D35" s="37"/>
      <c r="E35" s="36"/>
    </row>
    <row r="36" spans="1:8">
      <c r="A36" s="35">
        <f t="shared" si="0"/>
        <v>33</v>
      </c>
      <c r="B36" s="36" t="s">
        <v>33</v>
      </c>
      <c r="C36" s="37">
        <v>470000</v>
      </c>
      <c r="D36" s="37"/>
      <c r="E36" s="36"/>
    </row>
    <row r="37" spans="1:8">
      <c r="A37" s="35">
        <f t="shared" si="0"/>
        <v>34</v>
      </c>
      <c r="B37" s="36" t="s">
        <v>269</v>
      </c>
      <c r="C37" s="37">
        <f>[3]Neraca!D136</f>
        <v>545250</v>
      </c>
      <c r="D37" s="37"/>
      <c r="E37" s="36"/>
    </row>
    <row r="38" spans="1:8">
      <c r="A38" s="35">
        <f t="shared" si="0"/>
        <v>35</v>
      </c>
      <c r="B38" s="36" t="s">
        <v>270</v>
      </c>
      <c r="C38" s="37"/>
      <c r="D38" s="37">
        <v>2700000</v>
      </c>
      <c r="E38" s="36"/>
    </row>
    <row r="39" spans="1:8">
      <c r="A39" s="35">
        <f t="shared" si="0"/>
        <v>36</v>
      </c>
      <c r="B39" s="36" t="s">
        <v>271</v>
      </c>
      <c r="C39" s="37"/>
      <c r="D39" s="37">
        <v>550000</v>
      </c>
      <c r="E39" s="36"/>
    </row>
    <row r="40" spans="1:8" customFormat="1" ht="15.75">
      <c r="A40" s="35">
        <f t="shared" si="0"/>
        <v>37</v>
      </c>
      <c r="B40" s="36" t="s">
        <v>30</v>
      </c>
      <c r="C40" s="37"/>
      <c r="D40" s="37">
        <v>24000</v>
      </c>
      <c r="E40" s="37"/>
      <c r="G40" s="1"/>
      <c r="H40" s="1"/>
    </row>
    <row r="41" spans="1:8" customFormat="1" ht="15.75">
      <c r="A41" s="35">
        <f t="shared" si="0"/>
        <v>38</v>
      </c>
      <c r="B41" s="36" t="s">
        <v>31</v>
      </c>
      <c r="C41" s="37"/>
      <c r="D41" s="37">
        <v>1658000</v>
      </c>
      <c r="E41" s="37"/>
      <c r="G41" s="1"/>
      <c r="H41" s="1"/>
    </row>
    <row r="42" spans="1:8">
      <c r="A42" s="35">
        <f t="shared" si="0"/>
        <v>39</v>
      </c>
      <c r="B42" s="36" t="s">
        <v>32</v>
      </c>
      <c r="C42" s="37">
        <v>3082000</v>
      </c>
      <c r="D42" s="37"/>
      <c r="E42" s="36"/>
    </row>
    <row r="43" spans="1:8">
      <c r="A43" s="35">
        <f t="shared" si="0"/>
        <v>40</v>
      </c>
      <c r="B43" s="36" t="s">
        <v>272</v>
      </c>
      <c r="C43" s="37">
        <f>[3]Neraca!D152</f>
        <v>622371</v>
      </c>
      <c r="D43" s="37"/>
      <c r="E43" s="36"/>
    </row>
    <row r="44" spans="1:8">
      <c r="A44" s="35">
        <f t="shared" si="0"/>
        <v>41</v>
      </c>
      <c r="B44" s="36" t="s">
        <v>273</v>
      </c>
      <c r="C44" s="37">
        <v>550000</v>
      </c>
      <c r="D44" s="37"/>
      <c r="E44" s="36"/>
    </row>
    <row r="45" spans="1:8">
      <c r="A45" s="35">
        <f t="shared" si="0"/>
        <v>42</v>
      </c>
      <c r="B45" s="36" t="s">
        <v>34</v>
      </c>
      <c r="C45" s="37"/>
      <c r="D45" s="37">
        <v>300000</v>
      </c>
      <c r="E45" s="36"/>
    </row>
    <row r="46" spans="1:8">
      <c r="A46" s="35">
        <f t="shared" si="0"/>
        <v>43</v>
      </c>
      <c r="B46" s="36" t="s">
        <v>274</v>
      </c>
      <c r="C46" s="37"/>
      <c r="D46" s="37">
        <v>1000000</v>
      </c>
      <c r="E46" s="36"/>
    </row>
    <row r="47" spans="1:8" customFormat="1" ht="15.75">
      <c r="A47" s="35">
        <f t="shared" si="0"/>
        <v>44</v>
      </c>
      <c r="B47" s="38" t="s">
        <v>35</v>
      </c>
      <c r="C47" s="39"/>
      <c r="D47" s="39">
        <v>20000</v>
      </c>
      <c r="E47" s="39"/>
      <c r="G47" s="1"/>
      <c r="H47" s="1"/>
    </row>
    <row r="48" spans="1:8">
      <c r="A48" s="35">
        <f t="shared" si="0"/>
        <v>45</v>
      </c>
      <c r="B48" s="36" t="s">
        <v>275</v>
      </c>
      <c r="C48" s="37">
        <v>2725000</v>
      </c>
      <c r="D48" s="37"/>
      <c r="E48" s="36"/>
    </row>
    <row r="49" spans="1:8">
      <c r="A49" s="35">
        <f t="shared" si="0"/>
        <v>46</v>
      </c>
      <c r="B49" s="36" t="s">
        <v>276</v>
      </c>
      <c r="C49" s="37">
        <f>[3]Neraca!D171</f>
        <v>634950</v>
      </c>
      <c r="D49" s="37"/>
      <c r="E49" s="36"/>
    </row>
    <row r="50" spans="1:8">
      <c r="A50" s="35">
        <f t="shared" si="0"/>
        <v>47</v>
      </c>
      <c r="B50" s="36" t="s">
        <v>277</v>
      </c>
      <c r="C50" s="37">
        <v>4640000</v>
      </c>
      <c r="D50" s="37"/>
      <c r="E50" s="36"/>
    </row>
    <row r="51" spans="1:8">
      <c r="A51" s="35">
        <f t="shared" si="0"/>
        <v>48</v>
      </c>
      <c r="B51" s="36" t="s">
        <v>37</v>
      </c>
      <c r="C51" s="37"/>
      <c r="D51" s="37">
        <v>300000</v>
      </c>
      <c r="E51" s="36"/>
    </row>
    <row r="52" spans="1:8">
      <c r="A52" s="35">
        <f t="shared" si="0"/>
        <v>49</v>
      </c>
      <c r="B52" s="36" t="s">
        <v>278</v>
      </c>
      <c r="C52" s="37"/>
      <c r="D52" s="37">
        <v>1000000</v>
      </c>
      <c r="E52" s="36"/>
    </row>
    <row r="53" spans="1:8">
      <c r="A53" s="35">
        <f t="shared" si="0"/>
        <v>50</v>
      </c>
      <c r="B53" s="36" t="s">
        <v>279</v>
      </c>
      <c r="C53" s="37">
        <v>3021000</v>
      </c>
      <c r="D53" s="37"/>
      <c r="E53" s="36"/>
    </row>
    <row r="54" spans="1:8">
      <c r="A54" s="35">
        <f t="shared" si="0"/>
        <v>51</v>
      </c>
      <c r="B54" s="36" t="s">
        <v>280</v>
      </c>
      <c r="C54" s="37">
        <f>[3]Neraca!D188</f>
        <v>784591</v>
      </c>
      <c r="D54" s="37"/>
      <c r="E54" s="36"/>
    </row>
    <row r="55" spans="1:8">
      <c r="A55" s="35">
        <f t="shared" si="0"/>
        <v>52</v>
      </c>
      <c r="B55" s="36" t="s">
        <v>38</v>
      </c>
      <c r="C55" s="37"/>
      <c r="D55" s="37">
        <v>300000</v>
      </c>
      <c r="E55" s="36"/>
    </row>
    <row r="56" spans="1:8">
      <c r="A56" s="35">
        <f t="shared" si="0"/>
        <v>53</v>
      </c>
      <c r="B56" s="36" t="s">
        <v>281</v>
      </c>
      <c r="C56" s="37"/>
      <c r="D56" s="37">
        <v>1000000</v>
      </c>
      <c r="E56" s="36"/>
    </row>
    <row r="57" spans="1:8" customFormat="1" ht="15.75">
      <c r="A57" s="35">
        <f t="shared" si="0"/>
        <v>54</v>
      </c>
      <c r="B57" s="36" t="s">
        <v>40</v>
      </c>
      <c r="C57" s="37"/>
      <c r="D57" s="37">
        <v>37000</v>
      </c>
      <c r="E57" s="37"/>
      <c r="G57" s="1"/>
      <c r="H57" s="1"/>
    </row>
    <row r="58" spans="1:8" customFormat="1" ht="15.75">
      <c r="A58" s="35">
        <f t="shared" si="0"/>
        <v>55</v>
      </c>
      <c r="B58" s="36" t="s">
        <v>41</v>
      </c>
      <c r="C58" s="37"/>
      <c r="D58" s="37">
        <v>22000</v>
      </c>
      <c r="E58" s="37"/>
      <c r="G58" s="1"/>
      <c r="H58" s="1"/>
    </row>
    <row r="59" spans="1:8" customFormat="1" ht="15.75">
      <c r="A59" s="35">
        <f t="shared" si="0"/>
        <v>56</v>
      </c>
      <c r="B59" s="36" t="s">
        <v>41</v>
      </c>
      <c r="C59" s="37"/>
      <c r="D59" s="37">
        <v>30000</v>
      </c>
      <c r="E59" s="37"/>
      <c r="G59" s="1"/>
      <c r="H59" s="1"/>
    </row>
    <row r="60" spans="1:8" customFormat="1" ht="15.75">
      <c r="A60" s="35">
        <f t="shared" si="0"/>
        <v>57</v>
      </c>
      <c r="B60" s="36" t="s">
        <v>42</v>
      </c>
      <c r="C60" s="37"/>
      <c r="D60" s="37">
        <v>198000</v>
      </c>
      <c r="E60" s="37"/>
      <c r="F60" s="14"/>
      <c r="G60" s="14"/>
      <c r="H60" s="1"/>
    </row>
    <row r="61" spans="1:8">
      <c r="A61" s="35">
        <f t="shared" si="0"/>
        <v>58</v>
      </c>
      <c r="B61" s="36" t="s">
        <v>282</v>
      </c>
      <c r="C61" s="37">
        <v>3063000</v>
      </c>
      <c r="D61" s="37"/>
      <c r="E61" s="36"/>
    </row>
    <row r="62" spans="1:8" ht="16.5" thickBot="1">
      <c r="A62" s="35">
        <f t="shared" si="0"/>
        <v>59</v>
      </c>
      <c r="B62" s="115" t="s">
        <v>283</v>
      </c>
      <c r="C62" s="116">
        <f>[3]Neraca!D215</f>
        <v>691760</v>
      </c>
      <c r="D62" s="117"/>
      <c r="E62" s="115"/>
    </row>
    <row r="63" spans="1:8">
      <c r="A63" s="35">
        <f t="shared" si="0"/>
        <v>60</v>
      </c>
      <c r="B63" s="41" t="s">
        <v>51</v>
      </c>
      <c r="C63" s="42"/>
      <c r="D63" s="42">
        <v>300000</v>
      </c>
      <c r="E63" s="41"/>
    </row>
    <row r="64" spans="1:8">
      <c r="A64" s="35">
        <f t="shared" si="0"/>
        <v>61</v>
      </c>
      <c r="B64" s="36" t="s">
        <v>284</v>
      </c>
      <c r="C64" s="37"/>
      <c r="D64" s="37">
        <v>1000000</v>
      </c>
      <c r="E64" s="36"/>
    </row>
    <row r="65" spans="1:8" customFormat="1" ht="15.75">
      <c r="A65" s="35">
        <f t="shared" si="0"/>
        <v>62</v>
      </c>
      <c r="B65" s="36" t="s">
        <v>41</v>
      </c>
      <c r="C65" s="37"/>
      <c r="D65" s="37">
        <v>19000</v>
      </c>
      <c r="E65" s="37"/>
      <c r="G65" s="1"/>
      <c r="H65" s="1"/>
    </row>
    <row r="66" spans="1:8" customFormat="1" ht="15.75">
      <c r="A66" s="35">
        <f t="shared" si="0"/>
        <v>63</v>
      </c>
      <c r="B66" s="36" t="s">
        <v>41</v>
      </c>
      <c r="C66" s="37"/>
      <c r="D66" s="37">
        <v>34000</v>
      </c>
      <c r="E66" s="37"/>
      <c r="G66" s="1"/>
      <c r="H66" s="1"/>
    </row>
    <row r="67" spans="1:8" customFormat="1" ht="15.75">
      <c r="A67" s="35">
        <f t="shared" si="0"/>
        <v>64</v>
      </c>
      <c r="B67" s="36" t="s">
        <v>41</v>
      </c>
      <c r="C67" s="37"/>
      <c r="D67" s="37">
        <v>45000</v>
      </c>
      <c r="E67" s="37"/>
      <c r="G67" s="1"/>
      <c r="H67" s="1"/>
    </row>
    <row r="68" spans="1:8" customFormat="1" ht="16.5" thickBot="1">
      <c r="A68" s="35">
        <f t="shared" si="0"/>
        <v>65</v>
      </c>
      <c r="B68" s="115" t="s">
        <v>41</v>
      </c>
      <c r="C68" s="116"/>
      <c r="D68" s="116">
        <v>40000</v>
      </c>
      <c r="E68" s="116"/>
      <c r="G68" s="1"/>
      <c r="H68" s="1"/>
    </row>
    <row r="69" spans="1:8">
      <c r="A69" s="35">
        <f t="shared" si="0"/>
        <v>66</v>
      </c>
      <c r="B69" s="41" t="s">
        <v>285</v>
      </c>
      <c r="C69" s="42">
        <v>3650000</v>
      </c>
      <c r="D69" s="42"/>
      <c r="E69" s="41"/>
    </row>
    <row r="70" spans="1:8">
      <c r="A70" s="35">
        <f t="shared" ref="A70:A133" si="1">A69+1</f>
        <v>67</v>
      </c>
      <c r="B70" s="36" t="s">
        <v>286</v>
      </c>
      <c r="C70" s="37">
        <f>[3]Neraca!D238</f>
        <v>759870</v>
      </c>
      <c r="D70" s="37"/>
      <c r="E70" s="36"/>
    </row>
    <row r="71" spans="1:8">
      <c r="A71" s="35">
        <f t="shared" si="1"/>
        <v>68</v>
      </c>
      <c r="B71" s="36" t="s">
        <v>66</v>
      </c>
      <c r="C71" s="37"/>
      <c r="D71" s="37">
        <v>300000</v>
      </c>
      <c r="E71" s="36"/>
    </row>
    <row r="72" spans="1:8">
      <c r="A72" s="35">
        <f t="shared" si="1"/>
        <v>69</v>
      </c>
      <c r="B72" s="36" t="s">
        <v>287</v>
      </c>
      <c r="C72" s="37"/>
      <c r="D72" s="37">
        <v>1500000</v>
      </c>
      <c r="E72" s="36"/>
    </row>
    <row r="73" spans="1:8" customFormat="1" ht="15.75">
      <c r="A73" s="35">
        <f t="shared" si="1"/>
        <v>70</v>
      </c>
      <c r="B73" s="36" t="s">
        <v>78</v>
      </c>
      <c r="C73" s="37"/>
      <c r="D73" s="37">
        <v>22000</v>
      </c>
      <c r="E73" s="37"/>
      <c r="G73" s="1"/>
      <c r="H73" s="1"/>
    </row>
    <row r="74" spans="1:8" customFormat="1" ht="15.75">
      <c r="A74" s="35">
        <f t="shared" si="1"/>
        <v>71</v>
      </c>
      <c r="B74" s="36" t="s">
        <v>79</v>
      </c>
      <c r="C74" s="37"/>
      <c r="D74" s="37">
        <v>28000</v>
      </c>
      <c r="E74" s="37"/>
      <c r="G74" s="1"/>
      <c r="H74" s="1"/>
    </row>
    <row r="75" spans="1:8" customFormat="1" ht="16.5" thickBot="1">
      <c r="A75" s="35">
        <f t="shared" si="1"/>
        <v>72</v>
      </c>
      <c r="B75" s="115" t="s">
        <v>80</v>
      </c>
      <c r="C75" s="116"/>
      <c r="D75" s="116">
        <v>25000</v>
      </c>
      <c r="E75" s="116"/>
      <c r="G75" s="1"/>
      <c r="H75" s="1"/>
    </row>
    <row r="76" spans="1:8">
      <c r="A76" s="35">
        <f t="shared" si="1"/>
        <v>73</v>
      </c>
      <c r="B76" s="41" t="s">
        <v>288</v>
      </c>
      <c r="C76" s="42">
        <v>4260000</v>
      </c>
      <c r="D76" s="42"/>
      <c r="E76" s="41"/>
    </row>
    <row r="77" spans="1:8">
      <c r="A77" s="35">
        <f t="shared" si="1"/>
        <v>74</v>
      </c>
      <c r="B77" s="36" t="s">
        <v>289</v>
      </c>
      <c r="C77" s="37">
        <f>[3]Neraca!D264</f>
        <v>833477</v>
      </c>
      <c r="D77" s="37"/>
      <c r="E77" s="36"/>
    </row>
    <row r="78" spans="1:8">
      <c r="A78" s="35">
        <f t="shared" si="1"/>
        <v>75</v>
      </c>
      <c r="B78" s="36" t="s">
        <v>88</v>
      </c>
      <c r="C78" s="37"/>
      <c r="D78" s="37">
        <v>300000</v>
      </c>
      <c r="E78" s="36"/>
    </row>
    <row r="79" spans="1:8">
      <c r="A79" s="35">
        <f t="shared" si="1"/>
        <v>76</v>
      </c>
      <c r="B79" s="36" t="s">
        <v>290</v>
      </c>
      <c r="C79" s="37"/>
      <c r="D79" s="37">
        <v>1500000</v>
      </c>
      <c r="E79" s="36"/>
    </row>
    <row r="80" spans="1:8">
      <c r="A80" s="35">
        <f t="shared" si="1"/>
        <v>77</v>
      </c>
      <c r="B80" s="36" t="s">
        <v>288</v>
      </c>
      <c r="C80" s="37">
        <v>4260000</v>
      </c>
      <c r="D80" s="37"/>
      <c r="E80" s="36"/>
    </row>
    <row r="81" spans="1:8">
      <c r="A81" s="35">
        <f t="shared" si="1"/>
        <v>78</v>
      </c>
      <c r="B81" s="36" t="s">
        <v>289</v>
      </c>
      <c r="C81" s="37">
        <v>443009</v>
      </c>
      <c r="D81" s="37"/>
      <c r="E81" s="36"/>
    </row>
    <row r="82" spans="1:8" customFormat="1" ht="15.75">
      <c r="A82" s="35">
        <f t="shared" si="1"/>
        <v>79</v>
      </c>
      <c r="B82" s="36" t="s">
        <v>102</v>
      </c>
      <c r="C82" s="37"/>
      <c r="D82" s="37">
        <v>32000</v>
      </c>
      <c r="E82" s="37"/>
      <c r="G82" s="1"/>
      <c r="H82" s="1"/>
    </row>
    <row r="83" spans="1:8" customFormat="1" ht="15.75">
      <c r="A83" s="35">
        <f t="shared" si="1"/>
        <v>80</v>
      </c>
      <c r="B83" s="36" t="s">
        <v>103</v>
      </c>
      <c r="C83" s="37"/>
      <c r="D83" s="37">
        <v>20000</v>
      </c>
      <c r="E83" s="37"/>
      <c r="G83" s="1"/>
      <c r="H83" s="1"/>
    </row>
    <row r="84" spans="1:8" customFormat="1" ht="15.75">
      <c r="A84" s="35">
        <f t="shared" si="1"/>
        <v>81</v>
      </c>
      <c r="B84" s="36" t="s">
        <v>105</v>
      </c>
      <c r="C84" s="37"/>
      <c r="D84" s="37">
        <v>34000</v>
      </c>
      <c r="E84" s="37"/>
      <c r="G84" s="1"/>
      <c r="H84" s="1"/>
    </row>
    <row r="85" spans="1:8" customFormat="1" ht="15.75">
      <c r="A85" s="35">
        <f t="shared" si="1"/>
        <v>82</v>
      </c>
      <c r="B85" s="36" t="s">
        <v>106</v>
      </c>
      <c r="C85" s="37"/>
      <c r="D85" s="37">
        <v>39000</v>
      </c>
      <c r="E85" s="37"/>
      <c r="G85" s="1"/>
      <c r="H85" s="1"/>
    </row>
    <row r="86" spans="1:8" customFormat="1" ht="15.75">
      <c r="A86" s="35">
        <f t="shared" si="1"/>
        <v>83</v>
      </c>
      <c r="B86" s="36" t="s">
        <v>107</v>
      </c>
      <c r="C86" s="37"/>
      <c r="D86" s="37">
        <v>18000</v>
      </c>
      <c r="E86" s="37"/>
      <c r="G86" s="1"/>
      <c r="H86" s="1"/>
    </row>
    <row r="87" spans="1:8" customFormat="1" ht="15.75">
      <c r="A87" s="35">
        <f t="shared" si="1"/>
        <v>84</v>
      </c>
      <c r="B87" s="36" t="s">
        <v>893</v>
      </c>
      <c r="C87" s="37"/>
      <c r="D87" s="37">
        <v>48000</v>
      </c>
      <c r="E87" s="37"/>
      <c r="G87" s="1"/>
      <c r="H87" s="1"/>
    </row>
    <row r="88" spans="1:8" customFormat="1" ht="16.5" thickBot="1">
      <c r="A88" s="35">
        <f t="shared" si="1"/>
        <v>85</v>
      </c>
      <c r="B88" s="115" t="s">
        <v>110</v>
      </c>
      <c r="C88" s="116"/>
      <c r="D88" s="116">
        <v>160000</v>
      </c>
      <c r="E88" s="116"/>
      <c r="G88" s="1"/>
      <c r="H88" s="1"/>
    </row>
    <row r="89" spans="1:8">
      <c r="A89" s="35">
        <f t="shared" si="1"/>
        <v>86</v>
      </c>
      <c r="B89" s="41" t="s">
        <v>291</v>
      </c>
      <c r="C89" s="42"/>
      <c r="D89" s="42">
        <v>3000000</v>
      </c>
      <c r="E89" s="41"/>
    </row>
    <row r="90" spans="1:8">
      <c r="A90" s="35">
        <f t="shared" si="1"/>
        <v>87</v>
      </c>
      <c r="B90" s="36" t="s">
        <v>292</v>
      </c>
      <c r="C90" s="37">
        <v>4733000</v>
      </c>
      <c r="D90" s="37"/>
      <c r="E90" s="36"/>
    </row>
    <row r="91" spans="1:8">
      <c r="A91" s="35">
        <f t="shared" si="1"/>
        <v>88</v>
      </c>
      <c r="B91" s="36" t="s">
        <v>293</v>
      </c>
      <c r="C91" s="37">
        <f>[3]Neraca!D296</f>
        <v>1155548</v>
      </c>
      <c r="D91" s="37"/>
      <c r="E91" s="36"/>
    </row>
    <row r="92" spans="1:8">
      <c r="A92" s="35">
        <f t="shared" si="1"/>
        <v>89</v>
      </c>
      <c r="B92" s="36" t="s">
        <v>118</v>
      </c>
      <c r="C92" s="37"/>
      <c r="D92" s="37">
        <v>300000</v>
      </c>
      <c r="E92" s="36"/>
    </row>
    <row r="93" spans="1:8" customFormat="1" ht="16.5" thickBot="1">
      <c r="A93" s="35">
        <f t="shared" si="1"/>
        <v>90</v>
      </c>
      <c r="B93" s="115" t="s">
        <v>133</v>
      </c>
      <c r="C93" s="116"/>
      <c r="D93" s="116">
        <f>471000+22000+30000+100000+38000</f>
        <v>661000</v>
      </c>
      <c r="E93" s="116"/>
      <c r="G93" s="1"/>
      <c r="H93" s="1"/>
    </row>
    <row r="94" spans="1:8">
      <c r="A94" s="35">
        <f t="shared" si="1"/>
        <v>91</v>
      </c>
      <c r="B94" s="41" t="s">
        <v>294</v>
      </c>
      <c r="C94" s="42"/>
      <c r="D94" s="42">
        <v>3000000</v>
      </c>
      <c r="E94" s="41"/>
    </row>
    <row r="95" spans="1:8">
      <c r="A95" s="35">
        <f t="shared" si="1"/>
        <v>92</v>
      </c>
      <c r="B95" s="36" t="s">
        <v>295</v>
      </c>
      <c r="C95" s="37">
        <v>4754000</v>
      </c>
      <c r="D95" s="37"/>
      <c r="E95" s="36"/>
    </row>
    <row r="96" spans="1:8">
      <c r="A96" s="35">
        <f t="shared" si="1"/>
        <v>93</v>
      </c>
      <c r="B96" s="36" t="s">
        <v>296</v>
      </c>
      <c r="C96" s="37">
        <f>[3]Neraca!D321</f>
        <v>905128</v>
      </c>
      <c r="D96" s="37"/>
      <c r="E96" s="36"/>
    </row>
    <row r="97" spans="1:8">
      <c r="A97" s="35">
        <f t="shared" si="1"/>
        <v>94</v>
      </c>
      <c r="B97" s="36" t="s">
        <v>141</v>
      </c>
      <c r="C97" s="37"/>
      <c r="D97" s="37">
        <v>300000</v>
      </c>
      <c r="E97" s="36"/>
    </row>
    <row r="98" spans="1:8" ht="15.75" thickBot="1">
      <c r="A98" s="35">
        <f t="shared" si="1"/>
        <v>95</v>
      </c>
      <c r="B98" s="115" t="s">
        <v>894</v>
      </c>
      <c r="C98" s="116"/>
      <c r="D98" s="116">
        <v>135000</v>
      </c>
      <c r="E98" s="115"/>
    </row>
    <row r="99" spans="1:8">
      <c r="A99" s="35">
        <f t="shared" si="1"/>
        <v>96</v>
      </c>
      <c r="B99" s="41" t="s">
        <v>297</v>
      </c>
      <c r="C99" s="42"/>
      <c r="D99" s="42">
        <v>3000000</v>
      </c>
      <c r="E99" s="41"/>
    </row>
    <row r="100" spans="1:8">
      <c r="A100" s="35">
        <f t="shared" si="1"/>
        <v>97</v>
      </c>
      <c r="B100" s="36" t="s">
        <v>298</v>
      </c>
      <c r="C100" s="37">
        <v>4134000</v>
      </c>
      <c r="D100" s="37"/>
      <c r="E100" s="36"/>
    </row>
    <row r="101" spans="1:8">
      <c r="A101" s="35">
        <f t="shared" si="1"/>
        <v>98</v>
      </c>
      <c r="B101" s="36" t="s">
        <v>299</v>
      </c>
      <c r="C101" s="37">
        <f>[3]Neraca!D337</f>
        <v>657890</v>
      </c>
      <c r="D101" s="37"/>
      <c r="E101" s="36"/>
    </row>
    <row r="102" spans="1:8">
      <c r="A102" s="35">
        <f t="shared" si="1"/>
        <v>99</v>
      </c>
      <c r="B102" s="36" t="s">
        <v>158</v>
      </c>
      <c r="C102" s="37"/>
      <c r="D102" s="37">
        <v>300000</v>
      </c>
      <c r="E102" s="36"/>
    </row>
    <row r="103" spans="1:8" customFormat="1" ht="15.75">
      <c r="A103" s="35">
        <f t="shared" si="1"/>
        <v>100</v>
      </c>
      <c r="B103" s="36" t="s">
        <v>300</v>
      </c>
      <c r="C103" s="37"/>
      <c r="D103" s="37">
        <f>29000+31000</f>
        <v>60000</v>
      </c>
      <c r="E103" s="37"/>
      <c r="G103" s="1"/>
      <c r="H103" s="1"/>
    </row>
    <row r="104" spans="1:8" customFormat="1" ht="16.5" thickBot="1">
      <c r="A104" s="35">
        <f t="shared" si="1"/>
        <v>101</v>
      </c>
      <c r="B104" s="115" t="s">
        <v>301</v>
      </c>
      <c r="C104" s="116"/>
      <c r="D104" s="116">
        <v>93000</v>
      </c>
      <c r="E104" s="116"/>
      <c r="G104" s="1"/>
      <c r="H104" s="1"/>
    </row>
    <row r="105" spans="1:8">
      <c r="A105" s="35">
        <f t="shared" si="1"/>
        <v>102</v>
      </c>
      <c r="B105" s="41" t="s">
        <v>302</v>
      </c>
      <c r="C105" s="42"/>
      <c r="D105" s="42">
        <v>3000000</v>
      </c>
      <c r="E105" s="41"/>
    </row>
    <row r="106" spans="1:8">
      <c r="A106" s="35">
        <f t="shared" si="1"/>
        <v>103</v>
      </c>
      <c r="B106" s="36" t="s">
        <v>303</v>
      </c>
      <c r="C106" s="37"/>
      <c r="D106" s="37">
        <v>764000</v>
      </c>
      <c r="E106" s="36"/>
    </row>
    <row r="107" spans="1:8">
      <c r="A107" s="35">
        <f t="shared" si="1"/>
        <v>104</v>
      </c>
      <c r="B107" s="36" t="s">
        <v>304</v>
      </c>
      <c r="C107" s="37">
        <v>4892000</v>
      </c>
      <c r="D107" s="37"/>
      <c r="E107" s="36"/>
    </row>
    <row r="108" spans="1:8">
      <c r="A108" s="35">
        <f t="shared" si="1"/>
        <v>105</v>
      </c>
      <c r="B108" s="36" t="s">
        <v>305</v>
      </c>
      <c r="C108" s="37">
        <f>[3]Neraca!D357</f>
        <v>455914</v>
      </c>
      <c r="D108" s="37"/>
      <c r="E108" s="36"/>
    </row>
    <row r="109" spans="1:8">
      <c r="A109" s="35">
        <f t="shared" si="1"/>
        <v>106</v>
      </c>
      <c r="B109" s="36" t="s">
        <v>306</v>
      </c>
      <c r="C109" s="37">
        <v>1893000</v>
      </c>
      <c r="D109" s="37"/>
      <c r="E109" s="36"/>
    </row>
    <row r="110" spans="1:8">
      <c r="A110" s="35">
        <f t="shared" si="1"/>
        <v>107</v>
      </c>
      <c r="B110" s="36" t="s">
        <v>179</v>
      </c>
      <c r="C110" s="37"/>
      <c r="D110" s="37">
        <v>300000</v>
      </c>
      <c r="E110" s="36"/>
    </row>
    <row r="111" spans="1:8" ht="15.75" thickBot="1">
      <c r="A111" s="35">
        <f t="shared" si="1"/>
        <v>108</v>
      </c>
      <c r="B111" s="115" t="s">
        <v>896</v>
      </c>
      <c r="C111" s="116"/>
      <c r="D111" s="116">
        <v>24000</v>
      </c>
      <c r="E111" s="115"/>
    </row>
    <row r="112" spans="1:8">
      <c r="A112" s="35">
        <f t="shared" si="1"/>
        <v>109</v>
      </c>
      <c r="B112" s="41" t="s">
        <v>307</v>
      </c>
      <c r="C112" s="42"/>
      <c r="D112" s="42">
        <v>1500000</v>
      </c>
      <c r="E112" s="41"/>
    </row>
    <row r="113" spans="1:5">
      <c r="A113" s="35">
        <f t="shared" si="1"/>
        <v>110</v>
      </c>
      <c r="B113" s="36" t="s">
        <v>308</v>
      </c>
      <c r="C113" s="37">
        <v>4654000</v>
      </c>
      <c r="D113" s="37"/>
      <c r="E113" s="36"/>
    </row>
    <row r="114" spans="1:5">
      <c r="A114" s="35">
        <f t="shared" si="1"/>
        <v>111</v>
      </c>
      <c r="B114" s="36" t="s">
        <v>309</v>
      </c>
      <c r="C114" s="37">
        <f>[3]Neraca!D380</f>
        <v>406580</v>
      </c>
      <c r="D114" s="37"/>
      <c r="E114" s="36"/>
    </row>
    <row r="115" spans="1:5">
      <c r="A115" s="35">
        <f t="shared" si="1"/>
        <v>112</v>
      </c>
      <c r="B115" s="36" t="s">
        <v>201</v>
      </c>
      <c r="C115" s="37"/>
      <c r="D115" s="37">
        <v>300000</v>
      </c>
      <c r="E115" s="36"/>
    </row>
    <row r="116" spans="1:5">
      <c r="A116" s="35">
        <f t="shared" si="1"/>
        <v>113</v>
      </c>
      <c r="B116" s="36" t="s">
        <v>208</v>
      </c>
      <c r="C116" s="37"/>
      <c r="D116" s="37">
        <v>20000</v>
      </c>
      <c r="E116" s="36"/>
    </row>
    <row r="117" spans="1:5">
      <c r="A117" s="35">
        <f t="shared" si="1"/>
        <v>114</v>
      </c>
      <c r="B117" s="36" t="s">
        <v>897</v>
      </c>
      <c r="C117" s="37"/>
      <c r="D117" s="37">
        <v>55000</v>
      </c>
      <c r="E117" s="36"/>
    </row>
    <row r="118" spans="1:5">
      <c r="A118" s="35">
        <f t="shared" si="1"/>
        <v>115</v>
      </c>
      <c r="B118" s="36" t="s">
        <v>898</v>
      </c>
      <c r="C118" s="37"/>
      <c r="D118" s="37">
        <v>18000</v>
      </c>
      <c r="E118" s="36"/>
    </row>
    <row r="119" spans="1:5">
      <c r="A119" s="35">
        <f t="shared" si="1"/>
        <v>116</v>
      </c>
      <c r="B119" s="36" t="s">
        <v>211</v>
      </c>
      <c r="C119" s="37"/>
      <c r="D119" s="37">
        <v>20000</v>
      </c>
      <c r="E119" s="36"/>
    </row>
    <row r="120" spans="1:5" ht="15.75" thickBot="1">
      <c r="A120" s="35">
        <f t="shared" si="1"/>
        <v>117</v>
      </c>
      <c r="B120" s="115" t="s">
        <v>212</v>
      </c>
      <c r="C120" s="116"/>
      <c r="D120" s="116">
        <v>34000</v>
      </c>
      <c r="E120" s="115"/>
    </row>
    <row r="121" spans="1:5">
      <c r="A121" s="35">
        <f t="shared" si="1"/>
        <v>118</v>
      </c>
      <c r="B121" s="41" t="s">
        <v>952</v>
      </c>
      <c r="C121" s="42">
        <f>'Neraca 2015'!D203</f>
        <v>5240200</v>
      </c>
      <c r="D121" s="42"/>
      <c r="E121" s="38"/>
    </row>
    <row r="122" spans="1:5">
      <c r="A122" s="35">
        <f t="shared" si="1"/>
        <v>119</v>
      </c>
      <c r="B122" s="36" t="s">
        <v>953</v>
      </c>
      <c r="C122" s="37">
        <f>'Neraca 2015'!D206</f>
        <v>327850</v>
      </c>
      <c r="D122" s="37"/>
      <c r="E122" s="38"/>
    </row>
    <row r="123" spans="1:5">
      <c r="A123" s="35">
        <f t="shared" si="1"/>
        <v>120</v>
      </c>
      <c r="B123" s="41" t="s">
        <v>899</v>
      </c>
      <c r="C123" s="42"/>
      <c r="D123" s="42">
        <v>2250000</v>
      </c>
      <c r="E123" s="41"/>
    </row>
    <row r="124" spans="1:5">
      <c r="A124" s="35">
        <f t="shared" si="1"/>
        <v>121</v>
      </c>
      <c r="B124" s="36" t="s">
        <v>230</v>
      </c>
      <c r="C124" s="37"/>
      <c r="D124" s="37">
        <v>300000</v>
      </c>
      <c r="E124" s="36"/>
    </row>
    <row r="125" spans="1:5">
      <c r="A125" s="35">
        <f t="shared" si="1"/>
        <v>122</v>
      </c>
      <c r="B125" s="36" t="s">
        <v>900</v>
      </c>
      <c r="C125" s="37"/>
      <c r="D125" s="37">
        <v>90000</v>
      </c>
      <c r="E125" s="36"/>
    </row>
    <row r="126" spans="1:5">
      <c r="A126" s="35">
        <f t="shared" si="1"/>
        <v>123</v>
      </c>
      <c r="B126" s="36" t="s">
        <v>233</v>
      </c>
      <c r="C126" s="37"/>
      <c r="D126" s="37">
        <v>11500</v>
      </c>
      <c r="E126" s="36"/>
    </row>
    <row r="127" spans="1:5">
      <c r="A127" s="35">
        <f t="shared" si="1"/>
        <v>124</v>
      </c>
      <c r="B127" s="36" t="s">
        <v>901</v>
      </c>
      <c r="C127" s="37"/>
      <c r="D127" s="37">
        <v>245000</v>
      </c>
      <c r="E127" s="36"/>
    </row>
    <row r="128" spans="1:5">
      <c r="A128" s="35">
        <f t="shared" si="1"/>
        <v>125</v>
      </c>
      <c r="B128" s="36" t="s">
        <v>902</v>
      </c>
      <c r="C128" s="37"/>
      <c r="D128" s="37">
        <v>5000</v>
      </c>
      <c r="E128" s="36"/>
    </row>
    <row r="129" spans="1:5">
      <c r="A129" s="35">
        <f t="shared" si="1"/>
        <v>126</v>
      </c>
      <c r="B129" s="36" t="s">
        <v>238</v>
      </c>
      <c r="C129" s="37"/>
      <c r="D129" s="37">
        <v>20000</v>
      </c>
      <c r="E129" s="36"/>
    </row>
    <row r="130" spans="1:5">
      <c r="A130" s="35">
        <f t="shared" si="1"/>
        <v>127</v>
      </c>
      <c r="B130" s="36" t="s">
        <v>905</v>
      </c>
      <c r="C130" s="37"/>
      <c r="D130" s="37">
        <v>32000</v>
      </c>
      <c r="E130" s="36"/>
    </row>
    <row r="131" spans="1:5">
      <c r="A131" s="35">
        <f t="shared" si="1"/>
        <v>128</v>
      </c>
      <c r="B131" s="36" t="s">
        <v>245</v>
      </c>
      <c r="C131" s="37"/>
      <c r="D131" s="37">
        <v>19000</v>
      </c>
      <c r="E131" s="36"/>
    </row>
    <row r="132" spans="1:5">
      <c r="A132" s="35">
        <f t="shared" si="1"/>
        <v>129</v>
      </c>
      <c r="B132" s="36" t="s">
        <v>903</v>
      </c>
      <c r="C132" s="37"/>
      <c r="D132" s="37">
        <v>119000</v>
      </c>
      <c r="E132" s="36"/>
    </row>
    <row r="133" spans="1:5">
      <c r="A133" s="35">
        <f t="shared" si="1"/>
        <v>130</v>
      </c>
      <c r="B133" s="36" t="s">
        <v>904</v>
      </c>
      <c r="C133" s="37"/>
      <c r="D133" s="37">
        <v>48000</v>
      </c>
      <c r="E133" s="36"/>
    </row>
    <row r="134" spans="1:5">
      <c r="A134" s="35">
        <f t="shared" ref="A134:A197" si="2">A133+1</f>
        <v>131</v>
      </c>
      <c r="B134" s="36" t="s">
        <v>249</v>
      </c>
      <c r="C134" s="37"/>
      <c r="D134" s="37">
        <v>8000</v>
      </c>
      <c r="E134" s="36"/>
    </row>
    <row r="135" spans="1:5" ht="15.75" thickBot="1">
      <c r="A135" s="35">
        <f t="shared" si="2"/>
        <v>132</v>
      </c>
      <c r="B135" s="115" t="s">
        <v>904</v>
      </c>
      <c r="C135" s="116"/>
      <c r="D135" s="116">
        <v>51000</v>
      </c>
      <c r="E135" s="115"/>
    </row>
    <row r="136" spans="1:5">
      <c r="A136" s="35">
        <f t="shared" si="2"/>
        <v>133</v>
      </c>
      <c r="B136" s="36" t="s">
        <v>954</v>
      </c>
      <c r="C136" s="37">
        <f>'Neraca 2015'!D245</f>
        <v>5172300</v>
      </c>
      <c r="D136" s="37"/>
      <c r="E136" s="38"/>
    </row>
    <row r="137" spans="1:5">
      <c r="A137" s="35">
        <f t="shared" si="2"/>
        <v>134</v>
      </c>
      <c r="B137" s="36" t="s">
        <v>955</v>
      </c>
      <c r="C137" s="37">
        <f>'Neraca 2015'!D248</f>
        <v>627810</v>
      </c>
      <c r="D137" s="37"/>
      <c r="E137" s="38"/>
    </row>
    <row r="138" spans="1:5">
      <c r="A138" s="35">
        <f t="shared" si="2"/>
        <v>135</v>
      </c>
      <c r="B138" s="41" t="s">
        <v>906</v>
      </c>
      <c r="C138" s="42"/>
      <c r="D138" s="42">
        <v>1300000</v>
      </c>
      <c r="E138" s="41"/>
    </row>
    <row r="139" spans="1:5">
      <c r="A139" s="35">
        <f t="shared" si="2"/>
        <v>136</v>
      </c>
      <c r="B139" s="36" t="s">
        <v>718</v>
      </c>
      <c r="C139" s="37"/>
      <c r="D139" s="37">
        <v>300000</v>
      </c>
      <c r="E139" s="36"/>
    </row>
    <row r="140" spans="1:5">
      <c r="A140" s="35">
        <f t="shared" si="2"/>
        <v>137</v>
      </c>
      <c r="B140" s="36" t="s">
        <v>907</v>
      </c>
      <c r="C140" s="37"/>
      <c r="D140" s="37">
        <v>3450000</v>
      </c>
      <c r="E140" s="36"/>
    </row>
    <row r="141" spans="1:5">
      <c r="A141" s="35">
        <f t="shared" si="2"/>
        <v>138</v>
      </c>
      <c r="B141" s="36" t="s">
        <v>908</v>
      </c>
      <c r="C141" s="37"/>
      <c r="D141" s="37">
        <v>15000</v>
      </c>
      <c r="E141" s="36"/>
    </row>
    <row r="142" spans="1:5">
      <c r="A142" s="35">
        <f t="shared" si="2"/>
        <v>139</v>
      </c>
      <c r="B142" s="36" t="s">
        <v>909</v>
      </c>
      <c r="C142" s="37"/>
      <c r="D142" s="37">
        <v>3200000</v>
      </c>
      <c r="E142" s="36"/>
    </row>
    <row r="143" spans="1:5">
      <c r="A143" s="35">
        <f t="shared" si="2"/>
        <v>140</v>
      </c>
      <c r="B143" s="36" t="s">
        <v>910</v>
      </c>
      <c r="C143" s="37"/>
      <c r="D143" s="37">
        <f>60000+77000</f>
        <v>137000</v>
      </c>
      <c r="E143" s="36"/>
    </row>
    <row r="144" spans="1:5">
      <c r="A144" s="35">
        <f t="shared" si="2"/>
        <v>141</v>
      </c>
      <c r="B144" s="36" t="s">
        <v>911</v>
      </c>
      <c r="C144" s="37"/>
      <c r="D144" s="37">
        <v>30000</v>
      </c>
      <c r="E144" s="36"/>
    </row>
    <row r="145" spans="1:5">
      <c r="A145" s="35">
        <f t="shared" si="2"/>
        <v>142</v>
      </c>
      <c r="B145" s="36" t="s">
        <v>912</v>
      </c>
      <c r="C145" s="37"/>
      <c r="D145" s="37">
        <v>48000</v>
      </c>
      <c r="E145" s="36"/>
    </row>
    <row r="146" spans="1:5">
      <c r="A146" s="35">
        <f t="shared" si="2"/>
        <v>143</v>
      </c>
      <c r="B146" s="36" t="s">
        <v>846</v>
      </c>
      <c r="C146" s="37"/>
      <c r="D146" s="37">
        <v>19000</v>
      </c>
      <c r="E146" s="36"/>
    </row>
    <row r="147" spans="1:5">
      <c r="A147" s="35">
        <f t="shared" si="2"/>
        <v>144</v>
      </c>
      <c r="B147" s="36" t="s">
        <v>913</v>
      </c>
      <c r="C147" s="37"/>
      <c r="D147" s="37">
        <v>48000</v>
      </c>
      <c r="E147" s="36"/>
    </row>
    <row r="148" spans="1:5">
      <c r="A148" s="35">
        <f t="shared" si="2"/>
        <v>145</v>
      </c>
      <c r="B148" s="36" t="s">
        <v>914</v>
      </c>
      <c r="C148" s="37"/>
      <c r="D148" s="37">
        <v>13000</v>
      </c>
      <c r="E148" s="36"/>
    </row>
    <row r="149" spans="1:5">
      <c r="A149" s="35">
        <f t="shared" si="2"/>
        <v>146</v>
      </c>
      <c r="B149" s="36" t="s">
        <v>850</v>
      </c>
      <c r="C149" s="37"/>
      <c r="D149" s="37">
        <v>2000</v>
      </c>
      <c r="E149" s="36"/>
    </row>
    <row r="150" spans="1:5">
      <c r="A150" s="35">
        <f t="shared" si="2"/>
        <v>147</v>
      </c>
      <c r="B150" s="36" t="s">
        <v>915</v>
      </c>
      <c r="C150" s="37"/>
      <c r="D150" s="37">
        <v>13000</v>
      </c>
      <c r="E150" s="36"/>
    </row>
    <row r="151" spans="1:5">
      <c r="A151" s="35">
        <f t="shared" si="2"/>
        <v>148</v>
      </c>
      <c r="B151" s="36" t="s">
        <v>916</v>
      </c>
      <c r="C151" s="37"/>
      <c r="D151" s="37">
        <v>15000</v>
      </c>
      <c r="E151" s="36"/>
    </row>
    <row r="152" spans="1:5">
      <c r="A152" s="35">
        <f t="shared" si="2"/>
        <v>149</v>
      </c>
      <c r="B152" s="36" t="s">
        <v>917</v>
      </c>
      <c r="C152" s="37"/>
      <c r="D152" s="37">
        <v>48000</v>
      </c>
      <c r="E152" s="36"/>
    </row>
    <row r="153" spans="1:5">
      <c r="A153" s="35">
        <f t="shared" si="2"/>
        <v>150</v>
      </c>
      <c r="B153" s="36" t="s">
        <v>918</v>
      </c>
      <c r="C153" s="37"/>
      <c r="D153" s="37">
        <v>12000</v>
      </c>
      <c r="E153" s="36"/>
    </row>
    <row r="154" spans="1:5">
      <c r="A154" s="35">
        <f t="shared" si="2"/>
        <v>151</v>
      </c>
      <c r="B154" s="36" t="s">
        <v>919</v>
      </c>
      <c r="C154" s="37"/>
      <c r="D154" s="37">
        <v>30000</v>
      </c>
      <c r="E154" s="36"/>
    </row>
    <row r="155" spans="1:5">
      <c r="A155" s="35">
        <f t="shared" si="2"/>
        <v>152</v>
      </c>
      <c r="B155" s="36" t="s">
        <v>920</v>
      </c>
      <c r="C155" s="37"/>
      <c r="D155" s="37">
        <v>15000</v>
      </c>
      <c r="E155" s="36"/>
    </row>
    <row r="156" spans="1:5">
      <c r="A156" s="35">
        <f t="shared" si="2"/>
        <v>153</v>
      </c>
      <c r="B156" s="36" t="s">
        <v>921</v>
      </c>
      <c r="C156" s="37"/>
      <c r="D156" s="37">
        <v>18000</v>
      </c>
      <c r="E156" s="36"/>
    </row>
    <row r="157" spans="1:5">
      <c r="A157" s="35">
        <f t="shared" si="2"/>
        <v>154</v>
      </c>
      <c r="B157" s="36" t="s">
        <v>855</v>
      </c>
      <c r="C157" s="37"/>
      <c r="D157" s="37">
        <v>19000</v>
      </c>
      <c r="E157" s="36"/>
    </row>
    <row r="158" spans="1:5">
      <c r="A158" s="35">
        <f t="shared" si="2"/>
        <v>155</v>
      </c>
      <c r="B158" s="36" t="s">
        <v>922</v>
      </c>
      <c r="C158" s="37"/>
      <c r="D158" s="37">
        <v>48000</v>
      </c>
      <c r="E158" s="36"/>
    </row>
    <row r="159" spans="1:5">
      <c r="A159" s="35">
        <f t="shared" si="2"/>
        <v>156</v>
      </c>
      <c r="B159" s="36" t="s">
        <v>923</v>
      </c>
      <c r="C159" s="37"/>
      <c r="D159" s="37">
        <v>25400</v>
      </c>
      <c r="E159" s="36"/>
    </row>
    <row r="160" spans="1:5">
      <c r="A160" s="35">
        <f t="shared" si="2"/>
        <v>157</v>
      </c>
      <c r="B160" s="36" t="s">
        <v>924</v>
      </c>
      <c r="C160" s="37"/>
      <c r="D160" s="37">
        <v>48000</v>
      </c>
      <c r="E160" s="36"/>
    </row>
    <row r="161" spans="1:5" ht="15.75" thickBot="1">
      <c r="A161" s="35">
        <f t="shared" si="2"/>
        <v>158</v>
      </c>
      <c r="B161" s="115" t="s">
        <v>925</v>
      </c>
      <c r="C161" s="116"/>
      <c r="D161" s="116">
        <v>24000</v>
      </c>
      <c r="E161" s="115"/>
    </row>
    <row r="162" spans="1:5">
      <c r="A162" s="35">
        <f t="shared" si="2"/>
        <v>159</v>
      </c>
      <c r="B162" s="36" t="s">
        <v>956</v>
      </c>
      <c r="C162" s="37">
        <f>'Neraca 2015'!D304</f>
        <v>4901800</v>
      </c>
      <c r="D162" s="37"/>
      <c r="E162" s="38"/>
    </row>
    <row r="163" spans="1:5">
      <c r="A163" s="35">
        <f t="shared" si="2"/>
        <v>160</v>
      </c>
      <c r="B163" s="36" t="s">
        <v>957</v>
      </c>
      <c r="C163" s="37">
        <f>'Neraca 2015'!D307</f>
        <v>706987</v>
      </c>
      <c r="D163" s="37"/>
      <c r="E163" s="38"/>
    </row>
    <row r="164" spans="1:5">
      <c r="A164" s="35">
        <f t="shared" si="2"/>
        <v>161</v>
      </c>
      <c r="B164" s="36" t="s">
        <v>892</v>
      </c>
      <c r="C164" s="42">
        <f>'Neraca 2015'!D308</f>
        <v>2116000</v>
      </c>
      <c r="D164" s="42"/>
      <c r="E164" s="38"/>
    </row>
    <row r="165" spans="1:5">
      <c r="A165" s="35">
        <f t="shared" si="2"/>
        <v>162</v>
      </c>
      <c r="B165" s="41" t="s">
        <v>926</v>
      </c>
      <c r="C165" s="42"/>
      <c r="D165" s="42">
        <v>1500000</v>
      </c>
      <c r="E165" s="41"/>
    </row>
    <row r="166" spans="1:5">
      <c r="A166" s="35">
        <f t="shared" si="2"/>
        <v>163</v>
      </c>
      <c r="B166" s="36" t="s">
        <v>750</v>
      </c>
      <c r="C166" s="37"/>
      <c r="D166" s="37">
        <v>300000</v>
      </c>
      <c r="E166" s="36"/>
    </row>
    <row r="167" spans="1:5">
      <c r="A167" s="35">
        <f t="shared" si="2"/>
        <v>164</v>
      </c>
      <c r="B167" s="36" t="s">
        <v>927</v>
      </c>
      <c r="C167" s="37"/>
      <c r="D167" s="37">
        <v>20000</v>
      </c>
      <c r="E167" s="36"/>
    </row>
    <row r="168" spans="1:5">
      <c r="A168" s="35">
        <f t="shared" si="2"/>
        <v>165</v>
      </c>
      <c r="B168" s="36" t="s">
        <v>928</v>
      </c>
      <c r="C168" s="37"/>
      <c r="D168" s="37">
        <v>15000</v>
      </c>
      <c r="E168" s="36"/>
    </row>
    <row r="169" spans="1:5">
      <c r="A169" s="35">
        <f t="shared" si="2"/>
        <v>166</v>
      </c>
      <c r="B169" s="36" t="s">
        <v>929</v>
      </c>
      <c r="C169" s="37"/>
      <c r="D169" s="37">
        <v>36000</v>
      </c>
      <c r="E169" s="36"/>
    </row>
    <row r="170" spans="1:5">
      <c r="A170" s="35">
        <f t="shared" si="2"/>
        <v>167</v>
      </c>
      <c r="B170" s="36" t="s">
        <v>930</v>
      </c>
      <c r="C170" s="37"/>
      <c r="D170" s="37">
        <v>30000</v>
      </c>
      <c r="E170" s="36"/>
    </row>
    <row r="171" spans="1:5">
      <c r="A171" s="35">
        <f t="shared" si="2"/>
        <v>168</v>
      </c>
      <c r="B171" s="36" t="s">
        <v>931</v>
      </c>
      <c r="C171" s="37"/>
      <c r="D171" s="37">
        <v>48000</v>
      </c>
      <c r="E171" s="36"/>
    </row>
    <row r="172" spans="1:5">
      <c r="A172" s="35">
        <f t="shared" si="2"/>
        <v>169</v>
      </c>
      <c r="B172" s="36" t="s">
        <v>932</v>
      </c>
      <c r="C172" s="37"/>
      <c r="D172" s="37">
        <v>16750</v>
      </c>
      <c r="E172" s="36"/>
    </row>
    <row r="173" spans="1:5">
      <c r="A173" s="35">
        <f t="shared" si="2"/>
        <v>170</v>
      </c>
      <c r="B173" s="36" t="s">
        <v>933</v>
      </c>
      <c r="C173" s="37"/>
      <c r="D173" s="37">
        <v>20000</v>
      </c>
      <c r="E173" s="36"/>
    </row>
    <row r="174" spans="1:5">
      <c r="A174" s="35">
        <f t="shared" si="2"/>
        <v>171</v>
      </c>
      <c r="B174" s="36" t="s">
        <v>934</v>
      </c>
      <c r="C174" s="37"/>
      <c r="D174" s="37">
        <v>55000</v>
      </c>
      <c r="E174" s="36"/>
    </row>
    <row r="175" spans="1:5">
      <c r="A175" s="35">
        <f t="shared" si="2"/>
        <v>172</v>
      </c>
      <c r="B175" s="36" t="s">
        <v>935</v>
      </c>
      <c r="C175" s="37"/>
      <c r="D175" s="37">
        <v>19000</v>
      </c>
      <c r="E175" s="36"/>
    </row>
    <row r="176" spans="1:5">
      <c r="A176" s="35">
        <f t="shared" si="2"/>
        <v>173</v>
      </c>
      <c r="B176" s="36" t="s">
        <v>936</v>
      </c>
      <c r="C176" s="37"/>
      <c r="D176" s="37">
        <v>30000</v>
      </c>
      <c r="E176" s="36"/>
    </row>
    <row r="177" spans="1:5">
      <c r="A177" s="35">
        <f t="shared" si="2"/>
        <v>174</v>
      </c>
      <c r="B177" s="36" t="s">
        <v>937</v>
      </c>
      <c r="C177" s="37"/>
      <c r="D177" s="37">
        <v>48000</v>
      </c>
      <c r="E177" s="36"/>
    </row>
    <row r="178" spans="1:5">
      <c r="A178" s="35">
        <f t="shared" si="2"/>
        <v>175</v>
      </c>
      <c r="B178" s="36" t="s">
        <v>938</v>
      </c>
      <c r="C178" s="37"/>
      <c r="D178" s="37">
        <v>15000</v>
      </c>
      <c r="E178" s="36"/>
    </row>
    <row r="179" spans="1:5">
      <c r="A179" s="35">
        <f t="shared" si="2"/>
        <v>176</v>
      </c>
      <c r="B179" s="36" t="s">
        <v>939</v>
      </c>
      <c r="C179" s="37"/>
      <c r="D179" s="37">
        <v>15000</v>
      </c>
      <c r="E179" s="36"/>
    </row>
    <row r="180" spans="1:5">
      <c r="A180" s="35">
        <f t="shared" si="2"/>
        <v>177</v>
      </c>
      <c r="B180" s="36" t="s">
        <v>940</v>
      </c>
      <c r="C180" s="37"/>
      <c r="D180" s="37">
        <v>20000</v>
      </c>
      <c r="E180" s="36"/>
    </row>
    <row r="181" spans="1:5">
      <c r="A181" s="35">
        <f t="shared" si="2"/>
        <v>178</v>
      </c>
      <c r="B181" s="36" t="s">
        <v>941</v>
      </c>
      <c r="C181" s="37"/>
      <c r="D181" s="37">
        <v>48000</v>
      </c>
      <c r="E181" s="36"/>
    </row>
    <row r="182" spans="1:5">
      <c r="A182" s="35">
        <f t="shared" si="2"/>
        <v>179</v>
      </c>
      <c r="B182" s="36" t="s">
        <v>942</v>
      </c>
      <c r="C182" s="37"/>
      <c r="D182" s="37">
        <v>20000</v>
      </c>
      <c r="E182" s="36"/>
    </row>
    <row r="183" spans="1:5">
      <c r="A183" s="35">
        <f t="shared" si="2"/>
        <v>180</v>
      </c>
      <c r="B183" s="36" t="s">
        <v>943</v>
      </c>
      <c r="C183" s="37"/>
      <c r="D183" s="37">
        <v>20000</v>
      </c>
      <c r="E183" s="36"/>
    </row>
    <row r="184" spans="1:5">
      <c r="A184" s="35">
        <f t="shared" si="2"/>
        <v>181</v>
      </c>
      <c r="B184" s="36" t="s">
        <v>774</v>
      </c>
      <c r="C184" s="37"/>
      <c r="D184" s="37">
        <v>72000</v>
      </c>
      <c r="E184" s="36"/>
    </row>
    <row r="185" spans="1:5">
      <c r="A185" s="35">
        <f t="shared" si="2"/>
        <v>182</v>
      </c>
      <c r="B185" s="36" t="s">
        <v>944</v>
      </c>
      <c r="C185" s="37"/>
      <c r="D185" s="37">
        <v>20000</v>
      </c>
      <c r="E185" s="36"/>
    </row>
    <row r="186" spans="1:5">
      <c r="A186" s="35">
        <f t="shared" si="2"/>
        <v>183</v>
      </c>
      <c r="B186" s="36" t="s">
        <v>870</v>
      </c>
      <c r="C186" s="37"/>
      <c r="D186" s="37">
        <v>19000</v>
      </c>
      <c r="E186" s="36"/>
    </row>
    <row r="187" spans="1:5">
      <c r="A187" s="35">
        <f t="shared" si="2"/>
        <v>184</v>
      </c>
      <c r="B187" s="36" t="s">
        <v>945</v>
      </c>
      <c r="C187" s="37"/>
      <c r="D187" s="37">
        <v>16000</v>
      </c>
      <c r="E187" s="36"/>
    </row>
    <row r="188" spans="1:5">
      <c r="A188" s="35">
        <f t="shared" si="2"/>
        <v>185</v>
      </c>
      <c r="B188" s="36" t="s">
        <v>777</v>
      </c>
      <c r="C188" s="37"/>
      <c r="D188" s="37">
        <v>154000</v>
      </c>
      <c r="E188" s="36"/>
    </row>
    <row r="189" spans="1:5">
      <c r="A189" s="35">
        <f t="shared" si="2"/>
        <v>186</v>
      </c>
      <c r="B189" s="36" t="s">
        <v>778</v>
      </c>
      <c r="C189" s="37"/>
      <c r="D189" s="37">
        <v>31000</v>
      </c>
      <c r="E189" s="36"/>
    </row>
    <row r="190" spans="1:5">
      <c r="A190" s="35">
        <f t="shared" si="2"/>
        <v>187</v>
      </c>
      <c r="B190" s="36" t="s">
        <v>946</v>
      </c>
      <c r="C190" s="37"/>
      <c r="D190" s="37">
        <v>48000</v>
      </c>
      <c r="E190" s="36"/>
    </row>
    <row r="191" spans="1:5">
      <c r="A191" s="35">
        <f t="shared" si="2"/>
        <v>188</v>
      </c>
      <c r="B191" s="36" t="s">
        <v>947</v>
      </c>
      <c r="C191" s="37"/>
      <c r="D191" s="37">
        <v>25000</v>
      </c>
      <c r="E191" s="36"/>
    </row>
    <row r="192" spans="1:5">
      <c r="A192" s="35">
        <f t="shared" si="2"/>
        <v>189</v>
      </c>
      <c r="B192" s="36" t="s">
        <v>948</v>
      </c>
      <c r="C192" s="37"/>
      <c r="D192" s="37">
        <v>20000</v>
      </c>
      <c r="E192" s="36"/>
    </row>
    <row r="193" spans="1:5" ht="15.75" thickBot="1">
      <c r="A193" s="35">
        <f t="shared" si="2"/>
        <v>190</v>
      </c>
      <c r="B193" s="115" t="s">
        <v>781</v>
      </c>
      <c r="C193" s="116"/>
      <c r="D193" s="116">
        <v>184000</v>
      </c>
      <c r="E193" s="115"/>
    </row>
    <row r="194" spans="1:5">
      <c r="A194" s="35">
        <f t="shared" si="2"/>
        <v>191</v>
      </c>
      <c r="B194" s="36" t="s">
        <v>950</v>
      </c>
      <c r="C194" s="37">
        <f>'Neraca 2015'!D379</f>
        <v>4792300</v>
      </c>
      <c r="D194" s="37"/>
      <c r="E194" s="38"/>
    </row>
    <row r="195" spans="1:5">
      <c r="A195" s="35">
        <f t="shared" si="2"/>
        <v>192</v>
      </c>
      <c r="B195" s="36" t="s">
        <v>951</v>
      </c>
      <c r="C195" s="37">
        <f>'Neraca 2015'!D382</f>
        <v>739409</v>
      </c>
      <c r="D195" s="37"/>
      <c r="E195" s="38"/>
    </row>
    <row r="196" spans="1:5">
      <c r="A196" s="35">
        <f t="shared" si="2"/>
        <v>193</v>
      </c>
      <c r="B196" s="41" t="s">
        <v>949</v>
      </c>
      <c r="C196" s="42"/>
      <c r="D196" s="42">
        <v>1500000</v>
      </c>
      <c r="E196" s="41"/>
    </row>
    <row r="197" spans="1:5">
      <c r="A197" s="35">
        <f t="shared" si="2"/>
        <v>194</v>
      </c>
      <c r="B197" s="36" t="s">
        <v>890</v>
      </c>
      <c r="C197" s="37"/>
      <c r="D197" s="37">
        <v>300000</v>
      </c>
      <c r="E197" s="36"/>
    </row>
    <row r="198" spans="1:5">
      <c r="A198" s="35">
        <f t="shared" ref="A198:A218" si="3">A197+1</f>
        <v>195</v>
      </c>
      <c r="B198" s="36" t="s">
        <v>958</v>
      </c>
      <c r="C198" s="37"/>
      <c r="D198" s="37">
        <v>15000</v>
      </c>
      <c r="E198" s="36"/>
    </row>
    <row r="199" spans="1:5">
      <c r="A199" s="35">
        <f t="shared" si="3"/>
        <v>196</v>
      </c>
      <c r="B199" s="36" t="s">
        <v>959</v>
      </c>
      <c r="C199" s="37"/>
      <c r="D199" s="37">
        <v>15000</v>
      </c>
      <c r="E199" s="36"/>
    </row>
    <row r="200" spans="1:5">
      <c r="A200" s="35">
        <f t="shared" si="3"/>
        <v>197</v>
      </c>
      <c r="B200" s="36" t="s">
        <v>960</v>
      </c>
      <c r="C200" s="37"/>
      <c r="D200" s="37">
        <v>48000</v>
      </c>
      <c r="E200" s="36"/>
    </row>
    <row r="201" spans="1:5">
      <c r="A201" s="35">
        <f t="shared" si="3"/>
        <v>198</v>
      </c>
      <c r="B201" s="36" t="s">
        <v>961</v>
      </c>
      <c r="C201" s="37"/>
      <c r="D201" s="37">
        <v>15000</v>
      </c>
      <c r="E201" s="36"/>
    </row>
    <row r="202" spans="1:5">
      <c r="A202" s="35">
        <f t="shared" si="3"/>
        <v>199</v>
      </c>
      <c r="B202" s="36" t="s">
        <v>962</v>
      </c>
      <c r="C202" s="37"/>
      <c r="D202" s="37">
        <f>78000+20000</f>
        <v>98000</v>
      </c>
      <c r="E202" s="36"/>
    </row>
    <row r="203" spans="1:5">
      <c r="A203" s="35">
        <f t="shared" si="3"/>
        <v>200</v>
      </c>
      <c r="B203" s="36" t="s">
        <v>874</v>
      </c>
      <c r="C203" s="37"/>
      <c r="D203" s="37">
        <v>18000</v>
      </c>
      <c r="E203" s="36"/>
    </row>
    <row r="204" spans="1:5">
      <c r="A204" s="35">
        <f t="shared" si="3"/>
        <v>201</v>
      </c>
      <c r="B204" s="36" t="s">
        <v>963</v>
      </c>
      <c r="C204" s="37"/>
      <c r="D204" s="37">
        <v>10000</v>
      </c>
      <c r="E204" s="36"/>
    </row>
    <row r="205" spans="1:5">
      <c r="A205" s="35">
        <f t="shared" si="3"/>
        <v>202</v>
      </c>
      <c r="B205" s="36" t="s">
        <v>964</v>
      </c>
      <c r="C205" s="37"/>
      <c r="D205" s="37">
        <v>32000</v>
      </c>
      <c r="E205" s="36"/>
    </row>
    <row r="206" spans="1:5">
      <c r="A206" s="35">
        <f t="shared" si="3"/>
        <v>203</v>
      </c>
      <c r="B206" s="36" t="s">
        <v>965</v>
      </c>
      <c r="C206" s="37"/>
      <c r="D206" s="37">
        <v>45000</v>
      </c>
      <c r="E206" s="36"/>
    </row>
    <row r="207" spans="1:5">
      <c r="A207" s="35">
        <f t="shared" si="3"/>
        <v>204</v>
      </c>
      <c r="B207" s="36" t="s">
        <v>966</v>
      </c>
      <c r="C207" s="37"/>
      <c r="D207" s="37">
        <v>44000</v>
      </c>
      <c r="E207" s="36"/>
    </row>
    <row r="208" spans="1:5">
      <c r="A208" s="35">
        <f t="shared" si="3"/>
        <v>205</v>
      </c>
      <c r="B208" s="36" t="s">
        <v>967</v>
      </c>
      <c r="C208" s="37"/>
      <c r="D208" s="37">
        <v>48000</v>
      </c>
      <c r="E208" s="36"/>
    </row>
    <row r="209" spans="1:7">
      <c r="A209" s="35">
        <f t="shared" si="3"/>
        <v>206</v>
      </c>
      <c r="B209" s="36" t="s">
        <v>968</v>
      </c>
      <c r="C209" s="37"/>
      <c r="D209" s="37">
        <v>15000</v>
      </c>
      <c r="E209" s="36"/>
    </row>
    <row r="210" spans="1:7">
      <c r="A210" s="35">
        <f t="shared" si="3"/>
        <v>207</v>
      </c>
      <c r="B210" s="36" t="s">
        <v>969</v>
      </c>
      <c r="C210" s="37"/>
      <c r="D210" s="37">
        <v>25000</v>
      </c>
      <c r="E210" s="36"/>
    </row>
    <row r="211" spans="1:7">
      <c r="A211" s="35">
        <f t="shared" si="3"/>
        <v>208</v>
      </c>
      <c r="B211" s="36" t="s">
        <v>970</v>
      </c>
      <c r="C211" s="37"/>
      <c r="D211" s="37">
        <v>10000</v>
      </c>
      <c r="E211" s="36"/>
    </row>
    <row r="212" spans="1:7">
      <c r="A212" s="35">
        <f t="shared" si="3"/>
        <v>209</v>
      </c>
      <c r="B212" s="36" t="s">
        <v>971</v>
      </c>
      <c r="C212" s="37"/>
      <c r="D212" s="37">
        <v>15000</v>
      </c>
      <c r="E212" s="36"/>
    </row>
    <row r="213" spans="1:7">
      <c r="A213" s="35">
        <f t="shared" si="3"/>
        <v>210</v>
      </c>
      <c r="B213" s="36" t="s">
        <v>972</v>
      </c>
      <c r="C213" s="37"/>
      <c r="D213" s="37">
        <v>75000</v>
      </c>
      <c r="E213" s="36"/>
    </row>
    <row r="214" spans="1:7">
      <c r="A214" s="35">
        <f t="shared" si="3"/>
        <v>211</v>
      </c>
      <c r="B214" s="36" t="s">
        <v>973</v>
      </c>
      <c r="C214" s="37"/>
      <c r="D214" s="37">
        <v>48000</v>
      </c>
      <c r="E214" s="36"/>
    </row>
    <row r="215" spans="1:7">
      <c r="A215" s="35">
        <f t="shared" si="3"/>
        <v>212</v>
      </c>
      <c r="B215" s="36" t="s">
        <v>884</v>
      </c>
      <c r="C215" s="37"/>
      <c r="D215" s="37">
        <v>18000</v>
      </c>
      <c r="E215" s="36"/>
    </row>
    <row r="216" spans="1:7">
      <c r="A216" s="35">
        <f t="shared" si="3"/>
        <v>213</v>
      </c>
      <c r="B216" s="36" t="s">
        <v>974</v>
      </c>
      <c r="C216" s="37"/>
      <c r="D216" s="37">
        <v>48000</v>
      </c>
      <c r="E216" s="36"/>
    </row>
    <row r="217" spans="1:7">
      <c r="A217" s="35">
        <f t="shared" si="3"/>
        <v>214</v>
      </c>
      <c r="B217" s="36" t="s">
        <v>975</v>
      </c>
      <c r="C217" s="37"/>
      <c r="D217" s="37">
        <v>25000</v>
      </c>
      <c r="E217" s="36"/>
      <c r="F217" s="118">
        <v>8050000</v>
      </c>
      <c r="G217" s="118"/>
    </row>
    <row r="218" spans="1:7">
      <c r="A218" s="35">
        <f t="shared" si="3"/>
        <v>215</v>
      </c>
      <c r="B218" s="36" t="s">
        <v>966</v>
      </c>
      <c r="C218" s="37"/>
      <c r="D218" s="37">
        <v>68000</v>
      </c>
      <c r="E218" s="36"/>
      <c r="F218" s="31">
        <v>9673400</v>
      </c>
    </row>
    <row r="219" spans="1:7" ht="15.75">
      <c r="A219" s="36"/>
      <c r="B219" s="43" t="s">
        <v>310</v>
      </c>
      <c r="C219" s="40">
        <f>SUM(C4:C218)</f>
        <v>111062287.31999999</v>
      </c>
      <c r="D219" s="40">
        <f>SUM(D4:D218)</f>
        <v>52652650</v>
      </c>
      <c r="E219" s="44">
        <f>C219-D219</f>
        <v>58409637.319999993</v>
      </c>
      <c r="F219" s="30">
        <f>F217+F218</f>
        <v>17723400</v>
      </c>
      <c r="G219" s="32" t="s">
        <v>982</v>
      </c>
    </row>
    <row r="220" spans="1:7" ht="15.75">
      <c r="E220" s="119">
        <f>E219-F219</f>
        <v>40686237.319999993</v>
      </c>
      <c r="F220" s="119"/>
    </row>
    <row r="221" spans="1:7">
      <c r="A221" s="45" t="s">
        <v>311</v>
      </c>
      <c r="B221" s="45"/>
      <c r="C221" s="46"/>
      <c r="D221" s="47"/>
      <c r="E221" s="118"/>
    </row>
    <row r="222" spans="1:7">
      <c r="A222" s="45" t="s">
        <v>254</v>
      </c>
      <c r="B222" s="45"/>
      <c r="C222" s="46" t="s">
        <v>255</v>
      </c>
      <c r="D222" s="47"/>
    </row>
    <row r="223" spans="1:7">
      <c r="A223" s="48"/>
      <c r="B223" s="48"/>
      <c r="C223" s="46"/>
      <c r="D223" s="47"/>
    </row>
    <row r="224" spans="1:7">
      <c r="A224" s="48"/>
      <c r="B224" s="48"/>
      <c r="C224" s="46"/>
      <c r="D224" s="47"/>
    </row>
    <row r="225" spans="1:4" ht="15.75">
      <c r="A225" s="48"/>
      <c r="B225" s="48"/>
      <c r="C225" s="49"/>
      <c r="D225" s="50"/>
    </row>
    <row r="226" spans="1:4">
      <c r="A226" s="48"/>
      <c r="B226" s="48"/>
      <c r="C226" s="46"/>
      <c r="D226" s="47"/>
    </row>
    <row r="227" spans="1:4" ht="15.75">
      <c r="A227" s="48"/>
      <c r="B227" s="48"/>
      <c r="C227" s="49"/>
      <c r="D227" s="50"/>
    </row>
    <row r="228" spans="1:4" ht="15.75">
      <c r="A228" s="51" t="s">
        <v>256</v>
      </c>
      <c r="B228" s="51"/>
      <c r="C228" s="49" t="s">
        <v>257</v>
      </c>
      <c r="D228" s="47"/>
    </row>
    <row r="229" spans="1:4">
      <c r="A229" s="45" t="s">
        <v>258</v>
      </c>
      <c r="B229" s="45"/>
      <c r="C229" s="46" t="s">
        <v>259</v>
      </c>
      <c r="D229" s="47"/>
    </row>
  </sheetData>
  <printOptions horizontalCentered="1"/>
  <pageMargins left="0.25" right="0.25" top="0.25" bottom="0.25" header="0.3" footer="0.3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267"/>
  <sheetViews>
    <sheetView showGridLines="0" topLeftCell="A200" workbookViewId="0">
      <selection activeCell="AQ211" sqref="AQ211"/>
    </sheetView>
  </sheetViews>
  <sheetFormatPr defaultRowHeight="15"/>
  <cols>
    <col min="1" max="1" width="5.28515625" style="56" customWidth="1"/>
    <col min="2" max="2" width="12.85546875" style="56" customWidth="1"/>
    <col min="3" max="3" width="28.85546875" style="28" customWidth="1"/>
    <col min="4" max="4" width="26.42578125" style="28" customWidth="1"/>
    <col min="5" max="5" width="17.28515625" style="82" hidden="1" customWidth="1"/>
    <col min="6" max="13" width="15.7109375" style="28" hidden="1" customWidth="1"/>
    <col min="14" max="14" width="16.85546875" style="28" hidden="1" customWidth="1"/>
    <col min="15" max="16" width="15.7109375" style="28" hidden="1" customWidth="1"/>
    <col min="17" max="17" width="16.85546875" style="28" hidden="1" customWidth="1"/>
    <col min="18" max="19" width="15.7109375" style="28" hidden="1" customWidth="1"/>
    <col min="20" max="20" width="17" style="28" hidden="1" customWidth="1"/>
    <col min="21" max="22" width="15.7109375" style="28" hidden="1" customWidth="1"/>
    <col min="23" max="23" width="16.7109375" style="28" hidden="1" customWidth="1"/>
    <col min="24" max="25" width="15.7109375" style="28" hidden="1" customWidth="1"/>
    <col min="26" max="26" width="17.28515625" style="28" hidden="1" customWidth="1"/>
    <col min="27" max="34" width="15.7109375" style="28" hidden="1" customWidth="1"/>
    <col min="35" max="35" width="17" style="28" hidden="1" customWidth="1"/>
    <col min="36" max="37" width="15.7109375" style="28" hidden="1" customWidth="1"/>
    <col min="38" max="38" width="16.85546875" style="28" hidden="1" customWidth="1"/>
    <col min="39" max="40" width="15.7109375" style="28" hidden="1" customWidth="1"/>
    <col min="41" max="41" width="16.85546875" style="28" hidden="1" customWidth="1"/>
    <col min="42" max="42" width="18" style="28" customWidth="1"/>
    <col min="43" max="43" width="19" style="56" customWidth="1"/>
    <col min="44" max="44" width="14.5703125" style="57" bestFit="1" customWidth="1"/>
    <col min="45" max="16384" width="9.140625" style="28"/>
  </cols>
  <sheetData>
    <row r="1" spans="1:44" ht="16.5">
      <c r="A1" s="53" t="s">
        <v>312</v>
      </c>
      <c r="B1" s="53"/>
      <c r="C1" s="54"/>
      <c r="D1" s="54"/>
      <c r="E1" s="54"/>
      <c r="F1" s="54"/>
      <c r="G1" s="54"/>
      <c r="H1" s="54"/>
      <c r="T1" s="55"/>
    </row>
    <row r="2" spans="1:44" ht="3.75" customHeight="1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</row>
    <row r="3" spans="1:44" s="46" customFormat="1" ht="15.75">
      <c r="A3" s="123" t="s">
        <v>313</v>
      </c>
      <c r="B3" s="123" t="s">
        <v>314</v>
      </c>
      <c r="C3" s="123" t="s">
        <v>315</v>
      </c>
      <c r="D3" s="123" t="s">
        <v>316</v>
      </c>
      <c r="E3" s="126" t="s">
        <v>665</v>
      </c>
      <c r="F3" s="58" t="s">
        <v>317</v>
      </c>
      <c r="G3" s="58" t="s">
        <v>318</v>
      </c>
      <c r="H3" s="58" t="s">
        <v>319</v>
      </c>
      <c r="I3" s="58" t="s">
        <v>317</v>
      </c>
      <c r="J3" s="58" t="s">
        <v>318</v>
      </c>
      <c r="K3" s="58" t="s">
        <v>319</v>
      </c>
      <c r="L3" s="58" t="s">
        <v>317</v>
      </c>
      <c r="M3" s="58" t="s">
        <v>318</v>
      </c>
      <c r="N3" s="58" t="s">
        <v>319</v>
      </c>
      <c r="O3" s="58" t="s">
        <v>317</v>
      </c>
      <c r="P3" s="58" t="s">
        <v>318</v>
      </c>
      <c r="Q3" s="58" t="s">
        <v>319</v>
      </c>
      <c r="R3" s="58" t="s">
        <v>317</v>
      </c>
      <c r="S3" s="58" t="s">
        <v>318</v>
      </c>
      <c r="T3" s="58" t="s">
        <v>319</v>
      </c>
      <c r="U3" s="58" t="s">
        <v>317</v>
      </c>
      <c r="V3" s="58" t="s">
        <v>318</v>
      </c>
      <c r="W3" s="58" t="s">
        <v>319</v>
      </c>
      <c r="X3" s="58" t="s">
        <v>317</v>
      </c>
      <c r="Y3" s="58" t="s">
        <v>318</v>
      </c>
      <c r="Z3" s="58" t="s">
        <v>319</v>
      </c>
      <c r="AA3" s="58" t="s">
        <v>317</v>
      </c>
      <c r="AB3" s="58" t="s">
        <v>318</v>
      </c>
      <c r="AC3" s="58" t="s">
        <v>319</v>
      </c>
      <c r="AD3" s="58" t="s">
        <v>317</v>
      </c>
      <c r="AE3" s="58" t="s">
        <v>318</v>
      </c>
      <c r="AF3" s="58" t="s">
        <v>319</v>
      </c>
      <c r="AG3" s="58" t="s">
        <v>317</v>
      </c>
      <c r="AH3" s="58" t="s">
        <v>318</v>
      </c>
      <c r="AI3" s="58" t="s">
        <v>319</v>
      </c>
      <c r="AJ3" s="58" t="s">
        <v>317</v>
      </c>
      <c r="AK3" s="58" t="s">
        <v>318</v>
      </c>
      <c r="AL3" s="58" t="s">
        <v>319</v>
      </c>
      <c r="AM3" s="58" t="s">
        <v>317</v>
      </c>
      <c r="AN3" s="58" t="s">
        <v>318</v>
      </c>
      <c r="AO3" s="58" t="s">
        <v>319</v>
      </c>
      <c r="AP3" s="121" t="s">
        <v>666</v>
      </c>
      <c r="AQ3" s="123" t="s">
        <v>981</v>
      </c>
      <c r="AR3" s="47"/>
    </row>
    <row r="4" spans="1:44" s="46" customFormat="1" ht="15.75">
      <c r="A4" s="124"/>
      <c r="B4" s="124"/>
      <c r="C4" s="124"/>
      <c r="D4" s="124"/>
      <c r="E4" s="127"/>
      <c r="F4" s="59" t="s">
        <v>320</v>
      </c>
      <c r="G4" s="59" t="s">
        <v>320</v>
      </c>
      <c r="H4" s="59" t="s">
        <v>321</v>
      </c>
      <c r="I4" s="59" t="s">
        <v>322</v>
      </c>
      <c r="J4" s="59" t="s">
        <v>322</v>
      </c>
      <c r="K4" s="59" t="s">
        <v>321</v>
      </c>
      <c r="L4" s="59" t="s">
        <v>323</v>
      </c>
      <c r="M4" s="59" t="s">
        <v>323</v>
      </c>
      <c r="N4" s="59" t="s">
        <v>321</v>
      </c>
      <c r="O4" s="59" t="s">
        <v>324</v>
      </c>
      <c r="P4" s="59" t="s">
        <v>324</v>
      </c>
      <c r="Q4" s="59" t="s">
        <v>321</v>
      </c>
      <c r="R4" s="59" t="s">
        <v>325</v>
      </c>
      <c r="S4" s="59" t="s">
        <v>325</v>
      </c>
      <c r="T4" s="59" t="s">
        <v>321</v>
      </c>
      <c r="U4" s="59" t="s">
        <v>326</v>
      </c>
      <c r="V4" s="59" t="s">
        <v>326</v>
      </c>
      <c r="W4" s="59" t="s">
        <v>321</v>
      </c>
      <c r="X4" s="59" t="s">
        <v>327</v>
      </c>
      <c r="Y4" s="59" t="s">
        <v>327</v>
      </c>
      <c r="Z4" s="59" t="s">
        <v>321</v>
      </c>
      <c r="AA4" s="59" t="s">
        <v>328</v>
      </c>
      <c r="AB4" s="59" t="s">
        <v>328</v>
      </c>
      <c r="AC4" s="59" t="s">
        <v>321</v>
      </c>
      <c r="AD4" s="59" t="s">
        <v>329</v>
      </c>
      <c r="AE4" s="59" t="s">
        <v>329</v>
      </c>
      <c r="AF4" s="59" t="s">
        <v>321</v>
      </c>
      <c r="AG4" s="59" t="s">
        <v>330</v>
      </c>
      <c r="AH4" s="59" t="s">
        <v>330</v>
      </c>
      <c r="AI4" s="59" t="s">
        <v>321</v>
      </c>
      <c r="AJ4" s="59" t="s">
        <v>331</v>
      </c>
      <c r="AK4" s="59" t="s">
        <v>331</v>
      </c>
      <c r="AL4" s="59" t="s">
        <v>331</v>
      </c>
      <c r="AM4" s="59" t="s">
        <v>332</v>
      </c>
      <c r="AN4" s="59" t="s">
        <v>332</v>
      </c>
      <c r="AO4" s="59" t="s">
        <v>332</v>
      </c>
      <c r="AP4" s="122"/>
      <c r="AQ4" s="124"/>
      <c r="AR4" s="47"/>
    </row>
    <row r="5" spans="1:44" s="23" customFormat="1" ht="14.25">
      <c r="A5" s="60">
        <v>1</v>
      </c>
      <c r="B5" s="60">
        <v>95070331</v>
      </c>
      <c r="C5" s="61" t="s">
        <v>333</v>
      </c>
      <c r="D5" s="61" t="s">
        <v>334</v>
      </c>
      <c r="E5" s="62">
        <v>1575000</v>
      </c>
      <c r="F5" s="63">
        <v>100000</v>
      </c>
      <c r="G5" s="63">
        <v>250000</v>
      </c>
      <c r="H5" s="63">
        <f t="shared" ref="H5:H46" si="0">F5+G5</f>
        <v>350000</v>
      </c>
      <c r="I5" s="63">
        <v>100000</v>
      </c>
      <c r="J5" s="63">
        <v>0</v>
      </c>
      <c r="K5" s="63">
        <v>0</v>
      </c>
      <c r="L5" s="63">
        <v>100000</v>
      </c>
      <c r="M5" s="63">
        <v>232000</v>
      </c>
      <c r="N5" s="63">
        <f t="shared" ref="N5:N46" si="1">L5+M5</f>
        <v>332000</v>
      </c>
      <c r="O5" s="63">
        <v>100000</v>
      </c>
      <c r="P5" s="63">
        <v>225000</v>
      </c>
      <c r="Q5" s="63">
        <f t="shared" ref="Q5:Q46" si="2">SUM(O5:P5)</f>
        <v>325000</v>
      </c>
      <c r="R5" s="63">
        <v>100000</v>
      </c>
      <c r="S5" s="63">
        <v>532500</v>
      </c>
      <c r="T5" s="63">
        <f t="shared" ref="T5:T46" si="3">R5+S5</f>
        <v>632500</v>
      </c>
      <c r="U5" s="63">
        <v>100000</v>
      </c>
      <c r="V5" s="63">
        <f>750000+530000</f>
        <v>1280000</v>
      </c>
      <c r="W5" s="63">
        <f t="shared" ref="W5:W46" si="4">U5+V5</f>
        <v>1380000</v>
      </c>
      <c r="X5" s="63">
        <v>100000</v>
      </c>
      <c r="Y5" s="63">
        <v>219000</v>
      </c>
      <c r="Z5" s="63">
        <f t="shared" ref="Z5:Z46" si="5">X5+Y5</f>
        <v>319000</v>
      </c>
      <c r="AA5" s="63">
        <v>100000</v>
      </c>
      <c r="AB5" s="63">
        <f>750000+374000+250000</f>
        <v>1374000</v>
      </c>
      <c r="AC5" s="63">
        <f t="shared" ref="AC5:AC46" si="6">AB5+AA5</f>
        <v>1474000</v>
      </c>
      <c r="AD5" s="63">
        <v>100000</v>
      </c>
      <c r="AE5" s="63">
        <f>435000+365000</f>
        <v>800000</v>
      </c>
      <c r="AF5" s="63">
        <f t="shared" ref="AF5:AF46" si="7">AD5+AE5</f>
        <v>900000</v>
      </c>
      <c r="AG5" s="63">
        <v>100000</v>
      </c>
      <c r="AH5" s="63">
        <f>150000+159000+365200</f>
        <v>674200</v>
      </c>
      <c r="AI5" s="63">
        <f t="shared" ref="AI5:AI36" si="8">AG5+AH5</f>
        <v>774200</v>
      </c>
      <c r="AJ5" s="63">
        <v>100000</v>
      </c>
      <c r="AK5" s="63">
        <f>365200+440000</f>
        <v>805200</v>
      </c>
      <c r="AL5" s="63">
        <f t="shared" ref="AL5:AL68" si="9">AJ5+AK5</f>
        <v>905200</v>
      </c>
      <c r="AM5" s="63">
        <v>100000</v>
      </c>
      <c r="AN5" s="63">
        <f>365200+440000</f>
        <v>805200</v>
      </c>
      <c r="AO5" s="63">
        <f t="shared" ref="AO5:AO68" si="10">AM5+AN5</f>
        <v>905200</v>
      </c>
      <c r="AP5" s="64">
        <f t="shared" ref="AP5:AP68" si="11">E5+F5+I5+L5+O5+R5+U5+X5+AA5+AD5+AG5+AJ5+AM5</f>
        <v>2775000</v>
      </c>
      <c r="AQ5" s="65">
        <f>(AP5/$AP$215)*7323522.72</f>
        <v>39316.648380731283</v>
      </c>
      <c r="AR5" s="100"/>
    </row>
    <row r="6" spans="1:44" s="23" customFormat="1" ht="14.25">
      <c r="A6" s="60">
        <f t="shared" ref="A6:A69" si="12">A5+1</f>
        <v>2</v>
      </c>
      <c r="B6" s="66" t="s">
        <v>335</v>
      </c>
      <c r="C6" s="61" t="s">
        <v>336</v>
      </c>
      <c r="D6" s="61" t="s">
        <v>337</v>
      </c>
      <c r="E6" s="62">
        <v>1575000</v>
      </c>
      <c r="F6" s="63">
        <v>100000</v>
      </c>
      <c r="G6" s="63">
        <v>260000</v>
      </c>
      <c r="H6" s="63">
        <f t="shared" si="0"/>
        <v>360000</v>
      </c>
      <c r="I6" s="63">
        <v>100000</v>
      </c>
      <c r="J6" s="63">
        <v>0</v>
      </c>
      <c r="K6" s="63">
        <v>0</v>
      </c>
      <c r="L6" s="63">
        <v>100000</v>
      </c>
      <c r="M6" s="63">
        <v>0</v>
      </c>
      <c r="N6" s="63">
        <f t="shared" si="1"/>
        <v>100000</v>
      </c>
      <c r="O6" s="63">
        <v>100000</v>
      </c>
      <c r="P6" s="63">
        <v>550000</v>
      </c>
      <c r="Q6" s="63">
        <f t="shared" si="2"/>
        <v>650000</v>
      </c>
      <c r="R6" s="63">
        <v>100000</v>
      </c>
      <c r="S6" s="63">
        <v>550000</v>
      </c>
      <c r="T6" s="63">
        <f t="shared" si="3"/>
        <v>650000</v>
      </c>
      <c r="U6" s="63">
        <v>100000</v>
      </c>
      <c r="V6" s="63">
        <v>550000</v>
      </c>
      <c r="W6" s="63">
        <f t="shared" si="4"/>
        <v>650000</v>
      </c>
      <c r="X6" s="63">
        <v>100000</v>
      </c>
      <c r="Y6" s="63">
        <v>550000</v>
      </c>
      <c r="Z6" s="63">
        <f t="shared" si="5"/>
        <v>650000</v>
      </c>
      <c r="AA6" s="63">
        <v>100000</v>
      </c>
      <c r="AB6" s="63">
        <v>0</v>
      </c>
      <c r="AC6" s="63">
        <f t="shared" si="6"/>
        <v>100000</v>
      </c>
      <c r="AD6" s="63">
        <v>100000</v>
      </c>
      <c r="AE6" s="63">
        <v>540000</v>
      </c>
      <c r="AF6" s="63">
        <f t="shared" si="7"/>
        <v>640000</v>
      </c>
      <c r="AG6" s="63">
        <v>100000</v>
      </c>
      <c r="AH6" s="63">
        <f>540000</f>
        <v>540000</v>
      </c>
      <c r="AI6" s="63">
        <f t="shared" si="8"/>
        <v>640000</v>
      </c>
      <c r="AJ6" s="63">
        <v>100000</v>
      </c>
      <c r="AK6" s="63">
        <v>540000</v>
      </c>
      <c r="AL6" s="63">
        <f t="shared" si="9"/>
        <v>640000</v>
      </c>
      <c r="AM6" s="63">
        <v>100000</v>
      </c>
      <c r="AN6" s="63">
        <v>0</v>
      </c>
      <c r="AO6" s="63">
        <f t="shared" si="10"/>
        <v>100000</v>
      </c>
      <c r="AP6" s="64">
        <f t="shared" si="11"/>
        <v>2775000</v>
      </c>
      <c r="AQ6" s="65">
        <f t="shared" ref="AQ6:AQ69" si="13">(AP6/$AP$215)*7323522.72</f>
        <v>39316.648380731283</v>
      </c>
      <c r="AR6" s="100"/>
    </row>
    <row r="7" spans="1:44" s="23" customFormat="1" ht="14.25">
      <c r="A7" s="60">
        <f t="shared" si="12"/>
        <v>3</v>
      </c>
      <c r="B7" s="67" t="s">
        <v>338</v>
      </c>
      <c r="C7" s="61" t="s">
        <v>339</v>
      </c>
      <c r="D7" s="61" t="s">
        <v>337</v>
      </c>
      <c r="E7" s="62">
        <v>1250000</v>
      </c>
      <c r="F7" s="63">
        <v>100000</v>
      </c>
      <c r="G7" s="63">
        <v>162000</v>
      </c>
      <c r="H7" s="63">
        <f t="shared" si="0"/>
        <v>262000</v>
      </c>
      <c r="I7" s="63">
        <v>100000</v>
      </c>
      <c r="J7" s="63">
        <v>0</v>
      </c>
      <c r="K7" s="63">
        <v>0</v>
      </c>
      <c r="L7" s="63">
        <v>100000</v>
      </c>
      <c r="M7" s="63">
        <v>0</v>
      </c>
      <c r="N7" s="63">
        <f t="shared" si="1"/>
        <v>100000</v>
      </c>
      <c r="O7" s="63">
        <v>100000</v>
      </c>
      <c r="P7" s="63">
        <v>130500</v>
      </c>
      <c r="Q7" s="63">
        <f t="shared" si="2"/>
        <v>230500</v>
      </c>
      <c r="R7" s="63">
        <v>100000</v>
      </c>
      <c r="S7" s="63">
        <v>97000</v>
      </c>
      <c r="T7" s="63">
        <f t="shared" si="3"/>
        <v>197000</v>
      </c>
      <c r="U7" s="63">
        <v>100000</v>
      </c>
      <c r="V7" s="63">
        <v>82500</v>
      </c>
      <c r="W7" s="63">
        <f t="shared" si="4"/>
        <v>182500</v>
      </c>
      <c r="X7" s="63">
        <v>100000</v>
      </c>
      <c r="Y7" s="63">
        <v>52500</v>
      </c>
      <c r="Z7" s="63">
        <f t="shared" si="5"/>
        <v>152500</v>
      </c>
      <c r="AA7" s="63">
        <v>100000</v>
      </c>
      <c r="AB7" s="63">
        <v>0</v>
      </c>
      <c r="AC7" s="63">
        <f t="shared" si="6"/>
        <v>100000</v>
      </c>
      <c r="AD7" s="63">
        <v>100000</v>
      </c>
      <c r="AE7" s="63">
        <v>0</v>
      </c>
      <c r="AF7" s="63">
        <f t="shared" si="7"/>
        <v>100000</v>
      </c>
      <c r="AG7" s="63">
        <v>100000</v>
      </c>
      <c r="AH7" s="63">
        <v>0</v>
      </c>
      <c r="AI7" s="63">
        <f t="shared" si="8"/>
        <v>100000</v>
      </c>
      <c r="AJ7" s="63">
        <v>100000</v>
      </c>
      <c r="AK7" s="63">
        <v>106000</v>
      </c>
      <c r="AL7" s="63">
        <f t="shared" si="9"/>
        <v>206000</v>
      </c>
      <c r="AM7" s="63">
        <v>100000</v>
      </c>
      <c r="AN7" s="63">
        <f>93000</f>
        <v>93000</v>
      </c>
      <c r="AO7" s="63">
        <f t="shared" si="10"/>
        <v>193000</v>
      </c>
      <c r="AP7" s="64">
        <f t="shared" si="11"/>
        <v>2450000</v>
      </c>
      <c r="AQ7" s="65">
        <f t="shared" si="13"/>
        <v>34711.995867672667</v>
      </c>
      <c r="AR7" s="100"/>
    </row>
    <row r="8" spans="1:44" s="23" customFormat="1" ht="14.25">
      <c r="A8" s="60">
        <f t="shared" si="12"/>
        <v>4</v>
      </c>
      <c r="B8" s="60">
        <v>11068311</v>
      </c>
      <c r="C8" s="61" t="s">
        <v>340</v>
      </c>
      <c r="D8" s="61" t="s">
        <v>337</v>
      </c>
      <c r="E8" s="62">
        <v>1125000</v>
      </c>
      <c r="F8" s="63">
        <v>100000</v>
      </c>
      <c r="G8" s="63">
        <v>0</v>
      </c>
      <c r="H8" s="63">
        <f t="shared" si="0"/>
        <v>100000</v>
      </c>
      <c r="I8" s="63">
        <v>100000</v>
      </c>
      <c r="J8" s="63">
        <v>0</v>
      </c>
      <c r="K8" s="63">
        <v>0</v>
      </c>
      <c r="L8" s="63">
        <v>100000</v>
      </c>
      <c r="M8" s="63">
        <v>0</v>
      </c>
      <c r="N8" s="63">
        <f t="shared" si="1"/>
        <v>100000</v>
      </c>
      <c r="O8" s="63">
        <v>100000</v>
      </c>
      <c r="P8" s="63">
        <v>0</v>
      </c>
      <c r="Q8" s="63">
        <f t="shared" si="2"/>
        <v>100000</v>
      </c>
      <c r="R8" s="63">
        <v>100000</v>
      </c>
      <c r="S8" s="63">
        <v>0</v>
      </c>
      <c r="T8" s="63">
        <f t="shared" si="3"/>
        <v>100000</v>
      </c>
      <c r="U8" s="63">
        <v>100000</v>
      </c>
      <c r="V8" s="63">
        <v>0</v>
      </c>
      <c r="W8" s="63">
        <f t="shared" si="4"/>
        <v>100000</v>
      </c>
      <c r="X8" s="63">
        <v>100000</v>
      </c>
      <c r="Y8" s="63">
        <v>0</v>
      </c>
      <c r="Z8" s="63">
        <f t="shared" si="5"/>
        <v>100000</v>
      </c>
      <c r="AA8" s="63">
        <v>100000</v>
      </c>
      <c r="AB8" s="63">
        <v>0</v>
      </c>
      <c r="AC8" s="63">
        <f t="shared" si="6"/>
        <v>100000</v>
      </c>
      <c r="AD8" s="63">
        <v>100000</v>
      </c>
      <c r="AE8" s="63">
        <v>0</v>
      </c>
      <c r="AF8" s="63">
        <f t="shared" si="7"/>
        <v>100000</v>
      </c>
      <c r="AG8" s="63">
        <v>100000</v>
      </c>
      <c r="AH8" s="63">
        <v>0</v>
      </c>
      <c r="AI8" s="63">
        <f t="shared" si="8"/>
        <v>100000</v>
      </c>
      <c r="AJ8" s="63">
        <v>100000</v>
      </c>
      <c r="AK8" s="63">
        <v>0</v>
      </c>
      <c r="AL8" s="63">
        <f t="shared" si="9"/>
        <v>100000</v>
      </c>
      <c r="AM8" s="63">
        <v>100000</v>
      </c>
      <c r="AN8" s="63">
        <v>0</v>
      </c>
      <c r="AO8" s="63">
        <f t="shared" si="10"/>
        <v>100000</v>
      </c>
      <c r="AP8" s="64">
        <f t="shared" si="11"/>
        <v>2325000</v>
      </c>
      <c r="AQ8" s="65">
        <f t="shared" si="13"/>
        <v>32940.975670342428</v>
      </c>
      <c r="AR8" s="100"/>
    </row>
    <row r="9" spans="1:44">
      <c r="A9" s="60">
        <f t="shared" si="12"/>
        <v>5</v>
      </c>
      <c r="B9" s="68">
        <v>12109441</v>
      </c>
      <c r="C9" s="61" t="s">
        <v>341</v>
      </c>
      <c r="D9" s="61" t="s">
        <v>337</v>
      </c>
      <c r="E9" s="62">
        <v>700000</v>
      </c>
      <c r="F9" s="63">
        <v>100000</v>
      </c>
      <c r="G9" s="63">
        <v>0</v>
      </c>
      <c r="H9" s="63">
        <f t="shared" si="0"/>
        <v>100000</v>
      </c>
      <c r="I9" s="63">
        <v>100000</v>
      </c>
      <c r="J9" s="63">
        <v>0</v>
      </c>
      <c r="K9" s="63">
        <v>0</v>
      </c>
      <c r="L9" s="63">
        <v>100000</v>
      </c>
      <c r="M9" s="63">
        <f>260000+56000</f>
        <v>316000</v>
      </c>
      <c r="N9" s="63">
        <f t="shared" si="1"/>
        <v>416000</v>
      </c>
      <c r="O9" s="63">
        <v>100000</v>
      </c>
      <c r="P9" s="63">
        <v>0</v>
      </c>
      <c r="Q9" s="63">
        <f t="shared" si="2"/>
        <v>100000</v>
      </c>
      <c r="R9" s="63">
        <v>100000</v>
      </c>
      <c r="S9" s="63">
        <v>265000</v>
      </c>
      <c r="T9" s="63">
        <f t="shared" si="3"/>
        <v>365000</v>
      </c>
      <c r="U9" s="63">
        <v>100000</v>
      </c>
      <c r="V9" s="63">
        <v>265000</v>
      </c>
      <c r="W9" s="63">
        <f t="shared" si="4"/>
        <v>365000</v>
      </c>
      <c r="X9" s="63">
        <v>100000</v>
      </c>
      <c r="Y9" s="63">
        <v>265000</v>
      </c>
      <c r="Z9" s="63">
        <f t="shared" si="5"/>
        <v>365000</v>
      </c>
      <c r="AA9" s="63">
        <v>100000</v>
      </c>
      <c r="AB9" s="63">
        <v>265000</v>
      </c>
      <c r="AC9" s="63">
        <f t="shared" si="6"/>
        <v>365000</v>
      </c>
      <c r="AD9" s="63">
        <v>100000</v>
      </c>
      <c r="AE9" s="63">
        <v>0</v>
      </c>
      <c r="AF9" s="63">
        <f t="shared" si="7"/>
        <v>100000</v>
      </c>
      <c r="AG9" s="63">
        <v>100000</v>
      </c>
      <c r="AH9" s="63">
        <v>0</v>
      </c>
      <c r="AI9" s="63">
        <f t="shared" si="8"/>
        <v>100000</v>
      </c>
      <c r="AJ9" s="63">
        <v>100000</v>
      </c>
      <c r="AK9" s="63">
        <v>0</v>
      </c>
      <c r="AL9" s="63">
        <f t="shared" si="9"/>
        <v>100000</v>
      </c>
      <c r="AM9" s="63">
        <v>100000</v>
      </c>
      <c r="AN9" s="63">
        <v>0</v>
      </c>
      <c r="AO9" s="63">
        <f t="shared" si="10"/>
        <v>100000</v>
      </c>
      <c r="AP9" s="64">
        <f t="shared" si="11"/>
        <v>1900000</v>
      </c>
      <c r="AQ9" s="65">
        <f t="shared" si="13"/>
        <v>26919.506999419616</v>
      </c>
    </row>
    <row r="10" spans="1:44">
      <c r="A10" s="60">
        <f t="shared" si="12"/>
        <v>6</v>
      </c>
      <c r="B10" s="68">
        <v>13099991</v>
      </c>
      <c r="C10" s="61" t="s">
        <v>342</v>
      </c>
      <c r="D10" s="61" t="s">
        <v>337</v>
      </c>
      <c r="E10" s="62">
        <v>300000</v>
      </c>
      <c r="F10" s="63">
        <v>100000</v>
      </c>
      <c r="G10" s="63">
        <v>402000</v>
      </c>
      <c r="H10" s="63">
        <f t="shared" si="0"/>
        <v>502000</v>
      </c>
      <c r="I10" s="63">
        <v>100000</v>
      </c>
      <c r="J10" s="63">
        <v>0</v>
      </c>
      <c r="K10" s="63">
        <v>0</v>
      </c>
      <c r="L10" s="63">
        <v>100000</v>
      </c>
      <c r="M10" s="63">
        <v>700500</v>
      </c>
      <c r="N10" s="63">
        <f t="shared" si="1"/>
        <v>800500</v>
      </c>
      <c r="O10" s="63">
        <v>100000</v>
      </c>
      <c r="P10" s="63">
        <v>825500</v>
      </c>
      <c r="Q10" s="63">
        <f t="shared" si="2"/>
        <v>925500</v>
      </c>
      <c r="R10" s="63">
        <v>100000</v>
      </c>
      <c r="S10" s="63">
        <v>437000</v>
      </c>
      <c r="T10" s="63">
        <f t="shared" si="3"/>
        <v>537000</v>
      </c>
      <c r="U10" s="63">
        <v>100000</v>
      </c>
      <c r="V10" s="63">
        <v>760000</v>
      </c>
      <c r="W10" s="63">
        <f t="shared" si="4"/>
        <v>860000</v>
      </c>
      <c r="X10" s="63">
        <v>100000</v>
      </c>
      <c r="Y10" s="63">
        <f>308000+148000</f>
        <v>456000</v>
      </c>
      <c r="Z10" s="63">
        <f t="shared" si="5"/>
        <v>556000</v>
      </c>
      <c r="AA10" s="63">
        <v>100000</v>
      </c>
      <c r="AB10" s="63">
        <v>457000</v>
      </c>
      <c r="AC10" s="63">
        <f t="shared" si="6"/>
        <v>557000</v>
      </c>
      <c r="AD10" s="63">
        <v>100000</v>
      </c>
      <c r="AE10" s="63">
        <f>129000</f>
        <v>129000</v>
      </c>
      <c r="AF10" s="63">
        <f t="shared" si="7"/>
        <v>229000</v>
      </c>
      <c r="AG10" s="63">
        <v>100000</v>
      </c>
      <c r="AH10" s="63">
        <v>321500</v>
      </c>
      <c r="AI10" s="63">
        <f t="shared" si="8"/>
        <v>421500</v>
      </c>
      <c r="AJ10" s="63">
        <v>100000</v>
      </c>
      <c r="AK10" s="63">
        <f>374000</f>
        <v>374000</v>
      </c>
      <c r="AL10" s="63">
        <f t="shared" si="9"/>
        <v>474000</v>
      </c>
      <c r="AM10" s="63">
        <v>100000</v>
      </c>
      <c r="AN10" s="63">
        <f>366000</f>
        <v>366000</v>
      </c>
      <c r="AO10" s="63">
        <f t="shared" si="10"/>
        <v>466000</v>
      </c>
      <c r="AP10" s="64">
        <f t="shared" si="11"/>
        <v>1500000</v>
      </c>
      <c r="AQ10" s="65">
        <f t="shared" si="13"/>
        <v>21252.242367962855</v>
      </c>
    </row>
    <row r="11" spans="1:44">
      <c r="A11" s="60">
        <f t="shared" si="12"/>
        <v>7</v>
      </c>
      <c r="B11" s="68">
        <v>14030721</v>
      </c>
      <c r="C11" s="61" t="s">
        <v>343</v>
      </c>
      <c r="D11" s="61" t="s">
        <v>337</v>
      </c>
      <c r="E11" s="62">
        <v>700000</v>
      </c>
      <c r="F11" s="63">
        <v>100000</v>
      </c>
      <c r="G11" s="63">
        <v>0</v>
      </c>
      <c r="H11" s="63">
        <f t="shared" si="0"/>
        <v>100000</v>
      </c>
      <c r="I11" s="63">
        <v>100000</v>
      </c>
      <c r="J11" s="63">
        <v>0</v>
      </c>
      <c r="K11" s="63">
        <v>0</v>
      </c>
      <c r="L11" s="63">
        <v>100000</v>
      </c>
      <c r="M11" s="63">
        <v>0</v>
      </c>
      <c r="N11" s="63">
        <f t="shared" si="1"/>
        <v>100000</v>
      </c>
      <c r="O11" s="63">
        <v>100000</v>
      </c>
      <c r="P11" s="63">
        <v>0</v>
      </c>
      <c r="Q11" s="63">
        <f t="shared" si="2"/>
        <v>100000</v>
      </c>
      <c r="R11" s="63">
        <v>100000</v>
      </c>
      <c r="S11" s="63">
        <v>0</v>
      </c>
      <c r="T11" s="63">
        <f t="shared" si="3"/>
        <v>100000</v>
      </c>
      <c r="U11" s="63">
        <v>100000</v>
      </c>
      <c r="V11" s="63">
        <v>0</v>
      </c>
      <c r="W11" s="63">
        <f t="shared" si="4"/>
        <v>100000</v>
      </c>
      <c r="X11" s="63">
        <v>100000</v>
      </c>
      <c r="Y11" s="63">
        <v>0</v>
      </c>
      <c r="Z11" s="63">
        <f t="shared" si="5"/>
        <v>100000</v>
      </c>
      <c r="AA11" s="63">
        <v>100000</v>
      </c>
      <c r="AB11" s="63">
        <v>0</v>
      </c>
      <c r="AC11" s="63">
        <f t="shared" si="6"/>
        <v>100000</v>
      </c>
      <c r="AD11" s="63">
        <v>100000</v>
      </c>
      <c r="AE11" s="63">
        <v>0</v>
      </c>
      <c r="AF11" s="63">
        <f t="shared" si="7"/>
        <v>100000</v>
      </c>
      <c r="AG11" s="63">
        <v>100000</v>
      </c>
      <c r="AH11" s="63">
        <v>0</v>
      </c>
      <c r="AI11" s="63">
        <f t="shared" si="8"/>
        <v>100000</v>
      </c>
      <c r="AJ11" s="63">
        <v>100000</v>
      </c>
      <c r="AK11" s="63">
        <v>0</v>
      </c>
      <c r="AL11" s="63">
        <f t="shared" si="9"/>
        <v>100000</v>
      </c>
      <c r="AM11" s="63">
        <v>100000</v>
      </c>
      <c r="AN11" s="63">
        <v>0</v>
      </c>
      <c r="AO11" s="63">
        <f t="shared" si="10"/>
        <v>100000</v>
      </c>
      <c r="AP11" s="64">
        <f t="shared" si="11"/>
        <v>1900000</v>
      </c>
      <c r="AQ11" s="65">
        <f t="shared" si="13"/>
        <v>26919.506999419616</v>
      </c>
    </row>
    <row r="12" spans="1:44">
      <c r="A12" s="60">
        <f t="shared" si="12"/>
        <v>8</v>
      </c>
      <c r="B12" s="67" t="s">
        <v>344</v>
      </c>
      <c r="C12" s="61" t="s">
        <v>345</v>
      </c>
      <c r="D12" s="61" t="s">
        <v>346</v>
      </c>
      <c r="E12" s="62">
        <v>1575000</v>
      </c>
      <c r="F12" s="63">
        <v>100000</v>
      </c>
      <c r="G12" s="63">
        <f>270000+136500</f>
        <v>406500</v>
      </c>
      <c r="H12" s="63">
        <f t="shared" si="0"/>
        <v>506500</v>
      </c>
      <c r="I12" s="63">
        <v>100000</v>
      </c>
      <c r="J12" s="63">
        <v>0</v>
      </c>
      <c r="K12" s="63">
        <v>0</v>
      </c>
      <c r="L12" s="63">
        <v>100000</v>
      </c>
      <c r="M12" s="63">
        <v>65000</v>
      </c>
      <c r="N12" s="63">
        <f t="shared" si="1"/>
        <v>165000</v>
      </c>
      <c r="O12" s="63">
        <v>100000</v>
      </c>
      <c r="P12" s="63">
        <f>550000+270000</f>
        <v>820000</v>
      </c>
      <c r="Q12" s="63">
        <f t="shared" si="2"/>
        <v>920000</v>
      </c>
      <c r="R12" s="63">
        <v>100000</v>
      </c>
      <c r="S12" s="63">
        <f>550000+48500</f>
        <v>598500</v>
      </c>
      <c r="T12" s="63">
        <f t="shared" si="3"/>
        <v>698500</v>
      </c>
      <c r="U12" s="63">
        <v>100000</v>
      </c>
      <c r="V12" s="63">
        <f>550000+76500</f>
        <v>626500</v>
      </c>
      <c r="W12" s="63">
        <f t="shared" si="4"/>
        <v>726500</v>
      </c>
      <c r="X12" s="63">
        <v>100000</v>
      </c>
      <c r="Y12" s="63">
        <v>550000</v>
      </c>
      <c r="Z12" s="63">
        <f t="shared" si="5"/>
        <v>650000</v>
      </c>
      <c r="AA12" s="63">
        <v>100000</v>
      </c>
      <c r="AB12" s="63">
        <v>140500</v>
      </c>
      <c r="AC12" s="63">
        <f t="shared" si="6"/>
        <v>240500</v>
      </c>
      <c r="AD12" s="63">
        <v>100000</v>
      </c>
      <c r="AE12" s="63">
        <v>550000</v>
      </c>
      <c r="AF12" s="63">
        <f t="shared" si="7"/>
        <v>650000</v>
      </c>
      <c r="AG12" s="63">
        <v>100000</v>
      </c>
      <c r="AH12" s="63">
        <f>550000</f>
        <v>550000</v>
      </c>
      <c r="AI12" s="63">
        <f t="shared" si="8"/>
        <v>650000</v>
      </c>
      <c r="AJ12" s="63">
        <v>100000</v>
      </c>
      <c r="AK12" s="63">
        <f>550000+51000</f>
        <v>601000</v>
      </c>
      <c r="AL12" s="63">
        <f t="shared" si="9"/>
        <v>701000</v>
      </c>
      <c r="AM12" s="63">
        <v>100000</v>
      </c>
      <c r="AN12" s="63">
        <f>550000</f>
        <v>550000</v>
      </c>
      <c r="AO12" s="63">
        <f t="shared" si="10"/>
        <v>650000</v>
      </c>
      <c r="AP12" s="64">
        <f t="shared" si="11"/>
        <v>2775000</v>
      </c>
      <c r="AQ12" s="65">
        <f t="shared" si="13"/>
        <v>39316.648380731283</v>
      </c>
    </row>
    <row r="13" spans="1:44">
      <c r="A13" s="60">
        <f t="shared" si="12"/>
        <v>9</v>
      </c>
      <c r="B13" s="60">
        <v>96101166</v>
      </c>
      <c r="C13" s="61" t="s">
        <v>347</v>
      </c>
      <c r="D13" s="61" t="s">
        <v>346</v>
      </c>
      <c r="E13" s="62">
        <v>1575000</v>
      </c>
      <c r="F13" s="63">
        <v>100000</v>
      </c>
      <c r="G13" s="63">
        <v>0</v>
      </c>
      <c r="H13" s="63">
        <f t="shared" si="0"/>
        <v>100000</v>
      </c>
      <c r="I13" s="63">
        <v>100000</v>
      </c>
      <c r="J13" s="63">
        <v>0</v>
      </c>
      <c r="K13" s="63">
        <v>0</v>
      </c>
      <c r="L13" s="63">
        <v>100000</v>
      </c>
      <c r="M13" s="63">
        <v>0</v>
      </c>
      <c r="N13" s="63">
        <f t="shared" si="1"/>
        <v>100000</v>
      </c>
      <c r="O13" s="63">
        <v>100000</v>
      </c>
      <c r="P13" s="63">
        <v>0</v>
      </c>
      <c r="Q13" s="63">
        <f t="shared" si="2"/>
        <v>100000</v>
      </c>
      <c r="R13" s="63">
        <v>100000</v>
      </c>
      <c r="S13" s="63">
        <v>0</v>
      </c>
      <c r="T13" s="63">
        <f t="shared" si="3"/>
        <v>100000</v>
      </c>
      <c r="U13" s="63">
        <v>100000</v>
      </c>
      <c r="V13" s="63">
        <v>0</v>
      </c>
      <c r="W13" s="63">
        <f t="shared" si="4"/>
        <v>100000</v>
      </c>
      <c r="X13" s="63">
        <v>100000</v>
      </c>
      <c r="Y13" s="63">
        <v>0</v>
      </c>
      <c r="Z13" s="63">
        <f t="shared" si="5"/>
        <v>100000</v>
      </c>
      <c r="AA13" s="63">
        <v>100000</v>
      </c>
      <c r="AB13" s="63">
        <v>0</v>
      </c>
      <c r="AC13" s="63">
        <f t="shared" si="6"/>
        <v>100000</v>
      </c>
      <c r="AD13" s="63">
        <v>100000</v>
      </c>
      <c r="AE13" s="63">
        <v>0</v>
      </c>
      <c r="AF13" s="63">
        <f t="shared" si="7"/>
        <v>100000</v>
      </c>
      <c r="AG13" s="63">
        <v>100000</v>
      </c>
      <c r="AH13" s="63">
        <v>0</v>
      </c>
      <c r="AI13" s="63">
        <f t="shared" si="8"/>
        <v>100000</v>
      </c>
      <c r="AJ13" s="63">
        <v>100000</v>
      </c>
      <c r="AK13" s="63">
        <v>0</v>
      </c>
      <c r="AL13" s="63">
        <f t="shared" si="9"/>
        <v>100000</v>
      </c>
      <c r="AM13" s="63">
        <v>100000</v>
      </c>
      <c r="AN13" s="63">
        <v>0</v>
      </c>
      <c r="AO13" s="63">
        <f t="shared" si="10"/>
        <v>100000</v>
      </c>
      <c r="AP13" s="64">
        <f t="shared" si="11"/>
        <v>2775000</v>
      </c>
      <c r="AQ13" s="65">
        <f t="shared" si="13"/>
        <v>39316.648380731283</v>
      </c>
    </row>
    <row r="14" spans="1:44" s="23" customFormat="1" ht="14.25">
      <c r="A14" s="60">
        <f t="shared" si="12"/>
        <v>10</v>
      </c>
      <c r="B14" s="67" t="s">
        <v>348</v>
      </c>
      <c r="C14" s="61" t="s">
        <v>349</v>
      </c>
      <c r="D14" s="61" t="s">
        <v>346</v>
      </c>
      <c r="E14" s="62">
        <v>1575000</v>
      </c>
      <c r="F14" s="63">
        <v>100000</v>
      </c>
      <c r="G14" s="63">
        <v>160000</v>
      </c>
      <c r="H14" s="63">
        <f t="shared" si="0"/>
        <v>260000</v>
      </c>
      <c r="I14" s="63">
        <v>100000</v>
      </c>
      <c r="J14" s="63">
        <v>0</v>
      </c>
      <c r="K14" s="63">
        <v>0</v>
      </c>
      <c r="L14" s="63">
        <v>100000</v>
      </c>
      <c r="M14" s="63">
        <f>265000+165000</f>
        <v>430000</v>
      </c>
      <c r="N14" s="63">
        <f t="shared" si="1"/>
        <v>530000</v>
      </c>
      <c r="O14" s="63">
        <v>100000</v>
      </c>
      <c r="P14" s="63">
        <f>265000+211000</f>
        <v>476000</v>
      </c>
      <c r="Q14" s="63">
        <f t="shared" si="2"/>
        <v>576000</v>
      </c>
      <c r="R14" s="63">
        <v>100000</v>
      </c>
      <c r="S14" s="63">
        <f>265000+166000</f>
        <v>431000</v>
      </c>
      <c r="T14" s="63">
        <f t="shared" si="3"/>
        <v>531000</v>
      </c>
      <c r="U14" s="63">
        <v>100000</v>
      </c>
      <c r="V14" s="63">
        <f>265000+85000</f>
        <v>350000</v>
      </c>
      <c r="W14" s="63">
        <f t="shared" si="4"/>
        <v>450000</v>
      </c>
      <c r="X14" s="63">
        <v>100000</v>
      </c>
      <c r="Y14" s="63">
        <f>1060000+85000</f>
        <v>1145000</v>
      </c>
      <c r="Z14" s="63">
        <f t="shared" si="5"/>
        <v>1245000</v>
      </c>
      <c r="AA14" s="63">
        <v>100000</v>
      </c>
      <c r="AB14" s="63">
        <v>170000</v>
      </c>
      <c r="AC14" s="63">
        <f t="shared" si="6"/>
        <v>270000</v>
      </c>
      <c r="AD14" s="63">
        <v>100000</v>
      </c>
      <c r="AE14" s="63">
        <v>0</v>
      </c>
      <c r="AF14" s="63">
        <f t="shared" si="7"/>
        <v>100000</v>
      </c>
      <c r="AG14" s="63">
        <v>100000</v>
      </c>
      <c r="AH14" s="63">
        <f>85000</f>
        <v>85000</v>
      </c>
      <c r="AI14" s="63">
        <f t="shared" si="8"/>
        <v>185000</v>
      </c>
      <c r="AJ14" s="63">
        <v>100000</v>
      </c>
      <c r="AK14" s="63">
        <f>1060000+85000</f>
        <v>1145000</v>
      </c>
      <c r="AL14" s="63">
        <f t="shared" si="9"/>
        <v>1245000</v>
      </c>
      <c r="AM14" s="63">
        <v>100000</v>
      </c>
      <c r="AN14" s="63">
        <f>530000</f>
        <v>530000</v>
      </c>
      <c r="AO14" s="63">
        <f t="shared" si="10"/>
        <v>630000</v>
      </c>
      <c r="AP14" s="64">
        <f t="shared" si="11"/>
        <v>2775000</v>
      </c>
      <c r="AQ14" s="65">
        <f t="shared" si="13"/>
        <v>39316.648380731283</v>
      </c>
      <c r="AR14" s="100"/>
    </row>
    <row r="15" spans="1:44" s="23" customFormat="1" ht="14.25">
      <c r="A15" s="60">
        <f t="shared" si="12"/>
        <v>11</v>
      </c>
      <c r="B15" s="60">
        <v>99112046</v>
      </c>
      <c r="C15" s="61" t="s">
        <v>350</v>
      </c>
      <c r="D15" s="61" t="s">
        <v>346</v>
      </c>
      <c r="E15" s="62">
        <v>1575000</v>
      </c>
      <c r="F15" s="63">
        <v>100000</v>
      </c>
      <c r="G15" s="63">
        <f>540000+450000</f>
        <v>990000</v>
      </c>
      <c r="H15" s="63">
        <f t="shared" si="0"/>
        <v>1090000</v>
      </c>
      <c r="I15" s="63">
        <v>100000</v>
      </c>
      <c r="J15" s="63">
        <v>0</v>
      </c>
      <c r="K15" s="63">
        <v>0</v>
      </c>
      <c r="L15" s="63">
        <v>100000</v>
      </c>
      <c r="M15" s="63">
        <f>550000+520500</f>
        <v>1070500</v>
      </c>
      <c r="N15" s="63">
        <f t="shared" si="1"/>
        <v>1170500</v>
      </c>
      <c r="O15" s="63">
        <v>100000</v>
      </c>
      <c r="P15" s="63">
        <f>550000+727500</f>
        <v>1277500</v>
      </c>
      <c r="Q15" s="63">
        <f t="shared" si="2"/>
        <v>1377500</v>
      </c>
      <c r="R15" s="63">
        <v>100000</v>
      </c>
      <c r="S15" s="63">
        <f>550000+769500</f>
        <v>1319500</v>
      </c>
      <c r="T15" s="63">
        <f t="shared" si="3"/>
        <v>1419500</v>
      </c>
      <c r="U15" s="63">
        <v>100000</v>
      </c>
      <c r="V15" s="63">
        <f>550000+1103000-253000</f>
        <v>1400000</v>
      </c>
      <c r="W15" s="69">
        <f t="shared" si="4"/>
        <v>1500000</v>
      </c>
      <c r="X15" s="63">
        <v>100000</v>
      </c>
      <c r="Y15" s="63">
        <f>253000+1417000</f>
        <v>1670000</v>
      </c>
      <c r="Z15" s="63">
        <f t="shared" si="5"/>
        <v>1770000</v>
      </c>
      <c r="AA15" s="63">
        <v>100000</v>
      </c>
      <c r="AB15" s="63">
        <f>550000+857000</f>
        <v>1407000</v>
      </c>
      <c r="AC15" s="63">
        <f t="shared" si="6"/>
        <v>1507000</v>
      </c>
      <c r="AD15" s="63">
        <v>100000</v>
      </c>
      <c r="AE15" s="63">
        <f>663000+550000</f>
        <v>1213000</v>
      </c>
      <c r="AF15" s="63">
        <f t="shared" si="7"/>
        <v>1313000</v>
      </c>
      <c r="AG15" s="63">
        <v>100000</v>
      </c>
      <c r="AH15" s="63">
        <f>1200500+550000</f>
        <v>1750500</v>
      </c>
      <c r="AI15" s="63">
        <f t="shared" si="8"/>
        <v>1850500</v>
      </c>
      <c r="AJ15" s="63">
        <v>100000</v>
      </c>
      <c r="AK15" s="63">
        <f>550000+505500</f>
        <v>1055500</v>
      </c>
      <c r="AL15" s="63">
        <f t="shared" si="9"/>
        <v>1155500</v>
      </c>
      <c r="AM15" s="63">
        <v>100000</v>
      </c>
      <c r="AN15" s="63">
        <f>530000+1135000</f>
        <v>1665000</v>
      </c>
      <c r="AO15" s="63">
        <f t="shared" si="10"/>
        <v>1765000</v>
      </c>
      <c r="AP15" s="64">
        <f t="shared" si="11"/>
        <v>2775000</v>
      </c>
      <c r="AQ15" s="65">
        <f t="shared" si="13"/>
        <v>39316.648380731283</v>
      </c>
      <c r="AR15" s="100"/>
    </row>
    <row r="16" spans="1:44" s="23" customFormat="1" ht="14.25">
      <c r="A16" s="60">
        <f t="shared" si="12"/>
        <v>12</v>
      </c>
      <c r="B16" s="67" t="s">
        <v>351</v>
      </c>
      <c r="C16" s="61" t="s">
        <v>352</v>
      </c>
      <c r="D16" s="61" t="s">
        <v>346</v>
      </c>
      <c r="E16" s="62">
        <v>1575000</v>
      </c>
      <c r="F16" s="63">
        <v>100000</v>
      </c>
      <c r="G16" s="63">
        <v>270000</v>
      </c>
      <c r="H16" s="63">
        <f t="shared" si="0"/>
        <v>370000</v>
      </c>
      <c r="I16" s="63">
        <v>100000</v>
      </c>
      <c r="J16" s="63">
        <v>0</v>
      </c>
      <c r="K16" s="63">
        <v>0</v>
      </c>
      <c r="L16" s="63">
        <v>100000</v>
      </c>
      <c r="M16" s="63">
        <v>440000</v>
      </c>
      <c r="N16" s="63">
        <f t="shared" si="1"/>
        <v>540000</v>
      </c>
      <c r="O16" s="63">
        <v>100000</v>
      </c>
      <c r="P16" s="63">
        <v>440000</v>
      </c>
      <c r="Q16" s="63">
        <f t="shared" si="2"/>
        <v>540000</v>
      </c>
      <c r="R16" s="63">
        <v>100000</v>
      </c>
      <c r="S16" s="63">
        <v>440000</v>
      </c>
      <c r="T16" s="63">
        <f t="shared" si="3"/>
        <v>540000</v>
      </c>
      <c r="U16" s="63">
        <v>100000</v>
      </c>
      <c r="V16" s="63">
        <v>440000</v>
      </c>
      <c r="W16" s="63">
        <f t="shared" si="4"/>
        <v>540000</v>
      </c>
      <c r="X16" s="63">
        <v>100000</v>
      </c>
      <c r="Y16" s="63">
        <v>0</v>
      </c>
      <c r="Z16" s="63">
        <f t="shared" si="5"/>
        <v>100000</v>
      </c>
      <c r="AA16" s="63">
        <v>100000</v>
      </c>
      <c r="AB16" s="63">
        <v>0</v>
      </c>
      <c r="AC16" s="63">
        <f t="shared" si="6"/>
        <v>100000</v>
      </c>
      <c r="AD16" s="63">
        <v>100000</v>
      </c>
      <c r="AE16" s="63">
        <v>0</v>
      </c>
      <c r="AF16" s="63">
        <f t="shared" si="7"/>
        <v>100000</v>
      </c>
      <c r="AG16" s="63">
        <v>100000</v>
      </c>
      <c r="AH16" s="63">
        <v>0</v>
      </c>
      <c r="AI16" s="63">
        <f t="shared" si="8"/>
        <v>100000</v>
      </c>
      <c r="AJ16" s="63">
        <v>100000</v>
      </c>
      <c r="AK16" s="63">
        <f>248000</f>
        <v>248000</v>
      </c>
      <c r="AL16" s="63">
        <f t="shared" si="9"/>
        <v>348000</v>
      </c>
      <c r="AM16" s="63">
        <v>100000</v>
      </c>
      <c r="AN16" s="63">
        <f>530000</f>
        <v>530000</v>
      </c>
      <c r="AO16" s="63">
        <f t="shared" si="10"/>
        <v>630000</v>
      </c>
      <c r="AP16" s="64">
        <f t="shared" si="11"/>
        <v>2775000</v>
      </c>
      <c r="AQ16" s="65">
        <f t="shared" si="13"/>
        <v>39316.648380731283</v>
      </c>
      <c r="AR16" s="100"/>
    </row>
    <row r="17" spans="1:44" s="23" customFormat="1" ht="14.25">
      <c r="A17" s="60">
        <f t="shared" si="12"/>
        <v>13</v>
      </c>
      <c r="B17" s="67" t="s">
        <v>353</v>
      </c>
      <c r="C17" s="61" t="s">
        <v>354</v>
      </c>
      <c r="D17" s="61" t="s">
        <v>346</v>
      </c>
      <c r="E17" s="62">
        <v>1575000</v>
      </c>
      <c r="F17" s="63">
        <v>100000</v>
      </c>
      <c r="G17" s="63">
        <v>0</v>
      </c>
      <c r="H17" s="63">
        <f t="shared" si="0"/>
        <v>100000</v>
      </c>
      <c r="I17" s="63">
        <v>100000</v>
      </c>
      <c r="J17" s="63">
        <v>0</v>
      </c>
      <c r="K17" s="63">
        <v>0</v>
      </c>
      <c r="L17" s="63">
        <v>100000</v>
      </c>
      <c r="M17" s="63">
        <v>0</v>
      </c>
      <c r="N17" s="63">
        <f t="shared" si="1"/>
        <v>100000</v>
      </c>
      <c r="O17" s="63">
        <v>100000</v>
      </c>
      <c r="P17" s="63">
        <v>0</v>
      </c>
      <c r="Q17" s="63">
        <f t="shared" si="2"/>
        <v>100000</v>
      </c>
      <c r="R17" s="63">
        <v>100000</v>
      </c>
      <c r="S17" s="63">
        <v>0</v>
      </c>
      <c r="T17" s="63">
        <f t="shared" si="3"/>
        <v>100000</v>
      </c>
      <c r="U17" s="63">
        <v>100000</v>
      </c>
      <c r="V17" s="63">
        <v>810000</v>
      </c>
      <c r="W17" s="63">
        <f t="shared" si="4"/>
        <v>910000</v>
      </c>
      <c r="X17" s="63">
        <v>100000</v>
      </c>
      <c r="Y17" s="63">
        <v>810000</v>
      </c>
      <c r="Z17" s="63">
        <f t="shared" si="5"/>
        <v>910000</v>
      </c>
      <c r="AA17" s="63">
        <v>100000</v>
      </c>
      <c r="AB17" s="63">
        <v>810000</v>
      </c>
      <c r="AC17" s="63">
        <f t="shared" si="6"/>
        <v>910000</v>
      </c>
      <c r="AD17" s="63">
        <v>100000</v>
      </c>
      <c r="AE17" s="63">
        <v>810000</v>
      </c>
      <c r="AF17" s="63">
        <f t="shared" si="7"/>
        <v>910000</v>
      </c>
      <c r="AG17" s="63">
        <v>100000</v>
      </c>
      <c r="AH17" s="63">
        <v>0</v>
      </c>
      <c r="AI17" s="63">
        <f t="shared" si="8"/>
        <v>100000</v>
      </c>
      <c r="AJ17" s="63">
        <v>100000</v>
      </c>
      <c r="AK17" s="63">
        <v>270000</v>
      </c>
      <c r="AL17" s="63">
        <f t="shared" si="9"/>
        <v>370000</v>
      </c>
      <c r="AM17" s="63">
        <v>100000</v>
      </c>
      <c r="AN17" s="63">
        <f>270000</f>
        <v>270000</v>
      </c>
      <c r="AO17" s="63">
        <f t="shared" si="10"/>
        <v>370000</v>
      </c>
      <c r="AP17" s="64">
        <f t="shared" si="11"/>
        <v>2775000</v>
      </c>
      <c r="AQ17" s="65">
        <f t="shared" si="13"/>
        <v>39316.648380731283</v>
      </c>
      <c r="AR17" s="100"/>
    </row>
    <row r="18" spans="1:44" s="23" customFormat="1" ht="14.25">
      <c r="A18" s="60">
        <f t="shared" si="12"/>
        <v>14</v>
      </c>
      <c r="B18" s="67" t="s">
        <v>355</v>
      </c>
      <c r="C18" s="61" t="s">
        <v>356</v>
      </c>
      <c r="D18" s="61" t="s">
        <v>346</v>
      </c>
      <c r="E18" s="62">
        <v>1575000</v>
      </c>
      <c r="F18" s="63">
        <v>100000</v>
      </c>
      <c r="G18" s="63">
        <v>324000</v>
      </c>
      <c r="H18" s="63">
        <f t="shared" si="0"/>
        <v>424000</v>
      </c>
      <c r="I18" s="63">
        <v>100000</v>
      </c>
      <c r="J18" s="63">
        <v>0</v>
      </c>
      <c r="K18" s="63">
        <v>0</v>
      </c>
      <c r="L18" s="63">
        <v>100000</v>
      </c>
      <c r="M18" s="63">
        <f>550000+166500</f>
        <v>716500</v>
      </c>
      <c r="N18" s="63">
        <f t="shared" si="1"/>
        <v>816500</v>
      </c>
      <c r="O18" s="63">
        <v>100000</v>
      </c>
      <c r="P18" s="63">
        <f>550000+160000</f>
        <v>710000</v>
      </c>
      <c r="Q18" s="63">
        <f t="shared" si="2"/>
        <v>810000</v>
      </c>
      <c r="R18" s="63">
        <v>100000</v>
      </c>
      <c r="S18" s="63">
        <f>550000+174000</f>
        <v>724000</v>
      </c>
      <c r="T18" s="63">
        <f t="shared" si="3"/>
        <v>824000</v>
      </c>
      <c r="U18" s="63">
        <v>100000</v>
      </c>
      <c r="V18" s="63">
        <f>550000+59000</f>
        <v>609000</v>
      </c>
      <c r="W18" s="63">
        <f t="shared" si="4"/>
        <v>709000</v>
      </c>
      <c r="X18" s="63">
        <v>100000</v>
      </c>
      <c r="Y18" s="63">
        <v>550000</v>
      </c>
      <c r="Z18" s="63">
        <f t="shared" si="5"/>
        <v>650000</v>
      </c>
      <c r="AA18" s="63">
        <v>100000</v>
      </c>
      <c r="AB18" s="63">
        <v>550000</v>
      </c>
      <c r="AC18" s="63">
        <f t="shared" si="6"/>
        <v>650000</v>
      </c>
      <c r="AD18" s="63">
        <v>100000</v>
      </c>
      <c r="AE18" s="63">
        <v>0</v>
      </c>
      <c r="AF18" s="63">
        <f t="shared" si="7"/>
        <v>100000</v>
      </c>
      <c r="AG18" s="63">
        <v>100000</v>
      </c>
      <c r="AH18" s="63">
        <f>94500+550000</f>
        <v>644500</v>
      </c>
      <c r="AI18" s="63">
        <f t="shared" si="8"/>
        <v>744500</v>
      </c>
      <c r="AJ18" s="63">
        <v>100000</v>
      </c>
      <c r="AK18" s="63">
        <f>636000+99500</f>
        <v>735500</v>
      </c>
      <c r="AL18" s="63">
        <f t="shared" si="9"/>
        <v>835500</v>
      </c>
      <c r="AM18" s="63">
        <v>100000</v>
      </c>
      <c r="AN18" s="63">
        <f>636000+72500</f>
        <v>708500</v>
      </c>
      <c r="AO18" s="63">
        <f t="shared" si="10"/>
        <v>808500</v>
      </c>
      <c r="AP18" s="64">
        <f t="shared" si="11"/>
        <v>2775000</v>
      </c>
      <c r="AQ18" s="65">
        <f t="shared" si="13"/>
        <v>39316.648380731283</v>
      </c>
      <c r="AR18" s="100"/>
    </row>
    <row r="19" spans="1:44" s="23" customFormat="1" ht="14.25">
      <c r="A19" s="60">
        <f t="shared" si="12"/>
        <v>15</v>
      </c>
      <c r="B19" s="67" t="s">
        <v>357</v>
      </c>
      <c r="C19" s="61" t="s">
        <v>358</v>
      </c>
      <c r="D19" s="61" t="s">
        <v>346</v>
      </c>
      <c r="E19" s="62">
        <v>1575000</v>
      </c>
      <c r="F19" s="63">
        <v>100000</v>
      </c>
      <c r="G19" s="63">
        <v>0</v>
      </c>
      <c r="H19" s="63">
        <f t="shared" si="0"/>
        <v>100000</v>
      </c>
      <c r="I19" s="63">
        <v>100000</v>
      </c>
      <c r="J19" s="63">
        <v>0</v>
      </c>
      <c r="K19" s="63">
        <v>0</v>
      </c>
      <c r="L19" s="63">
        <v>100000</v>
      </c>
      <c r="M19" s="63">
        <v>0</v>
      </c>
      <c r="N19" s="63">
        <f t="shared" si="1"/>
        <v>100000</v>
      </c>
      <c r="O19" s="63">
        <v>100000</v>
      </c>
      <c r="P19" s="63">
        <v>0</v>
      </c>
      <c r="Q19" s="63">
        <f t="shared" si="2"/>
        <v>100000</v>
      </c>
      <c r="R19" s="63">
        <v>100000</v>
      </c>
      <c r="S19" s="63">
        <v>0</v>
      </c>
      <c r="T19" s="63">
        <f t="shared" si="3"/>
        <v>100000</v>
      </c>
      <c r="U19" s="63">
        <v>100000</v>
      </c>
      <c r="V19" s="63">
        <v>0</v>
      </c>
      <c r="W19" s="63">
        <f t="shared" si="4"/>
        <v>100000</v>
      </c>
      <c r="X19" s="63">
        <v>100000</v>
      </c>
      <c r="Y19" s="63">
        <v>0</v>
      </c>
      <c r="Z19" s="63">
        <f t="shared" si="5"/>
        <v>100000</v>
      </c>
      <c r="AA19" s="63">
        <v>100000</v>
      </c>
      <c r="AB19" s="63">
        <v>167500</v>
      </c>
      <c r="AC19" s="63">
        <f t="shared" si="6"/>
        <v>267500</v>
      </c>
      <c r="AD19" s="63">
        <v>100000</v>
      </c>
      <c r="AE19" s="63">
        <v>550000</v>
      </c>
      <c r="AF19" s="63">
        <f t="shared" si="7"/>
        <v>650000</v>
      </c>
      <c r="AG19" s="63">
        <v>100000</v>
      </c>
      <c r="AH19" s="63">
        <f>131000</f>
        <v>131000</v>
      </c>
      <c r="AI19" s="63">
        <f t="shared" si="8"/>
        <v>231000</v>
      </c>
      <c r="AJ19" s="63">
        <v>100000</v>
      </c>
      <c r="AK19" s="63">
        <v>0</v>
      </c>
      <c r="AL19" s="63">
        <f t="shared" si="9"/>
        <v>100000</v>
      </c>
      <c r="AM19" s="63">
        <v>100000</v>
      </c>
      <c r="AN19" s="63">
        <f>418000</f>
        <v>418000</v>
      </c>
      <c r="AO19" s="63">
        <f t="shared" si="10"/>
        <v>518000</v>
      </c>
      <c r="AP19" s="64">
        <f t="shared" si="11"/>
        <v>2775000</v>
      </c>
      <c r="AQ19" s="65">
        <f t="shared" si="13"/>
        <v>39316.648380731283</v>
      </c>
      <c r="AR19" s="100"/>
    </row>
    <row r="20" spans="1:44" s="23" customFormat="1" ht="14.25">
      <c r="A20" s="60">
        <f t="shared" si="12"/>
        <v>16</v>
      </c>
      <c r="B20" s="60">
        <v>13029646</v>
      </c>
      <c r="C20" s="61" t="s">
        <v>359</v>
      </c>
      <c r="D20" s="61" t="s">
        <v>346</v>
      </c>
      <c r="E20" s="62">
        <v>1325000</v>
      </c>
      <c r="F20" s="63">
        <v>100000</v>
      </c>
      <c r="G20" s="63">
        <v>0</v>
      </c>
      <c r="H20" s="63">
        <f t="shared" si="0"/>
        <v>100000</v>
      </c>
      <c r="I20" s="63">
        <v>100000</v>
      </c>
      <c r="J20" s="63">
        <v>0</v>
      </c>
      <c r="K20" s="63">
        <v>0</v>
      </c>
      <c r="L20" s="63">
        <v>100000</v>
      </c>
      <c r="M20" s="63">
        <v>0</v>
      </c>
      <c r="N20" s="63">
        <f t="shared" si="1"/>
        <v>100000</v>
      </c>
      <c r="O20" s="63">
        <v>100000</v>
      </c>
      <c r="P20" s="63">
        <v>0</v>
      </c>
      <c r="Q20" s="63">
        <f t="shared" si="2"/>
        <v>100000</v>
      </c>
      <c r="R20" s="63">
        <v>100000</v>
      </c>
      <c r="S20" s="63">
        <v>0</v>
      </c>
      <c r="T20" s="63">
        <f t="shared" si="3"/>
        <v>100000</v>
      </c>
      <c r="U20" s="63">
        <v>100000</v>
      </c>
      <c r="V20" s="63">
        <v>0</v>
      </c>
      <c r="W20" s="63">
        <f t="shared" si="4"/>
        <v>100000</v>
      </c>
      <c r="X20" s="63">
        <v>100000</v>
      </c>
      <c r="Y20" s="63">
        <v>37000</v>
      </c>
      <c r="Z20" s="63">
        <f t="shared" si="5"/>
        <v>137000</v>
      </c>
      <c r="AA20" s="63">
        <v>100000</v>
      </c>
      <c r="AB20" s="63">
        <v>0</v>
      </c>
      <c r="AC20" s="63">
        <f t="shared" si="6"/>
        <v>100000</v>
      </c>
      <c r="AD20" s="63">
        <v>100000</v>
      </c>
      <c r="AE20" s="63">
        <v>0</v>
      </c>
      <c r="AF20" s="63">
        <f t="shared" si="7"/>
        <v>100000</v>
      </c>
      <c r="AG20" s="63">
        <v>100000</v>
      </c>
      <c r="AH20" s="63">
        <v>0</v>
      </c>
      <c r="AI20" s="63">
        <f t="shared" si="8"/>
        <v>100000</v>
      </c>
      <c r="AJ20" s="63">
        <v>100000</v>
      </c>
      <c r="AK20" s="63">
        <v>0</v>
      </c>
      <c r="AL20" s="63">
        <f t="shared" si="9"/>
        <v>100000</v>
      </c>
      <c r="AM20" s="63">
        <v>100000</v>
      </c>
      <c r="AN20" s="63">
        <v>0</v>
      </c>
      <c r="AO20" s="63">
        <f t="shared" si="10"/>
        <v>100000</v>
      </c>
      <c r="AP20" s="64">
        <f t="shared" si="11"/>
        <v>2525000</v>
      </c>
      <c r="AQ20" s="65">
        <f t="shared" si="13"/>
        <v>35774.607986070805</v>
      </c>
      <c r="AR20" s="100"/>
    </row>
    <row r="21" spans="1:44" s="23" customFormat="1" ht="14.25">
      <c r="A21" s="60">
        <f t="shared" si="12"/>
        <v>17</v>
      </c>
      <c r="B21" s="67" t="s">
        <v>360</v>
      </c>
      <c r="C21" s="61" t="s">
        <v>361</v>
      </c>
      <c r="D21" s="61" t="s">
        <v>346</v>
      </c>
      <c r="E21" s="62">
        <v>1575000</v>
      </c>
      <c r="F21" s="63">
        <v>100000</v>
      </c>
      <c r="G21" s="63">
        <v>0</v>
      </c>
      <c r="H21" s="63">
        <f t="shared" si="0"/>
        <v>100000</v>
      </c>
      <c r="I21" s="63">
        <v>100000</v>
      </c>
      <c r="J21" s="63">
        <v>0</v>
      </c>
      <c r="K21" s="63">
        <v>0</v>
      </c>
      <c r="L21" s="63">
        <v>100000</v>
      </c>
      <c r="M21" s="63">
        <v>72500</v>
      </c>
      <c r="N21" s="63">
        <f t="shared" si="1"/>
        <v>172500</v>
      </c>
      <c r="O21" s="63">
        <v>100000</v>
      </c>
      <c r="P21" s="63">
        <v>0</v>
      </c>
      <c r="Q21" s="63">
        <f t="shared" si="2"/>
        <v>100000</v>
      </c>
      <c r="R21" s="63">
        <v>100000</v>
      </c>
      <c r="S21" s="63">
        <v>0</v>
      </c>
      <c r="T21" s="63">
        <f t="shared" si="3"/>
        <v>100000</v>
      </c>
      <c r="U21" s="63">
        <v>100000</v>
      </c>
      <c r="V21" s="63">
        <v>0</v>
      </c>
      <c r="W21" s="63">
        <f t="shared" si="4"/>
        <v>100000</v>
      </c>
      <c r="X21" s="63">
        <v>100000</v>
      </c>
      <c r="Y21" s="63">
        <v>0</v>
      </c>
      <c r="Z21" s="63">
        <f t="shared" si="5"/>
        <v>100000</v>
      </c>
      <c r="AA21" s="63">
        <v>100000</v>
      </c>
      <c r="AB21" s="63">
        <v>0</v>
      </c>
      <c r="AC21" s="63">
        <f t="shared" si="6"/>
        <v>100000</v>
      </c>
      <c r="AD21" s="63">
        <v>100000</v>
      </c>
      <c r="AE21" s="63">
        <v>0</v>
      </c>
      <c r="AF21" s="63">
        <f t="shared" si="7"/>
        <v>100000</v>
      </c>
      <c r="AG21" s="63">
        <v>100000</v>
      </c>
      <c r="AH21" s="63">
        <v>0</v>
      </c>
      <c r="AI21" s="63">
        <f t="shared" si="8"/>
        <v>100000</v>
      </c>
      <c r="AJ21" s="63">
        <v>100000</v>
      </c>
      <c r="AK21" s="63">
        <v>0</v>
      </c>
      <c r="AL21" s="63">
        <f t="shared" si="9"/>
        <v>100000</v>
      </c>
      <c r="AM21" s="63">
        <v>100000</v>
      </c>
      <c r="AN21" s="63">
        <f>425000</f>
        <v>425000</v>
      </c>
      <c r="AO21" s="63">
        <f t="shared" si="10"/>
        <v>525000</v>
      </c>
      <c r="AP21" s="64">
        <f t="shared" si="11"/>
        <v>2775000</v>
      </c>
      <c r="AQ21" s="65">
        <f t="shared" si="13"/>
        <v>39316.648380731283</v>
      </c>
      <c r="AR21" s="100"/>
    </row>
    <row r="22" spans="1:44">
      <c r="A22" s="60">
        <f t="shared" si="12"/>
        <v>18</v>
      </c>
      <c r="B22" s="60">
        <v>95120936</v>
      </c>
      <c r="C22" s="61" t="s">
        <v>362</v>
      </c>
      <c r="D22" s="61" t="s">
        <v>346</v>
      </c>
      <c r="E22" s="62">
        <v>1575000</v>
      </c>
      <c r="F22" s="63">
        <v>100000</v>
      </c>
      <c r="G22" s="63">
        <v>270000</v>
      </c>
      <c r="H22" s="63">
        <f t="shared" si="0"/>
        <v>370000</v>
      </c>
      <c r="I22" s="63">
        <v>100000</v>
      </c>
      <c r="J22" s="63">
        <v>0</v>
      </c>
      <c r="K22" s="63">
        <v>0</v>
      </c>
      <c r="L22" s="63">
        <v>100000</v>
      </c>
      <c r="M22" s="63">
        <v>270000</v>
      </c>
      <c r="N22" s="63">
        <f t="shared" si="1"/>
        <v>370000</v>
      </c>
      <c r="O22" s="63">
        <v>100000</v>
      </c>
      <c r="P22" s="63">
        <v>440000</v>
      </c>
      <c r="Q22" s="63">
        <f t="shared" si="2"/>
        <v>540000</v>
      </c>
      <c r="R22" s="63">
        <v>100000</v>
      </c>
      <c r="S22" s="63">
        <f>440000+150000</f>
        <v>590000</v>
      </c>
      <c r="T22" s="63">
        <f t="shared" si="3"/>
        <v>690000</v>
      </c>
      <c r="U22" s="63">
        <v>100000</v>
      </c>
      <c r="V22" s="63">
        <v>440000</v>
      </c>
      <c r="W22" s="63">
        <f t="shared" si="4"/>
        <v>540000</v>
      </c>
      <c r="X22" s="63">
        <v>100000</v>
      </c>
      <c r="Y22" s="63">
        <v>440000</v>
      </c>
      <c r="Z22" s="63">
        <f t="shared" si="5"/>
        <v>540000</v>
      </c>
      <c r="AA22" s="63">
        <v>100000</v>
      </c>
      <c r="AB22" s="63">
        <v>440000</v>
      </c>
      <c r="AC22" s="63">
        <f t="shared" si="6"/>
        <v>540000</v>
      </c>
      <c r="AD22" s="63">
        <v>100000</v>
      </c>
      <c r="AE22" s="63">
        <v>540000</v>
      </c>
      <c r="AF22" s="63">
        <f t="shared" si="7"/>
        <v>640000</v>
      </c>
      <c r="AG22" s="63">
        <v>100000</v>
      </c>
      <c r="AH22" s="63">
        <f>540000</f>
        <v>540000</v>
      </c>
      <c r="AI22" s="63">
        <f t="shared" si="8"/>
        <v>640000</v>
      </c>
      <c r="AJ22" s="63">
        <v>100000</v>
      </c>
      <c r="AK22" s="63">
        <f>540000+137000</f>
        <v>677000</v>
      </c>
      <c r="AL22" s="63">
        <f t="shared" si="9"/>
        <v>777000</v>
      </c>
      <c r="AM22" s="63">
        <v>100000</v>
      </c>
      <c r="AN22" s="63">
        <f>540000</f>
        <v>540000</v>
      </c>
      <c r="AO22" s="63">
        <f t="shared" si="10"/>
        <v>640000</v>
      </c>
      <c r="AP22" s="64">
        <f t="shared" si="11"/>
        <v>2775000</v>
      </c>
      <c r="AQ22" s="65">
        <f t="shared" si="13"/>
        <v>39316.648380731283</v>
      </c>
    </row>
    <row r="23" spans="1:44" s="23" customFormat="1" ht="14.25">
      <c r="A23" s="60">
        <f t="shared" si="12"/>
        <v>19</v>
      </c>
      <c r="B23" s="67" t="s">
        <v>655</v>
      </c>
      <c r="C23" s="61" t="s">
        <v>363</v>
      </c>
      <c r="D23" s="61" t="s">
        <v>346</v>
      </c>
      <c r="E23" s="62">
        <v>1575000</v>
      </c>
      <c r="F23" s="63">
        <v>100000</v>
      </c>
      <c r="G23" s="63">
        <f>270000+294000</f>
        <v>564000</v>
      </c>
      <c r="H23" s="63">
        <f t="shared" si="0"/>
        <v>664000</v>
      </c>
      <c r="I23" s="63">
        <v>100000</v>
      </c>
      <c r="J23" s="63">
        <v>0</v>
      </c>
      <c r="K23" s="63">
        <v>0</v>
      </c>
      <c r="L23" s="63">
        <v>100000</v>
      </c>
      <c r="M23" s="63">
        <f>440000+79000</f>
        <v>519000</v>
      </c>
      <c r="N23" s="63">
        <f t="shared" si="1"/>
        <v>619000</v>
      </c>
      <c r="O23" s="63">
        <v>100000</v>
      </c>
      <c r="P23" s="63">
        <f>440000+98500</f>
        <v>538500</v>
      </c>
      <c r="Q23" s="63">
        <f t="shared" si="2"/>
        <v>638500</v>
      </c>
      <c r="R23" s="63">
        <v>100000</v>
      </c>
      <c r="S23" s="63">
        <f>440000+114000</f>
        <v>554000</v>
      </c>
      <c r="T23" s="63">
        <f t="shared" si="3"/>
        <v>654000</v>
      </c>
      <c r="U23" s="63">
        <v>100000</v>
      </c>
      <c r="V23" s="63">
        <f>440000+144500</f>
        <v>584500</v>
      </c>
      <c r="W23" s="63">
        <f t="shared" si="4"/>
        <v>684500</v>
      </c>
      <c r="X23" s="63">
        <v>100000</v>
      </c>
      <c r="Y23" s="63">
        <f>540000+199000</f>
        <v>739000</v>
      </c>
      <c r="Z23" s="63">
        <f t="shared" si="5"/>
        <v>839000</v>
      </c>
      <c r="AA23" s="63">
        <v>100000</v>
      </c>
      <c r="AB23" s="63">
        <v>540000</v>
      </c>
      <c r="AC23" s="63">
        <f t="shared" si="6"/>
        <v>640000</v>
      </c>
      <c r="AD23" s="63">
        <v>100000</v>
      </c>
      <c r="AE23" s="63">
        <v>540000</v>
      </c>
      <c r="AF23" s="63">
        <f t="shared" si="7"/>
        <v>640000</v>
      </c>
      <c r="AG23" s="63">
        <v>100000</v>
      </c>
      <c r="AH23" s="63">
        <f>99500+540000</f>
        <v>639500</v>
      </c>
      <c r="AI23" s="63">
        <f t="shared" si="8"/>
        <v>739500</v>
      </c>
      <c r="AJ23" s="63">
        <v>100000</v>
      </c>
      <c r="AK23" s="63">
        <v>0</v>
      </c>
      <c r="AL23" s="63">
        <f t="shared" si="9"/>
        <v>100000</v>
      </c>
      <c r="AM23" s="63">
        <v>100000</v>
      </c>
      <c r="AN23" s="63">
        <f>530000+117000</f>
        <v>647000</v>
      </c>
      <c r="AO23" s="63">
        <f t="shared" si="10"/>
        <v>747000</v>
      </c>
      <c r="AP23" s="64">
        <f t="shared" si="11"/>
        <v>2775000</v>
      </c>
      <c r="AQ23" s="65">
        <f t="shared" si="13"/>
        <v>39316.648380731283</v>
      </c>
      <c r="AR23" s="100"/>
    </row>
    <row r="24" spans="1:44" s="23" customFormat="1" ht="14.25">
      <c r="A24" s="60">
        <f t="shared" si="12"/>
        <v>20</v>
      </c>
      <c r="B24" s="60">
        <v>97111476</v>
      </c>
      <c r="C24" s="61" t="s">
        <v>364</v>
      </c>
      <c r="D24" s="61" t="s">
        <v>346</v>
      </c>
      <c r="E24" s="62">
        <v>1575000</v>
      </c>
      <c r="F24" s="63">
        <v>100000</v>
      </c>
      <c r="G24" s="63">
        <v>574000</v>
      </c>
      <c r="H24" s="63">
        <f t="shared" si="0"/>
        <v>674000</v>
      </c>
      <c r="I24" s="63">
        <v>100000</v>
      </c>
      <c r="J24" s="63">
        <v>0</v>
      </c>
      <c r="K24" s="63">
        <v>0</v>
      </c>
      <c r="L24" s="63">
        <v>100000</v>
      </c>
      <c r="M24" s="63">
        <v>575000</v>
      </c>
      <c r="N24" s="63">
        <f t="shared" si="1"/>
        <v>675000</v>
      </c>
      <c r="O24" s="63">
        <v>100000</v>
      </c>
      <c r="P24" s="63">
        <v>415000</v>
      </c>
      <c r="Q24" s="63">
        <f t="shared" si="2"/>
        <v>515000</v>
      </c>
      <c r="R24" s="63">
        <v>100000</v>
      </c>
      <c r="S24" s="63">
        <v>534000</v>
      </c>
      <c r="T24" s="63">
        <f t="shared" si="3"/>
        <v>634000</v>
      </c>
      <c r="U24" s="63">
        <v>100000</v>
      </c>
      <c r="V24" s="63">
        <v>680000</v>
      </c>
      <c r="W24" s="63">
        <f t="shared" si="4"/>
        <v>780000</v>
      </c>
      <c r="X24" s="63">
        <v>100000</v>
      </c>
      <c r="Y24" s="63">
        <v>733000</v>
      </c>
      <c r="Z24" s="63">
        <f t="shared" si="5"/>
        <v>833000</v>
      </c>
      <c r="AA24" s="63">
        <v>100000</v>
      </c>
      <c r="AB24" s="63">
        <v>661000</v>
      </c>
      <c r="AC24" s="63">
        <f t="shared" si="6"/>
        <v>761000</v>
      </c>
      <c r="AD24" s="63">
        <v>100000</v>
      </c>
      <c r="AE24" s="63">
        <f>473500+550000</f>
        <v>1023500</v>
      </c>
      <c r="AF24" s="63">
        <f t="shared" si="7"/>
        <v>1123500</v>
      </c>
      <c r="AG24" s="63">
        <v>100000</v>
      </c>
      <c r="AH24" s="63">
        <f>553000+550000</f>
        <v>1103000</v>
      </c>
      <c r="AI24" s="63">
        <f t="shared" si="8"/>
        <v>1203000</v>
      </c>
      <c r="AJ24" s="63">
        <v>100000</v>
      </c>
      <c r="AK24" s="63">
        <f>550000+952500</f>
        <v>1502500</v>
      </c>
      <c r="AL24" s="63">
        <f t="shared" si="9"/>
        <v>1602500</v>
      </c>
      <c r="AM24" s="63">
        <v>100000</v>
      </c>
      <c r="AN24" s="63">
        <f>550000+1188000</f>
        <v>1738000</v>
      </c>
      <c r="AO24" s="63">
        <f t="shared" si="10"/>
        <v>1838000</v>
      </c>
      <c r="AP24" s="64">
        <f t="shared" si="11"/>
        <v>2775000</v>
      </c>
      <c r="AQ24" s="65">
        <f t="shared" si="13"/>
        <v>39316.648380731283</v>
      </c>
      <c r="AR24" s="100"/>
    </row>
    <row r="25" spans="1:44" s="23" customFormat="1" ht="14.25">
      <c r="A25" s="60">
        <f t="shared" si="12"/>
        <v>21</v>
      </c>
      <c r="B25" s="68" t="s">
        <v>365</v>
      </c>
      <c r="C25" s="61" t="s">
        <v>366</v>
      </c>
      <c r="D25" s="61" t="s">
        <v>346</v>
      </c>
      <c r="E25" s="62">
        <v>700000</v>
      </c>
      <c r="F25" s="63">
        <v>100000</v>
      </c>
      <c r="G25" s="63">
        <v>105500</v>
      </c>
      <c r="H25" s="63">
        <f t="shared" si="0"/>
        <v>205500</v>
      </c>
      <c r="I25" s="63">
        <v>100000</v>
      </c>
      <c r="J25" s="63">
        <v>0</v>
      </c>
      <c r="K25" s="63">
        <v>0</v>
      </c>
      <c r="L25" s="63">
        <v>100000</v>
      </c>
      <c r="M25" s="63">
        <v>0</v>
      </c>
      <c r="N25" s="63">
        <f t="shared" si="1"/>
        <v>100000</v>
      </c>
      <c r="O25" s="63">
        <v>100000</v>
      </c>
      <c r="P25" s="63">
        <v>265000</v>
      </c>
      <c r="Q25" s="63">
        <f t="shared" si="2"/>
        <v>365000</v>
      </c>
      <c r="R25" s="63">
        <v>100000</v>
      </c>
      <c r="S25" s="63">
        <f>265000+20000</f>
        <v>285000</v>
      </c>
      <c r="T25" s="63">
        <f t="shared" si="3"/>
        <v>385000</v>
      </c>
      <c r="U25" s="63">
        <v>100000</v>
      </c>
      <c r="V25" s="63">
        <v>265000</v>
      </c>
      <c r="W25" s="63">
        <f t="shared" si="4"/>
        <v>365000</v>
      </c>
      <c r="X25" s="63">
        <v>100000</v>
      </c>
      <c r="Y25" s="63">
        <f>265000+18000</f>
        <v>283000</v>
      </c>
      <c r="Z25" s="63">
        <f t="shared" si="5"/>
        <v>383000</v>
      </c>
      <c r="AA25" s="63">
        <v>100000</v>
      </c>
      <c r="AB25" s="63">
        <v>0</v>
      </c>
      <c r="AC25" s="63">
        <f t="shared" si="6"/>
        <v>100000</v>
      </c>
      <c r="AD25" s="63">
        <v>100000</v>
      </c>
      <c r="AE25" s="63">
        <v>0</v>
      </c>
      <c r="AF25" s="63">
        <f t="shared" si="7"/>
        <v>100000</v>
      </c>
      <c r="AG25" s="63">
        <v>100000</v>
      </c>
      <c r="AH25" s="63">
        <v>0</v>
      </c>
      <c r="AI25" s="63">
        <f t="shared" si="8"/>
        <v>100000</v>
      </c>
      <c r="AJ25" s="63">
        <v>100000</v>
      </c>
      <c r="AK25" s="63">
        <f>530000+32000</f>
        <v>562000</v>
      </c>
      <c r="AL25" s="63">
        <f t="shared" si="9"/>
        <v>662000</v>
      </c>
      <c r="AM25" s="63">
        <v>100000</v>
      </c>
      <c r="AN25" s="63">
        <f>530000</f>
        <v>530000</v>
      </c>
      <c r="AO25" s="63">
        <f t="shared" si="10"/>
        <v>630000</v>
      </c>
      <c r="AP25" s="64">
        <f t="shared" si="11"/>
        <v>1900000</v>
      </c>
      <c r="AQ25" s="65">
        <f t="shared" si="13"/>
        <v>26919.506999419616</v>
      </c>
      <c r="AR25" s="100"/>
    </row>
    <row r="26" spans="1:44" s="23" customFormat="1" ht="14.25">
      <c r="A26" s="60">
        <f t="shared" si="12"/>
        <v>22</v>
      </c>
      <c r="B26" s="60">
        <v>10077776</v>
      </c>
      <c r="C26" s="61" t="s">
        <v>367</v>
      </c>
      <c r="D26" s="61" t="s">
        <v>346</v>
      </c>
      <c r="E26" s="62">
        <v>1575000</v>
      </c>
      <c r="F26" s="63">
        <v>100000</v>
      </c>
      <c r="G26" s="63">
        <v>0</v>
      </c>
      <c r="H26" s="63">
        <f t="shared" si="0"/>
        <v>100000</v>
      </c>
      <c r="I26" s="63">
        <v>100000</v>
      </c>
      <c r="J26" s="63">
        <v>0</v>
      </c>
      <c r="K26" s="63">
        <v>0</v>
      </c>
      <c r="L26" s="63">
        <v>100000</v>
      </c>
      <c r="M26" s="63">
        <v>0</v>
      </c>
      <c r="N26" s="63">
        <f t="shared" si="1"/>
        <v>100000</v>
      </c>
      <c r="O26" s="63">
        <v>100000</v>
      </c>
      <c r="P26" s="63">
        <v>84000</v>
      </c>
      <c r="Q26" s="63">
        <f t="shared" si="2"/>
        <v>184000</v>
      </c>
      <c r="R26" s="63">
        <v>100000</v>
      </c>
      <c r="S26" s="63">
        <v>0</v>
      </c>
      <c r="T26" s="63">
        <f t="shared" si="3"/>
        <v>100000</v>
      </c>
      <c r="U26" s="63">
        <v>100000</v>
      </c>
      <c r="V26" s="63">
        <v>0</v>
      </c>
      <c r="W26" s="63">
        <f t="shared" si="4"/>
        <v>100000</v>
      </c>
      <c r="X26" s="63">
        <v>100000</v>
      </c>
      <c r="Y26" s="63">
        <f>113500+134000</f>
        <v>247500</v>
      </c>
      <c r="Z26" s="63">
        <f t="shared" si="5"/>
        <v>347500</v>
      </c>
      <c r="AA26" s="63">
        <v>100000</v>
      </c>
      <c r="AB26" s="63">
        <v>159000</v>
      </c>
      <c r="AC26" s="63">
        <f t="shared" si="6"/>
        <v>259000</v>
      </c>
      <c r="AD26" s="63">
        <v>100000</v>
      </c>
      <c r="AE26" s="63">
        <v>0</v>
      </c>
      <c r="AF26" s="63">
        <f t="shared" si="7"/>
        <v>100000</v>
      </c>
      <c r="AG26" s="63">
        <v>100000</v>
      </c>
      <c r="AH26" s="63">
        <f>166000</f>
        <v>166000</v>
      </c>
      <c r="AI26" s="63">
        <f t="shared" si="8"/>
        <v>266000</v>
      </c>
      <c r="AJ26" s="63">
        <v>100000</v>
      </c>
      <c r="AK26" s="63">
        <f>422000</f>
        <v>422000</v>
      </c>
      <c r="AL26" s="63">
        <f t="shared" si="9"/>
        <v>522000</v>
      </c>
      <c r="AM26" s="63">
        <v>100000</v>
      </c>
      <c r="AN26" s="63">
        <v>0</v>
      </c>
      <c r="AO26" s="63">
        <f t="shared" si="10"/>
        <v>100000</v>
      </c>
      <c r="AP26" s="64">
        <f t="shared" si="11"/>
        <v>2775000</v>
      </c>
      <c r="AQ26" s="65">
        <f t="shared" si="13"/>
        <v>39316.648380731283</v>
      </c>
      <c r="AR26" s="100"/>
    </row>
    <row r="27" spans="1:44">
      <c r="A27" s="60">
        <f t="shared" si="12"/>
        <v>23</v>
      </c>
      <c r="B27" s="60">
        <v>99112036</v>
      </c>
      <c r="C27" s="61" t="s">
        <v>368</v>
      </c>
      <c r="D27" s="61" t="s">
        <v>346</v>
      </c>
      <c r="E27" s="62">
        <v>1575000</v>
      </c>
      <c r="F27" s="63">
        <v>100000</v>
      </c>
      <c r="G27" s="63">
        <v>0</v>
      </c>
      <c r="H27" s="63">
        <f t="shared" si="0"/>
        <v>100000</v>
      </c>
      <c r="I27" s="63">
        <v>100000</v>
      </c>
      <c r="J27" s="63">
        <v>0</v>
      </c>
      <c r="K27" s="63">
        <v>0</v>
      </c>
      <c r="L27" s="63">
        <v>100000</v>
      </c>
      <c r="M27" s="63">
        <v>233250</v>
      </c>
      <c r="N27" s="63">
        <f t="shared" si="1"/>
        <v>333250</v>
      </c>
      <c r="O27" s="63">
        <v>100000</v>
      </c>
      <c r="P27" s="63">
        <v>140000</v>
      </c>
      <c r="Q27" s="63">
        <f t="shared" si="2"/>
        <v>240000</v>
      </c>
      <c r="R27" s="63">
        <v>100000</v>
      </c>
      <c r="S27" s="63">
        <v>0</v>
      </c>
      <c r="T27" s="63">
        <f t="shared" si="3"/>
        <v>100000</v>
      </c>
      <c r="U27" s="63">
        <v>100000</v>
      </c>
      <c r="V27" s="63">
        <v>0</v>
      </c>
      <c r="W27" s="63">
        <f t="shared" si="4"/>
        <v>100000</v>
      </c>
      <c r="X27" s="63">
        <v>100000</v>
      </c>
      <c r="Y27" s="63">
        <v>0</v>
      </c>
      <c r="Z27" s="63">
        <f t="shared" si="5"/>
        <v>100000</v>
      </c>
      <c r="AA27" s="63">
        <v>100000</v>
      </c>
      <c r="AB27" s="63">
        <v>0</v>
      </c>
      <c r="AC27" s="63">
        <f t="shared" si="6"/>
        <v>100000</v>
      </c>
      <c r="AD27" s="63">
        <v>100000</v>
      </c>
      <c r="AE27" s="63">
        <v>0</v>
      </c>
      <c r="AF27" s="63">
        <f t="shared" si="7"/>
        <v>100000</v>
      </c>
      <c r="AG27" s="63">
        <v>100000</v>
      </c>
      <c r="AH27" s="63">
        <v>0</v>
      </c>
      <c r="AI27" s="63">
        <f t="shared" si="8"/>
        <v>100000</v>
      </c>
      <c r="AJ27" s="63">
        <v>100000</v>
      </c>
      <c r="AK27" s="63">
        <v>0</v>
      </c>
      <c r="AL27" s="63">
        <f t="shared" si="9"/>
        <v>100000</v>
      </c>
      <c r="AM27" s="63">
        <v>100000</v>
      </c>
      <c r="AN27" s="63">
        <v>0</v>
      </c>
      <c r="AO27" s="63">
        <f t="shared" si="10"/>
        <v>100000</v>
      </c>
      <c r="AP27" s="64">
        <f t="shared" si="11"/>
        <v>2775000</v>
      </c>
      <c r="AQ27" s="65">
        <f t="shared" si="13"/>
        <v>39316.648380731283</v>
      </c>
    </row>
    <row r="28" spans="1:44" s="23" customFormat="1" ht="14.25">
      <c r="A28" s="60">
        <f t="shared" si="12"/>
        <v>24</v>
      </c>
      <c r="B28" s="60">
        <v>97111466</v>
      </c>
      <c r="C28" s="61" t="s">
        <v>369</v>
      </c>
      <c r="D28" s="61" t="s">
        <v>346</v>
      </c>
      <c r="E28" s="62">
        <v>1575000</v>
      </c>
      <c r="F28" s="63">
        <v>100000</v>
      </c>
      <c r="G28" s="63">
        <f>270000+800000</f>
        <v>1070000</v>
      </c>
      <c r="H28" s="63">
        <f t="shared" si="0"/>
        <v>1170000</v>
      </c>
      <c r="I28" s="63">
        <v>100000</v>
      </c>
      <c r="J28" s="63">
        <v>0</v>
      </c>
      <c r="K28" s="63">
        <v>0</v>
      </c>
      <c r="L28" s="63">
        <v>100000</v>
      </c>
      <c r="M28" s="63">
        <f>270000+845000</f>
        <v>1115000</v>
      </c>
      <c r="N28" s="63">
        <f t="shared" si="1"/>
        <v>1215000</v>
      </c>
      <c r="O28" s="63">
        <v>100000</v>
      </c>
      <c r="P28" s="63">
        <v>550000</v>
      </c>
      <c r="Q28" s="63">
        <f t="shared" si="2"/>
        <v>650000</v>
      </c>
      <c r="R28" s="63">
        <v>100000</v>
      </c>
      <c r="S28" s="63">
        <f>550000+825000</f>
        <v>1375000</v>
      </c>
      <c r="T28" s="63">
        <f t="shared" si="3"/>
        <v>1475000</v>
      </c>
      <c r="U28" s="63">
        <v>100000</v>
      </c>
      <c r="V28" s="63">
        <f>550000+720000</f>
        <v>1270000</v>
      </c>
      <c r="W28" s="63">
        <f t="shared" si="4"/>
        <v>1370000</v>
      </c>
      <c r="X28" s="63">
        <v>100000</v>
      </c>
      <c r="Y28" s="63">
        <f>550000+217500</f>
        <v>767500</v>
      </c>
      <c r="Z28" s="63">
        <f t="shared" si="5"/>
        <v>867500</v>
      </c>
      <c r="AA28" s="63">
        <v>100000</v>
      </c>
      <c r="AB28" s="63">
        <v>0</v>
      </c>
      <c r="AC28" s="63">
        <f t="shared" si="6"/>
        <v>100000</v>
      </c>
      <c r="AD28" s="63">
        <v>100000</v>
      </c>
      <c r="AE28" s="63">
        <v>810000</v>
      </c>
      <c r="AF28" s="63">
        <f t="shared" si="7"/>
        <v>910000</v>
      </c>
      <c r="AG28" s="63">
        <v>100000</v>
      </c>
      <c r="AH28" s="63">
        <f>810000</f>
        <v>810000</v>
      </c>
      <c r="AI28" s="63">
        <f t="shared" si="8"/>
        <v>910000</v>
      </c>
      <c r="AJ28" s="63">
        <v>100000</v>
      </c>
      <c r="AK28" s="63">
        <v>810000</v>
      </c>
      <c r="AL28" s="63">
        <f t="shared" si="9"/>
        <v>910000</v>
      </c>
      <c r="AM28" s="63">
        <v>100000</v>
      </c>
      <c r="AN28" s="63">
        <f>795000+180000</f>
        <v>975000</v>
      </c>
      <c r="AO28" s="63">
        <f t="shared" si="10"/>
        <v>1075000</v>
      </c>
      <c r="AP28" s="64">
        <f t="shared" si="11"/>
        <v>2775000</v>
      </c>
      <c r="AQ28" s="65">
        <f t="shared" si="13"/>
        <v>39316.648380731283</v>
      </c>
      <c r="AR28" s="100"/>
    </row>
    <row r="29" spans="1:44" s="23" customFormat="1" ht="14.25">
      <c r="A29" s="60">
        <f t="shared" si="12"/>
        <v>25</v>
      </c>
      <c r="B29" s="60">
        <v>97031339</v>
      </c>
      <c r="C29" s="61" t="s">
        <v>374</v>
      </c>
      <c r="D29" s="61" t="s">
        <v>372</v>
      </c>
      <c r="E29" s="62">
        <v>1575000</v>
      </c>
      <c r="F29" s="63">
        <v>100000</v>
      </c>
      <c r="G29" s="63">
        <v>72500</v>
      </c>
      <c r="H29" s="63">
        <f t="shared" si="0"/>
        <v>172500</v>
      </c>
      <c r="I29" s="63">
        <v>100000</v>
      </c>
      <c r="J29" s="63">
        <v>0</v>
      </c>
      <c r="K29" s="63">
        <v>0</v>
      </c>
      <c r="L29" s="63">
        <v>100000</v>
      </c>
      <c r="M29" s="63">
        <v>0</v>
      </c>
      <c r="N29" s="63">
        <f t="shared" si="1"/>
        <v>100000</v>
      </c>
      <c r="O29" s="63">
        <v>100000</v>
      </c>
      <c r="P29" s="63">
        <v>0</v>
      </c>
      <c r="Q29" s="63">
        <f t="shared" si="2"/>
        <v>100000</v>
      </c>
      <c r="R29" s="63">
        <v>100000</v>
      </c>
      <c r="S29" s="63">
        <v>35000</v>
      </c>
      <c r="T29" s="63">
        <f t="shared" si="3"/>
        <v>135000</v>
      </c>
      <c r="U29" s="63">
        <v>100000</v>
      </c>
      <c r="V29" s="63">
        <v>0</v>
      </c>
      <c r="W29" s="63">
        <f t="shared" si="4"/>
        <v>100000</v>
      </c>
      <c r="X29" s="63">
        <v>100000</v>
      </c>
      <c r="Y29" s="63">
        <f>153000+99000</f>
        <v>252000</v>
      </c>
      <c r="Z29" s="63">
        <f t="shared" si="5"/>
        <v>352000</v>
      </c>
      <c r="AA29" s="63">
        <v>100000</v>
      </c>
      <c r="AB29" s="63">
        <v>475500</v>
      </c>
      <c r="AC29" s="63">
        <f t="shared" si="6"/>
        <v>575500</v>
      </c>
      <c r="AD29" s="63">
        <v>100000</v>
      </c>
      <c r="AE29" s="63">
        <f>28500</f>
        <v>28500</v>
      </c>
      <c r="AF29" s="63">
        <f t="shared" si="7"/>
        <v>128500</v>
      </c>
      <c r="AG29" s="63">
        <v>100000</v>
      </c>
      <c r="AH29" s="63">
        <v>0</v>
      </c>
      <c r="AI29" s="63">
        <f t="shared" si="8"/>
        <v>100000</v>
      </c>
      <c r="AJ29" s="63">
        <v>100000</v>
      </c>
      <c r="AK29" s="63">
        <f>257000</f>
        <v>257000</v>
      </c>
      <c r="AL29" s="63">
        <f t="shared" si="9"/>
        <v>357000</v>
      </c>
      <c r="AM29" s="63">
        <v>100000</v>
      </c>
      <c r="AN29" s="63">
        <v>348000</v>
      </c>
      <c r="AO29" s="63">
        <f t="shared" si="10"/>
        <v>448000</v>
      </c>
      <c r="AP29" s="64">
        <f t="shared" si="11"/>
        <v>2775000</v>
      </c>
      <c r="AQ29" s="65">
        <f t="shared" si="13"/>
        <v>39316.648380731283</v>
      </c>
      <c r="AR29" s="100"/>
    </row>
    <row r="30" spans="1:44" s="23" customFormat="1" ht="14.25">
      <c r="A30" s="60">
        <f t="shared" si="12"/>
        <v>26</v>
      </c>
      <c r="B30" s="60">
        <v>95070424</v>
      </c>
      <c r="C30" s="61" t="s">
        <v>375</v>
      </c>
      <c r="D30" s="61" t="s">
        <v>372</v>
      </c>
      <c r="E30" s="62">
        <v>1575000</v>
      </c>
      <c r="F30" s="63">
        <v>100000</v>
      </c>
      <c r="G30" s="63">
        <v>0</v>
      </c>
      <c r="H30" s="63">
        <f t="shared" si="0"/>
        <v>100000</v>
      </c>
      <c r="I30" s="63">
        <v>100000</v>
      </c>
      <c r="J30" s="63">
        <v>0</v>
      </c>
      <c r="K30" s="63">
        <v>0</v>
      </c>
      <c r="L30" s="63">
        <v>100000</v>
      </c>
      <c r="M30" s="63">
        <v>0</v>
      </c>
      <c r="N30" s="63">
        <f t="shared" si="1"/>
        <v>100000</v>
      </c>
      <c r="O30" s="63">
        <v>100000</v>
      </c>
      <c r="P30" s="63">
        <v>308000</v>
      </c>
      <c r="Q30" s="63">
        <f t="shared" si="2"/>
        <v>408000</v>
      </c>
      <c r="R30" s="63">
        <v>100000</v>
      </c>
      <c r="S30" s="63">
        <f>440000+154000</f>
        <v>594000</v>
      </c>
      <c r="T30" s="63">
        <f t="shared" si="3"/>
        <v>694000</v>
      </c>
      <c r="U30" s="63">
        <v>100000</v>
      </c>
      <c r="V30" s="63">
        <f>440000+154000</f>
        <v>594000</v>
      </c>
      <c r="W30" s="63">
        <f t="shared" si="4"/>
        <v>694000</v>
      </c>
      <c r="X30" s="63">
        <v>100000</v>
      </c>
      <c r="Y30" s="63">
        <v>440000</v>
      </c>
      <c r="Z30" s="63">
        <f t="shared" si="5"/>
        <v>540000</v>
      </c>
      <c r="AA30" s="63">
        <v>100000</v>
      </c>
      <c r="AB30" s="63">
        <f>440000+160000</f>
        <v>600000</v>
      </c>
      <c r="AC30" s="63">
        <f t="shared" si="6"/>
        <v>700000</v>
      </c>
      <c r="AD30" s="63">
        <v>100000</v>
      </c>
      <c r="AE30" s="63">
        <v>440000</v>
      </c>
      <c r="AF30" s="63">
        <f t="shared" si="7"/>
        <v>540000</v>
      </c>
      <c r="AG30" s="63">
        <v>100000</v>
      </c>
      <c r="AH30" s="63">
        <f>256000+540000</f>
        <v>796000</v>
      </c>
      <c r="AI30" s="63">
        <f t="shared" si="8"/>
        <v>896000</v>
      </c>
      <c r="AJ30" s="63">
        <v>100000</v>
      </c>
      <c r="AK30" s="63">
        <f>540000+72000</f>
        <v>612000</v>
      </c>
      <c r="AL30" s="63">
        <f t="shared" si="9"/>
        <v>712000</v>
      </c>
      <c r="AM30" s="63">
        <v>100000</v>
      </c>
      <c r="AN30" s="63">
        <f>540000+454500</f>
        <v>994500</v>
      </c>
      <c r="AO30" s="63">
        <f t="shared" si="10"/>
        <v>1094500</v>
      </c>
      <c r="AP30" s="64">
        <f t="shared" si="11"/>
        <v>2775000</v>
      </c>
      <c r="AQ30" s="65">
        <f t="shared" si="13"/>
        <v>39316.648380731283</v>
      </c>
      <c r="AR30" s="100"/>
    </row>
    <row r="31" spans="1:44">
      <c r="A31" s="60">
        <f t="shared" si="12"/>
        <v>27</v>
      </c>
      <c r="B31" s="60">
        <v>97031319</v>
      </c>
      <c r="C31" s="61" t="s">
        <v>376</v>
      </c>
      <c r="D31" s="61" t="s">
        <v>372</v>
      </c>
      <c r="E31" s="62">
        <v>1575000</v>
      </c>
      <c r="F31" s="63">
        <v>100000</v>
      </c>
      <c r="G31" s="63">
        <f>270000+466000</f>
        <v>736000</v>
      </c>
      <c r="H31" s="63">
        <f t="shared" si="0"/>
        <v>836000</v>
      </c>
      <c r="I31" s="63">
        <v>100000</v>
      </c>
      <c r="J31" s="63">
        <v>0</v>
      </c>
      <c r="K31" s="63">
        <v>0</v>
      </c>
      <c r="L31" s="63">
        <v>100000</v>
      </c>
      <c r="M31" s="63">
        <f>270000+374000</f>
        <v>644000</v>
      </c>
      <c r="N31" s="63">
        <f t="shared" si="1"/>
        <v>744000</v>
      </c>
      <c r="O31" s="63">
        <v>100000</v>
      </c>
      <c r="P31" s="63">
        <f>270000+579900</f>
        <v>849900</v>
      </c>
      <c r="Q31" s="63">
        <f t="shared" si="2"/>
        <v>949900</v>
      </c>
      <c r="R31" s="63">
        <v>100000</v>
      </c>
      <c r="S31" s="63">
        <f>270000+632400</f>
        <v>902400</v>
      </c>
      <c r="T31" s="63">
        <f t="shared" si="3"/>
        <v>1002400</v>
      </c>
      <c r="U31" s="63">
        <v>100000</v>
      </c>
      <c r="V31" s="63">
        <f>540000+357500</f>
        <v>897500</v>
      </c>
      <c r="W31" s="63">
        <f t="shared" si="4"/>
        <v>997500</v>
      </c>
      <c r="X31" s="63">
        <v>100000</v>
      </c>
      <c r="Y31" s="63">
        <f>540000+557000</f>
        <v>1097000</v>
      </c>
      <c r="Z31" s="63">
        <f t="shared" si="5"/>
        <v>1197000</v>
      </c>
      <c r="AA31" s="63">
        <v>100000</v>
      </c>
      <c r="AB31" s="63">
        <f>540000+375000</f>
        <v>915000</v>
      </c>
      <c r="AC31" s="63">
        <f t="shared" si="6"/>
        <v>1015000</v>
      </c>
      <c r="AD31" s="63">
        <v>100000</v>
      </c>
      <c r="AE31" s="63">
        <f>391500+540000</f>
        <v>931500</v>
      </c>
      <c r="AF31" s="63">
        <f t="shared" si="7"/>
        <v>1031500</v>
      </c>
      <c r="AG31" s="63">
        <v>100000</v>
      </c>
      <c r="AH31" s="63">
        <f>535500+540000</f>
        <v>1075500</v>
      </c>
      <c r="AI31" s="63">
        <f t="shared" si="8"/>
        <v>1175500</v>
      </c>
      <c r="AJ31" s="63">
        <v>100000</v>
      </c>
      <c r="AK31" s="63">
        <f>540000+246100</f>
        <v>786100</v>
      </c>
      <c r="AL31" s="63">
        <f t="shared" si="9"/>
        <v>886100</v>
      </c>
      <c r="AM31" s="63">
        <v>100000</v>
      </c>
      <c r="AN31" s="63">
        <f>530000+344000</f>
        <v>874000</v>
      </c>
      <c r="AO31" s="63">
        <f t="shared" si="10"/>
        <v>974000</v>
      </c>
      <c r="AP31" s="64">
        <f t="shared" si="11"/>
        <v>2775000</v>
      </c>
      <c r="AQ31" s="65">
        <f t="shared" si="13"/>
        <v>39316.648380731283</v>
      </c>
    </row>
    <row r="32" spans="1:44" s="23" customFormat="1" ht="14.25">
      <c r="A32" s="60">
        <f t="shared" si="12"/>
        <v>28</v>
      </c>
      <c r="B32" s="68">
        <v>13099979</v>
      </c>
      <c r="C32" s="61" t="s">
        <v>377</v>
      </c>
      <c r="D32" s="61" t="s">
        <v>372</v>
      </c>
      <c r="E32" s="62">
        <v>400000</v>
      </c>
      <c r="F32" s="63">
        <v>100000</v>
      </c>
      <c r="G32" s="63">
        <v>0</v>
      </c>
      <c r="H32" s="63">
        <f t="shared" si="0"/>
        <v>100000</v>
      </c>
      <c r="I32" s="63">
        <v>100000</v>
      </c>
      <c r="J32" s="63">
        <v>0</v>
      </c>
      <c r="K32" s="63">
        <v>0</v>
      </c>
      <c r="L32" s="63">
        <v>100000</v>
      </c>
      <c r="M32" s="63">
        <v>260000</v>
      </c>
      <c r="N32" s="63">
        <f t="shared" si="1"/>
        <v>360000</v>
      </c>
      <c r="O32" s="63">
        <v>100000</v>
      </c>
      <c r="P32" s="63">
        <v>260000</v>
      </c>
      <c r="Q32" s="63">
        <f t="shared" si="2"/>
        <v>360000</v>
      </c>
      <c r="R32" s="63">
        <v>100000</v>
      </c>
      <c r="S32" s="63">
        <v>265000</v>
      </c>
      <c r="T32" s="63">
        <f t="shared" si="3"/>
        <v>365000</v>
      </c>
      <c r="U32" s="63">
        <v>100000</v>
      </c>
      <c r="V32" s="63">
        <v>265000</v>
      </c>
      <c r="W32" s="63">
        <f t="shared" si="4"/>
        <v>365000</v>
      </c>
      <c r="X32" s="63">
        <v>100000</v>
      </c>
      <c r="Y32" s="63">
        <f>265000+51500</f>
        <v>316500</v>
      </c>
      <c r="Z32" s="63">
        <f t="shared" si="5"/>
        <v>416500</v>
      </c>
      <c r="AA32" s="63">
        <v>100000</v>
      </c>
      <c r="AB32" s="63">
        <f>265000+33000</f>
        <v>298000</v>
      </c>
      <c r="AC32" s="63">
        <f t="shared" si="6"/>
        <v>398000</v>
      </c>
      <c r="AD32" s="63">
        <v>100000</v>
      </c>
      <c r="AE32" s="63">
        <v>0</v>
      </c>
      <c r="AF32" s="63">
        <f t="shared" si="7"/>
        <v>100000</v>
      </c>
      <c r="AG32" s="63">
        <v>100000</v>
      </c>
      <c r="AH32" s="63">
        <f>36000+440000</f>
        <v>476000</v>
      </c>
      <c r="AI32" s="63">
        <f t="shared" si="8"/>
        <v>576000</v>
      </c>
      <c r="AJ32" s="63">
        <v>100000</v>
      </c>
      <c r="AK32" s="63">
        <f>440000+71000</f>
        <v>511000</v>
      </c>
      <c r="AL32" s="63">
        <f t="shared" si="9"/>
        <v>611000</v>
      </c>
      <c r="AM32" s="63">
        <v>100000</v>
      </c>
      <c r="AN32" s="63">
        <f>440000</f>
        <v>440000</v>
      </c>
      <c r="AO32" s="63">
        <f t="shared" si="10"/>
        <v>540000</v>
      </c>
      <c r="AP32" s="64">
        <f t="shared" si="11"/>
        <v>1600000</v>
      </c>
      <c r="AQ32" s="65">
        <f t="shared" si="13"/>
        <v>22669.058525827044</v>
      </c>
      <c r="AR32" s="100"/>
    </row>
    <row r="33" spans="1:44" s="23" customFormat="1" ht="14.25">
      <c r="A33" s="60">
        <f t="shared" si="12"/>
        <v>29</v>
      </c>
      <c r="B33" s="67" t="s">
        <v>378</v>
      </c>
      <c r="C33" s="61" t="s">
        <v>379</v>
      </c>
      <c r="D33" s="61" t="s">
        <v>372</v>
      </c>
      <c r="E33" s="62">
        <v>1575000</v>
      </c>
      <c r="F33" s="63">
        <v>100000</v>
      </c>
      <c r="G33" s="63">
        <f>265000+290000</f>
        <v>555000</v>
      </c>
      <c r="H33" s="63">
        <f t="shared" si="0"/>
        <v>655000</v>
      </c>
      <c r="I33" s="63">
        <v>100000</v>
      </c>
      <c r="J33" s="63">
        <v>0</v>
      </c>
      <c r="K33" s="63">
        <v>0</v>
      </c>
      <c r="L33" s="63">
        <v>100000</v>
      </c>
      <c r="M33" s="63">
        <f>440000+1172000</f>
        <v>1612000</v>
      </c>
      <c r="N33" s="63">
        <f t="shared" si="1"/>
        <v>1712000</v>
      </c>
      <c r="O33" s="63">
        <v>100000</v>
      </c>
      <c r="P33" s="63">
        <f>440000+1061000</f>
        <v>1501000</v>
      </c>
      <c r="Q33" s="63">
        <f t="shared" si="2"/>
        <v>1601000</v>
      </c>
      <c r="R33" s="63">
        <v>100000</v>
      </c>
      <c r="S33" s="63">
        <f>550000+1372000-AR33</f>
        <v>1922000</v>
      </c>
      <c r="T33" s="63">
        <f t="shared" si="3"/>
        <v>2022000</v>
      </c>
      <c r="U33" s="63">
        <v>100000</v>
      </c>
      <c r="V33" s="63">
        <f>540000+733000+1003000-Y33</f>
        <v>860000</v>
      </c>
      <c r="W33" s="69">
        <f t="shared" si="4"/>
        <v>960000</v>
      </c>
      <c r="X33" s="63">
        <v>100000</v>
      </c>
      <c r="Y33" s="63">
        <f>876000+540000</f>
        <v>1416000</v>
      </c>
      <c r="Z33" s="69">
        <f t="shared" si="5"/>
        <v>1516000</v>
      </c>
      <c r="AA33" s="63">
        <v>100000</v>
      </c>
      <c r="AB33" s="63">
        <f>540000+667000</f>
        <v>1207000</v>
      </c>
      <c r="AC33" s="63">
        <f t="shared" si="6"/>
        <v>1307000</v>
      </c>
      <c r="AD33" s="63">
        <v>100000</v>
      </c>
      <c r="AE33" s="63">
        <f>688000+540000</f>
        <v>1228000</v>
      </c>
      <c r="AF33" s="63">
        <f t="shared" si="7"/>
        <v>1328000</v>
      </c>
      <c r="AG33" s="63">
        <v>100000</v>
      </c>
      <c r="AH33" s="63">
        <f>995500+540000</f>
        <v>1535500</v>
      </c>
      <c r="AI33" s="63">
        <f t="shared" si="8"/>
        <v>1635500</v>
      </c>
      <c r="AJ33" s="63">
        <v>100000</v>
      </c>
      <c r="AK33" s="63">
        <f>540000+1016500</f>
        <v>1556500</v>
      </c>
      <c r="AL33" s="63">
        <f t="shared" si="9"/>
        <v>1656500</v>
      </c>
      <c r="AM33" s="63">
        <v>100000</v>
      </c>
      <c r="AN33" s="63">
        <f>540000+1310000</f>
        <v>1850000</v>
      </c>
      <c r="AO33" s="63">
        <f t="shared" si="10"/>
        <v>1950000</v>
      </c>
      <c r="AP33" s="64">
        <f t="shared" si="11"/>
        <v>2775000</v>
      </c>
      <c r="AQ33" s="65">
        <f t="shared" si="13"/>
        <v>39316.648380731283</v>
      </c>
      <c r="AR33" s="100"/>
    </row>
    <row r="34" spans="1:44" s="23" customFormat="1" ht="14.25">
      <c r="A34" s="60">
        <f t="shared" si="12"/>
        <v>30</v>
      </c>
      <c r="B34" s="68" t="s">
        <v>380</v>
      </c>
      <c r="C34" s="61" t="s">
        <v>381</v>
      </c>
      <c r="D34" s="61" t="s">
        <v>372</v>
      </c>
      <c r="E34" s="62">
        <v>700000</v>
      </c>
      <c r="F34" s="63">
        <v>100000</v>
      </c>
      <c r="G34" s="63">
        <v>0</v>
      </c>
      <c r="H34" s="63">
        <f t="shared" si="0"/>
        <v>100000</v>
      </c>
      <c r="I34" s="63">
        <v>100000</v>
      </c>
      <c r="J34" s="63">
        <v>0</v>
      </c>
      <c r="K34" s="63">
        <v>0</v>
      </c>
      <c r="L34" s="63">
        <v>100000</v>
      </c>
      <c r="M34" s="63">
        <v>0</v>
      </c>
      <c r="N34" s="63">
        <f t="shared" si="1"/>
        <v>100000</v>
      </c>
      <c r="O34" s="63">
        <v>100000</v>
      </c>
      <c r="P34" s="63">
        <v>0</v>
      </c>
      <c r="Q34" s="63">
        <f t="shared" si="2"/>
        <v>100000</v>
      </c>
      <c r="R34" s="63">
        <v>100000</v>
      </c>
      <c r="S34" s="63">
        <v>0</v>
      </c>
      <c r="T34" s="63">
        <f t="shared" si="3"/>
        <v>100000</v>
      </c>
      <c r="U34" s="63">
        <v>100000</v>
      </c>
      <c r="V34" s="63">
        <v>0</v>
      </c>
      <c r="W34" s="63">
        <f t="shared" si="4"/>
        <v>100000</v>
      </c>
      <c r="X34" s="63">
        <v>100000</v>
      </c>
      <c r="Y34" s="63">
        <v>0</v>
      </c>
      <c r="Z34" s="63">
        <f t="shared" si="5"/>
        <v>100000</v>
      </c>
      <c r="AA34" s="63">
        <v>100000</v>
      </c>
      <c r="AB34" s="63">
        <v>0</v>
      </c>
      <c r="AC34" s="63">
        <f t="shared" si="6"/>
        <v>100000</v>
      </c>
      <c r="AD34" s="63">
        <v>100000</v>
      </c>
      <c r="AE34" s="63">
        <v>0</v>
      </c>
      <c r="AF34" s="63">
        <f t="shared" si="7"/>
        <v>100000</v>
      </c>
      <c r="AG34" s="63">
        <v>100000</v>
      </c>
      <c r="AH34" s="63">
        <f>30000+6500</f>
        <v>36500</v>
      </c>
      <c r="AI34" s="63">
        <f t="shared" si="8"/>
        <v>136500</v>
      </c>
      <c r="AJ34" s="63">
        <v>100000</v>
      </c>
      <c r="AK34" s="63">
        <v>0</v>
      </c>
      <c r="AL34" s="63">
        <f t="shared" si="9"/>
        <v>100000</v>
      </c>
      <c r="AM34" s="63">
        <v>100000</v>
      </c>
      <c r="AN34" s="63">
        <v>0</v>
      </c>
      <c r="AO34" s="63">
        <f t="shared" si="10"/>
        <v>100000</v>
      </c>
      <c r="AP34" s="64">
        <f t="shared" si="11"/>
        <v>1900000</v>
      </c>
      <c r="AQ34" s="65">
        <f t="shared" si="13"/>
        <v>26919.506999419616</v>
      </c>
      <c r="AR34" s="100"/>
    </row>
    <row r="35" spans="1:44">
      <c r="A35" s="60">
        <f t="shared" si="12"/>
        <v>31</v>
      </c>
      <c r="B35" s="60">
        <v>97081389</v>
      </c>
      <c r="C35" s="61" t="s">
        <v>382</v>
      </c>
      <c r="D35" s="61" t="s">
        <v>372</v>
      </c>
      <c r="E35" s="62">
        <v>1575000</v>
      </c>
      <c r="F35" s="63">
        <v>100000</v>
      </c>
      <c r="G35" s="63">
        <f>440000+279500</f>
        <v>719500</v>
      </c>
      <c r="H35" s="63">
        <f t="shared" si="0"/>
        <v>819500</v>
      </c>
      <c r="I35" s="63">
        <v>100000</v>
      </c>
      <c r="J35" s="63">
        <v>0</v>
      </c>
      <c r="K35" s="63">
        <v>0</v>
      </c>
      <c r="L35" s="63">
        <v>100000</v>
      </c>
      <c r="M35" s="63">
        <f>440000+165000</f>
        <v>605000</v>
      </c>
      <c r="N35" s="63">
        <f t="shared" si="1"/>
        <v>705000</v>
      </c>
      <c r="O35" s="63">
        <v>100000</v>
      </c>
      <c r="P35" s="63">
        <f>440000+219500</f>
        <v>659500</v>
      </c>
      <c r="Q35" s="63">
        <f t="shared" si="2"/>
        <v>759500</v>
      </c>
      <c r="R35" s="63">
        <v>100000</v>
      </c>
      <c r="S35" s="63">
        <f>440000+369500</f>
        <v>809500</v>
      </c>
      <c r="T35" s="63">
        <f t="shared" si="3"/>
        <v>909500</v>
      </c>
      <c r="U35" s="63">
        <v>100000</v>
      </c>
      <c r="V35" s="63">
        <f>440000+209000</f>
        <v>649000</v>
      </c>
      <c r="W35" s="63">
        <f t="shared" si="4"/>
        <v>749000</v>
      </c>
      <c r="X35" s="63">
        <v>100000</v>
      </c>
      <c r="Y35" s="63">
        <f>440000+278000</f>
        <v>718000</v>
      </c>
      <c r="Z35" s="63">
        <f t="shared" si="5"/>
        <v>818000</v>
      </c>
      <c r="AA35" s="63">
        <v>100000</v>
      </c>
      <c r="AB35" s="63">
        <f>440000+388500</f>
        <v>828500</v>
      </c>
      <c r="AC35" s="63">
        <f t="shared" si="6"/>
        <v>928500</v>
      </c>
      <c r="AD35" s="63">
        <v>100000</v>
      </c>
      <c r="AE35" s="63">
        <f>100000+440000</f>
        <v>540000</v>
      </c>
      <c r="AF35" s="63">
        <f t="shared" si="7"/>
        <v>640000</v>
      </c>
      <c r="AG35" s="63">
        <v>100000</v>
      </c>
      <c r="AH35" s="63">
        <f>126000+540000</f>
        <v>666000</v>
      </c>
      <c r="AI35" s="63">
        <f t="shared" si="8"/>
        <v>766000</v>
      </c>
      <c r="AJ35" s="63">
        <v>100000</v>
      </c>
      <c r="AK35" s="63">
        <v>540000</v>
      </c>
      <c r="AL35" s="63">
        <f t="shared" si="9"/>
        <v>640000</v>
      </c>
      <c r="AM35" s="63">
        <v>100000</v>
      </c>
      <c r="AN35" s="63">
        <f>540000</f>
        <v>540000</v>
      </c>
      <c r="AO35" s="63">
        <f t="shared" si="10"/>
        <v>640000</v>
      </c>
      <c r="AP35" s="64">
        <f t="shared" si="11"/>
        <v>2775000</v>
      </c>
      <c r="AQ35" s="65">
        <f t="shared" si="13"/>
        <v>39316.648380731283</v>
      </c>
    </row>
    <row r="36" spans="1:44" s="23" customFormat="1" ht="14.25">
      <c r="A36" s="60">
        <f t="shared" si="12"/>
        <v>32</v>
      </c>
      <c r="B36" s="68">
        <v>95070489</v>
      </c>
      <c r="C36" s="61" t="s">
        <v>373</v>
      </c>
      <c r="D36" s="61" t="s">
        <v>383</v>
      </c>
      <c r="E36" s="62">
        <v>700000</v>
      </c>
      <c r="F36" s="63">
        <v>100000</v>
      </c>
      <c r="G36" s="63">
        <v>0</v>
      </c>
      <c r="H36" s="63">
        <f t="shared" si="0"/>
        <v>100000</v>
      </c>
      <c r="I36" s="63">
        <v>100000</v>
      </c>
      <c r="J36" s="63">
        <v>0</v>
      </c>
      <c r="K36" s="63">
        <v>0</v>
      </c>
      <c r="L36" s="63">
        <v>100000</v>
      </c>
      <c r="M36" s="63">
        <f>550000*3</f>
        <v>1650000</v>
      </c>
      <c r="N36" s="63">
        <f t="shared" si="1"/>
        <v>1750000</v>
      </c>
      <c r="O36" s="63">
        <v>100000</v>
      </c>
      <c r="P36" s="63">
        <v>0</v>
      </c>
      <c r="Q36" s="63">
        <f t="shared" si="2"/>
        <v>100000</v>
      </c>
      <c r="R36" s="63">
        <v>100000</v>
      </c>
      <c r="S36" s="63">
        <v>0</v>
      </c>
      <c r="T36" s="63">
        <f t="shared" si="3"/>
        <v>100000</v>
      </c>
      <c r="U36" s="63">
        <v>100000</v>
      </c>
      <c r="V36" s="63">
        <v>0</v>
      </c>
      <c r="W36" s="63">
        <f t="shared" si="4"/>
        <v>100000</v>
      </c>
      <c r="X36" s="63">
        <v>100000</v>
      </c>
      <c r="Y36" s="63">
        <v>0</v>
      </c>
      <c r="Z36" s="63">
        <f t="shared" si="5"/>
        <v>100000</v>
      </c>
      <c r="AA36" s="63">
        <v>100000</v>
      </c>
      <c r="AB36" s="63">
        <v>0</v>
      </c>
      <c r="AC36" s="63">
        <f t="shared" si="6"/>
        <v>100000</v>
      </c>
      <c r="AD36" s="63">
        <v>100000</v>
      </c>
      <c r="AE36" s="63">
        <v>0</v>
      </c>
      <c r="AF36" s="63">
        <f t="shared" si="7"/>
        <v>100000</v>
      </c>
      <c r="AG36" s="63">
        <v>100000</v>
      </c>
      <c r="AH36" s="63">
        <f>2000</f>
        <v>2000</v>
      </c>
      <c r="AI36" s="63">
        <f t="shared" si="8"/>
        <v>102000</v>
      </c>
      <c r="AJ36" s="63">
        <v>100000</v>
      </c>
      <c r="AK36" s="63">
        <v>0</v>
      </c>
      <c r="AL36" s="63">
        <f t="shared" si="9"/>
        <v>100000</v>
      </c>
      <c r="AM36" s="63">
        <v>100000</v>
      </c>
      <c r="AN36" s="63">
        <v>0</v>
      </c>
      <c r="AO36" s="63">
        <f t="shared" si="10"/>
        <v>100000</v>
      </c>
      <c r="AP36" s="64">
        <f t="shared" si="11"/>
        <v>1900000</v>
      </c>
      <c r="AQ36" s="65">
        <f t="shared" si="13"/>
        <v>26919.506999419616</v>
      </c>
      <c r="AR36" s="100"/>
    </row>
    <row r="37" spans="1:44" s="23" customFormat="1" ht="14.25">
      <c r="A37" s="60">
        <f t="shared" si="12"/>
        <v>33</v>
      </c>
      <c r="B37" s="60">
        <v>97031329</v>
      </c>
      <c r="C37" s="61" t="s">
        <v>384</v>
      </c>
      <c r="D37" s="61" t="s">
        <v>383</v>
      </c>
      <c r="E37" s="62">
        <v>1575000</v>
      </c>
      <c r="F37" s="63">
        <v>100000</v>
      </c>
      <c r="G37" s="63">
        <f>270000+284000</f>
        <v>554000</v>
      </c>
      <c r="H37" s="63">
        <f t="shared" si="0"/>
        <v>654000</v>
      </c>
      <c r="I37" s="63">
        <v>100000</v>
      </c>
      <c r="J37" s="63">
        <v>0</v>
      </c>
      <c r="K37" s="63">
        <v>0</v>
      </c>
      <c r="L37" s="63">
        <v>100000</v>
      </c>
      <c r="M37" s="63">
        <f>270000+375000</f>
        <v>645000</v>
      </c>
      <c r="N37" s="63">
        <f t="shared" si="1"/>
        <v>745000</v>
      </c>
      <c r="O37" s="63">
        <v>100000</v>
      </c>
      <c r="P37" s="63">
        <v>630000</v>
      </c>
      <c r="Q37" s="63">
        <f t="shared" si="2"/>
        <v>730000</v>
      </c>
      <c r="R37" s="63">
        <v>100000</v>
      </c>
      <c r="S37" s="63">
        <v>440000</v>
      </c>
      <c r="T37" s="63">
        <f t="shared" si="3"/>
        <v>540000</v>
      </c>
      <c r="U37" s="63">
        <v>100000</v>
      </c>
      <c r="V37" s="63">
        <f>440000+350000</f>
        <v>790000</v>
      </c>
      <c r="W37" s="63">
        <f t="shared" si="4"/>
        <v>890000</v>
      </c>
      <c r="X37" s="63">
        <v>100000</v>
      </c>
      <c r="Y37" s="63">
        <f>440000+370000</f>
        <v>810000</v>
      </c>
      <c r="Z37" s="63">
        <f t="shared" si="5"/>
        <v>910000</v>
      </c>
      <c r="AA37" s="63">
        <v>100000</v>
      </c>
      <c r="AB37" s="63">
        <v>440000</v>
      </c>
      <c r="AC37" s="63">
        <f t="shared" si="6"/>
        <v>540000</v>
      </c>
      <c r="AD37" s="63">
        <v>100000</v>
      </c>
      <c r="AE37" s="63">
        <v>440000</v>
      </c>
      <c r="AF37" s="63">
        <f t="shared" si="7"/>
        <v>540000</v>
      </c>
      <c r="AG37" s="63">
        <v>100000</v>
      </c>
      <c r="AH37" s="63">
        <f>540000</f>
        <v>540000</v>
      </c>
      <c r="AI37" s="63">
        <f t="shared" ref="AI37:AI68" si="14">AG37+AH37</f>
        <v>640000</v>
      </c>
      <c r="AJ37" s="63">
        <v>100000</v>
      </c>
      <c r="AK37" s="63">
        <f>540000+176000</f>
        <v>716000</v>
      </c>
      <c r="AL37" s="63">
        <f t="shared" si="9"/>
        <v>816000</v>
      </c>
      <c r="AM37" s="63">
        <v>100000</v>
      </c>
      <c r="AN37" s="63">
        <f>540000+412500</f>
        <v>952500</v>
      </c>
      <c r="AO37" s="63">
        <f t="shared" si="10"/>
        <v>1052500</v>
      </c>
      <c r="AP37" s="64">
        <f t="shared" si="11"/>
        <v>2775000</v>
      </c>
      <c r="AQ37" s="65">
        <f t="shared" si="13"/>
        <v>39316.648380731283</v>
      </c>
      <c r="AR37" s="100"/>
    </row>
    <row r="38" spans="1:44" s="23" customFormat="1" ht="14.25">
      <c r="A38" s="60">
        <f t="shared" si="12"/>
        <v>34</v>
      </c>
      <c r="B38" s="60">
        <v>97021289</v>
      </c>
      <c r="C38" s="61" t="s">
        <v>385</v>
      </c>
      <c r="D38" s="61" t="s">
        <v>383</v>
      </c>
      <c r="E38" s="62">
        <v>1575000</v>
      </c>
      <c r="F38" s="63">
        <v>100000</v>
      </c>
      <c r="G38" s="63">
        <v>265000</v>
      </c>
      <c r="H38" s="63">
        <f t="shared" si="0"/>
        <v>365000</v>
      </c>
      <c r="I38" s="63">
        <v>100000</v>
      </c>
      <c r="J38" s="63">
        <v>0</v>
      </c>
      <c r="K38" s="63">
        <v>0</v>
      </c>
      <c r="L38" s="63">
        <v>100000</v>
      </c>
      <c r="M38" s="63">
        <v>246000</v>
      </c>
      <c r="N38" s="63">
        <f t="shared" si="1"/>
        <v>346000</v>
      </c>
      <c r="O38" s="63">
        <v>100000</v>
      </c>
      <c r="P38" s="63">
        <f>440000+620000</f>
        <v>1060000</v>
      </c>
      <c r="Q38" s="63">
        <f t="shared" si="2"/>
        <v>1160000</v>
      </c>
      <c r="R38" s="63">
        <v>100000</v>
      </c>
      <c r="S38" s="63">
        <f>440000+288000</f>
        <v>728000</v>
      </c>
      <c r="T38" s="63">
        <f t="shared" si="3"/>
        <v>828000</v>
      </c>
      <c r="U38" s="63">
        <v>100000</v>
      </c>
      <c r="V38" s="63">
        <v>440000</v>
      </c>
      <c r="W38" s="63">
        <f t="shared" si="4"/>
        <v>540000</v>
      </c>
      <c r="X38" s="63">
        <v>100000</v>
      </c>
      <c r="Y38" s="63">
        <v>440000</v>
      </c>
      <c r="Z38" s="63">
        <f t="shared" si="5"/>
        <v>540000</v>
      </c>
      <c r="AA38" s="63">
        <v>100000</v>
      </c>
      <c r="AB38" s="63">
        <v>440000</v>
      </c>
      <c r="AC38" s="63">
        <f t="shared" si="6"/>
        <v>540000</v>
      </c>
      <c r="AD38" s="63">
        <v>100000</v>
      </c>
      <c r="AE38" s="63">
        <v>0</v>
      </c>
      <c r="AF38" s="63">
        <f t="shared" si="7"/>
        <v>100000</v>
      </c>
      <c r="AG38" s="63">
        <v>100000</v>
      </c>
      <c r="AH38" s="63">
        <f>540000</f>
        <v>540000</v>
      </c>
      <c r="AI38" s="63">
        <f t="shared" si="14"/>
        <v>640000</v>
      </c>
      <c r="AJ38" s="63">
        <v>100000</v>
      </c>
      <c r="AK38" s="63">
        <f>540000+151500</f>
        <v>691500</v>
      </c>
      <c r="AL38" s="63">
        <f t="shared" si="9"/>
        <v>791500</v>
      </c>
      <c r="AM38" s="63">
        <v>100000</v>
      </c>
      <c r="AN38" s="63">
        <f>540000+367000</f>
        <v>907000</v>
      </c>
      <c r="AO38" s="63">
        <f t="shared" si="10"/>
        <v>1007000</v>
      </c>
      <c r="AP38" s="64">
        <f t="shared" si="11"/>
        <v>2775000</v>
      </c>
      <c r="AQ38" s="65">
        <f t="shared" si="13"/>
        <v>39316.648380731283</v>
      </c>
      <c r="AR38" s="100"/>
    </row>
    <row r="39" spans="1:44" s="23" customFormat="1" ht="14.25">
      <c r="A39" s="60">
        <f t="shared" si="12"/>
        <v>35</v>
      </c>
      <c r="B39" s="60">
        <v>10017329</v>
      </c>
      <c r="C39" s="61" t="s">
        <v>386</v>
      </c>
      <c r="D39" s="61" t="s">
        <v>383</v>
      </c>
      <c r="E39" s="62">
        <v>1575000</v>
      </c>
      <c r="F39" s="63">
        <v>100000</v>
      </c>
      <c r="G39" s="63">
        <v>265000</v>
      </c>
      <c r="H39" s="63">
        <f t="shared" si="0"/>
        <v>365000</v>
      </c>
      <c r="I39" s="63">
        <v>100000</v>
      </c>
      <c r="J39" s="63">
        <v>0</v>
      </c>
      <c r="K39" s="63">
        <v>0</v>
      </c>
      <c r="L39" s="63">
        <v>100000</v>
      </c>
      <c r="M39" s="63">
        <v>0</v>
      </c>
      <c r="N39" s="63">
        <f t="shared" si="1"/>
        <v>100000</v>
      </c>
      <c r="O39" s="63">
        <v>100000</v>
      </c>
      <c r="P39" s="63">
        <v>200000</v>
      </c>
      <c r="Q39" s="63">
        <f t="shared" si="2"/>
        <v>300000</v>
      </c>
      <c r="R39" s="63">
        <v>100000</v>
      </c>
      <c r="S39" s="63">
        <v>0</v>
      </c>
      <c r="T39" s="63">
        <f t="shared" si="3"/>
        <v>100000</v>
      </c>
      <c r="U39" s="63">
        <v>100000</v>
      </c>
      <c r="V39" s="63">
        <v>165000</v>
      </c>
      <c r="W39" s="63">
        <f t="shared" si="4"/>
        <v>265000</v>
      </c>
      <c r="X39" s="63">
        <v>100000</v>
      </c>
      <c r="Y39" s="63">
        <v>0</v>
      </c>
      <c r="Z39" s="63">
        <f t="shared" si="5"/>
        <v>100000</v>
      </c>
      <c r="AA39" s="63">
        <v>100000</v>
      </c>
      <c r="AB39" s="63">
        <v>0</v>
      </c>
      <c r="AC39" s="63">
        <f t="shared" si="6"/>
        <v>100000</v>
      </c>
      <c r="AD39" s="63">
        <v>100000</v>
      </c>
      <c r="AE39" s="63">
        <v>0</v>
      </c>
      <c r="AF39" s="63">
        <f t="shared" si="7"/>
        <v>100000</v>
      </c>
      <c r="AG39" s="63">
        <v>100000</v>
      </c>
      <c r="AH39" s="63">
        <v>0</v>
      </c>
      <c r="AI39" s="63">
        <f t="shared" si="14"/>
        <v>100000</v>
      </c>
      <c r="AJ39" s="63">
        <v>100000</v>
      </c>
      <c r="AK39" s="63">
        <v>0</v>
      </c>
      <c r="AL39" s="63">
        <f t="shared" si="9"/>
        <v>100000</v>
      </c>
      <c r="AM39" s="63">
        <v>100000</v>
      </c>
      <c r="AN39" s="63">
        <v>0</v>
      </c>
      <c r="AO39" s="63">
        <f t="shared" si="10"/>
        <v>100000</v>
      </c>
      <c r="AP39" s="64">
        <f t="shared" si="11"/>
        <v>2775000</v>
      </c>
      <c r="AQ39" s="65">
        <f t="shared" si="13"/>
        <v>39316.648380731283</v>
      </c>
      <c r="AR39" s="100"/>
    </row>
    <row r="40" spans="1:44" s="23" customFormat="1" ht="14.25">
      <c r="A40" s="60">
        <f t="shared" si="12"/>
        <v>36</v>
      </c>
      <c r="B40" s="67" t="s">
        <v>387</v>
      </c>
      <c r="C40" s="61" t="s">
        <v>388</v>
      </c>
      <c r="D40" s="61" t="s">
        <v>383</v>
      </c>
      <c r="E40" s="62">
        <v>1575000</v>
      </c>
      <c r="F40" s="63">
        <v>100000</v>
      </c>
      <c r="G40" s="63">
        <v>0</v>
      </c>
      <c r="H40" s="63">
        <f t="shared" si="0"/>
        <v>100000</v>
      </c>
      <c r="I40" s="63">
        <v>100000</v>
      </c>
      <c r="J40" s="63">
        <v>0</v>
      </c>
      <c r="K40" s="63">
        <v>0</v>
      </c>
      <c r="L40" s="63">
        <v>100000</v>
      </c>
      <c r="M40" s="63">
        <v>48000</v>
      </c>
      <c r="N40" s="63">
        <f t="shared" si="1"/>
        <v>148000</v>
      </c>
      <c r="O40" s="63">
        <v>100000</v>
      </c>
      <c r="P40" s="63">
        <v>0</v>
      </c>
      <c r="Q40" s="63">
        <f t="shared" si="2"/>
        <v>100000</v>
      </c>
      <c r="R40" s="63">
        <v>100000</v>
      </c>
      <c r="S40" s="63">
        <v>0</v>
      </c>
      <c r="T40" s="63">
        <f t="shared" si="3"/>
        <v>100000</v>
      </c>
      <c r="U40" s="63">
        <v>100000</v>
      </c>
      <c r="V40" s="63">
        <v>0</v>
      </c>
      <c r="W40" s="63">
        <f t="shared" si="4"/>
        <v>100000</v>
      </c>
      <c r="X40" s="63">
        <v>100000</v>
      </c>
      <c r="Y40" s="63">
        <v>0</v>
      </c>
      <c r="Z40" s="63">
        <f t="shared" si="5"/>
        <v>100000</v>
      </c>
      <c r="AA40" s="63">
        <v>100000</v>
      </c>
      <c r="AB40" s="63">
        <v>0</v>
      </c>
      <c r="AC40" s="63">
        <f t="shared" si="6"/>
        <v>100000</v>
      </c>
      <c r="AD40" s="63">
        <v>100000</v>
      </c>
      <c r="AE40" s="63">
        <v>540000</v>
      </c>
      <c r="AF40" s="63">
        <f t="shared" si="7"/>
        <v>640000</v>
      </c>
      <c r="AG40" s="63">
        <v>100000</v>
      </c>
      <c r="AH40" s="63">
        <f>540000</f>
        <v>540000</v>
      </c>
      <c r="AI40" s="63">
        <f t="shared" si="14"/>
        <v>640000</v>
      </c>
      <c r="AJ40" s="63">
        <v>100000</v>
      </c>
      <c r="AK40" s="63">
        <v>540000</v>
      </c>
      <c r="AL40" s="63">
        <f t="shared" si="9"/>
        <v>640000</v>
      </c>
      <c r="AM40" s="63">
        <v>100000</v>
      </c>
      <c r="AN40" s="63">
        <f>540000</f>
        <v>540000</v>
      </c>
      <c r="AO40" s="63">
        <f t="shared" si="10"/>
        <v>640000</v>
      </c>
      <c r="AP40" s="64">
        <f t="shared" si="11"/>
        <v>2775000</v>
      </c>
      <c r="AQ40" s="65">
        <f t="shared" si="13"/>
        <v>39316.648380731283</v>
      </c>
      <c r="AR40" s="100"/>
    </row>
    <row r="41" spans="1:44" s="23" customFormat="1" ht="14.25">
      <c r="A41" s="60">
        <f t="shared" si="12"/>
        <v>37</v>
      </c>
      <c r="B41" s="60">
        <v>95070629</v>
      </c>
      <c r="C41" s="61" t="s">
        <v>389</v>
      </c>
      <c r="D41" s="61" t="s">
        <v>383</v>
      </c>
      <c r="E41" s="62">
        <v>1575000</v>
      </c>
      <c r="F41" s="63">
        <v>100000</v>
      </c>
      <c r="G41" s="63">
        <v>265000</v>
      </c>
      <c r="H41" s="63">
        <f t="shared" si="0"/>
        <v>365000</v>
      </c>
      <c r="I41" s="63">
        <v>100000</v>
      </c>
      <c r="J41" s="63">
        <v>0</v>
      </c>
      <c r="K41" s="63">
        <v>0</v>
      </c>
      <c r="L41" s="63">
        <v>100000</v>
      </c>
      <c r="M41" s="63">
        <f>265000+140500</f>
        <v>405500</v>
      </c>
      <c r="N41" s="63">
        <f t="shared" si="1"/>
        <v>505500</v>
      </c>
      <c r="O41" s="63">
        <v>100000</v>
      </c>
      <c r="P41" s="63">
        <v>0</v>
      </c>
      <c r="Q41" s="63">
        <f t="shared" si="2"/>
        <v>100000</v>
      </c>
      <c r="R41" s="63">
        <v>100000</v>
      </c>
      <c r="S41" s="63">
        <v>48000</v>
      </c>
      <c r="T41" s="63">
        <f t="shared" si="3"/>
        <v>148000</v>
      </c>
      <c r="U41" s="63">
        <v>100000</v>
      </c>
      <c r="V41" s="63">
        <v>0</v>
      </c>
      <c r="W41" s="63">
        <f t="shared" si="4"/>
        <v>100000</v>
      </c>
      <c r="X41" s="63">
        <v>100000</v>
      </c>
      <c r="Y41" s="63">
        <f>540000+89000+21000</f>
        <v>650000</v>
      </c>
      <c r="Z41" s="63">
        <f t="shared" si="5"/>
        <v>750000</v>
      </c>
      <c r="AA41" s="63">
        <v>100000</v>
      </c>
      <c r="AB41" s="63">
        <v>540000</v>
      </c>
      <c r="AC41" s="63">
        <f t="shared" si="6"/>
        <v>640000</v>
      </c>
      <c r="AD41" s="63">
        <v>100000</v>
      </c>
      <c r="AE41" s="63">
        <v>540000</v>
      </c>
      <c r="AF41" s="63">
        <f t="shared" si="7"/>
        <v>640000</v>
      </c>
      <c r="AG41" s="63">
        <v>100000</v>
      </c>
      <c r="AH41" s="63">
        <f>540000</f>
        <v>540000</v>
      </c>
      <c r="AI41" s="63">
        <f t="shared" si="14"/>
        <v>640000</v>
      </c>
      <c r="AJ41" s="63">
        <v>100000</v>
      </c>
      <c r="AK41" s="63">
        <v>540000</v>
      </c>
      <c r="AL41" s="63">
        <f t="shared" si="9"/>
        <v>640000</v>
      </c>
      <c r="AM41" s="63">
        <v>100000</v>
      </c>
      <c r="AN41" s="63">
        <f>540000</f>
        <v>540000</v>
      </c>
      <c r="AO41" s="63">
        <f t="shared" si="10"/>
        <v>640000</v>
      </c>
      <c r="AP41" s="64">
        <f t="shared" si="11"/>
        <v>2775000</v>
      </c>
      <c r="AQ41" s="65">
        <f t="shared" si="13"/>
        <v>39316.648380731283</v>
      </c>
      <c r="AR41" s="100"/>
    </row>
    <row r="42" spans="1:44" s="23" customFormat="1" ht="14.25">
      <c r="A42" s="60">
        <f t="shared" si="12"/>
        <v>38</v>
      </c>
      <c r="B42" s="67" t="s">
        <v>390</v>
      </c>
      <c r="C42" s="61" t="s">
        <v>391</v>
      </c>
      <c r="D42" s="61" t="s">
        <v>383</v>
      </c>
      <c r="E42" s="62">
        <v>1575000</v>
      </c>
      <c r="F42" s="63">
        <v>100000</v>
      </c>
      <c r="G42" s="63">
        <v>265000</v>
      </c>
      <c r="H42" s="63">
        <f t="shared" si="0"/>
        <v>365000</v>
      </c>
      <c r="I42" s="63">
        <v>100000</v>
      </c>
      <c r="J42" s="63">
        <v>0</v>
      </c>
      <c r="K42" s="63">
        <v>0</v>
      </c>
      <c r="L42" s="63">
        <v>100000</v>
      </c>
      <c r="M42" s="63">
        <f>270000+219500</f>
        <v>489500</v>
      </c>
      <c r="N42" s="63">
        <f t="shared" si="1"/>
        <v>589500</v>
      </c>
      <c r="O42" s="63">
        <v>100000</v>
      </c>
      <c r="P42" s="63">
        <f>270000+291000</f>
        <v>561000</v>
      </c>
      <c r="Q42" s="63">
        <f t="shared" si="2"/>
        <v>661000</v>
      </c>
      <c r="R42" s="63">
        <v>100000</v>
      </c>
      <c r="S42" s="63">
        <f>270000+246000</f>
        <v>516000</v>
      </c>
      <c r="T42" s="63">
        <f t="shared" si="3"/>
        <v>616000</v>
      </c>
      <c r="U42" s="63">
        <v>100000</v>
      </c>
      <c r="V42" s="63">
        <v>270000</v>
      </c>
      <c r="W42" s="63">
        <f t="shared" si="4"/>
        <v>370000</v>
      </c>
      <c r="X42" s="63">
        <v>100000</v>
      </c>
      <c r="Y42" s="63">
        <f>270000+249500+56500</f>
        <v>576000</v>
      </c>
      <c r="Z42" s="63">
        <f t="shared" si="5"/>
        <v>676000</v>
      </c>
      <c r="AA42" s="63">
        <v>100000</v>
      </c>
      <c r="AB42" s="63">
        <f>270000+440000</f>
        <v>710000</v>
      </c>
      <c r="AC42" s="63">
        <f t="shared" si="6"/>
        <v>810000</v>
      </c>
      <c r="AD42" s="63">
        <v>100000</v>
      </c>
      <c r="AE42" s="63">
        <v>440000</v>
      </c>
      <c r="AF42" s="63">
        <f t="shared" si="7"/>
        <v>540000</v>
      </c>
      <c r="AG42" s="63">
        <v>100000</v>
      </c>
      <c r="AH42" s="63">
        <f>116000+440000</f>
        <v>556000</v>
      </c>
      <c r="AI42" s="63">
        <f t="shared" si="14"/>
        <v>656000</v>
      </c>
      <c r="AJ42" s="63">
        <v>100000</v>
      </c>
      <c r="AK42" s="63">
        <v>440000</v>
      </c>
      <c r="AL42" s="63">
        <f t="shared" si="9"/>
        <v>540000</v>
      </c>
      <c r="AM42" s="63">
        <v>100000</v>
      </c>
      <c r="AN42" s="63">
        <f>440000</f>
        <v>440000</v>
      </c>
      <c r="AO42" s="63">
        <f t="shared" si="10"/>
        <v>540000</v>
      </c>
      <c r="AP42" s="64">
        <f t="shared" si="11"/>
        <v>2775000</v>
      </c>
      <c r="AQ42" s="65">
        <f t="shared" si="13"/>
        <v>39316.648380731283</v>
      </c>
      <c r="AR42" s="100"/>
    </row>
    <row r="43" spans="1:44" s="23" customFormat="1">
      <c r="A43" s="60">
        <f t="shared" si="12"/>
        <v>39</v>
      </c>
      <c r="B43" s="70" t="s">
        <v>392</v>
      </c>
      <c r="C43" s="71" t="s">
        <v>393</v>
      </c>
      <c r="D43" s="61" t="s">
        <v>383</v>
      </c>
      <c r="E43" s="62">
        <v>1575000</v>
      </c>
      <c r="F43" s="63">
        <v>100000</v>
      </c>
      <c r="G43" s="63">
        <v>0</v>
      </c>
      <c r="H43" s="63">
        <f t="shared" si="0"/>
        <v>100000</v>
      </c>
      <c r="I43" s="63">
        <v>100000</v>
      </c>
      <c r="J43" s="63">
        <v>0</v>
      </c>
      <c r="K43" s="63">
        <v>0</v>
      </c>
      <c r="L43" s="63">
        <v>100000</v>
      </c>
      <c r="M43" s="63">
        <v>0</v>
      </c>
      <c r="N43" s="63">
        <f t="shared" si="1"/>
        <v>100000</v>
      </c>
      <c r="O43" s="63">
        <v>100000</v>
      </c>
      <c r="P43" s="63">
        <v>0</v>
      </c>
      <c r="Q43" s="63">
        <f t="shared" si="2"/>
        <v>100000</v>
      </c>
      <c r="R43" s="63">
        <v>100000</v>
      </c>
      <c r="S43" s="63">
        <v>0</v>
      </c>
      <c r="T43" s="63">
        <f t="shared" si="3"/>
        <v>100000</v>
      </c>
      <c r="U43" s="63">
        <v>100000</v>
      </c>
      <c r="V43" s="63">
        <v>0</v>
      </c>
      <c r="W43" s="63">
        <f t="shared" si="4"/>
        <v>100000</v>
      </c>
      <c r="X43" s="63">
        <v>100000</v>
      </c>
      <c r="Y43" s="63">
        <v>0</v>
      </c>
      <c r="Z43" s="63">
        <f t="shared" si="5"/>
        <v>100000</v>
      </c>
      <c r="AA43" s="63">
        <v>100000</v>
      </c>
      <c r="AB43" s="63">
        <v>265000</v>
      </c>
      <c r="AC43" s="63">
        <f t="shared" si="6"/>
        <v>365000</v>
      </c>
      <c r="AD43" s="63">
        <v>100000</v>
      </c>
      <c r="AE43" s="63">
        <v>265000</v>
      </c>
      <c r="AF43" s="63">
        <f t="shared" si="7"/>
        <v>365000</v>
      </c>
      <c r="AG43" s="63">
        <v>100000</v>
      </c>
      <c r="AH43" s="63">
        <f>265000</f>
        <v>265000</v>
      </c>
      <c r="AI43" s="63">
        <f t="shared" si="14"/>
        <v>365000</v>
      </c>
      <c r="AJ43" s="63">
        <v>100000</v>
      </c>
      <c r="AK43" s="63">
        <v>265000</v>
      </c>
      <c r="AL43" s="63">
        <f t="shared" si="9"/>
        <v>365000</v>
      </c>
      <c r="AM43" s="63">
        <v>100000</v>
      </c>
      <c r="AN43" s="63">
        <v>0</v>
      </c>
      <c r="AO43" s="63">
        <f t="shared" si="10"/>
        <v>100000</v>
      </c>
      <c r="AP43" s="64">
        <f t="shared" si="11"/>
        <v>2775000</v>
      </c>
      <c r="AQ43" s="65">
        <f t="shared" si="13"/>
        <v>39316.648380731283</v>
      </c>
      <c r="AR43" s="100"/>
    </row>
    <row r="44" spans="1:44" s="23" customFormat="1" ht="14.25">
      <c r="A44" s="60">
        <f t="shared" si="12"/>
        <v>40</v>
      </c>
      <c r="B44" s="60">
        <v>97031349</v>
      </c>
      <c r="C44" s="61" t="s">
        <v>395</v>
      </c>
      <c r="D44" s="61" t="s">
        <v>396</v>
      </c>
      <c r="E44" s="62">
        <v>1575000</v>
      </c>
      <c r="F44" s="63">
        <v>100000</v>
      </c>
      <c r="G44" s="63">
        <v>270000</v>
      </c>
      <c r="H44" s="63">
        <f t="shared" si="0"/>
        <v>370000</v>
      </c>
      <c r="I44" s="63">
        <v>100000</v>
      </c>
      <c r="J44" s="63">
        <v>0</v>
      </c>
      <c r="K44" s="63">
        <v>0</v>
      </c>
      <c r="L44" s="63">
        <v>100000</v>
      </c>
      <c r="M44" s="63">
        <v>0</v>
      </c>
      <c r="N44" s="63">
        <f t="shared" si="1"/>
        <v>100000</v>
      </c>
      <c r="O44" s="63">
        <v>100000</v>
      </c>
      <c r="P44" s="63">
        <v>0</v>
      </c>
      <c r="Q44" s="63">
        <f t="shared" si="2"/>
        <v>100000</v>
      </c>
      <c r="R44" s="63">
        <v>100000</v>
      </c>
      <c r="S44" s="63">
        <v>440000</v>
      </c>
      <c r="T44" s="63">
        <f t="shared" si="3"/>
        <v>540000</v>
      </c>
      <c r="U44" s="63">
        <v>100000</v>
      </c>
      <c r="V44" s="63">
        <v>440000</v>
      </c>
      <c r="W44" s="63">
        <f t="shared" si="4"/>
        <v>540000</v>
      </c>
      <c r="X44" s="63">
        <v>100000</v>
      </c>
      <c r="Y44" s="63">
        <v>440000</v>
      </c>
      <c r="Z44" s="63">
        <f t="shared" si="5"/>
        <v>540000</v>
      </c>
      <c r="AA44" s="63">
        <v>100000</v>
      </c>
      <c r="AB44" s="63">
        <v>440000</v>
      </c>
      <c r="AC44" s="63">
        <f t="shared" si="6"/>
        <v>540000</v>
      </c>
      <c r="AD44" s="63">
        <v>100000</v>
      </c>
      <c r="AE44" s="63">
        <v>440000</v>
      </c>
      <c r="AF44" s="63">
        <f t="shared" si="7"/>
        <v>540000</v>
      </c>
      <c r="AG44" s="63">
        <v>100000</v>
      </c>
      <c r="AH44" s="63">
        <f>440000</f>
        <v>440000</v>
      </c>
      <c r="AI44" s="63">
        <f t="shared" si="14"/>
        <v>540000</v>
      </c>
      <c r="AJ44" s="63">
        <v>100000</v>
      </c>
      <c r="AK44" s="63">
        <v>440000</v>
      </c>
      <c r="AL44" s="63">
        <f t="shared" si="9"/>
        <v>540000</v>
      </c>
      <c r="AM44" s="63">
        <v>100000</v>
      </c>
      <c r="AN44" s="63">
        <f>440000</f>
        <v>440000</v>
      </c>
      <c r="AO44" s="63">
        <f t="shared" si="10"/>
        <v>540000</v>
      </c>
      <c r="AP44" s="64">
        <f t="shared" si="11"/>
        <v>2775000</v>
      </c>
      <c r="AQ44" s="65">
        <f t="shared" si="13"/>
        <v>39316.648380731283</v>
      </c>
      <c r="AR44" s="100"/>
    </row>
    <row r="45" spans="1:44" s="23" customFormat="1" ht="14.25">
      <c r="A45" s="60">
        <f t="shared" si="12"/>
        <v>41</v>
      </c>
      <c r="B45" s="68">
        <v>13089859</v>
      </c>
      <c r="C45" s="61" t="s">
        <v>397</v>
      </c>
      <c r="D45" s="61" t="s">
        <v>396</v>
      </c>
      <c r="E45" s="62">
        <v>200000</v>
      </c>
      <c r="F45" s="63">
        <v>100000</v>
      </c>
      <c r="G45" s="63">
        <v>0</v>
      </c>
      <c r="H45" s="63">
        <f t="shared" si="0"/>
        <v>100000</v>
      </c>
      <c r="I45" s="63">
        <v>100000</v>
      </c>
      <c r="J45" s="63">
        <v>0</v>
      </c>
      <c r="K45" s="63">
        <v>0</v>
      </c>
      <c r="L45" s="63">
        <v>100000</v>
      </c>
      <c r="M45" s="63">
        <v>550000</v>
      </c>
      <c r="N45" s="63">
        <f t="shared" si="1"/>
        <v>650000</v>
      </c>
      <c r="O45" s="63">
        <v>100000</v>
      </c>
      <c r="P45" s="63">
        <v>550000</v>
      </c>
      <c r="Q45" s="63">
        <f t="shared" si="2"/>
        <v>650000</v>
      </c>
      <c r="R45" s="63">
        <v>100000</v>
      </c>
      <c r="S45" s="63">
        <v>550000</v>
      </c>
      <c r="T45" s="63">
        <f t="shared" si="3"/>
        <v>650000</v>
      </c>
      <c r="U45" s="63">
        <v>100000</v>
      </c>
      <c r="V45" s="63">
        <v>0</v>
      </c>
      <c r="W45" s="63">
        <f t="shared" si="4"/>
        <v>100000</v>
      </c>
      <c r="X45" s="63">
        <v>100000</v>
      </c>
      <c r="Y45" s="63">
        <v>0</v>
      </c>
      <c r="Z45" s="63">
        <f t="shared" si="5"/>
        <v>100000</v>
      </c>
      <c r="AA45" s="63">
        <v>100000</v>
      </c>
      <c r="AB45" s="63">
        <v>0</v>
      </c>
      <c r="AC45" s="63">
        <f t="shared" si="6"/>
        <v>100000</v>
      </c>
      <c r="AD45" s="63">
        <v>100000</v>
      </c>
      <c r="AE45" s="63">
        <v>550000</v>
      </c>
      <c r="AF45" s="63">
        <f t="shared" si="7"/>
        <v>650000</v>
      </c>
      <c r="AG45" s="63">
        <v>100000</v>
      </c>
      <c r="AH45" s="63">
        <f>550000</f>
        <v>550000</v>
      </c>
      <c r="AI45" s="63">
        <f t="shared" si="14"/>
        <v>650000</v>
      </c>
      <c r="AJ45" s="63">
        <v>100000</v>
      </c>
      <c r="AK45" s="63">
        <v>550000</v>
      </c>
      <c r="AL45" s="63">
        <f t="shared" si="9"/>
        <v>650000</v>
      </c>
      <c r="AM45" s="63">
        <v>100000</v>
      </c>
      <c r="AN45" s="63">
        <f>550000</f>
        <v>550000</v>
      </c>
      <c r="AO45" s="63">
        <f t="shared" si="10"/>
        <v>650000</v>
      </c>
      <c r="AP45" s="64">
        <f t="shared" si="11"/>
        <v>1400000</v>
      </c>
      <c r="AQ45" s="65">
        <f t="shared" si="13"/>
        <v>19835.426210098667</v>
      </c>
      <c r="AR45" s="100"/>
    </row>
    <row r="46" spans="1:44" s="23" customFormat="1" ht="14.25">
      <c r="A46" s="60">
        <f t="shared" si="12"/>
        <v>42</v>
      </c>
      <c r="B46" s="67">
        <v>12028769</v>
      </c>
      <c r="C46" s="61" t="s">
        <v>398</v>
      </c>
      <c r="D46" s="61" t="s">
        <v>396</v>
      </c>
      <c r="E46" s="62">
        <v>1575000</v>
      </c>
      <c r="F46" s="63">
        <v>100000</v>
      </c>
      <c r="G46" s="63">
        <f>270000+116000</f>
        <v>386000</v>
      </c>
      <c r="H46" s="63">
        <f t="shared" si="0"/>
        <v>486000</v>
      </c>
      <c r="I46" s="63">
        <v>100000</v>
      </c>
      <c r="J46" s="63">
        <v>0</v>
      </c>
      <c r="K46" s="63">
        <v>0</v>
      </c>
      <c r="L46" s="63">
        <v>100000</v>
      </c>
      <c r="M46" s="63">
        <v>0</v>
      </c>
      <c r="N46" s="63">
        <f t="shared" si="1"/>
        <v>100000</v>
      </c>
      <c r="O46" s="63">
        <v>100000</v>
      </c>
      <c r="P46" s="63">
        <v>49000</v>
      </c>
      <c r="Q46" s="63">
        <f t="shared" si="2"/>
        <v>149000</v>
      </c>
      <c r="R46" s="63">
        <v>100000</v>
      </c>
      <c r="S46" s="63">
        <v>0</v>
      </c>
      <c r="T46" s="63">
        <f t="shared" si="3"/>
        <v>100000</v>
      </c>
      <c r="U46" s="63">
        <v>100000</v>
      </c>
      <c r="V46" s="63">
        <v>0</v>
      </c>
      <c r="W46" s="63">
        <f t="shared" si="4"/>
        <v>100000</v>
      </c>
      <c r="X46" s="63">
        <v>100000</v>
      </c>
      <c r="Y46" s="63">
        <v>0</v>
      </c>
      <c r="Z46" s="63">
        <f t="shared" si="5"/>
        <v>100000</v>
      </c>
      <c r="AA46" s="63">
        <v>100000</v>
      </c>
      <c r="AB46" s="63">
        <v>0</v>
      </c>
      <c r="AC46" s="63">
        <f t="shared" si="6"/>
        <v>100000</v>
      </c>
      <c r="AD46" s="63">
        <v>100000</v>
      </c>
      <c r="AE46" s="63">
        <v>0</v>
      </c>
      <c r="AF46" s="63">
        <f t="shared" si="7"/>
        <v>100000</v>
      </c>
      <c r="AG46" s="63">
        <v>100000</v>
      </c>
      <c r="AH46" s="63">
        <v>0</v>
      </c>
      <c r="AI46" s="63">
        <f t="shared" si="14"/>
        <v>100000</v>
      </c>
      <c r="AJ46" s="63">
        <v>100000</v>
      </c>
      <c r="AK46" s="63">
        <v>530000</v>
      </c>
      <c r="AL46" s="63">
        <f t="shared" si="9"/>
        <v>630000</v>
      </c>
      <c r="AM46" s="63">
        <v>100000</v>
      </c>
      <c r="AN46" s="63">
        <f>530000</f>
        <v>530000</v>
      </c>
      <c r="AO46" s="63">
        <f t="shared" si="10"/>
        <v>630000</v>
      </c>
      <c r="AP46" s="64">
        <f t="shared" si="11"/>
        <v>2775000</v>
      </c>
      <c r="AQ46" s="65">
        <f t="shared" si="13"/>
        <v>39316.648380731283</v>
      </c>
      <c r="AR46" s="100"/>
    </row>
    <row r="47" spans="1:44" s="23" customFormat="1" ht="14.25">
      <c r="A47" s="60">
        <f t="shared" si="12"/>
        <v>43</v>
      </c>
      <c r="B47" s="72">
        <v>15061649</v>
      </c>
      <c r="C47" s="61" t="s">
        <v>656</v>
      </c>
      <c r="D47" s="61" t="s">
        <v>396</v>
      </c>
      <c r="E47" s="62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>
        <v>200000</v>
      </c>
      <c r="AH47" s="63">
        <v>0</v>
      </c>
      <c r="AI47" s="63">
        <f t="shared" si="14"/>
        <v>200000</v>
      </c>
      <c r="AJ47" s="63">
        <v>100000</v>
      </c>
      <c r="AK47" s="63">
        <v>0</v>
      </c>
      <c r="AL47" s="63">
        <f t="shared" si="9"/>
        <v>100000</v>
      </c>
      <c r="AM47" s="63">
        <v>100000</v>
      </c>
      <c r="AN47" s="63">
        <f>278500</f>
        <v>278500</v>
      </c>
      <c r="AO47" s="63">
        <f t="shared" si="10"/>
        <v>378500</v>
      </c>
      <c r="AP47" s="64">
        <f t="shared" si="11"/>
        <v>400000</v>
      </c>
      <c r="AQ47" s="65">
        <f t="shared" si="13"/>
        <v>5667.264631456761</v>
      </c>
      <c r="AR47" s="100"/>
    </row>
    <row r="48" spans="1:44" s="23" customFormat="1" ht="14.25">
      <c r="A48" s="60">
        <f t="shared" si="12"/>
        <v>44</v>
      </c>
      <c r="B48" s="67" t="s">
        <v>399</v>
      </c>
      <c r="C48" s="61" t="s">
        <v>400</v>
      </c>
      <c r="D48" s="61" t="s">
        <v>401</v>
      </c>
      <c r="E48" s="62">
        <v>1575000</v>
      </c>
      <c r="F48" s="63">
        <v>100000</v>
      </c>
      <c r="G48" s="63">
        <v>0</v>
      </c>
      <c r="H48" s="63">
        <f t="shared" ref="H48:H63" si="15">F48+G48</f>
        <v>100000</v>
      </c>
      <c r="I48" s="63">
        <v>100000</v>
      </c>
      <c r="J48" s="63">
        <v>0</v>
      </c>
      <c r="K48" s="63">
        <v>0</v>
      </c>
      <c r="L48" s="63">
        <v>100000</v>
      </c>
      <c r="M48" s="63">
        <v>20500</v>
      </c>
      <c r="N48" s="63">
        <f t="shared" ref="N48:N63" si="16">L48+M48</f>
        <v>120500</v>
      </c>
      <c r="O48" s="63">
        <v>100000</v>
      </c>
      <c r="P48" s="63">
        <v>0</v>
      </c>
      <c r="Q48" s="63">
        <f t="shared" ref="Q48:Q63" si="17">SUM(O48:P48)</f>
        <v>100000</v>
      </c>
      <c r="R48" s="63">
        <v>100000</v>
      </c>
      <c r="S48" s="63">
        <v>0</v>
      </c>
      <c r="T48" s="63">
        <f t="shared" ref="T48:T63" si="18">R48+S48</f>
        <v>100000</v>
      </c>
      <c r="U48" s="63">
        <v>100000</v>
      </c>
      <c r="V48" s="63">
        <v>440000</v>
      </c>
      <c r="W48" s="63">
        <f t="shared" ref="W48:W63" si="19">U48+V48</f>
        <v>540000</v>
      </c>
      <c r="X48" s="63">
        <v>100000</v>
      </c>
      <c r="Y48" s="63">
        <v>440000</v>
      </c>
      <c r="Z48" s="63">
        <f t="shared" ref="Z48:Z64" si="20">X48+Y48</f>
        <v>540000</v>
      </c>
      <c r="AA48" s="63">
        <v>100000</v>
      </c>
      <c r="AB48" s="63">
        <v>440000</v>
      </c>
      <c r="AC48" s="63">
        <f t="shared" ref="AC48:AC64" si="21">AB48+AA48</f>
        <v>540000</v>
      </c>
      <c r="AD48" s="63">
        <v>100000</v>
      </c>
      <c r="AE48" s="63">
        <v>440000</v>
      </c>
      <c r="AF48" s="63">
        <f t="shared" ref="AF48:AF95" si="22">AD48+AE48</f>
        <v>540000</v>
      </c>
      <c r="AG48" s="63">
        <v>100000</v>
      </c>
      <c r="AH48" s="63">
        <f>440000</f>
        <v>440000</v>
      </c>
      <c r="AI48" s="63">
        <f t="shared" si="14"/>
        <v>540000</v>
      </c>
      <c r="AJ48" s="63">
        <v>100000</v>
      </c>
      <c r="AK48" s="63">
        <v>0</v>
      </c>
      <c r="AL48" s="63">
        <f t="shared" si="9"/>
        <v>100000</v>
      </c>
      <c r="AM48" s="63">
        <v>100000</v>
      </c>
      <c r="AN48" s="63">
        <v>0</v>
      </c>
      <c r="AO48" s="63">
        <f t="shared" si="10"/>
        <v>100000</v>
      </c>
      <c r="AP48" s="64">
        <f t="shared" si="11"/>
        <v>2775000</v>
      </c>
      <c r="AQ48" s="65">
        <f t="shared" si="13"/>
        <v>39316.648380731283</v>
      </c>
      <c r="AR48" s="100"/>
    </row>
    <row r="49" spans="1:44" s="23" customFormat="1" ht="14.25">
      <c r="A49" s="60">
        <f t="shared" si="12"/>
        <v>45</v>
      </c>
      <c r="B49" s="68">
        <v>12109419</v>
      </c>
      <c r="C49" s="61" t="s">
        <v>402</v>
      </c>
      <c r="D49" s="61" t="s">
        <v>401</v>
      </c>
      <c r="E49" s="62">
        <v>400000</v>
      </c>
      <c r="F49" s="63">
        <v>100000</v>
      </c>
      <c r="G49" s="63">
        <f>550000+366500</f>
        <v>916500</v>
      </c>
      <c r="H49" s="63">
        <f t="shared" si="15"/>
        <v>1016500</v>
      </c>
      <c r="I49" s="63">
        <v>100000</v>
      </c>
      <c r="J49" s="63">
        <v>0</v>
      </c>
      <c r="K49" s="63">
        <v>0</v>
      </c>
      <c r="L49" s="63">
        <v>100000</v>
      </c>
      <c r="M49" s="63">
        <f>550000+359000</f>
        <v>909000</v>
      </c>
      <c r="N49" s="63">
        <f t="shared" si="16"/>
        <v>1009000</v>
      </c>
      <c r="O49" s="63">
        <v>100000</v>
      </c>
      <c r="P49" s="63">
        <f>550000+283000</f>
        <v>833000</v>
      </c>
      <c r="Q49" s="63">
        <f t="shared" si="17"/>
        <v>933000</v>
      </c>
      <c r="R49" s="63">
        <v>100000</v>
      </c>
      <c r="S49" s="63">
        <f>550000+461500</f>
        <v>1011500</v>
      </c>
      <c r="T49" s="63">
        <f t="shared" si="18"/>
        <v>1111500</v>
      </c>
      <c r="U49" s="63">
        <v>100000</v>
      </c>
      <c r="V49" s="63">
        <f>550000+403500</f>
        <v>953500</v>
      </c>
      <c r="W49" s="63">
        <f t="shared" si="19"/>
        <v>1053500</v>
      </c>
      <c r="X49" s="63">
        <v>100000</v>
      </c>
      <c r="Y49" s="63">
        <f>550000+426500+195000</f>
        <v>1171500</v>
      </c>
      <c r="Z49" s="63">
        <f t="shared" si="20"/>
        <v>1271500</v>
      </c>
      <c r="AA49" s="63">
        <v>100000</v>
      </c>
      <c r="AB49" s="63">
        <f>550000+484500</f>
        <v>1034500</v>
      </c>
      <c r="AC49" s="63">
        <f t="shared" si="21"/>
        <v>1134500</v>
      </c>
      <c r="AD49" s="63">
        <v>100000</v>
      </c>
      <c r="AE49" s="63">
        <f>199500+550000</f>
        <v>749500</v>
      </c>
      <c r="AF49" s="63">
        <f t="shared" si="22"/>
        <v>849500</v>
      </c>
      <c r="AG49" s="63">
        <v>100000</v>
      </c>
      <c r="AH49" s="63">
        <f>139000+550000</f>
        <v>689000</v>
      </c>
      <c r="AI49" s="63">
        <f t="shared" si="14"/>
        <v>789000</v>
      </c>
      <c r="AJ49" s="63">
        <v>100000</v>
      </c>
      <c r="AK49" s="63">
        <f>550000+114000</f>
        <v>664000</v>
      </c>
      <c r="AL49" s="63">
        <f t="shared" si="9"/>
        <v>764000</v>
      </c>
      <c r="AM49" s="63">
        <v>100000</v>
      </c>
      <c r="AN49" s="63">
        <f>550000</f>
        <v>550000</v>
      </c>
      <c r="AO49" s="63">
        <f t="shared" si="10"/>
        <v>650000</v>
      </c>
      <c r="AP49" s="64">
        <f t="shared" si="11"/>
        <v>1600000</v>
      </c>
      <c r="AQ49" s="65">
        <f t="shared" si="13"/>
        <v>22669.058525827044</v>
      </c>
      <c r="AR49" s="100"/>
    </row>
    <row r="50" spans="1:44" s="23" customFormat="1" ht="14.25">
      <c r="A50" s="60">
        <f t="shared" si="12"/>
        <v>46</v>
      </c>
      <c r="B50" s="60">
        <v>96091119</v>
      </c>
      <c r="C50" s="61" t="s">
        <v>403</v>
      </c>
      <c r="D50" s="61" t="s">
        <v>404</v>
      </c>
      <c r="E50" s="62">
        <v>1575000</v>
      </c>
      <c r="F50" s="63">
        <v>100000</v>
      </c>
      <c r="G50" s="63">
        <v>0</v>
      </c>
      <c r="H50" s="63">
        <f t="shared" si="15"/>
        <v>100000</v>
      </c>
      <c r="I50" s="63">
        <v>100000</v>
      </c>
      <c r="J50" s="63">
        <v>0</v>
      </c>
      <c r="K50" s="63">
        <v>0</v>
      </c>
      <c r="L50" s="63">
        <v>100000</v>
      </c>
      <c r="M50" s="63">
        <v>0</v>
      </c>
      <c r="N50" s="63">
        <f t="shared" si="16"/>
        <v>100000</v>
      </c>
      <c r="O50" s="63">
        <v>100000</v>
      </c>
      <c r="P50" s="63">
        <v>270000</v>
      </c>
      <c r="Q50" s="63">
        <f t="shared" si="17"/>
        <v>370000</v>
      </c>
      <c r="R50" s="63">
        <v>100000</v>
      </c>
      <c r="S50" s="63">
        <v>270000</v>
      </c>
      <c r="T50" s="63">
        <f t="shared" si="18"/>
        <v>370000</v>
      </c>
      <c r="U50" s="63">
        <v>100000</v>
      </c>
      <c r="V50" s="63">
        <v>270000</v>
      </c>
      <c r="W50" s="63">
        <f t="shared" si="19"/>
        <v>370000</v>
      </c>
      <c r="X50" s="63">
        <v>100000</v>
      </c>
      <c r="Y50" s="63">
        <v>270000</v>
      </c>
      <c r="Z50" s="63">
        <f t="shared" si="20"/>
        <v>370000</v>
      </c>
      <c r="AA50" s="63">
        <v>100000</v>
      </c>
      <c r="AB50" s="63">
        <v>270000</v>
      </c>
      <c r="AC50" s="63">
        <f t="shared" si="21"/>
        <v>370000</v>
      </c>
      <c r="AD50" s="63">
        <v>100000</v>
      </c>
      <c r="AE50" s="63">
        <v>270000</v>
      </c>
      <c r="AF50" s="63">
        <f t="shared" si="22"/>
        <v>370000</v>
      </c>
      <c r="AG50" s="63">
        <v>100000</v>
      </c>
      <c r="AH50" s="63">
        <f>265000</f>
        <v>265000</v>
      </c>
      <c r="AI50" s="63">
        <f t="shared" si="14"/>
        <v>365000</v>
      </c>
      <c r="AJ50" s="63">
        <v>100000</v>
      </c>
      <c r="AK50" s="63">
        <v>265000</v>
      </c>
      <c r="AL50" s="63">
        <f t="shared" si="9"/>
        <v>365000</v>
      </c>
      <c r="AM50" s="63">
        <v>100000</v>
      </c>
      <c r="AN50" s="63">
        <f>265000</f>
        <v>265000</v>
      </c>
      <c r="AO50" s="63">
        <f t="shared" si="10"/>
        <v>365000</v>
      </c>
      <c r="AP50" s="64">
        <f t="shared" si="11"/>
        <v>2775000</v>
      </c>
      <c r="AQ50" s="65">
        <f t="shared" si="13"/>
        <v>39316.648380731283</v>
      </c>
      <c r="AR50" s="100"/>
    </row>
    <row r="51" spans="1:44" s="23" customFormat="1" ht="14.25">
      <c r="A51" s="60">
        <f t="shared" si="12"/>
        <v>47</v>
      </c>
      <c r="B51" s="60">
        <v>97031309</v>
      </c>
      <c r="C51" s="61" t="s">
        <v>405</v>
      </c>
      <c r="D51" s="61" t="s">
        <v>404</v>
      </c>
      <c r="E51" s="62">
        <v>1575000</v>
      </c>
      <c r="F51" s="63">
        <v>100000</v>
      </c>
      <c r="G51" s="63">
        <f>440000+600000+160000</f>
        <v>1200000</v>
      </c>
      <c r="H51" s="63">
        <f t="shared" si="15"/>
        <v>1300000</v>
      </c>
      <c r="I51" s="63">
        <v>100000</v>
      </c>
      <c r="J51" s="63">
        <v>0</v>
      </c>
      <c r="K51" s="63">
        <v>0</v>
      </c>
      <c r="L51" s="63">
        <v>100000</v>
      </c>
      <c r="M51" s="63">
        <f>600000+265000</f>
        <v>865000</v>
      </c>
      <c r="N51" s="63">
        <f t="shared" si="16"/>
        <v>965000</v>
      </c>
      <c r="O51" s="63">
        <v>100000</v>
      </c>
      <c r="P51" s="63">
        <f>600000+265000+346500</f>
        <v>1211500</v>
      </c>
      <c r="Q51" s="63">
        <f t="shared" si="17"/>
        <v>1311500</v>
      </c>
      <c r="R51" s="63">
        <v>100000</v>
      </c>
      <c r="S51" s="63">
        <f>600000+265000+181500</f>
        <v>1046500</v>
      </c>
      <c r="T51" s="63">
        <f t="shared" si="18"/>
        <v>1146500</v>
      </c>
      <c r="U51" s="63">
        <v>100000</v>
      </c>
      <c r="V51" s="63">
        <f>265000+175000+600000</f>
        <v>1040000</v>
      </c>
      <c r="W51" s="63">
        <f t="shared" si="19"/>
        <v>1140000</v>
      </c>
      <c r="X51" s="63">
        <v>100000</v>
      </c>
      <c r="Y51" s="63">
        <v>540000</v>
      </c>
      <c r="Z51" s="63">
        <f t="shared" si="20"/>
        <v>640000</v>
      </c>
      <c r="AA51" s="63">
        <v>100000</v>
      </c>
      <c r="AB51" s="63">
        <v>540000</v>
      </c>
      <c r="AC51" s="63">
        <f t="shared" si="21"/>
        <v>640000</v>
      </c>
      <c r="AD51" s="63">
        <v>100000</v>
      </c>
      <c r="AE51" s="63">
        <v>540000</v>
      </c>
      <c r="AF51" s="63">
        <f t="shared" si="22"/>
        <v>640000</v>
      </c>
      <c r="AG51" s="63">
        <v>100000</v>
      </c>
      <c r="AH51" s="63">
        <f>540000+270000</f>
        <v>810000</v>
      </c>
      <c r="AI51" s="63">
        <f t="shared" si="14"/>
        <v>910000</v>
      </c>
      <c r="AJ51" s="63">
        <v>100000</v>
      </c>
      <c r="AK51" s="63">
        <v>540000</v>
      </c>
      <c r="AL51" s="63">
        <f t="shared" si="9"/>
        <v>640000</v>
      </c>
      <c r="AM51" s="63">
        <v>100000</v>
      </c>
      <c r="AN51" s="63">
        <f>540000+270000</f>
        <v>810000</v>
      </c>
      <c r="AO51" s="63">
        <f t="shared" si="10"/>
        <v>910000</v>
      </c>
      <c r="AP51" s="64">
        <f t="shared" si="11"/>
        <v>2775000</v>
      </c>
      <c r="AQ51" s="65">
        <f t="shared" si="13"/>
        <v>39316.648380731283</v>
      </c>
      <c r="AR51" s="100"/>
    </row>
    <row r="52" spans="1:44" s="23" customFormat="1" ht="14.25">
      <c r="A52" s="60">
        <f t="shared" si="12"/>
        <v>48</v>
      </c>
      <c r="B52" s="67" t="s">
        <v>406</v>
      </c>
      <c r="C52" s="61" t="s">
        <v>407</v>
      </c>
      <c r="D52" s="61" t="s">
        <v>404</v>
      </c>
      <c r="E52" s="62">
        <v>1575000</v>
      </c>
      <c r="F52" s="63">
        <v>100000</v>
      </c>
      <c r="G52" s="63">
        <v>0</v>
      </c>
      <c r="H52" s="63">
        <f t="shared" si="15"/>
        <v>100000</v>
      </c>
      <c r="I52" s="63">
        <v>100000</v>
      </c>
      <c r="J52" s="63">
        <v>0</v>
      </c>
      <c r="K52" s="63">
        <v>0</v>
      </c>
      <c r="L52" s="63">
        <v>100000</v>
      </c>
      <c r="M52" s="63">
        <v>0</v>
      </c>
      <c r="N52" s="63">
        <f t="shared" si="16"/>
        <v>100000</v>
      </c>
      <c r="O52" s="63">
        <v>100000</v>
      </c>
      <c r="P52" s="63">
        <v>0</v>
      </c>
      <c r="Q52" s="63">
        <f t="shared" si="17"/>
        <v>100000</v>
      </c>
      <c r="R52" s="63">
        <v>100000</v>
      </c>
      <c r="S52" s="63">
        <v>0</v>
      </c>
      <c r="T52" s="63">
        <f t="shared" si="18"/>
        <v>100000</v>
      </c>
      <c r="U52" s="63">
        <v>100000</v>
      </c>
      <c r="V52" s="63">
        <v>0</v>
      </c>
      <c r="W52" s="63">
        <f t="shared" si="19"/>
        <v>100000</v>
      </c>
      <c r="X52" s="63">
        <v>100000</v>
      </c>
      <c r="Y52" s="63">
        <v>0</v>
      </c>
      <c r="Z52" s="63">
        <f t="shared" si="20"/>
        <v>100000</v>
      </c>
      <c r="AA52" s="63">
        <v>100000</v>
      </c>
      <c r="AB52" s="63">
        <v>0</v>
      </c>
      <c r="AC52" s="63">
        <f t="shared" si="21"/>
        <v>100000</v>
      </c>
      <c r="AD52" s="63">
        <v>100000</v>
      </c>
      <c r="AE52" s="63">
        <v>0</v>
      </c>
      <c r="AF52" s="63">
        <f t="shared" si="22"/>
        <v>100000</v>
      </c>
      <c r="AG52" s="63">
        <v>100000</v>
      </c>
      <c r="AH52" s="63">
        <v>0</v>
      </c>
      <c r="AI52" s="63">
        <f t="shared" si="14"/>
        <v>100000</v>
      </c>
      <c r="AJ52" s="63">
        <v>100000</v>
      </c>
      <c r="AK52" s="63">
        <v>270000</v>
      </c>
      <c r="AL52" s="63">
        <f t="shared" si="9"/>
        <v>370000</v>
      </c>
      <c r="AM52" s="63">
        <v>100000</v>
      </c>
      <c r="AN52" s="63">
        <v>0</v>
      </c>
      <c r="AO52" s="63">
        <f t="shared" si="10"/>
        <v>100000</v>
      </c>
      <c r="AP52" s="64">
        <f t="shared" si="11"/>
        <v>2775000</v>
      </c>
      <c r="AQ52" s="65">
        <f t="shared" si="13"/>
        <v>39316.648380731283</v>
      </c>
      <c r="AR52" s="100"/>
    </row>
    <row r="53" spans="1:44" s="23" customFormat="1" ht="14.25">
      <c r="A53" s="60">
        <f t="shared" si="12"/>
        <v>49</v>
      </c>
      <c r="B53" s="60">
        <v>95070119</v>
      </c>
      <c r="C53" s="61" t="s">
        <v>408</v>
      </c>
      <c r="D53" s="61" t="s">
        <v>404</v>
      </c>
      <c r="E53" s="62">
        <v>1575000</v>
      </c>
      <c r="F53" s="63">
        <v>100000</v>
      </c>
      <c r="G53" s="63">
        <v>105000</v>
      </c>
      <c r="H53" s="63">
        <f t="shared" si="15"/>
        <v>205000</v>
      </c>
      <c r="I53" s="63">
        <v>100000</v>
      </c>
      <c r="J53" s="63">
        <v>0</v>
      </c>
      <c r="K53" s="63">
        <v>0</v>
      </c>
      <c r="L53" s="63">
        <v>100000</v>
      </c>
      <c r="M53" s="63">
        <v>0</v>
      </c>
      <c r="N53" s="63">
        <f t="shared" si="16"/>
        <v>100000</v>
      </c>
      <c r="O53" s="63">
        <v>100000</v>
      </c>
      <c r="P53" s="63">
        <v>0</v>
      </c>
      <c r="Q53" s="63">
        <f t="shared" si="17"/>
        <v>100000</v>
      </c>
      <c r="R53" s="63">
        <v>100000</v>
      </c>
      <c r="S53" s="63">
        <v>0</v>
      </c>
      <c r="T53" s="63">
        <f t="shared" si="18"/>
        <v>100000</v>
      </c>
      <c r="U53" s="63">
        <v>100000</v>
      </c>
      <c r="V53" s="63">
        <v>0</v>
      </c>
      <c r="W53" s="63">
        <f t="shared" si="19"/>
        <v>100000</v>
      </c>
      <c r="X53" s="63">
        <v>100000</v>
      </c>
      <c r="Y53" s="63">
        <v>550000</v>
      </c>
      <c r="Z53" s="63">
        <f t="shared" si="20"/>
        <v>650000</v>
      </c>
      <c r="AA53" s="63">
        <v>100000</v>
      </c>
      <c r="AB53" s="63">
        <v>550000</v>
      </c>
      <c r="AC53" s="63">
        <f t="shared" si="21"/>
        <v>650000</v>
      </c>
      <c r="AD53" s="63">
        <v>100000</v>
      </c>
      <c r="AE53" s="63">
        <v>550000</v>
      </c>
      <c r="AF53" s="63">
        <f t="shared" si="22"/>
        <v>650000</v>
      </c>
      <c r="AG53" s="63">
        <v>100000</v>
      </c>
      <c r="AH53" s="63">
        <f>550000</f>
        <v>550000</v>
      </c>
      <c r="AI53" s="63">
        <f t="shared" si="14"/>
        <v>650000</v>
      </c>
      <c r="AJ53" s="63">
        <v>100000</v>
      </c>
      <c r="AK53" s="63">
        <v>0</v>
      </c>
      <c r="AL53" s="63">
        <f t="shared" si="9"/>
        <v>100000</v>
      </c>
      <c r="AM53" s="63">
        <v>100000</v>
      </c>
      <c r="AN53" s="63">
        <v>0</v>
      </c>
      <c r="AO53" s="63">
        <f t="shared" si="10"/>
        <v>100000</v>
      </c>
      <c r="AP53" s="64">
        <f t="shared" si="11"/>
        <v>2775000</v>
      </c>
      <c r="AQ53" s="65">
        <f t="shared" si="13"/>
        <v>39316.648380731283</v>
      </c>
      <c r="AR53" s="100"/>
    </row>
    <row r="54" spans="1:44">
      <c r="A54" s="60">
        <f t="shared" si="12"/>
        <v>50</v>
      </c>
      <c r="B54" s="60">
        <v>13120389</v>
      </c>
      <c r="C54" s="61" t="s">
        <v>409</v>
      </c>
      <c r="D54" s="61" t="s">
        <v>404</v>
      </c>
      <c r="E54" s="62">
        <v>1125000</v>
      </c>
      <c r="F54" s="63">
        <v>100000</v>
      </c>
      <c r="G54" s="63">
        <v>0</v>
      </c>
      <c r="H54" s="63">
        <f t="shared" si="15"/>
        <v>100000</v>
      </c>
      <c r="I54" s="63">
        <v>100000</v>
      </c>
      <c r="J54" s="63">
        <v>0</v>
      </c>
      <c r="K54" s="63">
        <v>0</v>
      </c>
      <c r="L54" s="63">
        <v>100000</v>
      </c>
      <c r="M54" s="63">
        <v>90000</v>
      </c>
      <c r="N54" s="63">
        <f t="shared" si="16"/>
        <v>190000</v>
      </c>
      <c r="O54" s="63">
        <v>100000</v>
      </c>
      <c r="P54" s="63">
        <v>0</v>
      </c>
      <c r="Q54" s="63">
        <f t="shared" si="17"/>
        <v>100000</v>
      </c>
      <c r="R54" s="63">
        <v>100000</v>
      </c>
      <c r="S54" s="63">
        <v>0</v>
      </c>
      <c r="T54" s="63">
        <f t="shared" si="18"/>
        <v>100000</v>
      </c>
      <c r="U54" s="63">
        <v>100000</v>
      </c>
      <c r="V54" s="63">
        <v>440000</v>
      </c>
      <c r="W54" s="63">
        <f t="shared" si="19"/>
        <v>540000</v>
      </c>
      <c r="X54" s="63">
        <v>100000</v>
      </c>
      <c r="Y54" s="63">
        <v>440000</v>
      </c>
      <c r="Z54" s="63">
        <f t="shared" si="20"/>
        <v>540000</v>
      </c>
      <c r="AA54" s="63">
        <v>100000</v>
      </c>
      <c r="AB54" s="63">
        <v>440000</v>
      </c>
      <c r="AC54" s="63">
        <f t="shared" si="21"/>
        <v>540000</v>
      </c>
      <c r="AD54" s="63">
        <v>100000</v>
      </c>
      <c r="AE54" s="63">
        <v>440000</v>
      </c>
      <c r="AF54" s="63">
        <f t="shared" si="22"/>
        <v>540000</v>
      </c>
      <c r="AG54" s="63">
        <v>100000</v>
      </c>
      <c r="AH54" s="63">
        <f>440000</f>
        <v>440000</v>
      </c>
      <c r="AI54" s="63">
        <f t="shared" si="14"/>
        <v>540000</v>
      </c>
      <c r="AJ54" s="63">
        <v>100000</v>
      </c>
      <c r="AK54" s="63">
        <v>540000</v>
      </c>
      <c r="AL54" s="63">
        <f t="shared" si="9"/>
        <v>640000</v>
      </c>
      <c r="AM54" s="63">
        <v>100000</v>
      </c>
      <c r="AN54" s="63">
        <v>0</v>
      </c>
      <c r="AO54" s="63">
        <f t="shared" si="10"/>
        <v>100000</v>
      </c>
      <c r="AP54" s="64">
        <f t="shared" si="11"/>
        <v>2325000</v>
      </c>
      <c r="AQ54" s="65">
        <f t="shared" si="13"/>
        <v>32940.975670342428</v>
      </c>
    </row>
    <row r="55" spans="1:44" s="23" customFormat="1">
      <c r="A55" s="60">
        <f t="shared" si="12"/>
        <v>51</v>
      </c>
      <c r="B55" s="70" t="s">
        <v>394</v>
      </c>
      <c r="C55" s="71" t="s">
        <v>410</v>
      </c>
      <c r="D55" s="61" t="s">
        <v>404</v>
      </c>
      <c r="E55" s="62">
        <v>1575000</v>
      </c>
      <c r="F55" s="63">
        <v>100000</v>
      </c>
      <c r="G55" s="63">
        <v>290000</v>
      </c>
      <c r="H55" s="63">
        <f t="shared" si="15"/>
        <v>390000</v>
      </c>
      <c r="I55" s="63">
        <v>100000</v>
      </c>
      <c r="J55" s="63">
        <v>0</v>
      </c>
      <c r="K55" s="63">
        <v>0</v>
      </c>
      <c r="L55" s="63">
        <v>100000</v>
      </c>
      <c r="M55" s="63">
        <v>150000</v>
      </c>
      <c r="N55" s="63">
        <f t="shared" si="16"/>
        <v>250000</v>
      </c>
      <c r="O55" s="63">
        <v>100000</v>
      </c>
      <c r="P55" s="63">
        <f>440000+300000</f>
        <v>740000</v>
      </c>
      <c r="Q55" s="63">
        <f t="shared" si="17"/>
        <v>840000</v>
      </c>
      <c r="R55" s="63">
        <v>100000</v>
      </c>
      <c r="S55" s="63">
        <f>440000+300000</f>
        <v>740000</v>
      </c>
      <c r="T55" s="63">
        <f t="shared" si="18"/>
        <v>840000</v>
      </c>
      <c r="U55" s="63">
        <v>100000</v>
      </c>
      <c r="V55" s="63">
        <v>440000</v>
      </c>
      <c r="W55" s="63">
        <f t="shared" si="19"/>
        <v>540000</v>
      </c>
      <c r="X55" s="63">
        <v>100000</v>
      </c>
      <c r="Y55" s="63">
        <v>440000</v>
      </c>
      <c r="Z55" s="63">
        <f t="shared" si="20"/>
        <v>540000</v>
      </c>
      <c r="AA55" s="63">
        <v>100000</v>
      </c>
      <c r="AB55" s="63">
        <v>440000</v>
      </c>
      <c r="AC55" s="63">
        <f t="shared" si="21"/>
        <v>540000</v>
      </c>
      <c r="AD55" s="63">
        <v>100000</v>
      </c>
      <c r="AE55" s="63">
        <v>0</v>
      </c>
      <c r="AF55" s="63">
        <f t="shared" si="22"/>
        <v>100000</v>
      </c>
      <c r="AG55" s="63">
        <v>100000</v>
      </c>
      <c r="AH55" s="63">
        <f>540000</f>
        <v>540000</v>
      </c>
      <c r="AI55" s="63">
        <f t="shared" si="14"/>
        <v>640000</v>
      </c>
      <c r="AJ55" s="63">
        <v>100000</v>
      </c>
      <c r="AK55" s="63">
        <v>540000</v>
      </c>
      <c r="AL55" s="63">
        <f t="shared" si="9"/>
        <v>640000</v>
      </c>
      <c r="AM55" s="63">
        <v>100000</v>
      </c>
      <c r="AN55" s="63">
        <f>405000+70000</f>
        <v>475000</v>
      </c>
      <c r="AO55" s="63">
        <f t="shared" si="10"/>
        <v>575000</v>
      </c>
      <c r="AP55" s="64">
        <f t="shared" si="11"/>
        <v>2775000</v>
      </c>
      <c r="AQ55" s="65">
        <f t="shared" si="13"/>
        <v>39316.648380731283</v>
      </c>
      <c r="AR55" s="100"/>
    </row>
    <row r="56" spans="1:44" s="23" customFormat="1" ht="14.25">
      <c r="A56" s="60">
        <f t="shared" si="12"/>
        <v>52</v>
      </c>
      <c r="B56" s="60">
        <v>11128589</v>
      </c>
      <c r="C56" s="61" t="s">
        <v>411</v>
      </c>
      <c r="D56" s="61" t="s">
        <v>404</v>
      </c>
      <c r="E56" s="62">
        <v>1125000</v>
      </c>
      <c r="F56" s="63">
        <v>100000</v>
      </c>
      <c r="G56" s="63">
        <v>0</v>
      </c>
      <c r="H56" s="63">
        <f t="shared" si="15"/>
        <v>100000</v>
      </c>
      <c r="I56" s="63">
        <v>100000</v>
      </c>
      <c r="J56" s="63">
        <v>0</v>
      </c>
      <c r="K56" s="63">
        <v>0</v>
      </c>
      <c r="L56" s="63">
        <v>100000</v>
      </c>
      <c r="M56" s="63">
        <v>1100000</v>
      </c>
      <c r="N56" s="63">
        <f t="shared" si="16"/>
        <v>1200000</v>
      </c>
      <c r="O56" s="63">
        <v>100000</v>
      </c>
      <c r="P56" s="63">
        <v>1100000</v>
      </c>
      <c r="Q56" s="63">
        <f t="shared" si="17"/>
        <v>1200000</v>
      </c>
      <c r="R56" s="63">
        <v>100000</v>
      </c>
      <c r="S56" s="63">
        <v>0</v>
      </c>
      <c r="T56" s="63">
        <f t="shared" si="18"/>
        <v>100000</v>
      </c>
      <c r="U56" s="63">
        <v>100000</v>
      </c>
      <c r="V56" s="63">
        <v>0</v>
      </c>
      <c r="W56" s="63">
        <f t="shared" si="19"/>
        <v>100000</v>
      </c>
      <c r="X56" s="63">
        <v>100000</v>
      </c>
      <c r="Y56" s="63">
        <v>0</v>
      </c>
      <c r="Z56" s="63">
        <f t="shared" si="20"/>
        <v>100000</v>
      </c>
      <c r="AA56" s="63">
        <v>100000</v>
      </c>
      <c r="AB56" s="63">
        <v>0</v>
      </c>
      <c r="AC56" s="63">
        <f t="shared" si="21"/>
        <v>100000</v>
      </c>
      <c r="AD56" s="63">
        <v>100000</v>
      </c>
      <c r="AE56" s="63">
        <v>0</v>
      </c>
      <c r="AF56" s="63">
        <f t="shared" si="22"/>
        <v>100000</v>
      </c>
      <c r="AG56" s="63">
        <v>100000</v>
      </c>
      <c r="AH56" s="63">
        <v>0</v>
      </c>
      <c r="AI56" s="63">
        <f t="shared" si="14"/>
        <v>100000</v>
      </c>
      <c r="AJ56" s="63">
        <v>100000</v>
      </c>
      <c r="AK56" s="63">
        <v>0</v>
      </c>
      <c r="AL56" s="63">
        <f t="shared" si="9"/>
        <v>100000</v>
      </c>
      <c r="AM56" s="63">
        <v>100000</v>
      </c>
      <c r="AN56" s="63">
        <v>0</v>
      </c>
      <c r="AO56" s="63">
        <f t="shared" si="10"/>
        <v>100000</v>
      </c>
      <c r="AP56" s="64">
        <f t="shared" si="11"/>
        <v>2325000</v>
      </c>
      <c r="AQ56" s="65">
        <f t="shared" si="13"/>
        <v>32940.975670342428</v>
      </c>
      <c r="AR56" s="100"/>
    </row>
    <row r="57" spans="1:44" s="23" customFormat="1" ht="14.25">
      <c r="A57" s="60">
        <f t="shared" si="12"/>
        <v>53</v>
      </c>
      <c r="B57" s="60">
        <v>95070319</v>
      </c>
      <c r="C57" s="61" t="s">
        <v>412</v>
      </c>
      <c r="D57" s="61" t="s">
        <v>404</v>
      </c>
      <c r="E57" s="62">
        <v>1575000</v>
      </c>
      <c r="F57" s="63">
        <v>100000</v>
      </c>
      <c r="G57" s="63">
        <v>0</v>
      </c>
      <c r="H57" s="63">
        <f t="shared" si="15"/>
        <v>100000</v>
      </c>
      <c r="I57" s="63">
        <v>100000</v>
      </c>
      <c r="J57" s="63">
        <v>0</v>
      </c>
      <c r="K57" s="63">
        <v>0</v>
      </c>
      <c r="L57" s="63">
        <v>100000</v>
      </c>
      <c r="M57" s="63">
        <v>0</v>
      </c>
      <c r="N57" s="63">
        <f t="shared" si="16"/>
        <v>100000</v>
      </c>
      <c r="O57" s="63">
        <v>100000</v>
      </c>
      <c r="P57" s="63">
        <f>550000+73500</f>
        <v>623500</v>
      </c>
      <c r="Q57" s="63">
        <f t="shared" si="17"/>
        <v>723500</v>
      </c>
      <c r="R57" s="63">
        <v>100000</v>
      </c>
      <c r="S57" s="63">
        <f>550000+193500</f>
        <v>743500</v>
      </c>
      <c r="T57" s="63">
        <f t="shared" si="18"/>
        <v>843500</v>
      </c>
      <c r="U57" s="63">
        <v>100000</v>
      </c>
      <c r="V57" s="63">
        <v>550000</v>
      </c>
      <c r="W57" s="63">
        <f t="shared" si="19"/>
        <v>650000</v>
      </c>
      <c r="X57" s="63">
        <v>100000</v>
      </c>
      <c r="Y57" s="63">
        <v>550000</v>
      </c>
      <c r="Z57" s="63">
        <f t="shared" si="20"/>
        <v>650000</v>
      </c>
      <c r="AA57" s="63">
        <v>100000</v>
      </c>
      <c r="AB57" s="63">
        <v>0</v>
      </c>
      <c r="AC57" s="63">
        <f t="shared" si="21"/>
        <v>100000</v>
      </c>
      <c r="AD57" s="63">
        <v>100000</v>
      </c>
      <c r="AE57" s="63">
        <v>0</v>
      </c>
      <c r="AF57" s="63">
        <f t="shared" si="22"/>
        <v>100000</v>
      </c>
      <c r="AG57" s="63">
        <v>100000</v>
      </c>
      <c r="AH57" s="63">
        <f>280500</f>
        <v>280500</v>
      </c>
      <c r="AI57" s="63">
        <f t="shared" si="14"/>
        <v>380500</v>
      </c>
      <c r="AJ57" s="63">
        <v>100000</v>
      </c>
      <c r="AK57" s="63">
        <v>0</v>
      </c>
      <c r="AL57" s="63">
        <f t="shared" si="9"/>
        <v>100000</v>
      </c>
      <c r="AM57" s="63">
        <v>100000</v>
      </c>
      <c r="AN57" s="63">
        <v>0</v>
      </c>
      <c r="AO57" s="63">
        <f t="shared" si="10"/>
        <v>100000</v>
      </c>
      <c r="AP57" s="64">
        <f t="shared" si="11"/>
        <v>2775000</v>
      </c>
      <c r="AQ57" s="65">
        <f t="shared" si="13"/>
        <v>39316.648380731283</v>
      </c>
      <c r="AR57" s="100"/>
    </row>
    <row r="58" spans="1:44" s="23" customFormat="1" ht="14.25">
      <c r="A58" s="60">
        <f t="shared" si="12"/>
        <v>54</v>
      </c>
      <c r="B58" s="68">
        <v>97081399</v>
      </c>
      <c r="C58" s="61" t="s">
        <v>414</v>
      </c>
      <c r="D58" s="61" t="s">
        <v>413</v>
      </c>
      <c r="E58" s="62">
        <v>700000</v>
      </c>
      <c r="F58" s="63">
        <v>100000</v>
      </c>
      <c r="G58" s="63">
        <v>0</v>
      </c>
      <c r="H58" s="63">
        <f t="shared" si="15"/>
        <v>100000</v>
      </c>
      <c r="I58" s="63">
        <v>100000</v>
      </c>
      <c r="J58" s="63">
        <v>0</v>
      </c>
      <c r="K58" s="63">
        <v>0</v>
      </c>
      <c r="L58" s="63">
        <v>100000</v>
      </c>
      <c r="M58" s="63">
        <v>265000</v>
      </c>
      <c r="N58" s="63">
        <f t="shared" si="16"/>
        <v>365000</v>
      </c>
      <c r="O58" s="63">
        <v>100000</v>
      </c>
      <c r="P58" s="63">
        <v>265000</v>
      </c>
      <c r="Q58" s="63">
        <f t="shared" si="17"/>
        <v>365000</v>
      </c>
      <c r="R58" s="63">
        <v>100000</v>
      </c>
      <c r="S58" s="63">
        <v>265000</v>
      </c>
      <c r="T58" s="63">
        <f t="shared" si="18"/>
        <v>365000</v>
      </c>
      <c r="U58" s="63">
        <v>100000</v>
      </c>
      <c r="V58" s="63">
        <v>440000</v>
      </c>
      <c r="W58" s="63">
        <f t="shared" si="19"/>
        <v>540000</v>
      </c>
      <c r="X58" s="63">
        <v>100000</v>
      </c>
      <c r="Y58" s="63">
        <v>440000</v>
      </c>
      <c r="Z58" s="63">
        <f t="shared" si="20"/>
        <v>540000</v>
      </c>
      <c r="AA58" s="63">
        <v>100000</v>
      </c>
      <c r="AB58" s="63">
        <v>440000</v>
      </c>
      <c r="AC58" s="63">
        <f t="shared" si="21"/>
        <v>540000</v>
      </c>
      <c r="AD58" s="63">
        <v>100000</v>
      </c>
      <c r="AE58" s="63">
        <v>440000</v>
      </c>
      <c r="AF58" s="63">
        <f t="shared" si="22"/>
        <v>540000</v>
      </c>
      <c r="AG58" s="63">
        <v>100000</v>
      </c>
      <c r="AH58" s="63">
        <f>440000+540000</f>
        <v>980000</v>
      </c>
      <c r="AI58" s="63">
        <f t="shared" si="14"/>
        <v>1080000</v>
      </c>
      <c r="AJ58" s="63">
        <v>100000</v>
      </c>
      <c r="AK58" s="63">
        <v>540000</v>
      </c>
      <c r="AL58" s="63">
        <f t="shared" si="9"/>
        <v>640000</v>
      </c>
      <c r="AM58" s="63">
        <v>100000</v>
      </c>
      <c r="AN58" s="63">
        <f>540000</f>
        <v>540000</v>
      </c>
      <c r="AO58" s="63">
        <f t="shared" si="10"/>
        <v>640000</v>
      </c>
      <c r="AP58" s="64">
        <f t="shared" si="11"/>
        <v>1900000</v>
      </c>
      <c r="AQ58" s="65">
        <f t="shared" si="13"/>
        <v>26919.506999419616</v>
      </c>
      <c r="AR58" s="100"/>
    </row>
    <row r="59" spans="1:44">
      <c r="A59" s="60">
        <f t="shared" si="12"/>
        <v>55</v>
      </c>
      <c r="B59" s="60">
        <v>96091129</v>
      </c>
      <c r="C59" s="61" t="s">
        <v>371</v>
      </c>
      <c r="D59" s="61" t="s">
        <v>415</v>
      </c>
      <c r="E59" s="62">
        <v>1425000</v>
      </c>
      <c r="F59" s="63">
        <v>100000</v>
      </c>
      <c r="G59" s="63">
        <f>265000+413000</f>
        <v>678000</v>
      </c>
      <c r="H59" s="63">
        <f t="shared" si="15"/>
        <v>778000</v>
      </c>
      <c r="I59" s="63">
        <v>100000</v>
      </c>
      <c r="J59" s="63">
        <v>0</v>
      </c>
      <c r="K59" s="63">
        <v>0</v>
      </c>
      <c r="L59" s="63">
        <v>100000</v>
      </c>
      <c r="M59" s="63">
        <f>440000+456500</f>
        <v>896500</v>
      </c>
      <c r="N59" s="63">
        <f t="shared" si="16"/>
        <v>996500</v>
      </c>
      <c r="O59" s="63">
        <v>100000</v>
      </c>
      <c r="P59" s="63">
        <f>440000+490500</f>
        <v>930500</v>
      </c>
      <c r="Q59" s="63">
        <f t="shared" si="17"/>
        <v>1030500</v>
      </c>
      <c r="R59" s="63">
        <v>100000</v>
      </c>
      <c r="S59" s="63">
        <f>440000+485000</f>
        <v>925000</v>
      </c>
      <c r="T59" s="63">
        <f t="shared" si="18"/>
        <v>1025000</v>
      </c>
      <c r="U59" s="63">
        <v>100000</v>
      </c>
      <c r="V59" s="63">
        <f>440000+294500</f>
        <v>734500</v>
      </c>
      <c r="W59" s="63">
        <f t="shared" si="19"/>
        <v>834500</v>
      </c>
      <c r="X59" s="63">
        <v>100000</v>
      </c>
      <c r="Y59" s="63">
        <v>379000</v>
      </c>
      <c r="Z59" s="63">
        <f t="shared" si="20"/>
        <v>479000</v>
      </c>
      <c r="AA59" s="63">
        <v>100000</v>
      </c>
      <c r="AB59" s="63">
        <v>257500</v>
      </c>
      <c r="AC59" s="63">
        <f t="shared" si="21"/>
        <v>357500</v>
      </c>
      <c r="AD59" s="63">
        <v>100000</v>
      </c>
      <c r="AE59" s="63">
        <f>106000+265000</f>
        <v>371000</v>
      </c>
      <c r="AF59" s="63">
        <f t="shared" si="22"/>
        <v>471000</v>
      </c>
      <c r="AG59" s="63">
        <v>100000</v>
      </c>
      <c r="AH59" s="63">
        <f>420000+265000</f>
        <v>685000</v>
      </c>
      <c r="AI59" s="63">
        <f t="shared" si="14"/>
        <v>785000</v>
      </c>
      <c r="AJ59" s="63">
        <v>100000</v>
      </c>
      <c r="AK59" s="63">
        <f>265000+408500</f>
        <v>673500</v>
      </c>
      <c r="AL59" s="63">
        <f t="shared" si="9"/>
        <v>773500</v>
      </c>
      <c r="AM59" s="63">
        <v>100000</v>
      </c>
      <c r="AN59" s="63">
        <f>265000+237000</f>
        <v>502000</v>
      </c>
      <c r="AO59" s="63">
        <f t="shared" si="10"/>
        <v>602000</v>
      </c>
      <c r="AP59" s="64">
        <f t="shared" si="11"/>
        <v>2625000</v>
      </c>
      <c r="AQ59" s="65">
        <f t="shared" si="13"/>
        <v>37191.424143935001</v>
      </c>
    </row>
    <row r="60" spans="1:44" s="23" customFormat="1" ht="14.25">
      <c r="A60" s="60">
        <f t="shared" si="12"/>
        <v>56</v>
      </c>
      <c r="B60" s="67" t="s">
        <v>416</v>
      </c>
      <c r="C60" s="61" t="s">
        <v>417</v>
      </c>
      <c r="D60" s="61" t="s">
        <v>415</v>
      </c>
      <c r="E60" s="62">
        <v>1575000</v>
      </c>
      <c r="F60" s="63">
        <v>100000</v>
      </c>
      <c r="G60" s="63">
        <v>0</v>
      </c>
      <c r="H60" s="63">
        <f t="shared" si="15"/>
        <v>100000</v>
      </c>
      <c r="I60" s="63">
        <v>100000</v>
      </c>
      <c r="J60" s="63">
        <v>0</v>
      </c>
      <c r="K60" s="63">
        <v>0</v>
      </c>
      <c r="L60" s="63">
        <v>100000</v>
      </c>
      <c r="M60" s="63">
        <v>0</v>
      </c>
      <c r="N60" s="63">
        <f t="shared" si="16"/>
        <v>100000</v>
      </c>
      <c r="O60" s="63">
        <v>100000</v>
      </c>
      <c r="P60" s="63">
        <v>0</v>
      </c>
      <c r="Q60" s="63">
        <f t="shared" si="17"/>
        <v>100000</v>
      </c>
      <c r="R60" s="63">
        <v>100000</v>
      </c>
      <c r="S60" s="63">
        <v>0</v>
      </c>
      <c r="T60" s="63">
        <f t="shared" si="18"/>
        <v>100000</v>
      </c>
      <c r="U60" s="63">
        <v>100000</v>
      </c>
      <c r="V60" s="63">
        <v>270000</v>
      </c>
      <c r="W60" s="63">
        <f t="shared" si="19"/>
        <v>370000</v>
      </c>
      <c r="X60" s="63">
        <v>100000</v>
      </c>
      <c r="Y60" s="63">
        <v>270000</v>
      </c>
      <c r="Z60" s="63">
        <f t="shared" si="20"/>
        <v>370000</v>
      </c>
      <c r="AA60" s="63">
        <v>100000</v>
      </c>
      <c r="AB60" s="63">
        <v>270000</v>
      </c>
      <c r="AC60" s="63">
        <f t="shared" si="21"/>
        <v>370000</v>
      </c>
      <c r="AD60" s="63">
        <v>100000</v>
      </c>
      <c r="AE60" s="63">
        <v>270000</v>
      </c>
      <c r="AF60" s="63">
        <f t="shared" si="22"/>
        <v>370000</v>
      </c>
      <c r="AG60" s="63">
        <v>100000</v>
      </c>
      <c r="AH60" s="63">
        <f>333000+270000</f>
        <v>603000</v>
      </c>
      <c r="AI60" s="63">
        <f t="shared" si="14"/>
        <v>703000</v>
      </c>
      <c r="AJ60" s="63">
        <v>100000</v>
      </c>
      <c r="AK60" s="63">
        <f>270000+52500</f>
        <v>322500</v>
      </c>
      <c r="AL60" s="63">
        <f t="shared" si="9"/>
        <v>422500</v>
      </c>
      <c r="AM60" s="63">
        <v>100000</v>
      </c>
      <c r="AN60" s="63">
        <f>270000+206000</f>
        <v>476000</v>
      </c>
      <c r="AO60" s="63">
        <f t="shared" si="10"/>
        <v>576000</v>
      </c>
      <c r="AP60" s="64">
        <f t="shared" si="11"/>
        <v>2775000</v>
      </c>
      <c r="AQ60" s="65">
        <f t="shared" si="13"/>
        <v>39316.648380731283</v>
      </c>
      <c r="AR60" s="100"/>
    </row>
    <row r="61" spans="1:44" s="23" customFormat="1">
      <c r="A61" s="60">
        <f t="shared" si="12"/>
        <v>57</v>
      </c>
      <c r="B61" s="67">
        <v>12018674</v>
      </c>
      <c r="C61" s="61" t="s">
        <v>419</v>
      </c>
      <c r="D61" s="61" t="s">
        <v>418</v>
      </c>
      <c r="E61" s="62">
        <v>1450000</v>
      </c>
      <c r="F61" s="63">
        <v>100000</v>
      </c>
      <c r="G61" s="63">
        <v>270000</v>
      </c>
      <c r="H61" s="63">
        <f t="shared" si="15"/>
        <v>370000</v>
      </c>
      <c r="I61" s="63">
        <v>100000</v>
      </c>
      <c r="J61" s="63">
        <v>0</v>
      </c>
      <c r="K61" s="63">
        <v>0</v>
      </c>
      <c r="L61" s="63">
        <v>100000</v>
      </c>
      <c r="M61" s="63">
        <v>270000</v>
      </c>
      <c r="N61" s="63">
        <f t="shared" si="16"/>
        <v>370000</v>
      </c>
      <c r="O61" s="63">
        <v>100000</v>
      </c>
      <c r="P61" s="63">
        <v>270000</v>
      </c>
      <c r="Q61" s="63">
        <f t="shared" si="17"/>
        <v>370000</v>
      </c>
      <c r="R61" s="63">
        <v>100000</v>
      </c>
      <c r="S61" s="63">
        <f>270000+57000</f>
        <v>327000</v>
      </c>
      <c r="T61" s="63">
        <f t="shared" si="18"/>
        <v>427000</v>
      </c>
      <c r="U61" s="63">
        <v>100000</v>
      </c>
      <c r="V61" s="63">
        <v>0</v>
      </c>
      <c r="W61" s="63">
        <f t="shared" si="19"/>
        <v>100000</v>
      </c>
      <c r="X61" s="63">
        <v>100000</v>
      </c>
      <c r="Y61" s="63">
        <v>0</v>
      </c>
      <c r="Z61" s="63">
        <f t="shared" si="20"/>
        <v>100000</v>
      </c>
      <c r="AA61" s="63">
        <v>100000</v>
      </c>
      <c r="AB61" s="63">
        <v>0</v>
      </c>
      <c r="AC61" s="63">
        <f t="shared" si="21"/>
        <v>100000</v>
      </c>
      <c r="AD61" s="63">
        <v>100000</v>
      </c>
      <c r="AE61" s="63">
        <v>0</v>
      </c>
      <c r="AF61" s="63">
        <f t="shared" si="22"/>
        <v>100000</v>
      </c>
      <c r="AG61" s="63">
        <v>100000</v>
      </c>
      <c r="AH61" s="63">
        <v>0</v>
      </c>
      <c r="AI61" s="63">
        <f t="shared" si="14"/>
        <v>100000</v>
      </c>
      <c r="AJ61" s="63">
        <v>100000</v>
      </c>
      <c r="AK61" s="63">
        <v>0</v>
      </c>
      <c r="AL61" s="63">
        <f t="shared" si="9"/>
        <v>100000</v>
      </c>
      <c r="AM61" s="63">
        <v>100000</v>
      </c>
      <c r="AN61" s="63">
        <v>0</v>
      </c>
      <c r="AO61" s="63">
        <f t="shared" si="10"/>
        <v>100000</v>
      </c>
      <c r="AP61" s="64">
        <f t="shared" si="11"/>
        <v>2650000</v>
      </c>
      <c r="AQ61" s="65">
        <f t="shared" si="13"/>
        <v>37545.628183401044</v>
      </c>
      <c r="AR61" s="57"/>
    </row>
    <row r="62" spans="1:44">
      <c r="A62" s="60">
        <f t="shared" si="12"/>
        <v>58</v>
      </c>
      <c r="B62" s="67">
        <v>12028744</v>
      </c>
      <c r="C62" s="61" t="s">
        <v>420</v>
      </c>
      <c r="D62" s="61" t="s">
        <v>418</v>
      </c>
      <c r="E62" s="62">
        <v>1450000</v>
      </c>
      <c r="F62" s="63">
        <v>100000</v>
      </c>
      <c r="G62" s="63">
        <v>270000</v>
      </c>
      <c r="H62" s="63">
        <f t="shared" si="15"/>
        <v>370000</v>
      </c>
      <c r="I62" s="63">
        <v>100000</v>
      </c>
      <c r="J62" s="63">
        <v>0</v>
      </c>
      <c r="K62" s="63">
        <v>0</v>
      </c>
      <c r="L62" s="63">
        <v>100000</v>
      </c>
      <c r="M62" s="63">
        <v>31500</v>
      </c>
      <c r="N62" s="63">
        <f t="shared" si="16"/>
        <v>131500</v>
      </c>
      <c r="O62" s="63">
        <v>100000</v>
      </c>
      <c r="P62" s="63">
        <v>210000</v>
      </c>
      <c r="Q62" s="63">
        <f t="shared" si="17"/>
        <v>310000</v>
      </c>
      <c r="R62" s="63">
        <v>100000</v>
      </c>
      <c r="S62" s="63">
        <v>76500</v>
      </c>
      <c r="T62" s="63">
        <f t="shared" si="18"/>
        <v>176500</v>
      </c>
      <c r="U62" s="63">
        <v>100000</v>
      </c>
      <c r="V62" s="63">
        <v>0</v>
      </c>
      <c r="W62" s="63">
        <f t="shared" si="19"/>
        <v>100000</v>
      </c>
      <c r="X62" s="63">
        <v>100000</v>
      </c>
      <c r="Y62" s="63">
        <v>0</v>
      </c>
      <c r="Z62" s="63">
        <f t="shared" si="20"/>
        <v>100000</v>
      </c>
      <c r="AA62" s="63">
        <v>100000</v>
      </c>
      <c r="AB62" s="63">
        <v>0</v>
      </c>
      <c r="AC62" s="63">
        <f t="shared" si="21"/>
        <v>100000</v>
      </c>
      <c r="AD62" s="63">
        <v>100000</v>
      </c>
      <c r="AE62" s="63">
        <f>42000</f>
        <v>42000</v>
      </c>
      <c r="AF62" s="63">
        <f t="shared" si="22"/>
        <v>142000</v>
      </c>
      <c r="AG62" s="63">
        <v>100000</v>
      </c>
      <c r="AH62" s="63">
        <f>164000</f>
        <v>164000</v>
      </c>
      <c r="AI62" s="63">
        <f t="shared" si="14"/>
        <v>264000</v>
      </c>
      <c r="AJ62" s="63">
        <v>100000</v>
      </c>
      <c r="AK62" s="63">
        <v>0</v>
      </c>
      <c r="AL62" s="63">
        <f t="shared" si="9"/>
        <v>100000</v>
      </c>
      <c r="AM62" s="63">
        <v>100000</v>
      </c>
      <c r="AN62" s="63">
        <v>0</v>
      </c>
      <c r="AO62" s="63">
        <f t="shared" si="10"/>
        <v>100000</v>
      </c>
      <c r="AP62" s="64">
        <f t="shared" si="11"/>
        <v>2650000</v>
      </c>
      <c r="AQ62" s="65">
        <f t="shared" si="13"/>
        <v>37545.628183401044</v>
      </c>
    </row>
    <row r="63" spans="1:44" s="23" customFormat="1" ht="14.25">
      <c r="A63" s="60">
        <f t="shared" si="12"/>
        <v>59</v>
      </c>
      <c r="B63" s="67">
        <v>10027364</v>
      </c>
      <c r="C63" s="61" t="s">
        <v>421</v>
      </c>
      <c r="D63" s="61" t="s">
        <v>422</v>
      </c>
      <c r="E63" s="62">
        <v>1575000</v>
      </c>
      <c r="F63" s="63">
        <v>100000</v>
      </c>
      <c r="G63" s="63">
        <v>0</v>
      </c>
      <c r="H63" s="63">
        <f t="shared" si="15"/>
        <v>100000</v>
      </c>
      <c r="I63" s="63">
        <v>100000</v>
      </c>
      <c r="J63" s="63">
        <v>0</v>
      </c>
      <c r="K63" s="63">
        <v>0</v>
      </c>
      <c r="L63" s="63">
        <v>100000</v>
      </c>
      <c r="M63" s="63">
        <v>0</v>
      </c>
      <c r="N63" s="63">
        <f t="shared" si="16"/>
        <v>100000</v>
      </c>
      <c r="O63" s="63">
        <v>100000</v>
      </c>
      <c r="P63" s="63">
        <v>0</v>
      </c>
      <c r="Q63" s="63">
        <f t="shared" si="17"/>
        <v>100000</v>
      </c>
      <c r="R63" s="63">
        <v>100000</v>
      </c>
      <c r="S63" s="63">
        <v>0</v>
      </c>
      <c r="T63" s="63">
        <f t="shared" si="18"/>
        <v>100000</v>
      </c>
      <c r="U63" s="63">
        <v>100000</v>
      </c>
      <c r="V63" s="63">
        <v>0</v>
      </c>
      <c r="W63" s="63">
        <f t="shared" si="19"/>
        <v>100000</v>
      </c>
      <c r="X63" s="63">
        <v>100000</v>
      </c>
      <c r="Y63" s="63">
        <v>0</v>
      </c>
      <c r="Z63" s="63">
        <f t="shared" si="20"/>
        <v>100000</v>
      </c>
      <c r="AA63" s="63">
        <v>100000</v>
      </c>
      <c r="AB63" s="63">
        <v>0</v>
      </c>
      <c r="AC63" s="63">
        <f t="shared" si="21"/>
        <v>100000</v>
      </c>
      <c r="AD63" s="63">
        <v>100000</v>
      </c>
      <c r="AE63" s="63">
        <f>130000</f>
        <v>130000</v>
      </c>
      <c r="AF63" s="63">
        <f t="shared" si="22"/>
        <v>230000</v>
      </c>
      <c r="AG63" s="63">
        <v>100000</v>
      </c>
      <c r="AH63" s="63">
        <v>0</v>
      </c>
      <c r="AI63" s="63">
        <f t="shared" si="14"/>
        <v>100000</v>
      </c>
      <c r="AJ63" s="63">
        <v>100000</v>
      </c>
      <c r="AK63" s="63">
        <v>0</v>
      </c>
      <c r="AL63" s="63">
        <f t="shared" si="9"/>
        <v>100000</v>
      </c>
      <c r="AM63" s="63">
        <v>100000</v>
      </c>
      <c r="AN63" s="63">
        <v>0</v>
      </c>
      <c r="AO63" s="63">
        <f t="shared" si="10"/>
        <v>100000</v>
      </c>
      <c r="AP63" s="64">
        <f t="shared" si="11"/>
        <v>2775000</v>
      </c>
      <c r="AQ63" s="65">
        <f t="shared" si="13"/>
        <v>39316.648380731283</v>
      </c>
      <c r="AR63" s="100"/>
    </row>
    <row r="64" spans="1:44" s="23" customFormat="1" ht="14.25">
      <c r="A64" s="60">
        <f t="shared" si="12"/>
        <v>60</v>
      </c>
      <c r="B64" s="72">
        <v>15061634</v>
      </c>
      <c r="C64" s="61" t="s">
        <v>423</v>
      </c>
      <c r="D64" s="61" t="s">
        <v>422</v>
      </c>
      <c r="E64" s="62">
        <v>0</v>
      </c>
      <c r="F64" s="62">
        <v>0</v>
      </c>
      <c r="G64" s="62">
        <v>0</v>
      </c>
      <c r="H64" s="62">
        <v>0</v>
      </c>
      <c r="I64" s="62">
        <v>0</v>
      </c>
      <c r="J64" s="62">
        <v>0</v>
      </c>
      <c r="K64" s="62">
        <v>0</v>
      </c>
      <c r="L64" s="62">
        <v>0</v>
      </c>
      <c r="M64" s="62">
        <v>0</v>
      </c>
      <c r="N64" s="62">
        <v>0</v>
      </c>
      <c r="O64" s="62">
        <v>0</v>
      </c>
      <c r="P64" s="62">
        <v>0</v>
      </c>
      <c r="Q64" s="62">
        <v>0</v>
      </c>
      <c r="R64" s="62">
        <v>0</v>
      </c>
      <c r="S64" s="62">
        <v>0</v>
      </c>
      <c r="T64" s="62">
        <v>0</v>
      </c>
      <c r="U64" s="62">
        <v>0</v>
      </c>
      <c r="V64" s="62">
        <v>0</v>
      </c>
      <c r="W64" s="62">
        <v>0</v>
      </c>
      <c r="X64" s="62">
        <v>200000</v>
      </c>
      <c r="Y64" s="62">
        <v>0</v>
      </c>
      <c r="Z64" s="63">
        <f t="shared" si="20"/>
        <v>200000</v>
      </c>
      <c r="AA64" s="63">
        <v>100000</v>
      </c>
      <c r="AB64" s="62">
        <v>0</v>
      </c>
      <c r="AC64" s="63">
        <f t="shared" si="21"/>
        <v>100000</v>
      </c>
      <c r="AD64" s="63">
        <v>100000</v>
      </c>
      <c r="AE64" s="62">
        <v>0</v>
      </c>
      <c r="AF64" s="63">
        <f t="shared" si="22"/>
        <v>100000</v>
      </c>
      <c r="AG64" s="63">
        <v>100000</v>
      </c>
      <c r="AH64" s="62">
        <v>0</v>
      </c>
      <c r="AI64" s="63">
        <f t="shared" si="14"/>
        <v>100000</v>
      </c>
      <c r="AJ64" s="63">
        <v>100000</v>
      </c>
      <c r="AK64" s="62">
        <v>0</v>
      </c>
      <c r="AL64" s="63">
        <f t="shared" si="9"/>
        <v>100000</v>
      </c>
      <c r="AM64" s="63">
        <v>100000</v>
      </c>
      <c r="AN64" s="62">
        <v>0</v>
      </c>
      <c r="AO64" s="63">
        <f t="shared" si="10"/>
        <v>100000</v>
      </c>
      <c r="AP64" s="64">
        <f t="shared" si="11"/>
        <v>700000</v>
      </c>
      <c r="AQ64" s="65">
        <f t="shared" si="13"/>
        <v>9917.7131050493335</v>
      </c>
      <c r="AR64" s="100"/>
    </row>
    <row r="65" spans="1:44" s="23" customFormat="1" ht="14.25">
      <c r="A65" s="60">
        <f t="shared" si="12"/>
        <v>61</v>
      </c>
      <c r="B65" s="73">
        <v>15091734</v>
      </c>
      <c r="C65" s="61" t="s">
        <v>424</v>
      </c>
      <c r="D65" s="61" t="s">
        <v>422</v>
      </c>
      <c r="E65" s="62"/>
      <c r="F65" s="62">
        <v>0</v>
      </c>
      <c r="G65" s="62">
        <v>0</v>
      </c>
      <c r="H65" s="62">
        <v>0</v>
      </c>
      <c r="I65" s="62">
        <v>0</v>
      </c>
      <c r="J65" s="62">
        <v>0</v>
      </c>
      <c r="K65" s="62">
        <v>0</v>
      </c>
      <c r="L65" s="62">
        <v>0</v>
      </c>
      <c r="M65" s="62">
        <v>0</v>
      </c>
      <c r="N65" s="62">
        <v>0</v>
      </c>
      <c r="O65" s="62">
        <v>0</v>
      </c>
      <c r="P65" s="62">
        <v>0</v>
      </c>
      <c r="Q65" s="62">
        <v>0</v>
      </c>
      <c r="R65" s="62">
        <v>0</v>
      </c>
      <c r="S65" s="62">
        <v>0</v>
      </c>
      <c r="T65" s="62">
        <v>0</v>
      </c>
      <c r="U65" s="62">
        <v>0</v>
      </c>
      <c r="V65" s="62">
        <v>0</v>
      </c>
      <c r="W65" s="62">
        <v>0</v>
      </c>
      <c r="X65" s="62">
        <v>0</v>
      </c>
      <c r="Y65" s="62">
        <v>0</v>
      </c>
      <c r="Z65" s="62">
        <v>0</v>
      </c>
      <c r="AA65" s="62">
        <v>0</v>
      </c>
      <c r="AB65" s="62">
        <v>0</v>
      </c>
      <c r="AC65" s="62">
        <v>0</v>
      </c>
      <c r="AD65" s="63">
        <v>200000</v>
      </c>
      <c r="AE65" s="62"/>
      <c r="AF65" s="63">
        <f t="shared" si="22"/>
        <v>200000</v>
      </c>
      <c r="AG65" s="63">
        <v>100000</v>
      </c>
      <c r="AH65" s="62"/>
      <c r="AI65" s="63">
        <f t="shared" si="14"/>
        <v>100000</v>
      </c>
      <c r="AJ65" s="63">
        <v>100000</v>
      </c>
      <c r="AK65" s="62"/>
      <c r="AL65" s="63">
        <f t="shared" si="9"/>
        <v>100000</v>
      </c>
      <c r="AM65" s="63">
        <v>100000</v>
      </c>
      <c r="AN65" s="62"/>
      <c r="AO65" s="63">
        <f t="shared" si="10"/>
        <v>100000</v>
      </c>
      <c r="AP65" s="64">
        <f t="shared" si="11"/>
        <v>500000</v>
      </c>
      <c r="AQ65" s="65">
        <f t="shared" si="13"/>
        <v>7084.0807893209521</v>
      </c>
      <c r="AR65" s="100"/>
    </row>
    <row r="66" spans="1:44" s="23" customFormat="1" ht="14.25">
      <c r="A66" s="60">
        <f t="shared" si="12"/>
        <v>62</v>
      </c>
      <c r="B66" s="67" t="s">
        <v>425</v>
      </c>
      <c r="C66" s="61" t="s">
        <v>426</v>
      </c>
      <c r="D66" s="61" t="s">
        <v>422</v>
      </c>
      <c r="E66" s="62">
        <v>1575000</v>
      </c>
      <c r="F66" s="63">
        <v>100000</v>
      </c>
      <c r="G66" s="63">
        <v>0</v>
      </c>
      <c r="H66" s="63">
        <f t="shared" ref="H66:H72" si="23">F66+G66</f>
        <v>100000</v>
      </c>
      <c r="I66" s="63">
        <v>100000</v>
      </c>
      <c r="J66" s="63">
        <v>0</v>
      </c>
      <c r="K66" s="63">
        <v>0</v>
      </c>
      <c r="L66" s="63">
        <v>100000</v>
      </c>
      <c r="M66" s="63">
        <v>0</v>
      </c>
      <c r="N66" s="63">
        <f t="shared" ref="N66:N72" si="24">L66+M66</f>
        <v>100000</v>
      </c>
      <c r="O66" s="63">
        <v>100000</v>
      </c>
      <c r="P66" s="63">
        <v>0</v>
      </c>
      <c r="Q66" s="63">
        <f t="shared" ref="Q66:Q72" si="25">SUM(O66:P66)</f>
        <v>100000</v>
      </c>
      <c r="R66" s="63">
        <v>100000</v>
      </c>
      <c r="S66" s="63">
        <v>16000</v>
      </c>
      <c r="T66" s="63">
        <f t="shared" ref="T66:T72" si="26">R66+S66</f>
        <v>116000</v>
      </c>
      <c r="U66" s="63">
        <v>100000</v>
      </c>
      <c r="V66" s="63">
        <v>0</v>
      </c>
      <c r="W66" s="63">
        <f t="shared" ref="W66:W72" si="27">U66+V66</f>
        <v>100000</v>
      </c>
      <c r="X66" s="63">
        <v>100000</v>
      </c>
      <c r="Y66" s="63">
        <v>0</v>
      </c>
      <c r="Z66" s="63">
        <f t="shared" ref="Z66:Z95" si="28">X66+Y66</f>
        <v>100000</v>
      </c>
      <c r="AA66" s="63">
        <v>100000</v>
      </c>
      <c r="AB66" s="63">
        <v>0</v>
      </c>
      <c r="AC66" s="63">
        <f t="shared" ref="AC66:AC95" si="29">AB66+AA66</f>
        <v>100000</v>
      </c>
      <c r="AD66" s="63">
        <v>100000</v>
      </c>
      <c r="AE66" s="63">
        <v>0</v>
      </c>
      <c r="AF66" s="63">
        <f t="shared" si="22"/>
        <v>100000</v>
      </c>
      <c r="AG66" s="63">
        <v>100000</v>
      </c>
      <c r="AH66" s="63">
        <v>0</v>
      </c>
      <c r="AI66" s="63">
        <f t="shared" si="14"/>
        <v>100000</v>
      </c>
      <c r="AJ66" s="63">
        <v>100000</v>
      </c>
      <c r="AK66" s="63">
        <v>0</v>
      </c>
      <c r="AL66" s="63">
        <f t="shared" si="9"/>
        <v>100000</v>
      </c>
      <c r="AM66" s="63">
        <v>100000</v>
      </c>
      <c r="AN66" s="63">
        <v>0</v>
      </c>
      <c r="AO66" s="63">
        <f t="shared" si="10"/>
        <v>100000</v>
      </c>
      <c r="AP66" s="64">
        <f t="shared" si="11"/>
        <v>2775000</v>
      </c>
      <c r="AQ66" s="65">
        <f t="shared" si="13"/>
        <v>39316.648380731283</v>
      </c>
      <c r="AR66" s="100"/>
    </row>
    <row r="67" spans="1:44" s="23" customFormat="1" ht="14.25">
      <c r="A67" s="60">
        <f t="shared" si="12"/>
        <v>63</v>
      </c>
      <c r="B67" s="67" t="s">
        <v>427</v>
      </c>
      <c r="C67" s="61" t="s">
        <v>428</v>
      </c>
      <c r="D67" s="61" t="s">
        <v>422</v>
      </c>
      <c r="E67" s="62">
        <v>1575000</v>
      </c>
      <c r="F67" s="63">
        <v>100000</v>
      </c>
      <c r="G67" s="63">
        <v>270000</v>
      </c>
      <c r="H67" s="63">
        <f t="shared" si="23"/>
        <v>370000</v>
      </c>
      <c r="I67" s="63">
        <v>100000</v>
      </c>
      <c r="J67" s="63">
        <v>0</v>
      </c>
      <c r="K67" s="63">
        <v>0</v>
      </c>
      <c r="L67" s="63">
        <v>100000</v>
      </c>
      <c r="M67" s="63">
        <v>270000</v>
      </c>
      <c r="N67" s="63">
        <f t="shared" si="24"/>
        <v>370000</v>
      </c>
      <c r="O67" s="63">
        <v>100000</v>
      </c>
      <c r="P67" s="63">
        <v>270000</v>
      </c>
      <c r="Q67" s="63">
        <f t="shared" si="25"/>
        <v>370000</v>
      </c>
      <c r="R67" s="63">
        <v>100000</v>
      </c>
      <c r="S67" s="63">
        <v>270000</v>
      </c>
      <c r="T67" s="63">
        <f t="shared" si="26"/>
        <v>370000</v>
      </c>
      <c r="U67" s="63">
        <v>100000</v>
      </c>
      <c r="V67" s="63">
        <v>270000</v>
      </c>
      <c r="W67" s="63">
        <f t="shared" si="27"/>
        <v>370000</v>
      </c>
      <c r="X67" s="63">
        <v>100000</v>
      </c>
      <c r="Y67" s="63">
        <v>440000</v>
      </c>
      <c r="Z67" s="63">
        <f t="shared" si="28"/>
        <v>540000</v>
      </c>
      <c r="AA67" s="63">
        <v>100000</v>
      </c>
      <c r="AB67" s="63">
        <f>440000+141000</f>
        <v>581000</v>
      </c>
      <c r="AC67" s="63">
        <f t="shared" si="29"/>
        <v>681000</v>
      </c>
      <c r="AD67" s="63">
        <v>100000</v>
      </c>
      <c r="AE67" s="63">
        <v>440000</v>
      </c>
      <c r="AF67" s="63">
        <f t="shared" si="22"/>
        <v>540000</v>
      </c>
      <c r="AG67" s="63">
        <v>100000</v>
      </c>
      <c r="AH67" s="63">
        <f>160000+440000</f>
        <v>600000</v>
      </c>
      <c r="AI67" s="63">
        <f t="shared" si="14"/>
        <v>700000</v>
      </c>
      <c r="AJ67" s="63">
        <v>100000</v>
      </c>
      <c r="AK67" s="63">
        <f>440000+76500</f>
        <v>516500</v>
      </c>
      <c r="AL67" s="63">
        <f t="shared" si="9"/>
        <v>616500</v>
      </c>
      <c r="AM67" s="63">
        <v>100000</v>
      </c>
      <c r="AN67" s="63">
        <f>530000</f>
        <v>530000</v>
      </c>
      <c r="AO67" s="63">
        <f t="shared" si="10"/>
        <v>630000</v>
      </c>
      <c r="AP67" s="64">
        <f t="shared" si="11"/>
        <v>2775000</v>
      </c>
      <c r="AQ67" s="65">
        <f t="shared" si="13"/>
        <v>39316.648380731283</v>
      </c>
      <c r="AR67" s="100"/>
    </row>
    <row r="68" spans="1:44" s="23" customFormat="1" ht="14.25">
      <c r="A68" s="60">
        <f t="shared" si="12"/>
        <v>64</v>
      </c>
      <c r="B68" s="60">
        <v>13120364</v>
      </c>
      <c r="C68" s="61" t="s">
        <v>429</v>
      </c>
      <c r="D68" s="61" t="s">
        <v>422</v>
      </c>
      <c r="E68" s="62">
        <v>1125000</v>
      </c>
      <c r="F68" s="63">
        <v>100000</v>
      </c>
      <c r="G68" s="63">
        <v>0</v>
      </c>
      <c r="H68" s="63">
        <f t="shared" si="23"/>
        <v>100000</v>
      </c>
      <c r="I68" s="63">
        <v>100000</v>
      </c>
      <c r="J68" s="63">
        <v>0</v>
      </c>
      <c r="K68" s="63">
        <v>0</v>
      </c>
      <c r="L68" s="63">
        <v>100000</v>
      </c>
      <c r="M68" s="63">
        <v>182000</v>
      </c>
      <c r="N68" s="63">
        <f t="shared" si="24"/>
        <v>282000</v>
      </c>
      <c r="O68" s="63">
        <v>100000</v>
      </c>
      <c r="P68" s="63">
        <v>0</v>
      </c>
      <c r="Q68" s="63">
        <f t="shared" si="25"/>
        <v>100000</v>
      </c>
      <c r="R68" s="63">
        <v>100000</v>
      </c>
      <c r="S68" s="63">
        <v>0</v>
      </c>
      <c r="T68" s="63">
        <f t="shared" si="26"/>
        <v>100000</v>
      </c>
      <c r="U68" s="63">
        <v>100000</v>
      </c>
      <c r="V68" s="63">
        <v>0</v>
      </c>
      <c r="W68" s="63">
        <f t="shared" si="27"/>
        <v>100000</v>
      </c>
      <c r="X68" s="63">
        <v>100000</v>
      </c>
      <c r="Y68" s="63">
        <v>0</v>
      </c>
      <c r="Z68" s="63">
        <f t="shared" si="28"/>
        <v>100000</v>
      </c>
      <c r="AA68" s="63">
        <v>100000</v>
      </c>
      <c r="AB68" s="63">
        <v>0</v>
      </c>
      <c r="AC68" s="63">
        <f t="shared" si="29"/>
        <v>100000</v>
      </c>
      <c r="AD68" s="63">
        <v>100000</v>
      </c>
      <c r="AE68" s="63">
        <v>0</v>
      </c>
      <c r="AF68" s="63">
        <f t="shared" si="22"/>
        <v>100000</v>
      </c>
      <c r="AG68" s="63">
        <v>100000</v>
      </c>
      <c r="AH68" s="63">
        <v>0</v>
      </c>
      <c r="AI68" s="63">
        <f t="shared" si="14"/>
        <v>100000</v>
      </c>
      <c r="AJ68" s="63">
        <v>100000</v>
      </c>
      <c r="AK68" s="63">
        <v>0</v>
      </c>
      <c r="AL68" s="63">
        <f t="shared" si="9"/>
        <v>100000</v>
      </c>
      <c r="AM68" s="63">
        <v>100000</v>
      </c>
      <c r="AN68" s="63">
        <v>0</v>
      </c>
      <c r="AO68" s="63">
        <f t="shared" si="10"/>
        <v>100000</v>
      </c>
      <c r="AP68" s="64">
        <f t="shared" si="11"/>
        <v>2325000</v>
      </c>
      <c r="AQ68" s="65">
        <f t="shared" si="13"/>
        <v>32940.975670342428</v>
      </c>
      <c r="AR68" s="100"/>
    </row>
    <row r="69" spans="1:44">
      <c r="A69" s="60">
        <f t="shared" si="12"/>
        <v>65</v>
      </c>
      <c r="B69" s="60">
        <v>14111304</v>
      </c>
      <c r="C69" s="61" t="s">
        <v>430</v>
      </c>
      <c r="D69" s="61" t="s">
        <v>422</v>
      </c>
      <c r="E69" s="62">
        <v>300000</v>
      </c>
      <c r="F69" s="63">
        <v>100000</v>
      </c>
      <c r="G69" s="63">
        <v>0</v>
      </c>
      <c r="H69" s="63">
        <f t="shared" si="23"/>
        <v>100000</v>
      </c>
      <c r="I69" s="63">
        <v>100000</v>
      </c>
      <c r="J69" s="63">
        <v>0</v>
      </c>
      <c r="K69" s="63">
        <v>0</v>
      </c>
      <c r="L69" s="63">
        <v>100000</v>
      </c>
      <c r="M69" s="63">
        <v>0</v>
      </c>
      <c r="N69" s="63">
        <f t="shared" si="24"/>
        <v>100000</v>
      </c>
      <c r="O69" s="63">
        <v>100000</v>
      </c>
      <c r="P69" s="63">
        <v>260000</v>
      </c>
      <c r="Q69" s="63">
        <f t="shared" si="25"/>
        <v>360000</v>
      </c>
      <c r="R69" s="63">
        <v>100000</v>
      </c>
      <c r="S69" s="63">
        <v>260000</v>
      </c>
      <c r="T69" s="63">
        <f t="shared" si="26"/>
        <v>360000</v>
      </c>
      <c r="U69" s="63">
        <v>100000</v>
      </c>
      <c r="V69" s="63">
        <v>25000</v>
      </c>
      <c r="W69" s="63">
        <f t="shared" si="27"/>
        <v>125000</v>
      </c>
      <c r="X69" s="63">
        <v>100000</v>
      </c>
      <c r="Y69" s="63">
        <v>0</v>
      </c>
      <c r="Z69" s="63">
        <f t="shared" si="28"/>
        <v>100000</v>
      </c>
      <c r="AA69" s="63">
        <v>100000</v>
      </c>
      <c r="AB69" s="63">
        <v>0</v>
      </c>
      <c r="AC69" s="63">
        <f t="shared" si="29"/>
        <v>100000</v>
      </c>
      <c r="AD69" s="63">
        <v>100000</v>
      </c>
      <c r="AE69" s="63">
        <v>0</v>
      </c>
      <c r="AF69" s="63">
        <f t="shared" si="22"/>
        <v>100000</v>
      </c>
      <c r="AG69" s="63">
        <v>100000</v>
      </c>
      <c r="AH69" s="63">
        <v>0</v>
      </c>
      <c r="AI69" s="63">
        <f t="shared" ref="AI69:AI100" si="30">AG69+AH69</f>
        <v>100000</v>
      </c>
      <c r="AJ69" s="63">
        <v>100000</v>
      </c>
      <c r="AK69" s="63">
        <v>0</v>
      </c>
      <c r="AL69" s="63">
        <f t="shared" ref="AL69:AL132" si="31">AJ69+AK69</f>
        <v>100000</v>
      </c>
      <c r="AM69" s="63">
        <v>100000</v>
      </c>
      <c r="AN69" s="63">
        <v>0</v>
      </c>
      <c r="AO69" s="63">
        <f t="shared" ref="AO69:AO132" si="32">AM69+AN69</f>
        <v>100000</v>
      </c>
      <c r="AP69" s="64">
        <f t="shared" ref="AP69:AP132" si="33">E69+F69+I69+L69+O69+R69+U69+X69+AA69+AD69+AG69+AJ69+AM69</f>
        <v>1500000</v>
      </c>
      <c r="AQ69" s="65">
        <f t="shared" si="13"/>
        <v>21252.242367962855</v>
      </c>
    </row>
    <row r="70" spans="1:44">
      <c r="A70" s="60">
        <f t="shared" ref="A70:A133" si="34">A69+1</f>
        <v>66</v>
      </c>
      <c r="B70" s="60">
        <v>14020549</v>
      </c>
      <c r="C70" s="61" t="s">
        <v>431</v>
      </c>
      <c r="D70" s="61" t="s">
        <v>422</v>
      </c>
      <c r="E70" s="62">
        <v>1125000</v>
      </c>
      <c r="F70" s="63">
        <v>100000</v>
      </c>
      <c r="G70" s="63">
        <v>530000</v>
      </c>
      <c r="H70" s="63">
        <f t="shared" si="23"/>
        <v>630000</v>
      </c>
      <c r="I70" s="63">
        <v>100000</v>
      </c>
      <c r="J70" s="63">
        <v>0</v>
      </c>
      <c r="K70" s="63">
        <v>0</v>
      </c>
      <c r="L70" s="63">
        <v>100000</v>
      </c>
      <c r="M70" s="63">
        <v>0</v>
      </c>
      <c r="N70" s="63">
        <f t="shared" si="24"/>
        <v>100000</v>
      </c>
      <c r="O70" s="63">
        <v>100000</v>
      </c>
      <c r="P70" s="63">
        <v>550000</v>
      </c>
      <c r="Q70" s="63">
        <f t="shared" si="25"/>
        <v>650000</v>
      </c>
      <c r="R70" s="63">
        <v>100000</v>
      </c>
      <c r="S70" s="63">
        <v>550000</v>
      </c>
      <c r="T70" s="63">
        <f t="shared" si="26"/>
        <v>650000</v>
      </c>
      <c r="U70" s="63">
        <v>100000</v>
      </c>
      <c r="V70" s="63">
        <v>550000</v>
      </c>
      <c r="W70" s="63">
        <f t="shared" si="27"/>
        <v>650000</v>
      </c>
      <c r="X70" s="63">
        <v>100000</v>
      </c>
      <c r="Y70" s="63">
        <v>550000</v>
      </c>
      <c r="Z70" s="63">
        <f t="shared" si="28"/>
        <v>650000</v>
      </c>
      <c r="AA70" s="63">
        <v>100000</v>
      </c>
      <c r="AB70" s="63">
        <v>0</v>
      </c>
      <c r="AC70" s="63">
        <f t="shared" si="29"/>
        <v>100000</v>
      </c>
      <c r="AD70" s="63">
        <v>100000</v>
      </c>
      <c r="AE70" s="63">
        <v>737000</v>
      </c>
      <c r="AF70" s="63">
        <f t="shared" si="22"/>
        <v>837000</v>
      </c>
      <c r="AG70" s="63">
        <v>100000</v>
      </c>
      <c r="AH70" s="63">
        <f>731500</f>
        <v>731500</v>
      </c>
      <c r="AI70" s="63">
        <f t="shared" si="30"/>
        <v>831500</v>
      </c>
      <c r="AJ70" s="63">
        <v>100000</v>
      </c>
      <c r="AK70" s="63">
        <v>731500</v>
      </c>
      <c r="AL70" s="63">
        <f t="shared" si="31"/>
        <v>831500</v>
      </c>
      <c r="AM70" s="63">
        <v>100000</v>
      </c>
      <c r="AN70" s="63">
        <v>0</v>
      </c>
      <c r="AO70" s="63">
        <f t="shared" si="32"/>
        <v>100000</v>
      </c>
      <c r="AP70" s="64">
        <f t="shared" si="33"/>
        <v>2325000</v>
      </c>
      <c r="AQ70" s="65">
        <f t="shared" ref="AQ70:AQ133" si="35">(AP70/$AP$215)*7323522.72</f>
        <v>32940.975670342428</v>
      </c>
    </row>
    <row r="71" spans="1:44">
      <c r="A71" s="60">
        <f t="shared" si="34"/>
        <v>67</v>
      </c>
      <c r="B71" s="67" t="s">
        <v>433</v>
      </c>
      <c r="C71" s="61" t="s">
        <v>434</v>
      </c>
      <c r="D71" s="61" t="s">
        <v>422</v>
      </c>
      <c r="E71" s="62">
        <v>1575000</v>
      </c>
      <c r="F71" s="63">
        <v>100000</v>
      </c>
      <c r="G71" s="63">
        <f>270000+160000</f>
        <v>430000</v>
      </c>
      <c r="H71" s="63">
        <f t="shared" si="23"/>
        <v>530000</v>
      </c>
      <c r="I71" s="63">
        <v>100000</v>
      </c>
      <c r="J71" s="63">
        <v>0</v>
      </c>
      <c r="K71" s="63">
        <v>0</v>
      </c>
      <c r="L71" s="63">
        <v>100000</v>
      </c>
      <c r="M71" s="63">
        <f>270000+82500</f>
        <v>352500</v>
      </c>
      <c r="N71" s="63">
        <f t="shared" si="24"/>
        <v>452500</v>
      </c>
      <c r="O71" s="63">
        <v>100000</v>
      </c>
      <c r="P71" s="63">
        <f>265000+275000</f>
        <v>540000</v>
      </c>
      <c r="Q71" s="63">
        <f t="shared" si="25"/>
        <v>640000</v>
      </c>
      <c r="R71" s="63">
        <v>100000</v>
      </c>
      <c r="S71" s="63">
        <f>265000+169500</f>
        <v>434500</v>
      </c>
      <c r="T71" s="63">
        <f t="shared" si="26"/>
        <v>534500</v>
      </c>
      <c r="U71" s="63">
        <v>100000</v>
      </c>
      <c r="V71" s="63">
        <f>265000+203000</f>
        <v>468000</v>
      </c>
      <c r="W71" s="63">
        <f t="shared" si="27"/>
        <v>568000</v>
      </c>
      <c r="X71" s="63">
        <v>100000</v>
      </c>
      <c r="Y71" s="63">
        <v>265000</v>
      </c>
      <c r="Z71" s="63">
        <f t="shared" si="28"/>
        <v>365000</v>
      </c>
      <c r="AA71" s="63">
        <v>100000</v>
      </c>
      <c r="AB71" s="63">
        <f>440000+135000</f>
        <v>575000</v>
      </c>
      <c r="AC71" s="63">
        <f t="shared" si="29"/>
        <v>675000</v>
      </c>
      <c r="AD71" s="63">
        <v>100000</v>
      </c>
      <c r="AE71" s="63">
        <f>189000+440000</f>
        <v>629000</v>
      </c>
      <c r="AF71" s="63">
        <f t="shared" si="22"/>
        <v>729000</v>
      </c>
      <c r="AG71" s="63">
        <v>100000</v>
      </c>
      <c r="AH71" s="63">
        <f>138000+440000</f>
        <v>578000</v>
      </c>
      <c r="AI71" s="63">
        <f t="shared" si="30"/>
        <v>678000</v>
      </c>
      <c r="AJ71" s="63">
        <v>100000</v>
      </c>
      <c r="AK71" s="63">
        <f>440000+427000</f>
        <v>867000</v>
      </c>
      <c r="AL71" s="63">
        <f t="shared" si="31"/>
        <v>967000</v>
      </c>
      <c r="AM71" s="63">
        <v>100000</v>
      </c>
      <c r="AN71" s="63">
        <f>440000+248000</f>
        <v>688000</v>
      </c>
      <c r="AO71" s="63">
        <f t="shared" si="32"/>
        <v>788000</v>
      </c>
      <c r="AP71" s="64">
        <f t="shared" si="33"/>
        <v>2775000</v>
      </c>
      <c r="AQ71" s="65">
        <f t="shared" si="35"/>
        <v>39316.648380731283</v>
      </c>
    </row>
    <row r="72" spans="1:44" s="23" customFormat="1" ht="14.25">
      <c r="A72" s="60">
        <f t="shared" si="34"/>
        <v>68</v>
      </c>
      <c r="B72" s="67" t="s">
        <v>435</v>
      </c>
      <c r="C72" s="61" t="s">
        <v>436</v>
      </c>
      <c r="D72" s="61" t="s">
        <v>422</v>
      </c>
      <c r="E72" s="62">
        <v>1575000</v>
      </c>
      <c r="F72" s="63">
        <v>100000</v>
      </c>
      <c r="G72" s="63">
        <v>0</v>
      </c>
      <c r="H72" s="63">
        <f t="shared" si="23"/>
        <v>100000</v>
      </c>
      <c r="I72" s="63">
        <v>100000</v>
      </c>
      <c r="J72" s="63">
        <v>0</v>
      </c>
      <c r="K72" s="63">
        <v>0</v>
      </c>
      <c r="L72" s="63">
        <v>100000</v>
      </c>
      <c r="M72" s="63">
        <v>0</v>
      </c>
      <c r="N72" s="63">
        <f t="shared" si="24"/>
        <v>100000</v>
      </c>
      <c r="O72" s="63">
        <v>100000</v>
      </c>
      <c r="P72" s="63">
        <v>0</v>
      </c>
      <c r="Q72" s="63">
        <f t="shared" si="25"/>
        <v>100000</v>
      </c>
      <c r="R72" s="63">
        <v>100000</v>
      </c>
      <c r="S72" s="63">
        <v>0</v>
      </c>
      <c r="T72" s="63">
        <f t="shared" si="26"/>
        <v>100000</v>
      </c>
      <c r="U72" s="63">
        <v>100000</v>
      </c>
      <c r="V72" s="63">
        <v>0</v>
      </c>
      <c r="W72" s="63">
        <f t="shared" si="27"/>
        <v>100000</v>
      </c>
      <c r="X72" s="63">
        <v>100000</v>
      </c>
      <c r="Y72" s="63">
        <v>0</v>
      </c>
      <c r="Z72" s="63">
        <f t="shared" si="28"/>
        <v>100000</v>
      </c>
      <c r="AA72" s="63">
        <v>100000</v>
      </c>
      <c r="AB72" s="63">
        <v>0</v>
      </c>
      <c r="AC72" s="63">
        <f t="shared" si="29"/>
        <v>100000</v>
      </c>
      <c r="AD72" s="63">
        <v>100000</v>
      </c>
      <c r="AE72" s="63">
        <v>0</v>
      </c>
      <c r="AF72" s="63">
        <f t="shared" si="22"/>
        <v>100000</v>
      </c>
      <c r="AG72" s="63">
        <v>100000</v>
      </c>
      <c r="AH72" s="63">
        <v>0</v>
      </c>
      <c r="AI72" s="63">
        <f t="shared" si="30"/>
        <v>100000</v>
      </c>
      <c r="AJ72" s="63">
        <v>100000</v>
      </c>
      <c r="AK72" s="63">
        <v>0</v>
      </c>
      <c r="AL72" s="63">
        <f t="shared" si="31"/>
        <v>100000</v>
      </c>
      <c r="AM72" s="63">
        <v>100000</v>
      </c>
      <c r="AN72" s="63">
        <v>0</v>
      </c>
      <c r="AO72" s="63">
        <f t="shared" si="32"/>
        <v>100000</v>
      </c>
      <c r="AP72" s="64">
        <f t="shared" si="33"/>
        <v>2775000</v>
      </c>
      <c r="AQ72" s="65">
        <f t="shared" si="35"/>
        <v>39316.648380731283</v>
      </c>
      <c r="AR72" s="100"/>
    </row>
    <row r="73" spans="1:44">
      <c r="A73" s="60">
        <f t="shared" si="34"/>
        <v>69</v>
      </c>
      <c r="B73" s="60">
        <v>14060964</v>
      </c>
      <c r="C73" s="61" t="s">
        <v>451</v>
      </c>
      <c r="D73" s="61" t="s">
        <v>422</v>
      </c>
      <c r="E73" s="62">
        <v>0</v>
      </c>
      <c r="F73" s="62">
        <v>0</v>
      </c>
      <c r="G73" s="62">
        <v>0</v>
      </c>
      <c r="H73" s="62">
        <v>0</v>
      </c>
      <c r="I73" s="62">
        <v>0</v>
      </c>
      <c r="J73" s="62">
        <v>0</v>
      </c>
      <c r="K73" s="62">
        <v>0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62">
        <v>0</v>
      </c>
      <c r="R73" s="62">
        <v>0</v>
      </c>
      <c r="S73" s="62">
        <v>0</v>
      </c>
      <c r="T73" s="62">
        <v>0</v>
      </c>
      <c r="U73" s="62">
        <v>0</v>
      </c>
      <c r="V73" s="62">
        <v>0</v>
      </c>
      <c r="W73" s="62">
        <v>0</v>
      </c>
      <c r="X73" s="63">
        <v>200000</v>
      </c>
      <c r="Y73" s="63">
        <v>0</v>
      </c>
      <c r="Z73" s="63">
        <f t="shared" si="28"/>
        <v>200000</v>
      </c>
      <c r="AA73" s="63">
        <v>100000</v>
      </c>
      <c r="AB73" s="63">
        <v>0</v>
      </c>
      <c r="AC73" s="63">
        <f t="shared" si="29"/>
        <v>100000</v>
      </c>
      <c r="AD73" s="63">
        <v>100000</v>
      </c>
      <c r="AE73" s="63">
        <v>0</v>
      </c>
      <c r="AF73" s="63">
        <f t="shared" si="22"/>
        <v>100000</v>
      </c>
      <c r="AG73" s="63">
        <v>100000</v>
      </c>
      <c r="AH73" s="63">
        <v>0</v>
      </c>
      <c r="AI73" s="63">
        <f t="shared" si="30"/>
        <v>100000</v>
      </c>
      <c r="AJ73" s="63">
        <v>100000</v>
      </c>
      <c r="AK73" s="63">
        <v>0</v>
      </c>
      <c r="AL73" s="63">
        <f t="shared" si="31"/>
        <v>100000</v>
      </c>
      <c r="AM73" s="63">
        <v>100000</v>
      </c>
      <c r="AN73" s="63">
        <v>0</v>
      </c>
      <c r="AO73" s="63">
        <f t="shared" si="32"/>
        <v>100000</v>
      </c>
      <c r="AP73" s="64">
        <f t="shared" si="33"/>
        <v>700000</v>
      </c>
      <c r="AQ73" s="65">
        <f t="shared" si="35"/>
        <v>9917.7131050493335</v>
      </c>
    </row>
    <row r="74" spans="1:44" s="23" customFormat="1" ht="14.25">
      <c r="A74" s="60">
        <f t="shared" si="34"/>
        <v>70</v>
      </c>
      <c r="B74" s="60">
        <v>95060024</v>
      </c>
      <c r="C74" s="61" t="s">
        <v>437</v>
      </c>
      <c r="D74" s="61" t="s">
        <v>422</v>
      </c>
      <c r="E74" s="62">
        <v>1575000</v>
      </c>
      <c r="F74" s="63">
        <v>100000</v>
      </c>
      <c r="G74" s="63">
        <v>0</v>
      </c>
      <c r="H74" s="63">
        <f t="shared" ref="H74:H95" si="36">F74+G74</f>
        <v>100000</v>
      </c>
      <c r="I74" s="63">
        <v>100000</v>
      </c>
      <c r="J74" s="63">
        <v>0</v>
      </c>
      <c r="K74" s="63">
        <v>0</v>
      </c>
      <c r="L74" s="63">
        <v>100000</v>
      </c>
      <c r="M74" s="63">
        <v>0</v>
      </c>
      <c r="N74" s="63">
        <f t="shared" ref="N74:N95" si="37">L74+M74</f>
        <v>100000</v>
      </c>
      <c r="O74" s="63">
        <v>100000</v>
      </c>
      <c r="P74" s="63">
        <v>0</v>
      </c>
      <c r="Q74" s="63">
        <f t="shared" ref="Q74:Q95" si="38">SUM(O74:P74)</f>
        <v>100000</v>
      </c>
      <c r="R74" s="63">
        <v>100000</v>
      </c>
      <c r="S74" s="63">
        <v>0</v>
      </c>
      <c r="T74" s="63">
        <f t="shared" ref="T74:T95" si="39">R74+S74</f>
        <v>100000</v>
      </c>
      <c r="U74" s="63">
        <v>100000</v>
      </c>
      <c r="V74" s="63">
        <v>0</v>
      </c>
      <c r="W74" s="63">
        <f t="shared" ref="W74:W95" si="40">U74+V74</f>
        <v>100000</v>
      </c>
      <c r="X74" s="63">
        <v>100000</v>
      </c>
      <c r="Y74" s="63">
        <v>0</v>
      </c>
      <c r="Z74" s="63">
        <f t="shared" si="28"/>
        <v>100000</v>
      </c>
      <c r="AA74" s="63">
        <v>100000</v>
      </c>
      <c r="AB74" s="63">
        <v>0</v>
      </c>
      <c r="AC74" s="63">
        <f t="shared" si="29"/>
        <v>100000</v>
      </c>
      <c r="AD74" s="63">
        <v>100000</v>
      </c>
      <c r="AE74" s="63">
        <v>0</v>
      </c>
      <c r="AF74" s="63">
        <f t="shared" si="22"/>
        <v>100000</v>
      </c>
      <c r="AG74" s="63">
        <v>100000</v>
      </c>
      <c r="AH74" s="63">
        <f>203500</f>
        <v>203500</v>
      </c>
      <c r="AI74" s="63">
        <f t="shared" si="30"/>
        <v>303500</v>
      </c>
      <c r="AJ74" s="63">
        <v>100000</v>
      </c>
      <c r="AK74" s="63">
        <v>0</v>
      </c>
      <c r="AL74" s="63">
        <f t="shared" si="31"/>
        <v>100000</v>
      </c>
      <c r="AM74" s="63">
        <v>100000</v>
      </c>
      <c r="AN74" s="63">
        <f>530000</f>
        <v>530000</v>
      </c>
      <c r="AO74" s="63">
        <f t="shared" si="32"/>
        <v>630000</v>
      </c>
      <c r="AP74" s="64">
        <f t="shared" si="33"/>
        <v>2775000</v>
      </c>
      <c r="AQ74" s="65">
        <f t="shared" si="35"/>
        <v>39316.648380731283</v>
      </c>
      <c r="AR74" s="100"/>
    </row>
    <row r="75" spans="1:44" s="23" customFormat="1" ht="14.25">
      <c r="A75" s="60">
        <f t="shared" si="34"/>
        <v>71</v>
      </c>
      <c r="B75" s="68">
        <v>13100084</v>
      </c>
      <c r="C75" s="61" t="s">
        <v>438</v>
      </c>
      <c r="D75" s="61" t="s">
        <v>422</v>
      </c>
      <c r="E75" s="62">
        <v>800000</v>
      </c>
      <c r="F75" s="63">
        <v>100000</v>
      </c>
      <c r="G75" s="63">
        <v>0</v>
      </c>
      <c r="H75" s="63">
        <f t="shared" si="36"/>
        <v>100000</v>
      </c>
      <c r="I75" s="63">
        <v>100000</v>
      </c>
      <c r="J75" s="63">
        <v>0</v>
      </c>
      <c r="K75" s="63">
        <v>0</v>
      </c>
      <c r="L75" s="63">
        <v>100000</v>
      </c>
      <c r="M75" s="63">
        <v>0</v>
      </c>
      <c r="N75" s="63">
        <f t="shared" si="37"/>
        <v>100000</v>
      </c>
      <c r="O75" s="63">
        <v>100000</v>
      </c>
      <c r="P75" s="63">
        <v>0</v>
      </c>
      <c r="Q75" s="63">
        <f t="shared" si="38"/>
        <v>100000</v>
      </c>
      <c r="R75" s="63">
        <v>100000</v>
      </c>
      <c r="S75" s="63">
        <v>0</v>
      </c>
      <c r="T75" s="63">
        <f t="shared" si="39"/>
        <v>100000</v>
      </c>
      <c r="U75" s="63">
        <v>100000</v>
      </c>
      <c r="V75" s="63">
        <v>0</v>
      </c>
      <c r="W75" s="63">
        <f t="shared" si="40"/>
        <v>100000</v>
      </c>
      <c r="X75" s="63">
        <v>100000</v>
      </c>
      <c r="Y75" s="63">
        <v>0</v>
      </c>
      <c r="Z75" s="63">
        <f t="shared" si="28"/>
        <v>100000</v>
      </c>
      <c r="AA75" s="63">
        <v>100000</v>
      </c>
      <c r="AB75" s="63">
        <v>0</v>
      </c>
      <c r="AC75" s="63">
        <f t="shared" si="29"/>
        <v>100000</v>
      </c>
      <c r="AD75" s="63">
        <v>100000</v>
      </c>
      <c r="AE75" s="63">
        <v>0</v>
      </c>
      <c r="AF75" s="63">
        <f t="shared" si="22"/>
        <v>100000</v>
      </c>
      <c r="AG75" s="63">
        <v>100000</v>
      </c>
      <c r="AH75" s="63">
        <v>0</v>
      </c>
      <c r="AI75" s="63">
        <f t="shared" si="30"/>
        <v>100000</v>
      </c>
      <c r="AJ75" s="63">
        <v>100000</v>
      </c>
      <c r="AK75" s="63">
        <v>270000</v>
      </c>
      <c r="AL75" s="63">
        <f t="shared" si="31"/>
        <v>370000</v>
      </c>
      <c r="AM75" s="63">
        <v>100000</v>
      </c>
      <c r="AN75" s="63">
        <f>270000</f>
        <v>270000</v>
      </c>
      <c r="AO75" s="63">
        <f t="shared" si="32"/>
        <v>370000</v>
      </c>
      <c r="AP75" s="64">
        <f t="shared" si="33"/>
        <v>2000000</v>
      </c>
      <c r="AQ75" s="65">
        <f t="shared" si="35"/>
        <v>28336.323157283809</v>
      </c>
      <c r="AR75" s="100"/>
    </row>
    <row r="76" spans="1:44">
      <c r="A76" s="60">
        <f t="shared" si="34"/>
        <v>72</v>
      </c>
      <c r="B76" s="68">
        <v>13120374</v>
      </c>
      <c r="C76" s="61" t="s">
        <v>439</v>
      </c>
      <c r="D76" s="61" t="s">
        <v>422</v>
      </c>
      <c r="E76" s="62">
        <v>800000</v>
      </c>
      <c r="F76" s="63">
        <v>100000</v>
      </c>
      <c r="G76" s="63">
        <v>0</v>
      </c>
      <c r="H76" s="63">
        <f t="shared" si="36"/>
        <v>100000</v>
      </c>
      <c r="I76" s="63">
        <v>100000</v>
      </c>
      <c r="J76" s="63">
        <v>0</v>
      </c>
      <c r="K76" s="63">
        <v>0</v>
      </c>
      <c r="L76" s="63">
        <v>100000</v>
      </c>
      <c r="M76" s="63">
        <v>0</v>
      </c>
      <c r="N76" s="63">
        <f t="shared" si="37"/>
        <v>100000</v>
      </c>
      <c r="O76" s="63">
        <v>100000</v>
      </c>
      <c r="P76" s="63">
        <v>0</v>
      </c>
      <c r="Q76" s="63">
        <f t="shared" si="38"/>
        <v>100000</v>
      </c>
      <c r="R76" s="63">
        <v>100000</v>
      </c>
      <c r="S76" s="63">
        <v>0</v>
      </c>
      <c r="T76" s="63">
        <f t="shared" si="39"/>
        <v>100000</v>
      </c>
      <c r="U76" s="63">
        <v>100000</v>
      </c>
      <c r="V76" s="63">
        <v>0</v>
      </c>
      <c r="W76" s="63">
        <f t="shared" si="40"/>
        <v>100000</v>
      </c>
      <c r="X76" s="63">
        <v>100000</v>
      </c>
      <c r="Y76" s="63">
        <v>0</v>
      </c>
      <c r="Z76" s="63">
        <f t="shared" si="28"/>
        <v>100000</v>
      </c>
      <c r="AA76" s="63">
        <v>100000</v>
      </c>
      <c r="AB76" s="63">
        <v>0</v>
      </c>
      <c r="AC76" s="63">
        <f t="shared" si="29"/>
        <v>100000</v>
      </c>
      <c r="AD76" s="63">
        <v>100000</v>
      </c>
      <c r="AE76" s="63">
        <v>0</v>
      </c>
      <c r="AF76" s="63">
        <f t="shared" si="22"/>
        <v>100000</v>
      </c>
      <c r="AG76" s="63">
        <v>100000</v>
      </c>
      <c r="AH76" s="63">
        <v>0</v>
      </c>
      <c r="AI76" s="63">
        <f t="shared" si="30"/>
        <v>100000</v>
      </c>
      <c r="AJ76" s="63">
        <v>100000</v>
      </c>
      <c r="AK76" s="63">
        <v>0</v>
      </c>
      <c r="AL76" s="63">
        <f t="shared" si="31"/>
        <v>100000</v>
      </c>
      <c r="AM76" s="63">
        <v>100000</v>
      </c>
      <c r="AN76" s="63">
        <f>425000</f>
        <v>425000</v>
      </c>
      <c r="AO76" s="63">
        <f t="shared" si="32"/>
        <v>525000</v>
      </c>
      <c r="AP76" s="64">
        <f t="shared" si="33"/>
        <v>2000000</v>
      </c>
      <c r="AQ76" s="65">
        <f t="shared" si="35"/>
        <v>28336.323157283809</v>
      </c>
    </row>
    <row r="77" spans="1:44">
      <c r="A77" s="60">
        <f t="shared" si="34"/>
        <v>73</v>
      </c>
      <c r="B77" s="60">
        <v>96020994</v>
      </c>
      <c r="C77" s="61" t="s">
        <v>441</v>
      </c>
      <c r="D77" s="61" t="s">
        <v>440</v>
      </c>
      <c r="E77" s="62">
        <v>1575000</v>
      </c>
      <c r="F77" s="63">
        <v>100000</v>
      </c>
      <c r="G77" s="63">
        <v>0</v>
      </c>
      <c r="H77" s="63">
        <f t="shared" si="36"/>
        <v>100000</v>
      </c>
      <c r="I77" s="63">
        <v>100000</v>
      </c>
      <c r="J77" s="63">
        <v>0</v>
      </c>
      <c r="K77" s="63">
        <v>0</v>
      </c>
      <c r="L77" s="63">
        <v>100000</v>
      </c>
      <c r="M77" s="63">
        <v>270000</v>
      </c>
      <c r="N77" s="63">
        <f t="shared" si="37"/>
        <v>370000</v>
      </c>
      <c r="O77" s="63">
        <v>100000</v>
      </c>
      <c r="P77" s="63">
        <v>270000</v>
      </c>
      <c r="Q77" s="63">
        <f t="shared" si="38"/>
        <v>370000</v>
      </c>
      <c r="R77" s="63">
        <v>100000</v>
      </c>
      <c r="S77" s="63">
        <v>270000</v>
      </c>
      <c r="T77" s="63">
        <f t="shared" si="39"/>
        <v>370000</v>
      </c>
      <c r="U77" s="63">
        <v>100000</v>
      </c>
      <c r="V77" s="63">
        <v>270000</v>
      </c>
      <c r="W77" s="63">
        <f t="shared" si="40"/>
        <v>370000</v>
      </c>
      <c r="X77" s="63">
        <v>100000</v>
      </c>
      <c r="Y77" s="63">
        <v>270000</v>
      </c>
      <c r="Z77" s="63">
        <f t="shared" si="28"/>
        <v>370000</v>
      </c>
      <c r="AA77" s="63">
        <v>100000</v>
      </c>
      <c r="AB77" s="63">
        <v>0</v>
      </c>
      <c r="AC77" s="63">
        <f t="shared" si="29"/>
        <v>100000</v>
      </c>
      <c r="AD77" s="63">
        <v>100000</v>
      </c>
      <c r="AE77" s="63">
        <v>0</v>
      </c>
      <c r="AF77" s="63">
        <f t="shared" si="22"/>
        <v>100000</v>
      </c>
      <c r="AG77" s="63">
        <v>100000</v>
      </c>
      <c r="AH77" s="63">
        <v>0</v>
      </c>
      <c r="AI77" s="63">
        <f t="shared" si="30"/>
        <v>100000</v>
      </c>
      <c r="AJ77" s="63">
        <v>100000</v>
      </c>
      <c r="AK77" s="63">
        <v>0</v>
      </c>
      <c r="AL77" s="63">
        <f t="shared" si="31"/>
        <v>100000</v>
      </c>
      <c r="AM77" s="63">
        <v>100000</v>
      </c>
      <c r="AN77" s="63">
        <v>0</v>
      </c>
      <c r="AO77" s="63">
        <f t="shared" si="32"/>
        <v>100000</v>
      </c>
      <c r="AP77" s="64">
        <f t="shared" si="33"/>
        <v>2775000</v>
      </c>
      <c r="AQ77" s="65">
        <f t="shared" si="35"/>
        <v>39316.648380731283</v>
      </c>
    </row>
    <row r="78" spans="1:44" s="23" customFormat="1" ht="14.25">
      <c r="A78" s="60">
        <f t="shared" si="34"/>
        <v>74</v>
      </c>
      <c r="B78" s="67">
        <v>10057644</v>
      </c>
      <c r="C78" s="61" t="s">
        <v>442</v>
      </c>
      <c r="D78" s="61" t="s">
        <v>440</v>
      </c>
      <c r="E78" s="62">
        <v>1275000</v>
      </c>
      <c r="F78" s="63">
        <v>100000</v>
      </c>
      <c r="G78" s="63">
        <f>265000+160000</f>
        <v>425000</v>
      </c>
      <c r="H78" s="63">
        <f t="shared" si="36"/>
        <v>525000</v>
      </c>
      <c r="I78" s="63">
        <v>100000</v>
      </c>
      <c r="J78" s="63">
        <v>0</v>
      </c>
      <c r="K78" s="63">
        <v>0</v>
      </c>
      <c r="L78" s="63">
        <v>100000</v>
      </c>
      <c r="M78" s="63">
        <v>265000</v>
      </c>
      <c r="N78" s="63">
        <f t="shared" si="37"/>
        <v>365000</v>
      </c>
      <c r="O78" s="63">
        <v>100000</v>
      </c>
      <c r="P78" s="63">
        <v>265000</v>
      </c>
      <c r="Q78" s="63">
        <f t="shared" si="38"/>
        <v>365000</v>
      </c>
      <c r="R78" s="63">
        <v>100000</v>
      </c>
      <c r="S78" s="63">
        <v>440000</v>
      </c>
      <c r="T78" s="63">
        <f t="shared" si="39"/>
        <v>540000</v>
      </c>
      <c r="U78" s="63">
        <v>100000</v>
      </c>
      <c r="V78" s="63">
        <v>440000</v>
      </c>
      <c r="W78" s="63">
        <f t="shared" si="40"/>
        <v>540000</v>
      </c>
      <c r="X78" s="63">
        <v>100000</v>
      </c>
      <c r="Y78" s="63">
        <v>440000</v>
      </c>
      <c r="Z78" s="63">
        <f t="shared" si="28"/>
        <v>540000</v>
      </c>
      <c r="AA78" s="63">
        <v>100000</v>
      </c>
      <c r="AB78" s="63">
        <f>440000+147500</f>
        <v>587500</v>
      </c>
      <c r="AC78" s="63">
        <f t="shared" si="29"/>
        <v>687500</v>
      </c>
      <c r="AD78" s="63">
        <v>100000</v>
      </c>
      <c r="AE78" s="63">
        <v>440000</v>
      </c>
      <c r="AF78" s="63">
        <f t="shared" si="22"/>
        <v>540000</v>
      </c>
      <c r="AG78" s="63">
        <v>100000</v>
      </c>
      <c r="AH78" s="63">
        <v>0</v>
      </c>
      <c r="AI78" s="63">
        <f t="shared" si="30"/>
        <v>100000</v>
      </c>
      <c r="AJ78" s="63">
        <v>100000</v>
      </c>
      <c r="AK78" s="63">
        <v>0</v>
      </c>
      <c r="AL78" s="63">
        <f t="shared" si="31"/>
        <v>100000</v>
      </c>
      <c r="AM78" s="63">
        <v>100000</v>
      </c>
      <c r="AN78" s="63">
        <v>0</v>
      </c>
      <c r="AO78" s="63">
        <f t="shared" si="32"/>
        <v>100000</v>
      </c>
      <c r="AP78" s="64">
        <f t="shared" si="33"/>
        <v>2475000</v>
      </c>
      <c r="AQ78" s="65">
        <f t="shared" si="35"/>
        <v>35066.199907138711</v>
      </c>
      <c r="AR78" s="100"/>
    </row>
    <row r="79" spans="1:44" s="23" customFormat="1" ht="14.25">
      <c r="A79" s="60">
        <f t="shared" si="34"/>
        <v>75</v>
      </c>
      <c r="B79" s="67" t="s">
        <v>443</v>
      </c>
      <c r="C79" s="61" t="s">
        <v>444</v>
      </c>
      <c r="D79" s="61" t="s">
        <v>440</v>
      </c>
      <c r="E79" s="62">
        <v>1575000</v>
      </c>
      <c r="F79" s="63">
        <v>100000</v>
      </c>
      <c r="G79" s="63">
        <v>0</v>
      </c>
      <c r="H79" s="63">
        <f t="shared" si="36"/>
        <v>100000</v>
      </c>
      <c r="I79" s="63">
        <v>100000</v>
      </c>
      <c r="J79" s="63">
        <v>0</v>
      </c>
      <c r="K79" s="63">
        <v>0</v>
      </c>
      <c r="L79" s="63">
        <v>100000</v>
      </c>
      <c r="M79" s="63">
        <v>0</v>
      </c>
      <c r="N79" s="63">
        <f t="shared" si="37"/>
        <v>100000</v>
      </c>
      <c r="O79" s="63">
        <v>100000</v>
      </c>
      <c r="P79" s="63">
        <v>0</v>
      </c>
      <c r="Q79" s="63">
        <f t="shared" si="38"/>
        <v>100000</v>
      </c>
      <c r="R79" s="63">
        <v>100000</v>
      </c>
      <c r="S79" s="63">
        <v>0</v>
      </c>
      <c r="T79" s="63">
        <f t="shared" si="39"/>
        <v>100000</v>
      </c>
      <c r="U79" s="63">
        <v>100000</v>
      </c>
      <c r="V79" s="63">
        <v>0</v>
      </c>
      <c r="W79" s="63">
        <f t="shared" si="40"/>
        <v>100000</v>
      </c>
      <c r="X79" s="63">
        <v>100000</v>
      </c>
      <c r="Y79" s="63">
        <v>0</v>
      </c>
      <c r="Z79" s="63">
        <f t="shared" si="28"/>
        <v>100000</v>
      </c>
      <c r="AA79" s="63">
        <v>100000</v>
      </c>
      <c r="AB79" s="63">
        <v>265000</v>
      </c>
      <c r="AC79" s="63">
        <f t="shared" si="29"/>
        <v>365000</v>
      </c>
      <c r="AD79" s="63">
        <v>100000</v>
      </c>
      <c r="AE79" s="63">
        <v>265000</v>
      </c>
      <c r="AF79" s="63">
        <f t="shared" si="22"/>
        <v>365000</v>
      </c>
      <c r="AG79" s="63">
        <v>100000</v>
      </c>
      <c r="AH79" s="63">
        <f>265000</f>
        <v>265000</v>
      </c>
      <c r="AI79" s="63">
        <f t="shared" si="30"/>
        <v>365000</v>
      </c>
      <c r="AJ79" s="63">
        <v>100000</v>
      </c>
      <c r="AK79" s="63">
        <v>265000</v>
      </c>
      <c r="AL79" s="63">
        <f t="shared" si="31"/>
        <v>365000</v>
      </c>
      <c r="AM79" s="63">
        <v>100000</v>
      </c>
      <c r="AN79" s="63">
        <v>0</v>
      </c>
      <c r="AO79" s="63">
        <f t="shared" si="32"/>
        <v>100000</v>
      </c>
      <c r="AP79" s="64">
        <f t="shared" si="33"/>
        <v>2775000</v>
      </c>
      <c r="AQ79" s="65">
        <f t="shared" si="35"/>
        <v>39316.648380731283</v>
      </c>
      <c r="AR79" s="100"/>
    </row>
    <row r="80" spans="1:44" s="23" customFormat="1" ht="14.25">
      <c r="A80" s="60">
        <f t="shared" si="34"/>
        <v>76</v>
      </c>
      <c r="B80" s="60">
        <v>99101849</v>
      </c>
      <c r="C80" s="61" t="s">
        <v>445</v>
      </c>
      <c r="D80" s="61" t="s">
        <v>440</v>
      </c>
      <c r="E80" s="62">
        <v>1575000</v>
      </c>
      <c r="F80" s="63">
        <v>100000</v>
      </c>
      <c r="G80" s="63">
        <v>212000</v>
      </c>
      <c r="H80" s="63">
        <f t="shared" si="36"/>
        <v>312000</v>
      </c>
      <c r="I80" s="63">
        <v>100000</v>
      </c>
      <c r="J80" s="63">
        <v>0</v>
      </c>
      <c r="K80" s="63">
        <v>0</v>
      </c>
      <c r="L80" s="63">
        <v>100000</v>
      </c>
      <c r="M80" s="63">
        <v>440000</v>
      </c>
      <c r="N80" s="63">
        <f t="shared" si="37"/>
        <v>540000</v>
      </c>
      <c r="O80" s="63">
        <v>100000</v>
      </c>
      <c r="P80" s="63">
        <f>440000+473000</f>
        <v>913000</v>
      </c>
      <c r="Q80" s="63">
        <f t="shared" si="38"/>
        <v>1013000</v>
      </c>
      <c r="R80" s="63">
        <v>100000</v>
      </c>
      <c r="S80" s="63">
        <f>440000+533500</f>
        <v>973500</v>
      </c>
      <c r="T80" s="63">
        <f t="shared" si="39"/>
        <v>1073500</v>
      </c>
      <c r="U80" s="63">
        <v>100000</v>
      </c>
      <c r="V80" s="63">
        <f>648000+305500</f>
        <v>953500</v>
      </c>
      <c r="W80" s="63">
        <f t="shared" si="40"/>
        <v>1053500</v>
      </c>
      <c r="X80" s="63">
        <v>100000</v>
      </c>
      <c r="Y80" s="63">
        <f>648000+369000</f>
        <v>1017000</v>
      </c>
      <c r="Z80" s="63">
        <f t="shared" si="28"/>
        <v>1117000</v>
      </c>
      <c r="AA80" s="63">
        <v>100000</v>
      </c>
      <c r="AB80" s="63">
        <f>648000+122500</f>
        <v>770500</v>
      </c>
      <c r="AC80" s="63">
        <f t="shared" si="29"/>
        <v>870500</v>
      </c>
      <c r="AD80" s="63">
        <v>100000</v>
      </c>
      <c r="AE80" s="63">
        <v>648000</v>
      </c>
      <c r="AF80" s="63">
        <f t="shared" si="22"/>
        <v>748000</v>
      </c>
      <c r="AG80" s="63">
        <v>100000</v>
      </c>
      <c r="AH80" s="63">
        <f>265000+648000</f>
        <v>913000</v>
      </c>
      <c r="AI80" s="63">
        <f t="shared" si="30"/>
        <v>1013000</v>
      </c>
      <c r="AJ80" s="63">
        <v>100000</v>
      </c>
      <c r="AK80" s="63">
        <f>636000+525000</f>
        <v>1161000</v>
      </c>
      <c r="AL80" s="63">
        <f t="shared" si="31"/>
        <v>1261000</v>
      </c>
      <c r="AM80" s="63">
        <v>100000</v>
      </c>
      <c r="AN80" s="63">
        <f>636000+265000</f>
        <v>901000</v>
      </c>
      <c r="AO80" s="63">
        <f t="shared" si="32"/>
        <v>1001000</v>
      </c>
      <c r="AP80" s="64">
        <f t="shared" si="33"/>
        <v>2775000</v>
      </c>
      <c r="AQ80" s="65">
        <f t="shared" si="35"/>
        <v>39316.648380731283</v>
      </c>
      <c r="AR80" s="100"/>
    </row>
    <row r="81" spans="1:44" s="23" customFormat="1" ht="14.25">
      <c r="A81" s="60">
        <f t="shared" si="34"/>
        <v>77</v>
      </c>
      <c r="B81" s="67" t="s">
        <v>446</v>
      </c>
      <c r="C81" s="61" t="s">
        <v>447</v>
      </c>
      <c r="D81" s="61" t="s">
        <v>440</v>
      </c>
      <c r="E81" s="62">
        <v>1575000</v>
      </c>
      <c r="F81" s="63">
        <v>100000</v>
      </c>
      <c r="G81" s="63">
        <v>265000</v>
      </c>
      <c r="H81" s="63">
        <f t="shared" si="36"/>
        <v>365000</v>
      </c>
      <c r="I81" s="63">
        <v>100000</v>
      </c>
      <c r="J81" s="63">
        <v>0</v>
      </c>
      <c r="K81" s="63">
        <v>0</v>
      </c>
      <c r="L81" s="63">
        <v>100000</v>
      </c>
      <c r="M81" s="63">
        <v>0</v>
      </c>
      <c r="N81" s="63">
        <f t="shared" si="37"/>
        <v>100000</v>
      </c>
      <c r="O81" s="63">
        <v>100000</v>
      </c>
      <c r="P81" s="63">
        <v>405000</v>
      </c>
      <c r="Q81" s="63">
        <f t="shared" si="38"/>
        <v>505000</v>
      </c>
      <c r="R81" s="63">
        <v>100000</v>
      </c>
      <c r="S81" s="63">
        <v>405000</v>
      </c>
      <c r="T81" s="63">
        <f t="shared" si="39"/>
        <v>505000</v>
      </c>
      <c r="U81" s="63">
        <v>100000</v>
      </c>
      <c r="V81" s="63">
        <v>405000</v>
      </c>
      <c r="W81" s="63">
        <f t="shared" si="40"/>
        <v>505000</v>
      </c>
      <c r="X81" s="63">
        <v>100000</v>
      </c>
      <c r="Y81" s="63">
        <v>405000</v>
      </c>
      <c r="Z81" s="63">
        <f t="shared" si="28"/>
        <v>505000</v>
      </c>
      <c r="AA81" s="63">
        <v>100000</v>
      </c>
      <c r="AB81" s="63">
        <v>166000</v>
      </c>
      <c r="AC81" s="63">
        <f t="shared" si="29"/>
        <v>266000</v>
      </c>
      <c r="AD81" s="63">
        <v>100000</v>
      </c>
      <c r="AE81" s="63">
        <v>0</v>
      </c>
      <c r="AF81" s="63">
        <f t="shared" si="22"/>
        <v>100000</v>
      </c>
      <c r="AG81" s="63">
        <v>100000</v>
      </c>
      <c r="AH81" s="63">
        <v>0</v>
      </c>
      <c r="AI81" s="63">
        <f t="shared" si="30"/>
        <v>100000</v>
      </c>
      <c r="AJ81" s="63">
        <v>100000</v>
      </c>
      <c r="AK81" s="63">
        <v>0</v>
      </c>
      <c r="AL81" s="63">
        <f t="shared" si="31"/>
        <v>100000</v>
      </c>
      <c r="AM81" s="63">
        <v>100000</v>
      </c>
      <c r="AN81" s="63">
        <v>0</v>
      </c>
      <c r="AO81" s="63">
        <f t="shared" si="32"/>
        <v>100000</v>
      </c>
      <c r="AP81" s="64">
        <f t="shared" si="33"/>
        <v>2775000</v>
      </c>
      <c r="AQ81" s="65">
        <f t="shared" si="35"/>
        <v>39316.648380731283</v>
      </c>
      <c r="AR81" s="100"/>
    </row>
    <row r="82" spans="1:44" s="23" customFormat="1" ht="14.25">
      <c r="A82" s="60">
        <f t="shared" si="34"/>
        <v>78</v>
      </c>
      <c r="B82" s="60">
        <v>97011244</v>
      </c>
      <c r="C82" s="61" t="s">
        <v>448</v>
      </c>
      <c r="D82" s="61" t="s">
        <v>440</v>
      </c>
      <c r="E82" s="62">
        <v>1575000</v>
      </c>
      <c r="F82" s="63">
        <v>100000</v>
      </c>
      <c r="G82" s="63">
        <f>440000+960000</f>
        <v>1400000</v>
      </c>
      <c r="H82" s="63">
        <f t="shared" si="36"/>
        <v>1500000</v>
      </c>
      <c r="I82" s="63">
        <v>100000</v>
      </c>
      <c r="J82" s="63">
        <v>0</v>
      </c>
      <c r="K82" s="63">
        <v>0</v>
      </c>
      <c r="L82" s="63">
        <v>100000</v>
      </c>
      <c r="M82" s="63">
        <v>915000</v>
      </c>
      <c r="N82" s="63">
        <f t="shared" si="37"/>
        <v>1015000</v>
      </c>
      <c r="O82" s="63">
        <v>100000</v>
      </c>
      <c r="P82" s="63">
        <f>880000+925000</f>
        <v>1805000</v>
      </c>
      <c r="Q82" s="63">
        <f t="shared" si="38"/>
        <v>1905000</v>
      </c>
      <c r="R82" s="63">
        <v>100000</v>
      </c>
      <c r="S82" s="63">
        <f>550000+1372000-AR82</f>
        <v>1922000</v>
      </c>
      <c r="T82" s="63">
        <f t="shared" si="39"/>
        <v>2022000</v>
      </c>
      <c r="U82" s="63">
        <v>100000</v>
      </c>
      <c r="V82" s="63">
        <f>880000+601500+921500-Y82</f>
        <v>803000</v>
      </c>
      <c r="W82" s="69">
        <f t="shared" si="40"/>
        <v>903000</v>
      </c>
      <c r="X82" s="63">
        <v>100000</v>
      </c>
      <c r="Y82" s="63">
        <f>2503000-1500000+880000+49500-332500</f>
        <v>1600000</v>
      </c>
      <c r="Z82" s="69">
        <f t="shared" si="28"/>
        <v>1700000</v>
      </c>
      <c r="AA82" s="63">
        <v>100000</v>
      </c>
      <c r="AB82" s="63">
        <v>770000</v>
      </c>
      <c r="AC82" s="63">
        <f t="shared" si="29"/>
        <v>870000</v>
      </c>
      <c r="AD82" s="63">
        <v>100000</v>
      </c>
      <c r="AE82" s="63">
        <v>770000</v>
      </c>
      <c r="AF82" s="63">
        <f t="shared" si="22"/>
        <v>870000</v>
      </c>
      <c r="AG82" s="63">
        <v>100000</v>
      </c>
      <c r="AH82" s="63">
        <f>61000+715000</f>
        <v>776000</v>
      </c>
      <c r="AI82" s="63">
        <f t="shared" si="30"/>
        <v>876000</v>
      </c>
      <c r="AJ82" s="63">
        <v>100000</v>
      </c>
      <c r="AK82" s="63">
        <f>715000+51000</f>
        <v>766000</v>
      </c>
      <c r="AL82" s="63">
        <f t="shared" si="31"/>
        <v>866000</v>
      </c>
      <c r="AM82" s="63">
        <v>100000</v>
      </c>
      <c r="AN82" s="63">
        <f>715000+243000</f>
        <v>958000</v>
      </c>
      <c r="AO82" s="63">
        <f t="shared" si="32"/>
        <v>1058000</v>
      </c>
      <c r="AP82" s="64">
        <f t="shared" si="33"/>
        <v>2775000</v>
      </c>
      <c r="AQ82" s="65">
        <f t="shared" si="35"/>
        <v>39316.648380731283</v>
      </c>
      <c r="AR82" s="100"/>
    </row>
    <row r="83" spans="1:44" s="23" customFormat="1" ht="14.25">
      <c r="A83" s="60">
        <f t="shared" si="34"/>
        <v>79</v>
      </c>
      <c r="B83" s="67" t="s">
        <v>449</v>
      </c>
      <c r="C83" s="61" t="s">
        <v>450</v>
      </c>
      <c r="D83" s="61" t="s">
        <v>440</v>
      </c>
      <c r="E83" s="62">
        <v>1575000</v>
      </c>
      <c r="F83" s="63">
        <v>100000</v>
      </c>
      <c r="G83" s="63">
        <v>0</v>
      </c>
      <c r="H83" s="63">
        <f t="shared" si="36"/>
        <v>100000</v>
      </c>
      <c r="I83" s="63">
        <v>100000</v>
      </c>
      <c r="J83" s="63">
        <v>0</v>
      </c>
      <c r="K83" s="63">
        <v>0</v>
      </c>
      <c r="L83" s="63">
        <v>100000</v>
      </c>
      <c r="M83" s="63">
        <v>440000</v>
      </c>
      <c r="N83" s="63">
        <f t="shared" si="37"/>
        <v>540000</v>
      </c>
      <c r="O83" s="63">
        <v>100000</v>
      </c>
      <c r="P83" s="63">
        <v>440000</v>
      </c>
      <c r="Q83" s="63">
        <f t="shared" si="38"/>
        <v>540000</v>
      </c>
      <c r="R83" s="63">
        <v>100000</v>
      </c>
      <c r="S83" s="63">
        <v>440000</v>
      </c>
      <c r="T83" s="63">
        <f t="shared" si="39"/>
        <v>540000</v>
      </c>
      <c r="U83" s="63">
        <v>100000</v>
      </c>
      <c r="V83" s="63">
        <v>440000</v>
      </c>
      <c r="W83" s="63">
        <f t="shared" si="40"/>
        <v>540000</v>
      </c>
      <c r="X83" s="63">
        <v>100000</v>
      </c>
      <c r="Y83" s="63">
        <v>440000</v>
      </c>
      <c r="Z83" s="63">
        <f t="shared" si="28"/>
        <v>540000</v>
      </c>
      <c r="AA83" s="63">
        <v>100000</v>
      </c>
      <c r="AB83" s="63">
        <v>0</v>
      </c>
      <c r="AC83" s="63">
        <f t="shared" si="29"/>
        <v>100000</v>
      </c>
      <c r="AD83" s="63">
        <v>100000</v>
      </c>
      <c r="AE83" s="63">
        <v>0</v>
      </c>
      <c r="AF83" s="63">
        <f t="shared" si="22"/>
        <v>100000</v>
      </c>
      <c r="AG83" s="63">
        <v>100000</v>
      </c>
      <c r="AH83" s="63">
        <v>0</v>
      </c>
      <c r="AI83" s="63">
        <f t="shared" si="30"/>
        <v>100000</v>
      </c>
      <c r="AJ83" s="63">
        <v>100000</v>
      </c>
      <c r="AK83" s="63">
        <v>540000</v>
      </c>
      <c r="AL83" s="63">
        <f t="shared" si="31"/>
        <v>640000</v>
      </c>
      <c r="AM83" s="63">
        <v>100000</v>
      </c>
      <c r="AN83" s="63">
        <f>540000*2+270000</f>
        <v>1350000</v>
      </c>
      <c r="AO83" s="63">
        <f t="shared" si="32"/>
        <v>1450000</v>
      </c>
      <c r="AP83" s="64">
        <f t="shared" si="33"/>
        <v>2775000</v>
      </c>
      <c r="AQ83" s="65">
        <f t="shared" si="35"/>
        <v>39316.648380731283</v>
      </c>
      <c r="AR83" s="100"/>
    </row>
    <row r="84" spans="1:44" s="23" customFormat="1" ht="14.25">
      <c r="A84" s="60">
        <f t="shared" si="34"/>
        <v>80</v>
      </c>
      <c r="B84" s="67">
        <v>11038134</v>
      </c>
      <c r="C84" s="61" t="s">
        <v>452</v>
      </c>
      <c r="D84" s="61" t="s">
        <v>440</v>
      </c>
      <c r="E84" s="62">
        <v>1575000</v>
      </c>
      <c r="F84" s="63">
        <v>100000</v>
      </c>
      <c r="G84" s="63">
        <v>648000</v>
      </c>
      <c r="H84" s="63">
        <f t="shared" si="36"/>
        <v>748000</v>
      </c>
      <c r="I84" s="63">
        <v>100000</v>
      </c>
      <c r="J84" s="63">
        <v>0</v>
      </c>
      <c r="K84" s="63">
        <v>0</v>
      </c>
      <c r="L84" s="63">
        <v>100000</v>
      </c>
      <c r="M84" s="63">
        <v>648000</v>
      </c>
      <c r="N84" s="63">
        <f t="shared" si="37"/>
        <v>748000</v>
      </c>
      <c r="O84" s="63">
        <v>100000</v>
      </c>
      <c r="P84" s="63">
        <v>648000</v>
      </c>
      <c r="Q84" s="63">
        <f t="shared" si="38"/>
        <v>748000</v>
      </c>
      <c r="R84" s="63">
        <v>100000</v>
      </c>
      <c r="S84" s="63">
        <v>648000</v>
      </c>
      <c r="T84" s="63">
        <f t="shared" si="39"/>
        <v>748000</v>
      </c>
      <c r="U84" s="63">
        <v>100000</v>
      </c>
      <c r="V84" s="63">
        <v>540000</v>
      </c>
      <c r="W84" s="63">
        <f t="shared" si="40"/>
        <v>640000</v>
      </c>
      <c r="X84" s="63">
        <v>100000</v>
      </c>
      <c r="Y84" s="63">
        <v>540000</v>
      </c>
      <c r="Z84" s="63">
        <f t="shared" si="28"/>
        <v>640000</v>
      </c>
      <c r="AA84" s="63">
        <v>100000</v>
      </c>
      <c r="AB84" s="63">
        <v>540000</v>
      </c>
      <c r="AC84" s="63">
        <f t="shared" si="29"/>
        <v>640000</v>
      </c>
      <c r="AD84" s="63">
        <v>100000</v>
      </c>
      <c r="AE84" s="63">
        <v>540000</v>
      </c>
      <c r="AF84" s="63">
        <f t="shared" si="22"/>
        <v>640000</v>
      </c>
      <c r="AG84" s="63">
        <v>100000</v>
      </c>
      <c r="AH84" s="63">
        <f>540000</f>
        <v>540000</v>
      </c>
      <c r="AI84" s="63">
        <f t="shared" si="30"/>
        <v>640000</v>
      </c>
      <c r="AJ84" s="63">
        <v>100000</v>
      </c>
      <c r="AK84" s="63">
        <v>540000</v>
      </c>
      <c r="AL84" s="63">
        <f t="shared" si="31"/>
        <v>640000</v>
      </c>
      <c r="AM84" s="63">
        <v>100000</v>
      </c>
      <c r="AN84" s="63">
        <f>1061000+219000</f>
        <v>1280000</v>
      </c>
      <c r="AO84" s="63">
        <f t="shared" si="32"/>
        <v>1380000</v>
      </c>
      <c r="AP84" s="64">
        <f t="shared" si="33"/>
        <v>2775000</v>
      </c>
      <c r="AQ84" s="65">
        <f t="shared" si="35"/>
        <v>39316.648380731283</v>
      </c>
      <c r="AR84" s="100"/>
    </row>
    <row r="85" spans="1:44" s="23" customFormat="1" ht="14.25">
      <c r="A85" s="60">
        <f t="shared" si="34"/>
        <v>81</v>
      </c>
      <c r="B85" s="67" t="s">
        <v>453</v>
      </c>
      <c r="C85" s="61" t="s">
        <v>454</v>
      </c>
      <c r="D85" s="61" t="s">
        <v>440</v>
      </c>
      <c r="E85" s="62">
        <v>1575000</v>
      </c>
      <c r="F85" s="63">
        <v>100000</v>
      </c>
      <c r="G85" s="63">
        <f>270000+50000</f>
        <v>320000</v>
      </c>
      <c r="H85" s="63">
        <f t="shared" si="36"/>
        <v>420000</v>
      </c>
      <c r="I85" s="63">
        <v>100000</v>
      </c>
      <c r="J85" s="63">
        <v>0</v>
      </c>
      <c r="K85" s="63">
        <v>0</v>
      </c>
      <c r="L85" s="63">
        <v>100000</v>
      </c>
      <c r="M85" s="63">
        <v>270000</v>
      </c>
      <c r="N85" s="63">
        <f t="shared" si="37"/>
        <v>370000</v>
      </c>
      <c r="O85" s="63">
        <v>100000</v>
      </c>
      <c r="P85" s="63">
        <f>270000+32000</f>
        <v>302000</v>
      </c>
      <c r="Q85" s="63">
        <f t="shared" si="38"/>
        <v>402000</v>
      </c>
      <c r="R85" s="63">
        <v>100000</v>
      </c>
      <c r="S85" s="63">
        <v>270000</v>
      </c>
      <c r="T85" s="63">
        <f t="shared" si="39"/>
        <v>370000</v>
      </c>
      <c r="U85" s="63">
        <v>100000</v>
      </c>
      <c r="V85" s="63">
        <f>270000+270000+120000</f>
        <v>660000</v>
      </c>
      <c r="W85" s="63">
        <f t="shared" si="40"/>
        <v>760000</v>
      </c>
      <c r="X85" s="63">
        <v>100000</v>
      </c>
      <c r="Y85" s="63">
        <v>540000</v>
      </c>
      <c r="Z85" s="63">
        <f t="shared" si="28"/>
        <v>640000</v>
      </c>
      <c r="AA85" s="63">
        <v>100000</v>
      </c>
      <c r="AB85" s="63">
        <f>540000+45000</f>
        <v>585000</v>
      </c>
      <c r="AC85" s="63">
        <f t="shared" si="29"/>
        <v>685000</v>
      </c>
      <c r="AD85" s="63">
        <v>100000</v>
      </c>
      <c r="AE85" s="63">
        <f>47500+540000</f>
        <v>587500</v>
      </c>
      <c r="AF85" s="63">
        <f t="shared" si="22"/>
        <v>687500</v>
      </c>
      <c r="AG85" s="63">
        <v>100000</v>
      </c>
      <c r="AH85" s="63">
        <f>47000+540000</f>
        <v>587000</v>
      </c>
      <c r="AI85" s="63">
        <f t="shared" si="30"/>
        <v>687000</v>
      </c>
      <c r="AJ85" s="63">
        <v>100000</v>
      </c>
      <c r="AK85" s="63">
        <f>540000+76000</f>
        <v>616000</v>
      </c>
      <c r="AL85" s="63">
        <f t="shared" si="31"/>
        <v>716000</v>
      </c>
      <c r="AM85" s="63">
        <v>100000</v>
      </c>
      <c r="AN85" s="63">
        <f>540000+231000</f>
        <v>771000</v>
      </c>
      <c r="AO85" s="63">
        <f t="shared" si="32"/>
        <v>871000</v>
      </c>
      <c r="AP85" s="64">
        <f t="shared" si="33"/>
        <v>2775000</v>
      </c>
      <c r="AQ85" s="65">
        <f t="shared" si="35"/>
        <v>39316.648380731283</v>
      </c>
      <c r="AR85" s="100"/>
    </row>
    <row r="86" spans="1:44" s="23" customFormat="1" ht="14.25">
      <c r="A86" s="60">
        <f t="shared" si="34"/>
        <v>82</v>
      </c>
      <c r="B86" s="67">
        <v>10107894</v>
      </c>
      <c r="C86" s="61" t="s">
        <v>455</v>
      </c>
      <c r="D86" s="61" t="s">
        <v>440</v>
      </c>
      <c r="E86" s="62">
        <v>1575000</v>
      </c>
      <c r="F86" s="63">
        <v>100000</v>
      </c>
      <c r="G86" s="63">
        <f>270000+486500</f>
        <v>756500</v>
      </c>
      <c r="H86" s="63">
        <f t="shared" si="36"/>
        <v>856500</v>
      </c>
      <c r="I86" s="63">
        <v>100000</v>
      </c>
      <c r="J86" s="63">
        <v>0</v>
      </c>
      <c r="K86" s="63">
        <v>0</v>
      </c>
      <c r="L86" s="63">
        <v>100000</v>
      </c>
      <c r="M86" s="63">
        <v>270000</v>
      </c>
      <c r="N86" s="63">
        <f t="shared" si="37"/>
        <v>370000</v>
      </c>
      <c r="O86" s="63">
        <v>100000</v>
      </c>
      <c r="P86" s="63">
        <f>270000+967500</f>
        <v>1237500</v>
      </c>
      <c r="Q86" s="63">
        <f t="shared" si="38"/>
        <v>1337500</v>
      </c>
      <c r="R86" s="63">
        <v>100000</v>
      </c>
      <c r="S86" s="63">
        <f>270000+660000</f>
        <v>930000</v>
      </c>
      <c r="T86" s="63">
        <f t="shared" si="39"/>
        <v>1030000</v>
      </c>
      <c r="U86" s="63">
        <v>100000</v>
      </c>
      <c r="V86" s="63">
        <f>648000+440000</f>
        <v>1088000</v>
      </c>
      <c r="W86" s="63">
        <f t="shared" si="40"/>
        <v>1188000</v>
      </c>
      <c r="X86" s="63">
        <v>100000</v>
      </c>
      <c r="Y86" s="63">
        <f>648000+180000</f>
        <v>828000</v>
      </c>
      <c r="Z86" s="63">
        <f t="shared" si="28"/>
        <v>928000</v>
      </c>
      <c r="AA86" s="63">
        <v>100000</v>
      </c>
      <c r="AB86" s="63">
        <f>648000+131500</f>
        <v>779500</v>
      </c>
      <c r="AC86" s="63">
        <f t="shared" si="29"/>
        <v>879500</v>
      </c>
      <c r="AD86" s="63">
        <v>100000</v>
      </c>
      <c r="AE86" s="63">
        <v>737000</v>
      </c>
      <c r="AF86" s="63">
        <f t="shared" si="22"/>
        <v>837000</v>
      </c>
      <c r="AG86" s="63">
        <v>100000</v>
      </c>
      <c r="AH86" s="63">
        <f>167000+732600</f>
        <v>899600</v>
      </c>
      <c r="AI86" s="63">
        <f t="shared" si="30"/>
        <v>999600</v>
      </c>
      <c r="AJ86" s="63">
        <v>100000</v>
      </c>
      <c r="AK86" s="63">
        <v>732600</v>
      </c>
      <c r="AL86" s="63">
        <f t="shared" si="31"/>
        <v>832600</v>
      </c>
      <c r="AM86" s="63">
        <v>100000</v>
      </c>
      <c r="AN86" s="63">
        <f>732600</f>
        <v>732600</v>
      </c>
      <c r="AO86" s="63">
        <f t="shared" si="32"/>
        <v>832600</v>
      </c>
      <c r="AP86" s="64">
        <f t="shared" si="33"/>
        <v>2775000</v>
      </c>
      <c r="AQ86" s="65">
        <f t="shared" si="35"/>
        <v>39316.648380731283</v>
      </c>
      <c r="AR86" s="100"/>
    </row>
    <row r="87" spans="1:44" s="23" customFormat="1" ht="14.25">
      <c r="A87" s="60">
        <f t="shared" si="34"/>
        <v>83</v>
      </c>
      <c r="B87" s="67" t="s">
        <v>456</v>
      </c>
      <c r="C87" s="61" t="s">
        <v>457</v>
      </c>
      <c r="D87" s="61" t="s">
        <v>440</v>
      </c>
      <c r="E87" s="62">
        <v>1575000</v>
      </c>
      <c r="F87" s="63">
        <v>100000</v>
      </c>
      <c r="G87" s="63">
        <v>1080000</v>
      </c>
      <c r="H87" s="63">
        <f t="shared" si="36"/>
        <v>1180000</v>
      </c>
      <c r="I87" s="63">
        <v>100000</v>
      </c>
      <c r="J87" s="63">
        <v>0</v>
      </c>
      <c r="K87" s="63">
        <v>0</v>
      </c>
      <c r="L87" s="63">
        <v>100000</v>
      </c>
      <c r="M87" s="63">
        <v>1080000</v>
      </c>
      <c r="N87" s="63">
        <f t="shared" si="37"/>
        <v>1180000</v>
      </c>
      <c r="O87" s="63">
        <v>100000</v>
      </c>
      <c r="P87" s="63">
        <v>1080000</v>
      </c>
      <c r="Q87" s="63">
        <f t="shared" si="38"/>
        <v>1180000</v>
      </c>
      <c r="R87" s="63">
        <v>100000</v>
      </c>
      <c r="S87" s="63">
        <v>1080000</v>
      </c>
      <c r="T87" s="63">
        <f t="shared" si="39"/>
        <v>1180000</v>
      </c>
      <c r="U87" s="63">
        <v>100000</v>
      </c>
      <c r="V87" s="63">
        <v>0</v>
      </c>
      <c r="W87" s="63">
        <f t="shared" si="40"/>
        <v>100000</v>
      </c>
      <c r="X87" s="63">
        <v>100000</v>
      </c>
      <c r="Y87" s="63">
        <v>1080000</v>
      </c>
      <c r="Z87" s="63">
        <f t="shared" si="28"/>
        <v>1180000</v>
      </c>
      <c r="AA87" s="63">
        <v>100000</v>
      </c>
      <c r="AB87" s="63">
        <v>1080000</v>
      </c>
      <c r="AC87" s="63">
        <f t="shared" si="29"/>
        <v>1180000</v>
      </c>
      <c r="AD87" s="63">
        <v>100000</v>
      </c>
      <c r="AE87" s="63">
        <v>108000</v>
      </c>
      <c r="AF87" s="63">
        <f t="shared" si="22"/>
        <v>208000</v>
      </c>
      <c r="AG87" s="63">
        <v>100000</v>
      </c>
      <c r="AH87" s="63">
        <v>0</v>
      </c>
      <c r="AI87" s="63">
        <f t="shared" si="30"/>
        <v>100000</v>
      </c>
      <c r="AJ87" s="63">
        <v>100000</v>
      </c>
      <c r="AK87" s="63">
        <v>1590000</v>
      </c>
      <c r="AL87" s="63">
        <f t="shared" si="31"/>
        <v>1690000</v>
      </c>
      <c r="AM87" s="63">
        <v>100000</v>
      </c>
      <c r="AN87" s="63">
        <f>1590000</f>
        <v>1590000</v>
      </c>
      <c r="AO87" s="63">
        <f t="shared" si="32"/>
        <v>1690000</v>
      </c>
      <c r="AP87" s="64">
        <f t="shared" si="33"/>
        <v>2775000</v>
      </c>
      <c r="AQ87" s="65">
        <f t="shared" si="35"/>
        <v>39316.648380731283</v>
      </c>
      <c r="AR87" s="100"/>
    </row>
    <row r="88" spans="1:44" s="23" customFormat="1">
      <c r="A88" s="60">
        <f t="shared" si="34"/>
        <v>84</v>
      </c>
      <c r="B88" s="74">
        <v>12119494</v>
      </c>
      <c r="C88" s="71" t="s">
        <v>458</v>
      </c>
      <c r="D88" s="61" t="s">
        <v>440</v>
      </c>
      <c r="E88" s="62">
        <v>700000</v>
      </c>
      <c r="F88" s="63">
        <v>100000</v>
      </c>
      <c r="G88" s="63">
        <v>265000</v>
      </c>
      <c r="H88" s="63">
        <f t="shared" si="36"/>
        <v>365000</v>
      </c>
      <c r="I88" s="63">
        <v>100000</v>
      </c>
      <c r="J88" s="63">
        <v>0</v>
      </c>
      <c r="K88" s="63">
        <v>0</v>
      </c>
      <c r="L88" s="63">
        <v>100000</v>
      </c>
      <c r="M88" s="63">
        <f>265000+95500</f>
        <v>360500</v>
      </c>
      <c r="N88" s="63">
        <f t="shared" si="37"/>
        <v>460500</v>
      </c>
      <c r="O88" s="63">
        <v>100000</v>
      </c>
      <c r="P88" s="63">
        <v>265000</v>
      </c>
      <c r="Q88" s="63">
        <f t="shared" si="38"/>
        <v>365000</v>
      </c>
      <c r="R88" s="63">
        <v>100000</v>
      </c>
      <c r="S88" s="63">
        <v>265000</v>
      </c>
      <c r="T88" s="63">
        <f t="shared" si="39"/>
        <v>365000</v>
      </c>
      <c r="U88" s="63">
        <v>100000</v>
      </c>
      <c r="V88" s="63">
        <v>265000</v>
      </c>
      <c r="W88" s="63">
        <f t="shared" si="40"/>
        <v>365000</v>
      </c>
      <c r="X88" s="63">
        <v>100000</v>
      </c>
      <c r="Y88" s="63">
        <f>265000+146000+100000</f>
        <v>511000</v>
      </c>
      <c r="Z88" s="63">
        <f t="shared" si="28"/>
        <v>611000</v>
      </c>
      <c r="AA88" s="63">
        <v>100000</v>
      </c>
      <c r="AB88" s="63">
        <v>265000</v>
      </c>
      <c r="AC88" s="63">
        <f t="shared" si="29"/>
        <v>365000</v>
      </c>
      <c r="AD88" s="63">
        <v>100000</v>
      </c>
      <c r="AE88" s="63">
        <v>1080000</v>
      </c>
      <c r="AF88" s="63">
        <f t="shared" si="22"/>
        <v>1180000</v>
      </c>
      <c r="AG88" s="63">
        <v>100000</v>
      </c>
      <c r="AH88" s="63">
        <f>84000+265000</f>
        <v>349000</v>
      </c>
      <c r="AI88" s="63">
        <f t="shared" si="30"/>
        <v>449000</v>
      </c>
      <c r="AJ88" s="63">
        <v>100000</v>
      </c>
      <c r="AK88" s="63">
        <f>405000+205000</f>
        <v>610000</v>
      </c>
      <c r="AL88" s="63">
        <f t="shared" si="31"/>
        <v>710000</v>
      </c>
      <c r="AM88" s="63">
        <v>100000</v>
      </c>
      <c r="AN88" s="63">
        <f>540000+301000</f>
        <v>841000</v>
      </c>
      <c r="AO88" s="63">
        <f t="shared" si="32"/>
        <v>941000</v>
      </c>
      <c r="AP88" s="64">
        <f t="shared" si="33"/>
        <v>1900000</v>
      </c>
      <c r="AQ88" s="65">
        <f t="shared" si="35"/>
        <v>26919.506999419616</v>
      </c>
      <c r="AR88" s="100"/>
    </row>
    <row r="89" spans="1:44" s="23" customFormat="1" ht="14.25">
      <c r="A89" s="60">
        <f t="shared" si="34"/>
        <v>85</v>
      </c>
      <c r="B89" s="60">
        <v>95070454</v>
      </c>
      <c r="C89" s="61" t="s">
        <v>459</v>
      </c>
      <c r="D89" s="61" t="s">
        <v>460</v>
      </c>
      <c r="E89" s="62">
        <v>1575000</v>
      </c>
      <c r="F89" s="63">
        <v>100000</v>
      </c>
      <c r="G89" s="63">
        <v>0</v>
      </c>
      <c r="H89" s="63">
        <f t="shared" si="36"/>
        <v>100000</v>
      </c>
      <c r="I89" s="63">
        <v>100000</v>
      </c>
      <c r="J89" s="63">
        <v>0</v>
      </c>
      <c r="K89" s="63">
        <v>0</v>
      </c>
      <c r="L89" s="63">
        <v>100000</v>
      </c>
      <c r="M89" s="63">
        <v>405000</v>
      </c>
      <c r="N89" s="63">
        <f t="shared" si="37"/>
        <v>505000</v>
      </c>
      <c r="O89" s="63">
        <v>100000</v>
      </c>
      <c r="P89" s="63">
        <v>405000</v>
      </c>
      <c r="Q89" s="63">
        <f t="shared" si="38"/>
        <v>505000</v>
      </c>
      <c r="R89" s="63">
        <v>100000</v>
      </c>
      <c r="S89" s="63">
        <v>405000</v>
      </c>
      <c r="T89" s="63">
        <f t="shared" si="39"/>
        <v>505000</v>
      </c>
      <c r="U89" s="63">
        <v>100000</v>
      </c>
      <c r="V89" s="63">
        <v>0</v>
      </c>
      <c r="W89" s="63">
        <f t="shared" si="40"/>
        <v>100000</v>
      </c>
      <c r="X89" s="63">
        <v>100000</v>
      </c>
      <c r="Y89" s="63">
        <v>405000</v>
      </c>
      <c r="Z89" s="63">
        <f t="shared" si="28"/>
        <v>505000</v>
      </c>
      <c r="AA89" s="63">
        <v>100000</v>
      </c>
      <c r="AB89" s="63">
        <v>405000</v>
      </c>
      <c r="AC89" s="63">
        <f t="shared" si="29"/>
        <v>505000</v>
      </c>
      <c r="AD89" s="63">
        <v>100000</v>
      </c>
      <c r="AE89" s="63">
        <v>405000</v>
      </c>
      <c r="AF89" s="63">
        <f t="shared" si="22"/>
        <v>505000</v>
      </c>
      <c r="AG89" s="63">
        <v>100000</v>
      </c>
      <c r="AH89" s="63">
        <v>0</v>
      </c>
      <c r="AI89" s="63">
        <f t="shared" si="30"/>
        <v>100000</v>
      </c>
      <c r="AJ89" s="63">
        <v>100000</v>
      </c>
      <c r="AK89" s="63">
        <v>0</v>
      </c>
      <c r="AL89" s="63">
        <f t="shared" si="31"/>
        <v>100000</v>
      </c>
      <c r="AM89" s="63">
        <v>100000</v>
      </c>
      <c r="AN89" s="63">
        <v>0</v>
      </c>
      <c r="AO89" s="63">
        <f t="shared" si="32"/>
        <v>100000</v>
      </c>
      <c r="AP89" s="64">
        <f t="shared" si="33"/>
        <v>2775000</v>
      </c>
      <c r="AQ89" s="65">
        <f t="shared" si="35"/>
        <v>39316.648380731283</v>
      </c>
      <c r="AR89" s="100"/>
    </row>
    <row r="90" spans="1:44" s="23" customFormat="1" ht="14.25">
      <c r="A90" s="60">
        <f t="shared" si="34"/>
        <v>86</v>
      </c>
      <c r="B90" s="67">
        <v>11038174</v>
      </c>
      <c r="C90" s="61" t="s">
        <v>461</v>
      </c>
      <c r="D90" s="61" t="s">
        <v>460</v>
      </c>
      <c r="E90" s="62">
        <v>1575000</v>
      </c>
      <c r="F90" s="63">
        <v>100000</v>
      </c>
      <c r="G90" s="63">
        <v>0</v>
      </c>
      <c r="H90" s="63">
        <f t="shared" si="36"/>
        <v>100000</v>
      </c>
      <c r="I90" s="63">
        <v>100000</v>
      </c>
      <c r="J90" s="63">
        <v>0</v>
      </c>
      <c r="K90" s="63">
        <v>0</v>
      </c>
      <c r="L90" s="63">
        <v>100000</v>
      </c>
      <c r="M90" s="63">
        <v>0</v>
      </c>
      <c r="N90" s="63">
        <f t="shared" si="37"/>
        <v>100000</v>
      </c>
      <c r="O90" s="63">
        <v>100000</v>
      </c>
      <c r="P90" s="63">
        <v>0</v>
      </c>
      <c r="Q90" s="63">
        <f t="shared" si="38"/>
        <v>100000</v>
      </c>
      <c r="R90" s="63">
        <v>100000</v>
      </c>
      <c r="S90" s="63">
        <v>0</v>
      </c>
      <c r="T90" s="63">
        <f t="shared" si="39"/>
        <v>100000</v>
      </c>
      <c r="U90" s="63">
        <v>100000</v>
      </c>
      <c r="V90" s="63">
        <v>405000</v>
      </c>
      <c r="W90" s="63">
        <f t="shared" si="40"/>
        <v>505000</v>
      </c>
      <c r="X90" s="63">
        <v>100000</v>
      </c>
      <c r="Y90" s="63">
        <v>265000</v>
      </c>
      <c r="Z90" s="63">
        <f t="shared" si="28"/>
        <v>365000</v>
      </c>
      <c r="AA90" s="63">
        <v>100000</v>
      </c>
      <c r="AB90" s="63">
        <v>265000</v>
      </c>
      <c r="AC90" s="63">
        <f t="shared" si="29"/>
        <v>365000</v>
      </c>
      <c r="AD90" s="63">
        <v>100000</v>
      </c>
      <c r="AE90" s="63">
        <v>265000</v>
      </c>
      <c r="AF90" s="63">
        <f t="shared" si="22"/>
        <v>365000</v>
      </c>
      <c r="AG90" s="63">
        <v>100000</v>
      </c>
      <c r="AH90" s="63">
        <v>0</v>
      </c>
      <c r="AI90" s="63">
        <f t="shared" si="30"/>
        <v>100000</v>
      </c>
      <c r="AJ90" s="63">
        <v>100000</v>
      </c>
      <c r="AK90" s="63">
        <v>0</v>
      </c>
      <c r="AL90" s="63">
        <f t="shared" si="31"/>
        <v>100000</v>
      </c>
      <c r="AM90" s="63">
        <v>100000</v>
      </c>
      <c r="AN90" s="63">
        <v>0</v>
      </c>
      <c r="AO90" s="63">
        <f t="shared" si="32"/>
        <v>100000</v>
      </c>
      <c r="AP90" s="64">
        <f t="shared" si="33"/>
        <v>2775000</v>
      </c>
      <c r="AQ90" s="65">
        <f t="shared" si="35"/>
        <v>39316.648380731283</v>
      </c>
      <c r="AR90" s="100"/>
    </row>
    <row r="91" spans="1:44" s="23" customFormat="1" ht="14.25">
      <c r="A91" s="60">
        <f t="shared" si="34"/>
        <v>87</v>
      </c>
      <c r="B91" s="67" t="s">
        <v>462</v>
      </c>
      <c r="C91" s="61" t="s">
        <v>463</v>
      </c>
      <c r="D91" s="61" t="s">
        <v>460</v>
      </c>
      <c r="E91" s="62">
        <v>1575000</v>
      </c>
      <c r="F91" s="63">
        <v>100000</v>
      </c>
      <c r="G91" s="63">
        <v>0</v>
      </c>
      <c r="H91" s="63">
        <f t="shared" si="36"/>
        <v>100000</v>
      </c>
      <c r="I91" s="63">
        <v>100000</v>
      </c>
      <c r="J91" s="63">
        <v>0</v>
      </c>
      <c r="K91" s="63">
        <v>0</v>
      </c>
      <c r="L91" s="63">
        <v>100000</v>
      </c>
      <c r="M91" s="63">
        <v>0</v>
      </c>
      <c r="N91" s="63">
        <f t="shared" si="37"/>
        <v>100000</v>
      </c>
      <c r="O91" s="63">
        <v>100000</v>
      </c>
      <c r="P91" s="63">
        <v>540000</v>
      </c>
      <c r="Q91" s="63">
        <f t="shared" si="38"/>
        <v>640000</v>
      </c>
      <c r="R91" s="63">
        <v>100000</v>
      </c>
      <c r="S91" s="63">
        <v>540000</v>
      </c>
      <c r="T91" s="63">
        <f t="shared" si="39"/>
        <v>640000</v>
      </c>
      <c r="U91" s="63">
        <v>100000</v>
      </c>
      <c r="V91" s="63">
        <v>540000</v>
      </c>
      <c r="W91" s="63">
        <f t="shared" si="40"/>
        <v>640000</v>
      </c>
      <c r="X91" s="63">
        <v>100000</v>
      </c>
      <c r="Y91" s="63">
        <v>0</v>
      </c>
      <c r="Z91" s="63">
        <f t="shared" si="28"/>
        <v>100000</v>
      </c>
      <c r="AA91" s="63">
        <v>100000</v>
      </c>
      <c r="AB91" s="63">
        <v>0</v>
      </c>
      <c r="AC91" s="63">
        <f t="shared" si="29"/>
        <v>100000</v>
      </c>
      <c r="AD91" s="63">
        <v>100000</v>
      </c>
      <c r="AE91" s="63">
        <v>0</v>
      </c>
      <c r="AF91" s="63">
        <f t="shared" si="22"/>
        <v>100000</v>
      </c>
      <c r="AG91" s="63">
        <v>100000</v>
      </c>
      <c r="AH91" s="63">
        <v>0</v>
      </c>
      <c r="AI91" s="63">
        <f t="shared" si="30"/>
        <v>100000</v>
      </c>
      <c r="AJ91" s="63">
        <v>100000</v>
      </c>
      <c r="AK91" s="63">
        <f>68500</f>
        <v>68500</v>
      </c>
      <c r="AL91" s="63">
        <f t="shared" si="31"/>
        <v>168500</v>
      </c>
      <c r="AM91" s="63">
        <v>100000</v>
      </c>
      <c r="AN91" s="63">
        <v>0</v>
      </c>
      <c r="AO91" s="63">
        <f t="shared" si="32"/>
        <v>100000</v>
      </c>
      <c r="AP91" s="64">
        <f t="shared" si="33"/>
        <v>2775000</v>
      </c>
      <c r="AQ91" s="65">
        <f t="shared" si="35"/>
        <v>39316.648380731283</v>
      </c>
      <c r="AR91" s="100"/>
    </row>
    <row r="92" spans="1:44" s="23" customFormat="1" ht="14.25">
      <c r="A92" s="60">
        <f t="shared" si="34"/>
        <v>88</v>
      </c>
      <c r="B92" s="68">
        <v>12109384</v>
      </c>
      <c r="C92" s="61" t="s">
        <v>465</v>
      </c>
      <c r="D92" s="61" t="s">
        <v>464</v>
      </c>
      <c r="E92" s="62">
        <v>500000</v>
      </c>
      <c r="F92" s="63">
        <v>100000</v>
      </c>
      <c r="G92" s="63">
        <v>364000</v>
      </c>
      <c r="H92" s="63">
        <f t="shared" si="36"/>
        <v>464000</v>
      </c>
      <c r="I92" s="63">
        <v>100000</v>
      </c>
      <c r="J92" s="63">
        <v>0</v>
      </c>
      <c r="K92" s="63">
        <v>0</v>
      </c>
      <c r="L92" s="63">
        <v>100000</v>
      </c>
      <c r="M92" s="63">
        <v>483000</v>
      </c>
      <c r="N92" s="63">
        <f t="shared" si="37"/>
        <v>583000</v>
      </c>
      <c r="O92" s="63">
        <v>100000</v>
      </c>
      <c r="P92" s="63">
        <v>778000</v>
      </c>
      <c r="Q92" s="63">
        <f t="shared" si="38"/>
        <v>878000</v>
      </c>
      <c r="R92" s="63">
        <v>100000</v>
      </c>
      <c r="S92" s="63">
        <f>633000+99000</f>
        <v>732000</v>
      </c>
      <c r="T92" s="63">
        <f t="shared" si="39"/>
        <v>832000</v>
      </c>
      <c r="U92" s="63">
        <v>100000</v>
      </c>
      <c r="V92" s="63">
        <f>540000+664000</f>
        <v>1204000</v>
      </c>
      <c r="W92" s="63">
        <f t="shared" si="40"/>
        <v>1304000</v>
      </c>
      <c r="X92" s="63">
        <v>100000</v>
      </c>
      <c r="Y92" s="63">
        <f>540000+459000</f>
        <v>999000</v>
      </c>
      <c r="Z92" s="63">
        <f t="shared" si="28"/>
        <v>1099000</v>
      </c>
      <c r="AA92" s="63">
        <v>100000</v>
      </c>
      <c r="AB92" s="63">
        <f>540000+463000</f>
        <v>1003000</v>
      </c>
      <c r="AC92" s="63">
        <f t="shared" si="29"/>
        <v>1103000</v>
      </c>
      <c r="AD92" s="63">
        <v>100000</v>
      </c>
      <c r="AE92" s="63">
        <v>540000</v>
      </c>
      <c r="AF92" s="63">
        <f t="shared" si="22"/>
        <v>640000</v>
      </c>
      <c r="AG92" s="63">
        <v>100000</v>
      </c>
      <c r="AH92" s="63">
        <f>223000+540000</f>
        <v>763000</v>
      </c>
      <c r="AI92" s="63">
        <f t="shared" si="30"/>
        <v>863000</v>
      </c>
      <c r="AJ92" s="63">
        <v>100000</v>
      </c>
      <c r="AK92" s="63">
        <f>540000+401000</f>
        <v>941000</v>
      </c>
      <c r="AL92" s="63">
        <f t="shared" si="31"/>
        <v>1041000</v>
      </c>
      <c r="AM92" s="63">
        <v>100000</v>
      </c>
      <c r="AN92" s="63">
        <f>523000</f>
        <v>523000</v>
      </c>
      <c r="AO92" s="63">
        <f t="shared" si="32"/>
        <v>623000</v>
      </c>
      <c r="AP92" s="64">
        <f t="shared" si="33"/>
        <v>1700000</v>
      </c>
      <c r="AQ92" s="65">
        <f t="shared" si="35"/>
        <v>24085.874683691236</v>
      </c>
      <c r="AR92" s="100"/>
    </row>
    <row r="93" spans="1:44" s="23" customFormat="1" ht="14.25">
      <c r="A93" s="60">
        <f t="shared" si="34"/>
        <v>89</v>
      </c>
      <c r="B93" s="60">
        <v>95070414</v>
      </c>
      <c r="C93" s="61" t="s">
        <v>466</v>
      </c>
      <c r="D93" s="61" t="s">
        <v>467</v>
      </c>
      <c r="E93" s="62">
        <v>1575000</v>
      </c>
      <c r="F93" s="63">
        <v>100000</v>
      </c>
      <c r="G93" s="63">
        <f>265000+130000</f>
        <v>395000</v>
      </c>
      <c r="H93" s="63">
        <f t="shared" si="36"/>
        <v>495000</v>
      </c>
      <c r="I93" s="63">
        <v>100000</v>
      </c>
      <c r="J93" s="63">
        <v>0</v>
      </c>
      <c r="K93" s="63">
        <v>0</v>
      </c>
      <c r="L93" s="63">
        <v>100000</v>
      </c>
      <c r="M93" s="63">
        <f>265000+36000</f>
        <v>301000</v>
      </c>
      <c r="N93" s="63">
        <f t="shared" si="37"/>
        <v>401000</v>
      </c>
      <c r="O93" s="63">
        <v>100000</v>
      </c>
      <c r="P93" s="63">
        <v>265000</v>
      </c>
      <c r="Q93" s="63">
        <f t="shared" si="38"/>
        <v>365000</v>
      </c>
      <c r="R93" s="63">
        <v>100000</v>
      </c>
      <c r="S93" s="63">
        <f>265000+265000</f>
        <v>530000</v>
      </c>
      <c r="T93" s="63">
        <f t="shared" si="39"/>
        <v>630000</v>
      </c>
      <c r="U93" s="63">
        <v>100000</v>
      </c>
      <c r="V93" s="63">
        <f>265000+303500</f>
        <v>568500</v>
      </c>
      <c r="W93" s="63">
        <f t="shared" si="40"/>
        <v>668500</v>
      </c>
      <c r="X93" s="63">
        <v>100000</v>
      </c>
      <c r="Y93" s="63">
        <f>265000+265000+268000</f>
        <v>798000</v>
      </c>
      <c r="Z93" s="63">
        <f t="shared" si="28"/>
        <v>898000</v>
      </c>
      <c r="AA93" s="63">
        <v>100000</v>
      </c>
      <c r="AB93" s="63">
        <f>265000+265000+127000</f>
        <v>657000</v>
      </c>
      <c r="AC93" s="63">
        <f t="shared" si="29"/>
        <v>757000</v>
      </c>
      <c r="AD93" s="63">
        <v>100000</v>
      </c>
      <c r="AE93" s="63">
        <f>117000+440000</f>
        <v>557000</v>
      </c>
      <c r="AF93" s="63">
        <f t="shared" si="22"/>
        <v>657000</v>
      </c>
      <c r="AG93" s="63">
        <v>100000</v>
      </c>
      <c r="AH93" s="63">
        <f>243000+440000</f>
        <v>683000</v>
      </c>
      <c r="AI93" s="63">
        <f t="shared" si="30"/>
        <v>783000</v>
      </c>
      <c r="AJ93" s="63">
        <v>100000</v>
      </c>
      <c r="AK93" s="63">
        <f>440000+274000</f>
        <v>714000</v>
      </c>
      <c r="AL93" s="63">
        <f t="shared" si="31"/>
        <v>814000</v>
      </c>
      <c r="AM93" s="63">
        <v>100000</v>
      </c>
      <c r="AN93" s="63">
        <f>440000+334000</f>
        <v>774000</v>
      </c>
      <c r="AO93" s="63">
        <f t="shared" si="32"/>
        <v>874000</v>
      </c>
      <c r="AP93" s="64">
        <f t="shared" si="33"/>
        <v>2775000</v>
      </c>
      <c r="AQ93" s="65">
        <f t="shared" si="35"/>
        <v>39316.648380731283</v>
      </c>
      <c r="AR93" s="100"/>
    </row>
    <row r="94" spans="1:44" s="23" customFormat="1" ht="14.25">
      <c r="A94" s="60">
        <f t="shared" si="34"/>
        <v>90</v>
      </c>
      <c r="B94" s="67" t="s">
        <v>468</v>
      </c>
      <c r="C94" s="61" t="s">
        <v>469</v>
      </c>
      <c r="D94" s="61" t="s">
        <v>467</v>
      </c>
      <c r="E94" s="62">
        <v>1575000</v>
      </c>
      <c r="F94" s="63">
        <v>100000</v>
      </c>
      <c r="G94" s="63">
        <v>0</v>
      </c>
      <c r="H94" s="63">
        <f t="shared" si="36"/>
        <v>100000</v>
      </c>
      <c r="I94" s="63">
        <v>100000</v>
      </c>
      <c r="J94" s="63">
        <v>0</v>
      </c>
      <c r="K94" s="63">
        <v>0</v>
      </c>
      <c r="L94" s="63">
        <v>100000</v>
      </c>
      <c r="M94" s="63">
        <v>0</v>
      </c>
      <c r="N94" s="63">
        <f t="shared" si="37"/>
        <v>100000</v>
      </c>
      <c r="O94" s="63">
        <v>100000</v>
      </c>
      <c r="P94" s="63">
        <v>0</v>
      </c>
      <c r="Q94" s="63">
        <f t="shared" si="38"/>
        <v>100000</v>
      </c>
      <c r="R94" s="63">
        <v>100000</v>
      </c>
      <c r="S94" s="63">
        <v>0</v>
      </c>
      <c r="T94" s="63">
        <f t="shared" si="39"/>
        <v>100000</v>
      </c>
      <c r="U94" s="63">
        <v>100000</v>
      </c>
      <c r="V94" s="63">
        <v>0</v>
      </c>
      <c r="W94" s="63">
        <f t="shared" si="40"/>
        <v>100000</v>
      </c>
      <c r="X94" s="63">
        <v>100000</v>
      </c>
      <c r="Y94" s="63">
        <v>0</v>
      </c>
      <c r="Z94" s="63">
        <f t="shared" si="28"/>
        <v>100000</v>
      </c>
      <c r="AA94" s="63">
        <v>100000</v>
      </c>
      <c r="AB94" s="63">
        <v>0</v>
      </c>
      <c r="AC94" s="63">
        <f t="shared" si="29"/>
        <v>100000</v>
      </c>
      <c r="AD94" s="63">
        <v>100000</v>
      </c>
      <c r="AE94" s="63">
        <v>0</v>
      </c>
      <c r="AF94" s="63">
        <f t="shared" si="22"/>
        <v>100000</v>
      </c>
      <c r="AG94" s="63">
        <v>100000</v>
      </c>
      <c r="AH94" s="63">
        <v>0</v>
      </c>
      <c r="AI94" s="63">
        <f t="shared" si="30"/>
        <v>100000</v>
      </c>
      <c r="AJ94" s="63">
        <v>100000</v>
      </c>
      <c r="AK94" s="63">
        <f>64000</f>
        <v>64000</v>
      </c>
      <c r="AL94" s="63">
        <f t="shared" si="31"/>
        <v>164000</v>
      </c>
      <c r="AM94" s="63">
        <v>100000</v>
      </c>
      <c r="AN94" s="63">
        <v>0</v>
      </c>
      <c r="AO94" s="63">
        <f t="shared" si="32"/>
        <v>100000</v>
      </c>
      <c r="AP94" s="64">
        <f t="shared" si="33"/>
        <v>2775000</v>
      </c>
      <c r="AQ94" s="65">
        <f t="shared" si="35"/>
        <v>39316.648380731283</v>
      </c>
      <c r="AR94" s="100"/>
    </row>
    <row r="95" spans="1:44" s="23" customFormat="1" ht="14.25">
      <c r="A95" s="60">
        <f t="shared" si="34"/>
        <v>91</v>
      </c>
      <c r="B95" s="68" t="s">
        <v>470</v>
      </c>
      <c r="C95" s="61" t="s">
        <v>471</v>
      </c>
      <c r="D95" s="61" t="s">
        <v>467</v>
      </c>
      <c r="E95" s="62">
        <v>800000</v>
      </c>
      <c r="F95" s="63">
        <v>100000</v>
      </c>
      <c r="G95" s="63">
        <v>0</v>
      </c>
      <c r="H95" s="63">
        <f t="shared" si="36"/>
        <v>100000</v>
      </c>
      <c r="I95" s="63">
        <v>100000</v>
      </c>
      <c r="J95" s="63">
        <v>0</v>
      </c>
      <c r="K95" s="63">
        <v>0</v>
      </c>
      <c r="L95" s="63">
        <v>100000</v>
      </c>
      <c r="M95" s="63">
        <v>265000</v>
      </c>
      <c r="N95" s="63">
        <f t="shared" si="37"/>
        <v>365000</v>
      </c>
      <c r="O95" s="63">
        <v>100000</v>
      </c>
      <c r="P95" s="63">
        <v>265000</v>
      </c>
      <c r="Q95" s="63">
        <f t="shared" si="38"/>
        <v>365000</v>
      </c>
      <c r="R95" s="63">
        <v>100000</v>
      </c>
      <c r="S95" s="63">
        <v>265000</v>
      </c>
      <c r="T95" s="63">
        <f t="shared" si="39"/>
        <v>365000</v>
      </c>
      <c r="U95" s="63">
        <v>100000</v>
      </c>
      <c r="V95" s="63">
        <v>265000</v>
      </c>
      <c r="W95" s="63">
        <f t="shared" si="40"/>
        <v>365000</v>
      </c>
      <c r="X95" s="63">
        <v>100000</v>
      </c>
      <c r="Y95" s="63">
        <v>0</v>
      </c>
      <c r="Z95" s="63">
        <f t="shared" si="28"/>
        <v>100000</v>
      </c>
      <c r="AA95" s="63">
        <v>100000</v>
      </c>
      <c r="AB95" s="63">
        <v>0</v>
      </c>
      <c r="AC95" s="63">
        <f t="shared" si="29"/>
        <v>100000</v>
      </c>
      <c r="AD95" s="63">
        <v>100000</v>
      </c>
      <c r="AE95" s="63">
        <v>0</v>
      </c>
      <c r="AF95" s="63">
        <f t="shared" si="22"/>
        <v>100000</v>
      </c>
      <c r="AG95" s="63">
        <v>100000</v>
      </c>
      <c r="AH95" s="63">
        <f>262000</f>
        <v>262000</v>
      </c>
      <c r="AI95" s="63">
        <f t="shared" si="30"/>
        <v>362000</v>
      </c>
      <c r="AJ95" s="63">
        <v>100000</v>
      </c>
      <c r="AK95" s="63">
        <f>241000</f>
        <v>241000</v>
      </c>
      <c r="AL95" s="63">
        <f t="shared" si="31"/>
        <v>341000</v>
      </c>
      <c r="AM95" s="63">
        <v>100000</v>
      </c>
      <c r="AN95" s="63">
        <f>625500</f>
        <v>625500</v>
      </c>
      <c r="AO95" s="63">
        <f t="shared" si="32"/>
        <v>725500</v>
      </c>
      <c r="AP95" s="64">
        <f t="shared" si="33"/>
        <v>2000000</v>
      </c>
      <c r="AQ95" s="65">
        <f t="shared" si="35"/>
        <v>28336.323157283809</v>
      </c>
      <c r="AR95" s="100"/>
    </row>
    <row r="96" spans="1:44" s="23" customFormat="1" ht="14.25">
      <c r="A96" s="60">
        <f t="shared" si="34"/>
        <v>92</v>
      </c>
      <c r="B96" s="73">
        <v>12038915</v>
      </c>
      <c r="C96" s="61" t="s">
        <v>657</v>
      </c>
      <c r="D96" s="61" t="s">
        <v>467</v>
      </c>
      <c r="E96" s="62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>
        <v>200000</v>
      </c>
      <c r="AH96" s="63">
        <v>0</v>
      </c>
      <c r="AI96" s="63">
        <f t="shared" si="30"/>
        <v>200000</v>
      </c>
      <c r="AJ96" s="63">
        <v>100000</v>
      </c>
      <c r="AK96" s="63">
        <v>0</v>
      </c>
      <c r="AL96" s="63">
        <f t="shared" si="31"/>
        <v>100000</v>
      </c>
      <c r="AM96" s="63">
        <v>100000</v>
      </c>
      <c r="AN96" s="63">
        <f>65000</f>
        <v>65000</v>
      </c>
      <c r="AO96" s="63">
        <f t="shared" si="32"/>
        <v>165000</v>
      </c>
      <c r="AP96" s="64">
        <f t="shared" si="33"/>
        <v>400000</v>
      </c>
      <c r="AQ96" s="65">
        <f t="shared" si="35"/>
        <v>5667.264631456761</v>
      </c>
      <c r="AR96" s="100"/>
    </row>
    <row r="97" spans="1:44" s="23" customFormat="1" ht="14.25">
      <c r="A97" s="60">
        <f t="shared" si="34"/>
        <v>93</v>
      </c>
      <c r="B97" s="67" t="s">
        <v>472</v>
      </c>
      <c r="C97" s="61" t="s">
        <v>473</v>
      </c>
      <c r="D97" s="61" t="s">
        <v>467</v>
      </c>
      <c r="E97" s="62">
        <v>1575000</v>
      </c>
      <c r="F97" s="63">
        <v>100000</v>
      </c>
      <c r="G97" s="63">
        <v>150000</v>
      </c>
      <c r="H97" s="63">
        <f t="shared" ref="H97:H106" si="41">F97+G97</f>
        <v>250000</v>
      </c>
      <c r="I97" s="63">
        <v>100000</v>
      </c>
      <c r="J97" s="63">
        <v>0</v>
      </c>
      <c r="K97" s="63">
        <v>0</v>
      </c>
      <c r="L97" s="63">
        <v>100000</v>
      </c>
      <c r="M97" s="63">
        <v>0</v>
      </c>
      <c r="N97" s="63">
        <f t="shared" ref="N97:N106" si="42">L97+M97</f>
        <v>100000</v>
      </c>
      <c r="O97" s="63">
        <v>100000</v>
      </c>
      <c r="P97" s="63">
        <f>265000+297000</f>
        <v>562000</v>
      </c>
      <c r="Q97" s="63">
        <f t="shared" ref="Q97:Q106" si="43">SUM(O97:P97)</f>
        <v>662000</v>
      </c>
      <c r="R97" s="63">
        <v>100000</v>
      </c>
      <c r="S97" s="63">
        <f>260000+165000</f>
        <v>425000</v>
      </c>
      <c r="T97" s="63">
        <f t="shared" ref="T97:T106" si="44">R97+S97</f>
        <v>525000</v>
      </c>
      <c r="U97" s="63">
        <v>100000</v>
      </c>
      <c r="V97" s="63">
        <v>176000</v>
      </c>
      <c r="W97" s="63">
        <f t="shared" ref="W97:W106" si="45">U97+V97</f>
        <v>276000</v>
      </c>
      <c r="X97" s="63">
        <v>100000</v>
      </c>
      <c r="Y97" s="63">
        <v>0</v>
      </c>
      <c r="Z97" s="63">
        <f t="shared" ref="Z97:Z106" si="46">X97+Y97</f>
        <v>100000</v>
      </c>
      <c r="AA97" s="63">
        <v>100000</v>
      </c>
      <c r="AB97" s="63">
        <v>0</v>
      </c>
      <c r="AC97" s="63">
        <f t="shared" ref="AC97:AC106" si="47">AB97+AA97</f>
        <v>100000</v>
      </c>
      <c r="AD97" s="63">
        <v>100000</v>
      </c>
      <c r="AE97" s="63">
        <v>265000</v>
      </c>
      <c r="AF97" s="63">
        <f t="shared" ref="AF97:AF106" si="48">AD97+AE97</f>
        <v>365000</v>
      </c>
      <c r="AG97" s="63">
        <v>100000</v>
      </c>
      <c r="AH97" s="63">
        <f>265000</f>
        <v>265000</v>
      </c>
      <c r="AI97" s="63">
        <f t="shared" si="30"/>
        <v>365000</v>
      </c>
      <c r="AJ97" s="63">
        <v>100000</v>
      </c>
      <c r="AK97" s="63">
        <f>265000+40000</f>
        <v>305000</v>
      </c>
      <c r="AL97" s="63">
        <f t="shared" si="31"/>
        <v>405000</v>
      </c>
      <c r="AM97" s="63">
        <v>100000</v>
      </c>
      <c r="AN97" s="63">
        <f>265000</f>
        <v>265000</v>
      </c>
      <c r="AO97" s="63">
        <f t="shared" si="32"/>
        <v>365000</v>
      </c>
      <c r="AP97" s="64">
        <f t="shared" si="33"/>
        <v>2775000</v>
      </c>
      <c r="AQ97" s="65">
        <f t="shared" si="35"/>
        <v>39316.648380731283</v>
      </c>
      <c r="AR97" s="100"/>
    </row>
    <row r="98" spans="1:44" s="23" customFormat="1" ht="14.25">
      <c r="A98" s="60">
        <f t="shared" si="34"/>
        <v>94</v>
      </c>
      <c r="B98" s="60">
        <v>97021295</v>
      </c>
      <c r="C98" s="61" t="s">
        <v>474</v>
      </c>
      <c r="D98" s="61" t="s">
        <v>467</v>
      </c>
      <c r="E98" s="62">
        <v>1575000</v>
      </c>
      <c r="F98" s="63">
        <v>100000</v>
      </c>
      <c r="G98" s="63">
        <v>265000</v>
      </c>
      <c r="H98" s="63">
        <f t="shared" si="41"/>
        <v>365000</v>
      </c>
      <c r="I98" s="63">
        <v>100000</v>
      </c>
      <c r="J98" s="63">
        <v>0</v>
      </c>
      <c r="K98" s="63">
        <v>0</v>
      </c>
      <c r="L98" s="63">
        <v>100000</v>
      </c>
      <c r="M98" s="63">
        <v>0</v>
      </c>
      <c r="N98" s="63">
        <f t="shared" si="42"/>
        <v>100000</v>
      </c>
      <c r="O98" s="63">
        <v>100000</v>
      </c>
      <c r="P98" s="63">
        <v>35000</v>
      </c>
      <c r="Q98" s="63">
        <f t="shared" si="43"/>
        <v>135000</v>
      </c>
      <c r="R98" s="63">
        <v>100000</v>
      </c>
      <c r="S98" s="63">
        <v>0</v>
      </c>
      <c r="T98" s="63">
        <f t="shared" si="44"/>
        <v>100000</v>
      </c>
      <c r="U98" s="63">
        <v>100000</v>
      </c>
      <c r="V98" s="63">
        <v>0</v>
      </c>
      <c r="W98" s="63">
        <f t="shared" si="45"/>
        <v>100000</v>
      </c>
      <c r="X98" s="63">
        <v>100000</v>
      </c>
      <c r="Y98" s="63">
        <v>85500</v>
      </c>
      <c r="Z98" s="63">
        <f t="shared" si="46"/>
        <v>185500</v>
      </c>
      <c r="AA98" s="63">
        <v>100000</v>
      </c>
      <c r="AB98" s="63">
        <v>540000</v>
      </c>
      <c r="AC98" s="63">
        <f t="shared" si="47"/>
        <v>640000</v>
      </c>
      <c r="AD98" s="63">
        <v>100000</v>
      </c>
      <c r="AE98" s="63">
        <v>540000</v>
      </c>
      <c r="AF98" s="63">
        <f t="shared" si="48"/>
        <v>640000</v>
      </c>
      <c r="AG98" s="63">
        <v>100000</v>
      </c>
      <c r="AH98" s="63">
        <f>34000+540000</f>
        <v>574000</v>
      </c>
      <c r="AI98" s="63">
        <f t="shared" si="30"/>
        <v>674000</v>
      </c>
      <c r="AJ98" s="63">
        <v>100000</v>
      </c>
      <c r="AK98" s="63">
        <f>540000+34000</f>
        <v>574000</v>
      </c>
      <c r="AL98" s="63">
        <f t="shared" si="31"/>
        <v>674000</v>
      </c>
      <c r="AM98" s="63">
        <v>100000</v>
      </c>
      <c r="AN98" s="63">
        <f>540000</f>
        <v>540000</v>
      </c>
      <c r="AO98" s="63">
        <f t="shared" si="32"/>
        <v>640000</v>
      </c>
      <c r="AP98" s="64">
        <f t="shared" si="33"/>
        <v>2775000</v>
      </c>
      <c r="AQ98" s="65">
        <f t="shared" si="35"/>
        <v>39316.648380731283</v>
      </c>
      <c r="AR98" s="100"/>
    </row>
    <row r="99" spans="1:44" s="23" customFormat="1" ht="14.25">
      <c r="A99" s="60">
        <f t="shared" si="34"/>
        <v>95</v>
      </c>
      <c r="B99" s="67" t="s">
        <v>475</v>
      </c>
      <c r="C99" s="61" t="s">
        <v>476</v>
      </c>
      <c r="D99" s="61" t="s">
        <v>467</v>
      </c>
      <c r="E99" s="62">
        <v>1575000</v>
      </c>
      <c r="F99" s="63">
        <v>100000</v>
      </c>
      <c r="G99" s="63">
        <v>75500</v>
      </c>
      <c r="H99" s="63">
        <f t="shared" si="41"/>
        <v>175500</v>
      </c>
      <c r="I99" s="63">
        <v>100000</v>
      </c>
      <c r="J99" s="63">
        <v>0</v>
      </c>
      <c r="K99" s="63">
        <v>0</v>
      </c>
      <c r="L99" s="63">
        <v>100000</v>
      </c>
      <c r="M99" s="63">
        <v>0</v>
      </c>
      <c r="N99" s="63">
        <f t="shared" si="42"/>
        <v>100000</v>
      </c>
      <c r="O99" s="63">
        <v>100000</v>
      </c>
      <c r="P99" s="63">
        <v>80000</v>
      </c>
      <c r="Q99" s="63">
        <f t="shared" si="43"/>
        <v>180000</v>
      </c>
      <c r="R99" s="63">
        <v>100000</v>
      </c>
      <c r="S99" s="63">
        <v>75000</v>
      </c>
      <c r="T99" s="63">
        <f t="shared" si="44"/>
        <v>175000</v>
      </c>
      <c r="U99" s="63">
        <v>100000</v>
      </c>
      <c r="V99" s="63">
        <v>0</v>
      </c>
      <c r="W99" s="63">
        <f t="shared" si="45"/>
        <v>100000</v>
      </c>
      <c r="X99" s="63">
        <v>100000</v>
      </c>
      <c r="Y99" s="63">
        <v>70000</v>
      </c>
      <c r="Z99" s="63">
        <f t="shared" si="46"/>
        <v>170000</v>
      </c>
      <c r="AA99" s="63">
        <v>100000</v>
      </c>
      <c r="AB99" s="63">
        <v>67500</v>
      </c>
      <c r="AC99" s="63">
        <f t="shared" si="47"/>
        <v>167500</v>
      </c>
      <c r="AD99" s="63">
        <v>100000</v>
      </c>
      <c r="AE99" s="63">
        <v>0</v>
      </c>
      <c r="AF99" s="63">
        <f t="shared" si="48"/>
        <v>100000</v>
      </c>
      <c r="AG99" s="63">
        <v>100000</v>
      </c>
      <c r="AH99" s="63">
        <f>550000</f>
        <v>550000</v>
      </c>
      <c r="AI99" s="63">
        <f t="shared" si="30"/>
        <v>650000</v>
      </c>
      <c r="AJ99" s="63">
        <v>100000</v>
      </c>
      <c r="AK99" s="63">
        <v>550000</v>
      </c>
      <c r="AL99" s="63">
        <f t="shared" si="31"/>
        <v>650000</v>
      </c>
      <c r="AM99" s="63">
        <v>100000</v>
      </c>
      <c r="AN99" s="63">
        <f>550000</f>
        <v>550000</v>
      </c>
      <c r="AO99" s="63">
        <f t="shared" si="32"/>
        <v>650000</v>
      </c>
      <c r="AP99" s="64">
        <f t="shared" si="33"/>
        <v>2775000</v>
      </c>
      <c r="AQ99" s="65">
        <f t="shared" si="35"/>
        <v>39316.648380731283</v>
      </c>
      <c r="AR99" s="100"/>
    </row>
    <row r="100" spans="1:44" s="23" customFormat="1" ht="14.25">
      <c r="A100" s="60">
        <f t="shared" si="34"/>
        <v>96</v>
      </c>
      <c r="B100" s="68" t="s">
        <v>477</v>
      </c>
      <c r="C100" s="61" t="s">
        <v>478</v>
      </c>
      <c r="D100" s="61" t="s">
        <v>467</v>
      </c>
      <c r="E100" s="62">
        <v>800000</v>
      </c>
      <c r="F100" s="63">
        <v>100000</v>
      </c>
      <c r="G100" s="63">
        <v>265000</v>
      </c>
      <c r="H100" s="63">
        <f t="shared" si="41"/>
        <v>365000</v>
      </c>
      <c r="I100" s="63">
        <v>100000</v>
      </c>
      <c r="J100" s="63">
        <v>0</v>
      </c>
      <c r="K100" s="63">
        <v>0</v>
      </c>
      <c r="L100" s="63">
        <v>100000</v>
      </c>
      <c r="M100" s="63">
        <v>265000</v>
      </c>
      <c r="N100" s="63">
        <f t="shared" si="42"/>
        <v>365000</v>
      </c>
      <c r="O100" s="63">
        <v>100000</v>
      </c>
      <c r="P100" s="63">
        <v>0</v>
      </c>
      <c r="Q100" s="63">
        <f t="shared" si="43"/>
        <v>100000</v>
      </c>
      <c r="R100" s="63">
        <v>100000</v>
      </c>
      <c r="S100" s="63">
        <v>265000</v>
      </c>
      <c r="T100" s="63">
        <f t="shared" si="44"/>
        <v>365000</v>
      </c>
      <c r="U100" s="63">
        <v>100000</v>
      </c>
      <c r="V100" s="63">
        <v>265000</v>
      </c>
      <c r="W100" s="63">
        <f t="shared" si="45"/>
        <v>365000</v>
      </c>
      <c r="X100" s="63">
        <v>100000</v>
      </c>
      <c r="Y100" s="63">
        <v>440000</v>
      </c>
      <c r="Z100" s="63">
        <f t="shared" si="46"/>
        <v>540000</v>
      </c>
      <c r="AA100" s="63">
        <v>100000</v>
      </c>
      <c r="AB100" s="63">
        <v>0</v>
      </c>
      <c r="AC100" s="63">
        <f t="shared" si="47"/>
        <v>100000</v>
      </c>
      <c r="AD100" s="63">
        <v>100000</v>
      </c>
      <c r="AE100" s="63">
        <v>0</v>
      </c>
      <c r="AF100" s="63">
        <f t="shared" si="48"/>
        <v>100000</v>
      </c>
      <c r="AG100" s="63">
        <v>100000</v>
      </c>
      <c r="AH100" s="63">
        <v>0</v>
      </c>
      <c r="AI100" s="63">
        <f t="shared" si="30"/>
        <v>100000</v>
      </c>
      <c r="AJ100" s="63">
        <v>100000</v>
      </c>
      <c r="AK100" s="63">
        <v>0</v>
      </c>
      <c r="AL100" s="63">
        <f t="shared" si="31"/>
        <v>100000</v>
      </c>
      <c r="AM100" s="63">
        <v>100000</v>
      </c>
      <c r="AN100" s="63">
        <v>0</v>
      </c>
      <c r="AO100" s="63">
        <f t="shared" si="32"/>
        <v>100000</v>
      </c>
      <c r="AP100" s="64">
        <f t="shared" si="33"/>
        <v>2000000</v>
      </c>
      <c r="AQ100" s="65">
        <f t="shared" si="35"/>
        <v>28336.323157283809</v>
      </c>
      <c r="AR100" s="100"/>
    </row>
    <row r="101" spans="1:44" s="23" customFormat="1" ht="14.25">
      <c r="A101" s="60">
        <f t="shared" si="34"/>
        <v>97</v>
      </c>
      <c r="B101" s="67" t="s">
        <v>479</v>
      </c>
      <c r="C101" s="61" t="s">
        <v>480</v>
      </c>
      <c r="D101" s="61" t="s">
        <v>467</v>
      </c>
      <c r="E101" s="62">
        <v>1575000</v>
      </c>
      <c r="F101" s="63">
        <v>100000</v>
      </c>
      <c r="G101" s="63">
        <v>0</v>
      </c>
      <c r="H101" s="63">
        <f t="shared" si="41"/>
        <v>100000</v>
      </c>
      <c r="I101" s="63">
        <v>100000</v>
      </c>
      <c r="J101" s="63">
        <v>0</v>
      </c>
      <c r="K101" s="63">
        <v>0</v>
      </c>
      <c r="L101" s="63">
        <v>100000</v>
      </c>
      <c r="M101" s="63">
        <v>0</v>
      </c>
      <c r="N101" s="63">
        <f t="shared" si="42"/>
        <v>100000</v>
      </c>
      <c r="O101" s="63">
        <v>100000</v>
      </c>
      <c r="P101" s="63">
        <v>0</v>
      </c>
      <c r="Q101" s="63">
        <f t="shared" si="43"/>
        <v>100000</v>
      </c>
      <c r="R101" s="63">
        <v>100000</v>
      </c>
      <c r="S101" s="63">
        <v>0</v>
      </c>
      <c r="T101" s="63">
        <f t="shared" si="44"/>
        <v>100000</v>
      </c>
      <c r="U101" s="63">
        <v>100000</v>
      </c>
      <c r="V101" s="63">
        <v>0</v>
      </c>
      <c r="W101" s="63">
        <f t="shared" si="45"/>
        <v>100000</v>
      </c>
      <c r="X101" s="63">
        <v>100000</v>
      </c>
      <c r="Y101" s="63">
        <v>0</v>
      </c>
      <c r="Z101" s="63">
        <f t="shared" si="46"/>
        <v>100000</v>
      </c>
      <c r="AA101" s="63">
        <v>100000</v>
      </c>
      <c r="AB101" s="63">
        <v>0</v>
      </c>
      <c r="AC101" s="63">
        <f t="shared" si="47"/>
        <v>100000</v>
      </c>
      <c r="AD101" s="63">
        <v>100000</v>
      </c>
      <c r="AE101" s="63">
        <v>0</v>
      </c>
      <c r="AF101" s="63">
        <f t="shared" si="48"/>
        <v>100000</v>
      </c>
      <c r="AG101" s="63">
        <v>100000</v>
      </c>
      <c r="AH101" s="63">
        <v>0</v>
      </c>
      <c r="AI101" s="63">
        <f t="shared" ref="AI101:AI108" si="49">AG101+AH101</f>
        <v>100000</v>
      </c>
      <c r="AJ101" s="63">
        <v>100000</v>
      </c>
      <c r="AK101" s="63">
        <v>0</v>
      </c>
      <c r="AL101" s="63">
        <f t="shared" si="31"/>
        <v>100000</v>
      </c>
      <c r="AM101" s="63">
        <v>100000</v>
      </c>
      <c r="AN101" s="63">
        <v>0</v>
      </c>
      <c r="AO101" s="63">
        <f t="shared" si="32"/>
        <v>100000</v>
      </c>
      <c r="AP101" s="64">
        <f t="shared" si="33"/>
        <v>2775000</v>
      </c>
      <c r="AQ101" s="65">
        <f t="shared" si="35"/>
        <v>39316.648380731283</v>
      </c>
      <c r="AR101" s="100"/>
    </row>
    <row r="102" spans="1:44" s="23" customFormat="1" ht="14.25">
      <c r="A102" s="60">
        <f t="shared" si="34"/>
        <v>98</v>
      </c>
      <c r="B102" s="67" t="s">
        <v>481</v>
      </c>
      <c r="C102" s="61" t="s">
        <v>482</v>
      </c>
      <c r="D102" s="61" t="s">
        <v>467</v>
      </c>
      <c r="E102" s="62">
        <v>1575000</v>
      </c>
      <c r="F102" s="63">
        <v>100000</v>
      </c>
      <c r="G102" s="63">
        <v>0</v>
      </c>
      <c r="H102" s="63">
        <f t="shared" si="41"/>
        <v>100000</v>
      </c>
      <c r="I102" s="63">
        <v>100000</v>
      </c>
      <c r="J102" s="63">
        <v>0</v>
      </c>
      <c r="K102" s="63">
        <v>0</v>
      </c>
      <c r="L102" s="63">
        <v>100000</v>
      </c>
      <c r="M102" s="63">
        <v>270000</v>
      </c>
      <c r="N102" s="63">
        <f t="shared" si="42"/>
        <v>370000</v>
      </c>
      <c r="O102" s="63">
        <v>100000</v>
      </c>
      <c r="P102" s="63">
        <f>270000+243000</f>
        <v>513000</v>
      </c>
      <c r="Q102" s="63">
        <f t="shared" si="43"/>
        <v>613000</v>
      </c>
      <c r="R102" s="63">
        <v>100000</v>
      </c>
      <c r="S102" s="63">
        <v>270000</v>
      </c>
      <c r="T102" s="63">
        <f t="shared" si="44"/>
        <v>370000</v>
      </c>
      <c r="U102" s="63">
        <v>100000</v>
      </c>
      <c r="V102" s="63">
        <v>270000</v>
      </c>
      <c r="W102" s="63">
        <f t="shared" si="45"/>
        <v>370000</v>
      </c>
      <c r="X102" s="63">
        <v>100000</v>
      </c>
      <c r="Y102" s="63">
        <v>270000</v>
      </c>
      <c r="Z102" s="63">
        <f t="shared" si="46"/>
        <v>370000</v>
      </c>
      <c r="AA102" s="63">
        <v>100000</v>
      </c>
      <c r="AB102" s="63">
        <v>0</v>
      </c>
      <c r="AC102" s="63">
        <f t="shared" si="47"/>
        <v>100000</v>
      </c>
      <c r="AD102" s="63">
        <v>100000</v>
      </c>
      <c r="AE102" s="63">
        <v>270000</v>
      </c>
      <c r="AF102" s="63">
        <f t="shared" si="48"/>
        <v>370000</v>
      </c>
      <c r="AG102" s="63">
        <v>100000</v>
      </c>
      <c r="AH102" s="63">
        <f>270000</f>
        <v>270000</v>
      </c>
      <c r="AI102" s="63">
        <f t="shared" si="49"/>
        <v>370000</v>
      </c>
      <c r="AJ102" s="63">
        <v>100000</v>
      </c>
      <c r="AK102" s="63">
        <v>270000</v>
      </c>
      <c r="AL102" s="63">
        <f t="shared" si="31"/>
        <v>370000</v>
      </c>
      <c r="AM102" s="63">
        <v>100000</v>
      </c>
      <c r="AN102" s="63">
        <f>270000+67500</f>
        <v>337500</v>
      </c>
      <c r="AO102" s="63">
        <f t="shared" si="32"/>
        <v>437500</v>
      </c>
      <c r="AP102" s="64">
        <f t="shared" si="33"/>
        <v>2775000</v>
      </c>
      <c r="AQ102" s="65">
        <f t="shared" si="35"/>
        <v>39316.648380731283</v>
      </c>
      <c r="AR102" s="100"/>
    </row>
    <row r="103" spans="1:44" s="23" customFormat="1" ht="14.25">
      <c r="A103" s="60">
        <f t="shared" si="34"/>
        <v>99</v>
      </c>
      <c r="B103" s="67">
        <v>10128015</v>
      </c>
      <c r="C103" s="61" t="s">
        <v>483</v>
      </c>
      <c r="D103" s="61" t="s">
        <v>467</v>
      </c>
      <c r="E103" s="62">
        <v>1125000</v>
      </c>
      <c r="F103" s="63">
        <v>100000</v>
      </c>
      <c r="G103" s="63">
        <v>484000</v>
      </c>
      <c r="H103" s="63">
        <f t="shared" si="41"/>
        <v>584000</v>
      </c>
      <c r="I103" s="63">
        <v>100000</v>
      </c>
      <c r="J103" s="63">
        <v>0</v>
      </c>
      <c r="K103" s="63">
        <v>0</v>
      </c>
      <c r="L103" s="63">
        <v>100000</v>
      </c>
      <c r="M103" s="63">
        <f>440000+135000</f>
        <v>575000</v>
      </c>
      <c r="N103" s="63">
        <f t="shared" si="42"/>
        <v>675000</v>
      </c>
      <c r="O103" s="63">
        <v>100000</v>
      </c>
      <c r="P103" s="63">
        <f>440000+568000</f>
        <v>1008000</v>
      </c>
      <c r="Q103" s="63">
        <f t="shared" si="43"/>
        <v>1108000</v>
      </c>
      <c r="R103" s="63">
        <v>100000</v>
      </c>
      <c r="S103" s="63">
        <f>440000+211500</f>
        <v>651500</v>
      </c>
      <c r="T103" s="63">
        <f t="shared" si="44"/>
        <v>751500</v>
      </c>
      <c r="U103" s="63">
        <v>100000</v>
      </c>
      <c r="V103" s="63">
        <f>440000+75000</f>
        <v>515000</v>
      </c>
      <c r="W103" s="63">
        <f t="shared" si="45"/>
        <v>615000</v>
      </c>
      <c r="X103" s="63">
        <v>100000</v>
      </c>
      <c r="Y103" s="63">
        <f>316000+116000</f>
        <v>432000</v>
      </c>
      <c r="Z103" s="63">
        <f t="shared" si="46"/>
        <v>532000</v>
      </c>
      <c r="AA103" s="63">
        <v>100000</v>
      </c>
      <c r="AB103" s="63">
        <f>440000+260500</f>
        <v>700500</v>
      </c>
      <c r="AC103" s="63">
        <f t="shared" si="47"/>
        <v>800500</v>
      </c>
      <c r="AD103" s="63">
        <v>100000</v>
      </c>
      <c r="AE103" s="63">
        <v>440000</v>
      </c>
      <c r="AF103" s="63">
        <f t="shared" si="48"/>
        <v>540000</v>
      </c>
      <c r="AG103" s="63">
        <v>100000</v>
      </c>
      <c r="AH103" s="63">
        <f>285500+440000</f>
        <v>725500</v>
      </c>
      <c r="AI103" s="63">
        <f t="shared" si="49"/>
        <v>825500</v>
      </c>
      <c r="AJ103" s="63">
        <v>100000</v>
      </c>
      <c r="AK103" s="63">
        <f>440000+613500</f>
        <v>1053500</v>
      </c>
      <c r="AL103" s="63">
        <f t="shared" si="31"/>
        <v>1153500</v>
      </c>
      <c r="AM103" s="63">
        <v>100000</v>
      </c>
      <c r="AN103" s="63">
        <f>440000+481000</f>
        <v>921000</v>
      </c>
      <c r="AO103" s="63">
        <f t="shared" si="32"/>
        <v>1021000</v>
      </c>
      <c r="AP103" s="64">
        <f t="shared" si="33"/>
        <v>2325000</v>
      </c>
      <c r="AQ103" s="65">
        <f t="shared" si="35"/>
        <v>32940.975670342428</v>
      </c>
      <c r="AR103" s="100"/>
    </row>
    <row r="104" spans="1:44" s="23" customFormat="1" ht="14.25">
      <c r="A104" s="60">
        <f t="shared" si="34"/>
        <v>100</v>
      </c>
      <c r="B104" s="68">
        <v>11048215</v>
      </c>
      <c r="C104" s="61" t="s">
        <v>484</v>
      </c>
      <c r="D104" s="61" t="s">
        <v>467</v>
      </c>
      <c r="E104" s="62">
        <v>600000</v>
      </c>
      <c r="F104" s="63">
        <v>100000</v>
      </c>
      <c r="G104" s="63">
        <v>223000</v>
      </c>
      <c r="H104" s="63">
        <f t="shared" si="41"/>
        <v>323000</v>
      </c>
      <c r="I104" s="63">
        <v>100000</v>
      </c>
      <c r="J104" s="63">
        <v>0</v>
      </c>
      <c r="K104" s="63">
        <v>0</v>
      </c>
      <c r="L104" s="63">
        <v>100000</v>
      </c>
      <c r="M104" s="63">
        <f>265000+136500</f>
        <v>401500</v>
      </c>
      <c r="N104" s="63">
        <f t="shared" si="42"/>
        <v>501500</v>
      </c>
      <c r="O104" s="63">
        <v>100000</v>
      </c>
      <c r="P104" s="63">
        <f>265000+87500</f>
        <v>352500</v>
      </c>
      <c r="Q104" s="63">
        <f t="shared" si="43"/>
        <v>452500</v>
      </c>
      <c r="R104" s="63">
        <v>100000</v>
      </c>
      <c r="S104" s="63">
        <v>265000</v>
      </c>
      <c r="T104" s="63">
        <f t="shared" si="44"/>
        <v>365000</v>
      </c>
      <c r="U104" s="63">
        <v>100000</v>
      </c>
      <c r="V104" s="63">
        <f>265000+212000</f>
        <v>477000</v>
      </c>
      <c r="W104" s="63">
        <f t="shared" si="45"/>
        <v>577000</v>
      </c>
      <c r="X104" s="63">
        <v>100000</v>
      </c>
      <c r="Y104" s="63">
        <f>540000+293500</f>
        <v>833500</v>
      </c>
      <c r="Z104" s="63">
        <f t="shared" si="46"/>
        <v>933500</v>
      </c>
      <c r="AA104" s="63">
        <v>100000</v>
      </c>
      <c r="AB104" s="63">
        <f>540000+95000</f>
        <v>635000</v>
      </c>
      <c r="AC104" s="63">
        <f t="shared" si="47"/>
        <v>735000</v>
      </c>
      <c r="AD104" s="63">
        <v>100000</v>
      </c>
      <c r="AE104" s="63">
        <f>126500+540000</f>
        <v>666500</v>
      </c>
      <c r="AF104" s="63">
        <f t="shared" si="48"/>
        <v>766500</v>
      </c>
      <c r="AG104" s="63">
        <v>100000</v>
      </c>
      <c r="AH104" s="63">
        <f>189000+540000</f>
        <v>729000</v>
      </c>
      <c r="AI104" s="63">
        <f t="shared" si="49"/>
        <v>829000</v>
      </c>
      <c r="AJ104" s="63">
        <v>100000</v>
      </c>
      <c r="AK104" s="63">
        <f>540000+160000</f>
        <v>700000</v>
      </c>
      <c r="AL104" s="63">
        <f t="shared" si="31"/>
        <v>800000</v>
      </c>
      <c r="AM104" s="63">
        <v>100000</v>
      </c>
      <c r="AN104" s="63">
        <f>540000+85000</f>
        <v>625000</v>
      </c>
      <c r="AO104" s="63">
        <f t="shared" si="32"/>
        <v>725000</v>
      </c>
      <c r="AP104" s="64">
        <f t="shared" si="33"/>
        <v>1800000</v>
      </c>
      <c r="AQ104" s="65">
        <f t="shared" si="35"/>
        <v>25502.690841555424</v>
      </c>
      <c r="AR104" s="100"/>
    </row>
    <row r="105" spans="1:44" s="23" customFormat="1" ht="14.25">
      <c r="A105" s="60">
        <f t="shared" si="34"/>
        <v>101</v>
      </c>
      <c r="B105" s="67" t="s">
        <v>485</v>
      </c>
      <c r="C105" s="61" t="s">
        <v>486</v>
      </c>
      <c r="D105" s="61" t="s">
        <v>467</v>
      </c>
      <c r="E105" s="62">
        <v>1575000</v>
      </c>
      <c r="F105" s="63">
        <v>100000</v>
      </c>
      <c r="G105" s="63">
        <f>270000+915000</f>
        <v>1185000</v>
      </c>
      <c r="H105" s="63">
        <f t="shared" si="41"/>
        <v>1285000</v>
      </c>
      <c r="I105" s="63">
        <v>100000</v>
      </c>
      <c r="J105" s="63">
        <v>0</v>
      </c>
      <c r="K105" s="63">
        <v>0</v>
      </c>
      <c r="L105" s="63">
        <v>100000</v>
      </c>
      <c r="M105" s="63">
        <f>440000+285500</f>
        <v>725500</v>
      </c>
      <c r="N105" s="63">
        <f t="shared" si="42"/>
        <v>825500</v>
      </c>
      <c r="O105" s="63">
        <v>100000</v>
      </c>
      <c r="P105" s="63">
        <f>440000+235000</f>
        <v>675000</v>
      </c>
      <c r="Q105" s="63">
        <f t="shared" si="43"/>
        <v>775000</v>
      </c>
      <c r="R105" s="63">
        <v>100000</v>
      </c>
      <c r="S105" s="63">
        <f>440000+271000</f>
        <v>711000</v>
      </c>
      <c r="T105" s="63">
        <f t="shared" si="44"/>
        <v>811000</v>
      </c>
      <c r="U105" s="63">
        <v>100000</v>
      </c>
      <c r="V105" s="63">
        <f>440000+196000</f>
        <v>636000</v>
      </c>
      <c r="W105" s="63">
        <f t="shared" si="45"/>
        <v>736000</v>
      </c>
      <c r="X105" s="63">
        <v>100000</v>
      </c>
      <c r="Y105" s="63">
        <v>140000</v>
      </c>
      <c r="Z105" s="63">
        <f t="shared" si="46"/>
        <v>240000</v>
      </c>
      <c r="AA105" s="63">
        <v>100000</v>
      </c>
      <c r="AB105" s="63">
        <v>540000</v>
      </c>
      <c r="AC105" s="63">
        <f t="shared" si="47"/>
        <v>640000</v>
      </c>
      <c r="AD105" s="63">
        <v>100000</v>
      </c>
      <c r="AE105" s="63">
        <v>540000</v>
      </c>
      <c r="AF105" s="63">
        <f t="shared" si="48"/>
        <v>640000</v>
      </c>
      <c r="AG105" s="63">
        <v>100000</v>
      </c>
      <c r="AH105" s="63">
        <f>323000+540000</f>
        <v>863000</v>
      </c>
      <c r="AI105" s="63">
        <f t="shared" si="49"/>
        <v>963000</v>
      </c>
      <c r="AJ105" s="63">
        <v>100000</v>
      </c>
      <c r="AK105" s="63">
        <f>540000+315000</f>
        <v>855000</v>
      </c>
      <c r="AL105" s="63">
        <f t="shared" si="31"/>
        <v>955000</v>
      </c>
      <c r="AM105" s="63">
        <v>100000</v>
      </c>
      <c r="AN105" s="63">
        <f>540000+384000</f>
        <v>924000</v>
      </c>
      <c r="AO105" s="63">
        <f t="shared" si="32"/>
        <v>1024000</v>
      </c>
      <c r="AP105" s="64">
        <f t="shared" si="33"/>
        <v>2775000</v>
      </c>
      <c r="AQ105" s="65">
        <f t="shared" si="35"/>
        <v>39316.648380731283</v>
      </c>
      <c r="AR105" s="100"/>
    </row>
    <row r="106" spans="1:44">
      <c r="A106" s="60">
        <f t="shared" si="34"/>
        <v>102</v>
      </c>
      <c r="B106" s="68" t="s">
        <v>487</v>
      </c>
      <c r="C106" s="61" t="s">
        <v>488</v>
      </c>
      <c r="D106" s="61" t="s">
        <v>467</v>
      </c>
      <c r="E106" s="62">
        <v>800000</v>
      </c>
      <c r="F106" s="63">
        <v>100000</v>
      </c>
      <c r="G106" s="63">
        <v>265000</v>
      </c>
      <c r="H106" s="63">
        <f t="shared" si="41"/>
        <v>365000</v>
      </c>
      <c r="I106" s="63">
        <v>100000</v>
      </c>
      <c r="J106" s="63">
        <v>0</v>
      </c>
      <c r="K106" s="63">
        <v>0</v>
      </c>
      <c r="L106" s="63">
        <v>100000</v>
      </c>
      <c r="M106" s="63">
        <v>0</v>
      </c>
      <c r="N106" s="63">
        <f t="shared" si="42"/>
        <v>100000</v>
      </c>
      <c r="O106" s="63">
        <v>100000</v>
      </c>
      <c r="P106" s="63">
        <v>270000</v>
      </c>
      <c r="Q106" s="63">
        <f t="shared" si="43"/>
        <v>370000</v>
      </c>
      <c r="R106" s="63">
        <v>100000</v>
      </c>
      <c r="S106" s="63">
        <v>270000</v>
      </c>
      <c r="T106" s="63">
        <f t="shared" si="44"/>
        <v>370000</v>
      </c>
      <c r="U106" s="63">
        <v>100000</v>
      </c>
      <c r="V106" s="63">
        <v>270000</v>
      </c>
      <c r="W106" s="63">
        <f t="shared" si="45"/>
        <v>370000</v>
      </c>
      <c r="X106" s="63">
        <v>100000</v>
      </c>
      <c r="Y106" s="63">
        <v>270000</v>
      </c>
      <c r="Z106" s="63">
        <f t="shared" si="46"/>
        <v>370000</v>
      </c>
      <c r="AA106" s="63">
        <v>100000</v>
      </c>
      <c r="AB106" s="63">
        <v>270000</v>
      </c>
      <c r="AC106" s="63">
        <f t="shared" si="47"/>
        <v>370000</v>
      </c>
      <c r="AD106" s="63">
        <v>100000</v>
      </c>
      <c r="AE106" s="63">
        <f>270000</f>
        <v>270000</v>
      </c>
      <c r="AF106" s="63">
        <f t="shared" si="48"/>
        <v>370000</v>
      </c>
      <c r="AG106" s="63">
        <v>100000</v>
      </c>
      <c r="AH106" s="63">
        <v>0</v>
      </c>
      <c r="AI106" s="63">
        <f t="shared" si="49"/>
        <v>100000</v>
      </c>
      <c r="AJ106" s="63">
        <v>100000</v>
      </c>
      <c r="AK106" s="63">
        <v>0</v>
      </c>
      <c r="AL106" s="63">
        <f t="shared" si="31"/>
        <v>100000</v>
      </c>
      <c r="AM106" s="63">
        <v>100000</v>
      </c>
      <c r="AN106" s="63">
        <f>530000</f>
        <v>530000</v>
      </c>
      <c r="AO106" s="63">
        <f t="shared" si="32"/>
        <v>630000</v>
      </c>
      <c r="AP106" s="64">
        <f t="shared" si="33"/>
        <v>2000000</v>
      </c>
      <c r="AQ106" s="65">
        <f t="shared" si="35"/>
        <v>28336.323157283809</v>
      </c>
    </row>
    <row r="107" spans="1:44" s="23" customFormat="1" ht="14.25">
      <c r="A107" s="60">
        <f t="shared" si="34"/>
        <v>103</v>
      </c>
      <c r="B107" s="73">
        <v>12099315</v>
      </c>
      <c r="C107" s="61" t="s">
        <v>658</v>
      </c>
      <c r="D107" s="61" t="s">
        <v>467</v>
      </c>
      <c r="E107" s="62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>
        <v>200000</v>
      </c>
      <c r="AH107" s="63">
        <v>0</v>
      </c>
      <c r="AI107" s="63">
        <f t="shared" si="49"/>
        <v>200000</v>
      </c>
      <c r="AJ107" s="63">
        <v>100000</v>
      </c>
      <c r="AK107" s="63">
        <v>0</v>
      </c>
      <c r="AL107" s="63">
        <f t="shared" si="31"/>
        <v>100000</v>
      </c>
      <c r="AM107" s="63">
        <v>100000</v>
      </c>
      <c r="AN107" s="63">
        <v>0</v>
      </c>
      <c r="AO107" s="63">
        <f t="shared" si="32"/>
        <v>100000</v>
      </c>
      <c r="AP107" s="64">
        <f t="shared" si="33"/>
        <v>400000</v>
      </c>
      <c r="AQ107" s="65">
        <f t="shared" si="35"/>
        <v>5667.264631456761</v>
      </c>
      <c r="AR107" s="100"/>
    </row>
    <row r="108" spans="1:44">
      <c r="A108" s="60">
        <f t="shared" si="34"/>
        <v>104</v>
      </c>
      <c r="B108" s="67" t="s">
        <v>489</v>
      </c>
      <c r="C108" s="61" t="s">
        <v>490</v>
      </c>
      <c r="D108" s="61" t="s">
        <v>467</v>
      </c>
      <c r="E108" s="62">
        <v>1575000</v>
      </c>
      <c r="F108" s="63">
        <v>100000</v>
      </c>
      <c r="G108" s="63">
        <f>405000+440000</f>
        <v>845000</v>
      </c>
      <c r="H108" s="63">
        <f>F108+G108</f>
        <v>945000</v>
      </c>
      <c r="I108" s="63">
        <v>100000</v>
      </c>
      <c r="J108" s="63">
        <v>0</v>
      </c>
      <c r="K108" s="63">
        <v>0</v>
      </c>
      <c r="L108" s="63">
        <v>100000</v>
      </c>
      <c r="M108" s="63">
        <v>0</v>
      </c>
      <c r="N108" s="63">
        <f>L108+M108</f>
        <v>100000</v>
      </c>
      <c r="O108" s="63">
        <v>100000</v>
      </c>
      <c r="P108" s="63">
        <v>94000</v>
      </c>
      <c r="Q108" s="63">
        <f>SUM(O108:P108)</f>
        <v>194000</v>
      </c>
      <c r="R108" s="63">
        <v>100000</v>
      </c>
      <c r="S108" s="63">
        <v>180000</v>
      </c>
      <c r="T108" s="63">
        <f>R108+S108</f>
        <v>280000</v>
      </c>
      <c r="U108" s="63">
        <v>100000</v>
      </c>
      <c r="V108" s="63">
        <v>0</v>
      </c>
      <c r="W108" s="63">
        <f>U108+V108</f>
        <v>100000</v>
      </c>
      <c r="X108" s="63">
        <v>100000</v>
      </c>
      <c r="Y108" s="63">
        <f>370500+39000</f>
        <v>409500</v>
      </c>
      <c r="Z108" s="63">
        <f>X108+Y108</f>
        <v>509500</v>
      </c>
      <c r="AA108" s="63">
        <v>100000</v>
      </c>
      <c r="AB108" s="63">
        <v>0</v>
      </c>
      <c r="AC108" s="63">
        <f>AB108+AA108</f>
        <v>100000</v>
      </c>
      <c r="AD108" s="63">
        <v>100000</v>
      </c>
      <c r="AE108" s="63">
        <v>0</v>
      </c>
      <c r="AF108" s="63">
        <f>AD108+AE108</f>
        <v>100000</v>
      </c>
      <c r="AG108" s="63">
        <v>100000</v>
      </c>
      <c r="AH108" s="63">
        <v>0</v>
      </c>
      <c r="AI108" s="63">
        <f t="shared" si="49"/>
        <v>100000</v>
      </c>
      <c r="AJ108" s="63">
        <v>100000</v>
      </c>
      <c r="AK108" s="63">
        <v>0</v>
      </c>
      <c r="AL108" s="63">
        <f t="shared" si="31"/>
        <v>100000</v>
      </c>
      <c r="AM108" s="63">
        <v>100000</v>
      </c>
      <c r="AN108" s="63">
        <f>133000</f>
        <v>133000</v>
      </c>
      <c r="AO108" s="63">
        <f t="shared" si="32"/>
        <v>233000</v>
      </c>
      <c r="AP108" s="64">
        <f t="shared" si="33"/>
        <v>2775000</v>
      </c>
      <c r="AQ108" s="65">
        <f t="shared" si="35"/>
        <v>39316.648380731283</v>
      </c>
    </row>
    <row r="109" spans="1:44">
      <c r="A109" s="60">
        <f t="shared" si="34"/>
        <v>105</v>
      </c>
      <c r="B109" s="72">
        <v>15081685</v>
      </c>
      <c r="C109" s="61" t="s">
        <v>659</v>
      </c>
      <c r="D109" s="61" t="s">
        <v>467</v>
      </c>
      <c r="E109" s="62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>
        <v>200000</v>
      </c>
      <c r="AK109" s="63">
        <v>226000</v>
      </c>
      <c r="AL109" s="63">
        <f t="shared" si="31"/>
        <v>426000</v>
      </c>
      <c r="AM109" s="63">
        <v>100000</v>
      </c>
      <c r="AN109" s="63">
        <f>496750</f>
        <v>496750</v>
      </c>
      <c r="AO109" s="63">
        <f t="shared" si="32"/>
        <v>596750</v>
      </c>
      <c r="AP109" s="64">
        <f t="shared" si="33"/>
        <v>300000</v>
      </c>
      <c r="AQ109" s="65">
        <f t="shared" si="35"/>
        <v>4250.4484735925707</v>
      </c>
    </row>
    <row r="110" spans="1:44">
      <c r="A110" s="60">
        <f t="shared" si="34"/>
        <v>106</v>
      </c>
      <c r="B110" s="67" t="s">
        <v>491</v>
      </c>
      <c r="C110" s="61" t="s">
        <v>492</v>
      </c>
      <c r="D110" s="61" t="s">
        <v>467</v>
      </c>
      <c r="E110" s="62">
        <v>1025000</v>
      </c>
      <c r="F110" s="63">
        <v>100000</v>
      </c>
      <c r="G110" s="63">
        <v>0</v>
      </c>
      <c r="H110" s="63">
        <f t="shared" ref="H110:H116" si="50">F110+G110</f>
        <v>100000</v>
      </c>
      <c r="I110" s="63">
        <v>100000</v>
      </c>
      <c r="J110" s="63">
        <v>0</v>
      </c>
      <c r="K110" s="63">
        <v>0</v>
      </c>
      <c r="L110" s="63">
        <v>100000</v>
      </c>
      <c r="M110" s="63">
        <v>265000</v>
      </c>
      <c r="N110" s="63">
        <f t="shared" ref="N110:N116" si="51">L110+M110</f>
        <v>365000</v>
      </c>
      <c r="O110" s="63">
        <v>100000</v>
      </c>
      <c r="P110" s="63">
        <v>265000</v>
      </c>
      <c r="Q110" s="63">
        <f t="shared" ref="Q110:Q116" si="52">SUM(O110:P110)</f>
        <v>365000</v>
      </c>
      <c r="R110" s="63">
        <v>100000</v>
      </c>
      <c r="S110" s="63">
        <v>265000</v>
      </c>
      <c r="T110" s="63">
        <f t="shared" ref="T110:T116" si="53">R110+S110</f>
        <v>365000</v>
      </c>
      <c r="U110" s="63">
        <v>100000</v>
      </c>
      <c r="V110" s="63">
        <v>0</v>
      </c>
      <c r="W110" s="63">
        <f t="shared" ref="W110:W116" si="54">U110+V110</f>
        <v>100000</v>
      </c>
      <c r="X110" s="63">
        <v>100000</v>
      </c>
      <c r="Y110" s="63">
        <v>34000</v>
      </c>
      <c r="Z110" s="63">
        <f t="shared" ref="Z110:Z116" si="55">X110+Y110</f>
        <v>134000</v>
      </c>
      <c r="AA110" s="63">
        <v>100000</v>
      </c>
      <c r="AB110" s="63">
        <v>0</v>
      </c>
      <c r="AC110" s="63">
        <f t="shared" ref="AC110:AC116" si="56">AB110+AA110</f>
        <v>100000</v>
      </c>
      <c r="AD110" s="63">
        <v>100000</v>
      </c>
      <c r="AE110" s="63">
        <v>520000</v>
      </c>
      <c r="AF110" s="63">
        <f t="shared" ref="AF110:AF116" si="57">AD110+AE110</f>
        <v>620000</v>
      </c>
      <c r="AG110" s="63">
        <v>100000</v>
      </c>
      <c r="AH110" s="63">
        <f>354000+648000</f>
        <v>1002000</v>
      </c>
      <c r="AI110" s="63">
        <f t="shared" ref="AI110:AI141" si="58">AG110+AH110</f>
        <v>1102000</v>
      </c>
      <c r="AJ110" s="63">
        <v>100000</v>
      </c>
      <c r="AK110" s="63">
        <v>648000</v>
      </c>
      <c r="AL110" s="63">
        <f t="shared" si="31"/>
        <v>748000</v>
      </c>
      <c r="AM110" s="63">
        <v>100000</v>
      </c>
      <c r="AN110" s="63">
        <f>648000+169000</f>
        <v>817000</v>
      </c>
      <c r="AO110" s="63">
        <f t="shared" si="32"/>
        <v>917000</v>
      </c>
      <c r="AP110" s="64">
        <f t="shared" si="33"/>
        <v>2225000</v>
      </c>
      <c r="AQ110" s="65">
        <f t="shared" si="35"/>
        <v>31524.159512478233</v>
      </c>
    </row>
    <row r="111" spans="1:44">
      <c r="A111" s="60">
        <f t="shared" si="34"/>
        <v>107</v>
      </c>
      <c r="B111" s="67">
        <v>10107885</v>
      </c>
      <c r="C111" s="61" t="s">
        <v>493</v>
      </c>
      <c r="D111" s="61" t="s">
        <v>467</v>
      </c>
      <c r="E111" s="62">
        <v>1575000</v>
      </c>
      <c r="F111" s="63">
        <v>100000</v>
      </c>
      <c r="G111" s="63">
        <v>0</v>
      </c>
      <c r="H111" s="63">
        <f t="shared" si="50"/>
        <v>100000</v>
      </c>
      <c r="I111" s="63">
        <v>100000</v>
      </c>
      <c r="J111" s="63">
        <v>0</v>
      </c>
      <c r="K111" s="63">
        <v>0</v>
      </c>
      <c r="L111" s="63">
        <v>100000</v>
      </c>
      <c r="M111" s="63">
        <v>0</v>
      </c>
      <c r="N111" s="63">
        <f t="shared" si="51"/>
        <v>100000</v>
      </c>
      <c r="O111" s="63">
        <v>100000</v>
      </c>
      <c r="P111" s="63">
        <v>0</v>
      </c>
      <c r="Q111" s="63">
        <f t="shared" si="52"/>
        <v>100000</v>
      </c>
      <c r="R111" s="63">
        <v>100000</v>
      </c>
      <c r="S111" s="63">
        <v>550000</v>
      </c>
      <c r="T111" s="63">
        <f t="shared" si="53"/>
        <v>650000</v>
      </c>
      <c r="U111" s="63">
        <v>100000</v>
      </c>
      <c r="V111" s="63">
        <v>550000</v>
      </c>
      <c r="W111" s="63">
        <f t="shared" si="54"/>
        <v>650000</v>
      </c>
      <c r="X111" s="63">
        <v>100000</v>
      </c>
      <c r="Y111" s="63">
        <v>550000</v>
      </c>
      <c r="Z111" s="63">
        <f t="shared" si="55"/>
        <v>650000</v>
      </c>
      <c r="AA111" s="63">
        <v>100000</v>
      </c>
      <c r="AB111" s="63">
        <v>550000</v>
      </c>
      <c r="AC111" s="63">
        <f t="shared" si="56"/>
        <v>650000</v>
      </c>
      <c r="AD111" s="63">
        <v>100000</v>
      </c>
      <c r="AE111" s="63">
        <v>550000</v>
      </c>
      <c r="AF111" s="63">
        <f t="shared" si="57"/>
        <v>650000</v>
      </c>
      <c r="AG111" s="63">
        <v>100000</v>
      </c>
      <c r="AH111" s="63">
        <f>550000</f>
        <v>550000</v>
      </c>
      <c r="AI111" s="63">
        <f t="shared" si="58"/>
        <v>650000</v>
      </c>
      <c r="AJ111" s="63">
        <v>100000</v>
      </c>
      <c r="AK111" s="63">
        <v>550000</v>
      </c>
      <c r="AL111" s="63">
        <f t="shared" si="31"/>
        <v>650000</v>
      </c>
      <c r="AM111" s="63">
        <v>100000</v>
      </c>
      <c r="AN111" s="63">
        <f>550000</f>
        <v>550000</v>
      </c>
      <c r="AO111" s="63">
        <f t="shared" si="32"/>
        <v>650000</v>
      </c>
      <c r="AP111" s="64">
        <f t="shared" si="33"/>
        <v>2775000</v>
      </c>
      <c r="AQ111" s="65">
        <f t="shared" si="35"/>
        <v>39316.648380731283</v>
      </c>
    </row>
    <row r="112" spans="1:44">
      <c r="A112" s="60">
        <f t="shared" si="34"/>
        <v>108</v>
      </c>
      <c r="B112" s="68" t="s">
        <v>494</v>
      </c>
      <c r="C112" s="61" t="s">
        <v>495</v>
      </c>
      <c r="D112" s="61" t="s">
        <v>467</v>
      </c>
      <c r="E112" s="62">
        <v>800000</v>
      </c>
      <c r="F112" s="63">
        <v>100000</v>
      </c>
      <c r="G112" s="63">
        <f>260000+48000</f>
        <v>308000</v>
      </c>
      <c r="H112" s="63">
        <f t="shared" si="50"/>
        <v>408000</v>
      </c>
      <c r="I112" s="63">
        <v>100000</v>
      </c>
      <c r="J112" s="63">
        <v>0</v>
      </c>
      <c r="K112" s="63">
        <v>0</v>
      </c>
      <c r="L112" s="63">
        <v>100000</v>
      </c>
      <c r="M112" s="63">
        <v>0</v>
      </c>
      <c r="N112" s="63">
        <f t="shared" si="51"/>
        <v>100000</v>
      </c>
      <c r="O112" s="63">
        <v>100000</v>
      </c>
      <c r="P112" s="63">
        <f>265000+73500</f>
        <v>338500</v>
      </c>
      <c r="Q112" s="63">
        <f t="shared" si="52"/>
        <v>438500</v>
      </c>
      <c r="R112" s="63">
        <v>100000</v>
      </c>
      <c r="S112" s="63">
        <f>265000+259000</f>
        <v>524000</v>
      </c>
      <c r="T112" s="63">
        <f t="shared" si="53"/>
        <v>624000</v>
      </c>
      <c r="U112" s="63">
        <v>100000</v>
      </c>
      <c r="V112" s="63">
        <v>265000</v>
      </c>
      <c r="W112" s="63">
        <f t="shared" si="54"/>
        <v>365000</v>
      </c>
      <c r="X112" s="63">
        <v>100000</v>
      </c>
      <c r="Y112" s="63">
        <f>265000+156000+78000</f>
        <v>499000</v>
      </c>
      <c r="Z112" s="63">
        <f t="shared" si="55"/>
        <v>599000</v>
      </c>
      <c r="AA112" s="63">
        <v>100000</v>
      </c>
      <c r="AB112" s="63">
        <v>103500</v>
      </c>
      <c r="AC112" s="63">
        <f t="shared" si="56"/>
        <v>203500</v>
      </c>
      <c r="AD112" s="63">
        <v>100000</v>
      </c>
      <c r="AE112" s="63">
        <v>440000</v>
      </c>
      <c r="AF112" s="63">
        <f t="shared" si="57"/>
        <v>540000</v>
      </c>
      <c r="AG112" s="63">
        <v>100000</v>
      </c>
      <c r="AH112" s="63">
        <f>443000+440000</f>
        <v>883000</v>
      </c>
      <c r="AI112" s="63">
        <f t="shared" si="58"/>
        <v>983000</v>
      </c>
      <c r="AJ112" s="63">
        <v>100000</v>
      </c>
      <c r="AK112" s="63">
        <f>440000+284000</f>
        <v>724000</v>
      </c>
      <c r="AL112" s="63">
        <f t="shared" si="31"/>
        <v>824000</v>
      </c>
      <c r="AM112" s="63">
        <v>100000</v>
      </c>
      <c r="AN112" s="63">
        <f>440000</f>
        <v>440000</v>
      </c>
      <c r="AO112" s="63">
        <f t="shared" si="32"/>
        <v>540000</v>
      </c>
      <c r="AP112" s="64">
        <f t="shared" si="33"/>
        <v>2000000</v>
      </c>
      <c r="AQ112" s="65">
        <f t="shared" si="35"/>
        <v>28336.323157283809</v>
      </c>
    </row>
    <row r="113" spans="1:44">
      <c r="A113" s="60">
        <f t="shared" si="34"/>
        <v>109</v>
      </c>
      <c r="B113" s="60">
        <v>96020975</v>
      </c>
      <c r="C113" s="61" t="s">
        <v>496</v>
      </c>
      <c r="D113" s="61" t="s">
        <v>467</v>
      </c>
      <c r="E113" s="62">
        <v>1575000</v>
      </c>
      <c r="F113" s="63">
        <v>100000</v>
      </c>
      <c r="G113" s="63">
        <v>0</v>
      </c>
      <c r="H113" s="63">
        <f t="shared" si="50"/>
        <v>100000</v>
      </c>
      <c r="I113" s="63">
        <v>100000</v>
      </c>
      <c r="J113" s="63">
        <v>0</v>
      </c>
      <c r="K113" s="63">
        <v>0</v>
      </c>
      <c r="L113" s="63">
        <v>100000</v>
      </c>
      <c r="M113" s="63">
        <v>0</v>
      </c>
      <c r="N113" s="63">
        <f t="shared" si="51"/>
        <v>100000</v>
      </c>
      <c r="O113" s="63">
        <v>100000</v>
      </c>
      <c r="P113" s="63">
        <v>0</v>
      </c>
      <c r="Q113" s="63">
        <f t="shared" si="52"/>
        <v>100000</v>
      </c>
      <c r="R113" s="63">
        <v>100000</v>
      </c>
      <c r="S113" s="63">
        <v>0</v>
      </c>
      <c r="T113" s="63">
        <f t="shared" si="53"/>
        <v>100000</v>
      </c>
      <c r="U113" s="63">
        <v>100000</v>
      </c>
      <c r="V113" s="63">
        <v>0</v>
      </c>
      <c r="W113" s="63">
        <f t="shared" si="54"/>
        <v>100000</v>
      </c>
      <c r="X113" s="63">
        <v>100000</v>
      </c>
      <c r="Y113" s="63">
        <v>0</v>
      </c>
      <c r="Z113" s="63">
        <f t="shared" si="55"/>
        <v>100000</v>
      </c>
      <c r="AA113" s="63">
        <v>100000</v>
      </c>
      <c r="AB113" s="63">
        <v>72500</v>
      </c>
      <c r="AC113" s="63">
        <f t="shared" si="56"/>
        <v>172500</v>
      </c>
      <c r="AD113" s="63">
        <v>100000</v>
      </c>
      <c r="AE113" s="63">
        <v>0</v>
      </c>
      <c r="AF113" s="63">
        <f t="shared" si="57"/>
        <v>100000</v>
      </c>
      <c r="AG113" s="63">
        <v>100000</v>
      </c>
      <c r="AH113" s="63">
        <f>50000</f>
        <v>50000</v>
      </c>
      <c r="AI113" s="63">
        <f t="shared" si="58"/>
        <v>150000</v>
      </c>
      <c r="AJ113" s="63">
        <v>100000</v>
      </c>
      <c r="AK113" s="63">
        <f>540000+62200</f>
        <v>602200</v>
      </c>
      <c r="AL113" s="63">
        <f t="shared" si="31"/>
        <v>702200</v>
      </c>
      <c r="AM113" s="63">
        <v>100000</v>
      </c>
      <c r="AN113" s="63">
        <f>540000</f>
        <v>540000</v>
      </c>
      <c r="AO113" s="63">
        <f t="shared" si="32"/>
        <v>640000</v>
      </c>
      <c r="AP113" s="64">
        <f t="shared" si="33"/>
        <v>2775000</v>
      </c>
      <c r="AQ113" s="65">
        <f t="shared" si="35"/>
        <v>39316.648380731283</v>
      </c>
    </row>
    <row r="114" spans="1:44">
      <c r="A114" s="60">
        <f t="shared" si="34"/>
        <v>110</v>
      </c>
      <c r="B114" s="60">
        <v>96121225</v>
      </c>
      <c r="C114" s="61" t="s">
        <v>497</v>
      </c>
      <c r="D114" s="61" t="s">
        <v>467</v>
      </c>
      <c r="E114" s="62">
        <v>1575000</v>
      </c>
      <c r="F114" s="63">
        <v>100000</v>
      </c>
      <c r="G114" s="63">
        <v>270000</v>
      </c>
      <c r="H114" s="63">
        <f t="shared" si="50"/>
        <v>370000</v>
      </c>
      <c r="I114" s="63">
        <v>100000</v>
      </c>
      <c r="J114" s="63">
        <v>0</v>
      </c>
      <c r="K114" s="63">
        <v>0</v>
      </c>
      <c r="L114" s="63">
        <v>100000</v>
      </c>
      <c r="M114" s="63">
        <v>270000</v>
      </c>
      <c r="N114" s="63">
        <f t="shared" si="51"/>
        <v>370000</v>
      </c>
      <c r="O114" s="63">
        <v>100000</v>
      </c>
      <c r="P114" s="63">
        <v>270000</v>
      </c>
      <c r="Q114" s="63">
        <f t="shared" si="52"/>
        <v>370000</v>
      </c>
      <c r="R114" s="63">
        <v>100000</v>
      </c>
      <c r="S114" s="63">
        <v>540000</v>
      </c>
      <c r="T114" s="63">
        <f t="shared" si="53"/>
        <v>640000</v>
      </c>
      <c r="U114" s="63">
        <v>100000</v>
      </c>
      <c r="V114" s="63">
        <v>540000</v>
      </c>
      <c r="W114" s="63">
        <f t="shared" si="54"/>
        <v>640000</v>
      </c>
      <c r="X114" s="63">
        <v>100000</v>
      </c>
      <c r="Y114" s="63">
        <v>540000</v>
      </c>
      <c r="Z114" s="63">
        <f t="shared" si="55"/>
        <v>640000</v>
      </c>
      <c r="AA114" s="63">
        <v>100000</v>
      </c>
      <c r="AB114" s="63">
        <v>540000</v>
      </c>
      <c r="AC114" s="63">
        <f t="shared" si="56"/>
        <v>640000</v>
      </c>
      <c r="AD114" s="63">
        <v>100000</v>
      </c>
      <c r="AE114" s="63">
        <v>540000</v>
      </c>
      <c r="AF114" s="63">
        <f t="shared" si="57"/>
        <v>640000</v>
      </c>
      <c r="AG114" s="63">
        <v>100000</v>
      </c>
      <c r="AH114" s="63">
        <v>540000</v>
      </c>
      <c r="AI114" s="63">
        <f t="shared" si="58"/>
        <v>640000</v>
      </c>
      <c r="AJ114" s="63">
        <v>100000</v>
      </c>
      <c r="AK114" s="63">
        <v>0</v>
      </c>
      <c r="AL114" s="63">
        <f t="shared" si="31"/>
        <v>100000</v>
      </c>
      <c r="AM114" s="63">
        <v>100000</v>
      </c>
      <c r="AN114" s="63">
        <v>0</v>
      </c>
      <c r="AO114" s="63">
        <f t="shared" si="32"/>
        <v>100000</v>
      </c>
      <c r="AP114" s="64">
        <f t="shared" si="33"/>
        <v>2775000</v>
      </c>
      <c r="AQ114" s="65">
        <f t="shared" si="35"/>
        <v>39316.648380731283</v>
      </c>
    </row>
    <row r="115" spans="1:44">
      <c r="A115" s="60">
        <f t="shared" si="34"/>
        <v>111</v>
      </c>
      <c r="B115" s="99" t="s">
        <v>660</v>
      </c>
      <c r="C115" s="61" t="s">
        <v>498</v>
      </c>
      <c r="D115" s="61" t="s">
        <v>467</v>
      </c>
      <c r="E115" s="62">
        <v>700000</v>
      </c>
      <c r="F115" s="63">
        <v>100000</v>
      </c>
      <c r="G115" s="63">
        <v>270000</v>
      </c>
      <c r="H115" s="63">
        <f t="shared" si="50"/>
        <v>370000</v>
      </c>
      <c r="I115" s="63">
        <v>100000</v>
      </c>
      <c r="J115" s="63">
        <v>0</v>
      </c>
      <c r="K115" s="63">
        <v>0</v>
      </c>
      <c r="L115" s="63">
        <v>100000</v>
      </c>
      <c r="M115" s="63">
        <v>270000</v>
      </c>
      <c r="N115" s="63">
        <f t="shared" si="51"/>
        <v>370000</v>
      </c>
      <c r="O115" s="63">
        <v>100000</v>
      </c>
      <c r="P115" s="63">
        <v>270000</v>
      </c>
      <c r="Q115" s="63">
        <f t="shared" si="52"/>
        <v>370000</v>
      </c>
      <c r="R115" s="63">
        <v>100000</v>
      </c>
      <c r="S115" s="63">
        <f>270000+265000</f>
        <v>535000</v>
      </c>
      <c r="T115" s="63">
        <f t="shared" si="53"/>
        <v>635000</v>
      </c>
      <c r="U115" s="63">
        <v>100000</v>
      </c>
      <c r="V115" s="63">
        <v>265000</v>
      </c>
      <c r="W115" s="63">
        <f t="shared" si="54"/>
        <v>365000</v>
      </c>
      <c r="X115" s="63">
        <v>100000</v>
      </c>
      <c r="Y115" s="63">
        <v>265000</v>
      </c>
      <c r="Z115" s="63">
        <f t="shared" si="55"/>
        <v>365000</v>
      </c>
      <c r="AA115" s="63">
        <v>100000</v>
      </c>
      <c r="AB115" s="63">
        <f>265000+265000</f>
        <v>530000</v>
      </c>
      <c r="AC115" s="63">
        <f t="shared" si="56"/>
        <v>630000</v>
      </c>
      <c r="AD115" s="63">
        <v>100000</v>
      </c>
      <c r="AE115" s="63">
        <f>265000+265000</f>
        <v>530000</v>
      </c>
      <c r="AF115" s="63">
        <f t="shared" si="57"/>
        <v>630000</v>
      </c>
      <c r="AG115" s="63">
        <v>100000</v>
      </c>
      <c r="AH115" s="63">
        <f>265000+265000</f>
        <v>530000</v>
      </c>
      <c r="AI115" s="63">
        <f t="shared" si="58"/>
        <v>630000</v>
      </c>
      <c r="AJ115" s="63">
        <v>100000</v>
      </c>
      <c r="AK115" s="63">
        <f>265000+265000</f>
        <v>530000</v>
      </c>
      <c r="AL115" s="63">
        <f t="shared" si="31"/>
        <v>630000</v>
      </c>
      <c r="AM115" s="63">
        <v>100000</v>
      </c>
      <c r="AN115" s="63">
        <f>265000+265000</f>
        <v>530000</v>
      </c>
      <c r="AO115" s="63">
        <f t="shared" si="32"/>
        <v>630000</v>
      </c>
      <c r="AP115" s="64">
        <f t="shared" si="33"/>
        <v>1900000</v>
      </c>
      <c r="AQ115" s="65">
        <f t="shared" si="35"/>
        <v>26919.506999419616</v>
      </c>
    </row>
    <row r="116" spans="1:44" s="23" customFormat="1" ht="14.25">
      <c r="A116" s="60">
        <f t="shared" si="34"/>
        <v>112</v>
      </c>
      <c r="B116" s="60">
        <v>96020985</v>
      </c>
      <c r="C116" s="61" t="s">
        <v>499</v>
      </c>
      <c r="D116" s="61" t="s">
        <v>467</v>
      </c>
      <c r="E116" s="62">
        <v>1575000</v>
      </c>
      <c r="F116" s="63">
        <v>100000</v>
      </c>
      <c r="G116" s="63">
        <v>104500</v>
      </c>
      <c r="H116" s="63">
        <f t="shared" si="50"/>
        <v>204500</v>
      </c>
      <c r="I116" s="63">
        <v>100000</v>
      </c>
      <c r="J116" s="63">
        <v>0</v>
      </c>
      <c r="K116" s="63">
        <v>0</v>
      </c>
      <c r="L116" s="63">
        <v>100000</v>
      </c>
      <c r="M116" s="63">
        <v>410000</v>
      </c>
      <c r="N116" s="63">
        <f t="shared" si="51"/>
        <v>510000</v>
      </c>
      <c r="O116" s="63">
        <v>100000</v>
      </c>
      <c r="P116" s="63">
        <v>0</v>
      </c>
      <c r="Q116" s="63">
        <f t="shared" si="52"/>
        <v>100000</v>
      </c>
      <c r="R116" s="63">
        <v>100000</v>
      </c>
      <c r="S116" s="63">
        <v>202500</v>
      </c>
      <c r="T116" s="63">
        <f t="shared" si="53"/>
        <v>302500</v>
      </c>
      <c r="U116" s="63">
        <v>100000</v>
      </c>
      <c r="V116" s="63">
        <v>265000</v>
      </c>
      <c r="W116" s="63">
        <f t="shared" si="54"/>
        <v>365000</v>
      </c>
      <c r="X116" s="63">
        <v>100000</v>
      </c>
      <c r="Y116" s="63">
        <v>265000</v>
      </c>
      <c r="Z116" s="63">
        <f t="shared" si="55"/>
        <v>365000</v>
      </c>
      <c r="AA116" s="63">
        <v>100000</v>
      </c>
      <c r="AB116" s="63">
        <v>265000</v>
      </c>
      <c r="AC116" s="63">
        <f t="shared" si="56"/>
        <v>365000</v>
      </c>
      <c r="AD116" s="63">
        <v>100000</v>
      </c>
      <c r="AE116" s="63">
        <v>265000</v>
      </c>
      <c r="AF116" s="63">
        <f t="shared" si="57"/>
        <v>365000</v>
      </c>
      <c r="AG116" s="63">
        <v>100000</v>
      </c>
      <c r="AH116" s="63">
        <f>446000</f>
        <v>446000</v>
      </c>
      <c r="AI116" s="63">
        <f t="shared" si="58"/>
        <v>546000</v>
      </c>
      <c r="AJ116" s="63">
        <v>100000</v>
      </c>
      <c r="AK116" s="63">
        <f>409000</f>
        <v>409000</v>
      </c>
      <c r="AL116" s="63">
        <f t="shared" si="31"/>
        <v>509000</v>
      </c>
      <c r="AM116" s="63">
        <v>100000</v>
      </c>
      <c r="AN116" s="63">
        <v>0</v>
      </c>
      <c r="AO116" s="63">
        <f t="shared" si="32"/>
        <v>100000</v>
      </c>
      <c r="AP116" s="64">
        <f t="shared" si="33"/>
        <v>2775000</v>
      </c>
      <c r="AQ116" s="65">
        <f t="shared" si="35"/>
        <v>39316.648380731283</v>
      </c>
      <c r="AR116" s="100"/>
    </row>
    <row r="117" spans="1:44" s="23" customFormat="1" ht="14.25">
      <c r="A117" s="60">
        <f t="shared" si="34"/>
        <v>113</v>
      </c>
      <c r="B117" s="73">
        <v>13079825</v>
      </c>
      <c r="C117" s="61" t="s">
        <v>661</v>
      </c>
      <c r="D117" s="61" t="s">
        <v>467</v>
      </c>
      <c r="E117" s="62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>
        <v>200000</v>
      </c>
      <c r="AH117" s="63">
        <v>0</v>
      </c>
      <c r="AI117" s="63">
        <f t="shared" si="58"/>
        <v>200000</v>
      </c>
      <c r="AJ117" s="63">
        <v>100000</v>
      </c>
      <c r="AK117" s="63">
        <f>100000</f>
        <v>100000</v>
      </c>
      <c r="AL117" s="63">
        <f t="shared" si="31"/>
        <v>200000</v>
      </c>
      <c r="AM117" s="63">
        <v>100000</v>
      </c>
      <c r="AN117" s="63">
        <v>165000</v>
      </c>
      <c r="AO117" s="63">
        <f t="shared" si="32"/>
        <v>265000</v>
      </c>
      <c r="AP117" s="64">
        <f t="shared" si="33"/>
        <v>400000</v>
      </c>
      <c r="AQ117" s="65">
        <f t="shared" si="35"/>
        <v>5667.264631456761</v>
      </c>
      <c r="AR117" s="100"/>
    </row>
    <row r="118" spans="1:44" s="23" customFormat="1" ht="14.25">
      <c r="A118" s="60">
        <f t="shared" si="34"/>
        <v>114</v>
      </c>
      <c r="B118" s="60">
        <v>96031025</v>
      </c>
      <c r="C118" s="61" t="s">
        <v>500</v>
      </c>
      <c r="D118" s="61" t="s">
        <v>467</v>
      </c>
      <c r="E118" s="62">
        <v>1575000</v>
      </c>
      <c r="F118" s="63">
        <v>100000</v>
      </c>
      <c r="G118" s="63">
        <v>0</v>
      </c>
      <c r="H118" s="63">
        <f t="shared" ref="H118:H130" si="59">F118+G118</f>
        <v>100000</v>
      </c>
      <c r="I118" s="63">
        <v>100000</v>
      </c>
      <c r="J118" s="63">
        <v>0</v>
      </c>
      <c r="K118" s="63">
        <v>0</v>
      </c>
      <c r="L118" s="63">
        <v>100000</v>
      </c>
      <c r="M118" s="63">
        <v>0</v>
      </c>
      <c r="N118" s="63">
        <f t="shared" ref="N118:N130" si="60">L118+M118</f>
        <v>100000</v>
      </c>
      <c r="O118" s="63">
        <v>100000</v>
      </c>
      <c r="P118" s="63">
        <v>0</v>
      </c>
      <c r="Q118" s="63">
        <f t="shared" ref="Q118:Q130" si="61">SUM(O118:P118)</f>
        <v>100000</v>
      </c>
      <c r="R118" s="63">
        <v>100000</v>
      </c>
      <c r="S118" s="63">
        <v>0</v>
      </c>
      <c r="T118" s="63">
        <f t="shared" ref="T118:T130" si="62">R118+S118</f>
        <v>100000</v>
      </c>
      <c r="U118" s="63">
        <v>100000</v>
      </c>
      <c r="V118" s="63">
        <v>0</v>
      </c>
      <c r="W118" s="63">
        <f t="shared" ref="W118:W130" si="63">U118+V118</f>
        <v>100000</v>
      </c>
      <c r="X118" s="63">
        <v>100000</v>
      </c>
      <c r="Y118" s="63">
        <v>0</v>
      </c>
      <c r="Z118" s="63">
        <f t="shared" ref="Z118:Z130" si="64">X118+Y118</f>
        <v>100000</v>
      </c>
      <c r="AA118" s="63">
        <v>100000</v>
      </c>
      <c r="AB118" s="63">
        <v>0</v>
      </c>
      <c r="AC118" s="63">
        <f t="shared" ref="AC118:AC130" si="65">AB118+AA118</f>
        <v>100000</v>
      </c>
      <c r="AD118" s="63">
        <v>100000</v>
      </c>
      <c r="AE118" s="63">
        <v>0</v>
      </c>
      <c r="AF118" s="63">
        <f t="shared" ref="AF118:AF130" si="66">AD118+AE118</f>
        <v>100000</v>
      </c>
      <c r="AG118" s="63">
        <v>100000</v>
      </c>
      <c r="AH118" s="63">
        <v>0</v>
      </c>
      <c r="AI118" s="63">
        <f t="shared" si="58"/>
        <v>100000</v>
      </c>
      <c r="AJ118" s="63">
        <v>100000</v>
      </c>
      <c r="AK118" s="63">
        <v>0</v>
      </c>
      <c r="AL118" s="63">
        <f t="shared" si="31"/>
        <v>100000</v>
      </c>
      <c r="AM118" s="63">
        <v>100000</v>
      </c>
      <c r="AN118" s="63">
        <v>0</v>
      </c>
      <c r="AO118" s="63">
        <f t="shared" si="32"/>
        <v>100000</v>
      </c>
      <c r="AP118" s="64">
        <f t="shared" si="33"/>
        <v>2775000</v>
      </c>
      <c r="AQ118" s="65">
        <f t="shared" si="35"/>
        <v>39316.648380731283</v>
      </c>
      <c r="AR118" s="100"/>
    </row>
    <row r="119" spans="1:44" s="23" customFormat="1" ht="14.25">
      <c r="A119" s="60">
        <f t="shared" si="34"/>
        <v>115</v>
      </c>
      <c r="B119" s="60">
        <v>95110885</v>
      </c>
      <c r="C119" s="61" t="s">
        <v>501</v>
      </c>
      <c r="D119" s="61" t="s">
        <v>467</v>
      </c>
      <c r="E119" s="62">
        <v>1575000</v>
      </c>
      <c r="F119" s="63">
        <v>100000</v>
      </c>
      <c r="G119" s="63">
        <f>265000+95000</f>
        <v>360000</v>
      </c>
      <c r="H119" s="63">
        <f t="shared" si="59"/>
        <v>460000</v>
      </c>
      <c r="I119" s="63">
        <v>100000</v>
      </c>
      <c r="J119" s="63">
        <v>0</v>
      </c>
      <c r="K119" s="63">
        <v>0</v>
      </c>
      <c r="L119" s="63">
        <v>100000</v>
      </c>
      <c r="M119" s="63">
        <v>270000</v>
      </c>
      <c r="N119" s="63">
        <f t="shared" si="60"/>
        <v>370000</v>
      </c>
      <c r="O119" s="63">
        <v>100000</v>
      </c>
      <c r="P119" s="63">
        <v>270000</v>
      </c>
      <c r="Q119" s="63">
        <f t="shared" si="61"/>
        <v>370000</v>
      </c>
      <c r="R119" s="63">
        <v>100000</v>
      </c>
      <c r="S119" s="63">
        <v>270000</v>
      </c>
      <c r="T119" s="63">
        <f t="shared" si="62"/>
        <v>370000</v>
      </c>
      <c r="U119" s="63">
        <v>100000</v>
      </c>
      <c r="V119" s="63">
        <v>270000</v>
      </c>
      <c r="W119" s="63">
        <f t="shared" si="63"/>
        <v>370000</v>
      </c>
      <c r="X119" s="63">
        <v>100000</v>
      </c>
      <c r="Y119" s="63">
        <v>270000</v>
      </c>
      <c r="Z119" s="63">
        <f t="shared" si="64"/>
        <v>370000</v>
      </c>
      <c r="AA119" s="63">
        <v>100000</v>
      </c>
      <c r="AB119" s="63">
        <f>270000+210000</f>
        <v>480000</v>
      </c>
      <c r="AC119" s="63">
        <f t="shared" si="65"/>
        <v>580000</v>
      </c>
      <c r="AD119" s="63">
        <v>100000</v>
      </c>
      <c r="AE119" s="63">
        <v>0</v>
      </c>
      <c r="AF119" s="63">
        <f t="shared" si="66"/>
        <v>100000</v>
      </c>
      <c r="AG119" s="63">
        <v>100000</v>
      </c>
      <c r="AH119" s="63">
        <f>128000</f>
        <v>128000</v>
      </c>
      <c r="AI119" s="63">
        <f t="shared" si="58"/>
        <v>228000</v>
      </c>
      <c r="AJ119" s="63">
        <v>100000</v>
      </c>
      <c r="AK119" s="63">
        <f>270000+155000</f>
        <v>425000</v>
      </c>
      <c r="AL119" s="63">
        <f t="shared" si="31"/>
        <v>525000</v>
      </c>
      <c r="AM119" s="63">
        <v>100000</v>
      </c>
      <c r="AN119" s="63">
        <f>270000</f>
        <v>270000</v>
      </c>
      <c r="AO119" s="63">
        <f t="shared" si="32"/>
        <v>370000</v>
      </c>
      <c r="AP119" s="64">
        <f t="shared" si="33"/>
        <v>2775000</v>
      </c>
      <c r="AQ119" s="65">
        <f t="shared" si="35"/>
        <v>39316.648380731283</v>
      </c>
      <c r="AR119" s="100"/>
    </row>
    <row r="120" spans="1:44" s="23" customFormat="1" ht="14.25">
      <c r="A120" s="60">
        <f t="shared" si="34"/>
        <v>116</v>
      </c>
      <c r="B120" s="67" t="s">
        <v>502</v>
      </c>
      <c r="C120" s="61" t="s">
        <v>503</v>
      </c>
      <c r="D120" s="61" t="s">
        <v>467</v>
      </c>
      <c r="E120" s="62">
        <v>1575000</v>
      </c>
      <c r="F120" s="63">
        <v>100000</v>
      </c>
      <c r="G120" s="63">
        <f>265000+135000</f>
        <v>400000</v>
      </c>
      <c r="H120" s="63">
        <f t="shared" si="59"/>
        <v>500000</v>
      </c>
      <c r="I120" s="63">
        <v>100000</v>
      </c>
      <c r="J120" s="63">
        <v>0</v>
      </c>
      <c r="K120" s="63">
        <v>0</v>
      </c>
      <c r="L120" s="63">
        <v>100000</v>
      </c>
      <c r="M120" s="63">
        <v>227000</v>
      </c>
      <c r="N120" s="63">
        <f t="shared" si="60"/>
        <v>327000</v>
      </c>
      <c r="O120" s="63">
        <v>100000</v>
      </c>
      <c r="P120" s="63">
        <v>462000</v>
      </c>
      <c r="Q120" s="63">
        <f t="shared" si="61"/>
        <v>562000</v>
      </c>
      <c r="R120" s="63">
        <v>100000</v>
      </c>
      <c r="S120" s="63">
        <v>330000</v>
      </c>
      <c r="T120" s="63">
        <f t="shared" si="62"/>
        <v>430000</v>
      </c>
      <c r="U120" s="63">
        <v>100000</v>
      </c>
      <c r="V120" s="63">
        <v>405000</v>
      </c>
      <c r="W120" s="63">
        <f t="shared" si="63"/>
        <v>505000</v>
      </c>
      <c r="X120" s="63">
        <v>100000</v>
      </c>
      <c r="Y120" s="63">
        <f>405000+105000</f>
        <v>510000</v>
      </c>
      <c r="Z120" s="63">
        <f t="shared" si="64"/>
        <v>610000</v>
      </c>
      <c r="AA120" s="63">
        <v>100000</v>
      </c>
      <c r="AB120" s="63">
        <v>405000</v>
      </c>
      <c r="AC120" s="63">
        <f t="shared" si="65"/>
        <v>505000</v>
      </c>
      <c r="AD120" s="63">
        <v>100000</v>
      </c>
      <c r="AE120" s="63">
        <v>405000</v>
      </c>
      <c r="AF120" s="63">
        <f t="shared" si="66"/>
        <v>505000</v>
      </c>
      <c r="AG120" s="63">
        <v>100000</v>
      </c>
      <c r="AH120" s="63">
        <v>0</v>
      </c>
      <c r="AI120" s="63">
        <f t="shared" si="58"/>
        <v>100000</v>
      </c>
      <c r="AJ120" s="63">
        <v>100000</v>
      </c>
      <c r="AK120" s="63">
        <v>540000</v>
      </c>
      <c r="AL120" s="63">
        <f t="shared" si="31"/>
        <v>640000</v>
      </c>
      <c r="AM120" s="63">
        <v>100000</v>
      </c>
      <c r="AN120" s="63">
        <f>540000</f>
        <v>540000</v>
      </c>
      <c r="AO120" s="63">
        <f t="shared" si="32"/>
        <v>640000</v>
      </c>
      <c r="AP120" s="64">
        <f t="shared" si="33"/>
        <v>2775000</v>
      </c>
      <c r="AQ120" s="65">
        <f t="shared" si="35"/>
        <v>39316.648380731283</v>
      </c>
      <c r="AR120" s="100"/>
    </row>
    <row r="121" spans="1:44" s="23" customFormat="1" ht="14.25">
      <c r="A121" s="60">
        <f t="shared" si="34"/>
        <v>117</v>
      </c>
      <c r="B121" s="67" t="s">
        <v>504</v>
      </c>
      <c r="C121" s="61" t="s">
        <v>505</v>
      </c>
      <c r="D121" s="61" t="s">
        <v>467</v>
      </c>
      <c r="E121" s="62">
        <v>1575000</v>
      </c>
      <c r="F121" s="63">
        <v>100000</v>
      </c>
      <c r="G121" s="63">
        <v>0</v>
      </c>
      <c r="H121" s="63">
        <f t="shared" si="59"/>
        <v>100000</v>
      </c>
      <c r="I121" s="63">
        <v>100000</v>
      </c>
      <c r="J121" s="63">
        <v>0</v>
      </c>
      <c r="K121" s="63">
        <v>0</v>
      </c>
      <c r="L121" s="63">
        <v>100000</v>
      </c>
      <c r="M121" s="63">
        <v>0</v>
      </c>
      <c r="N121" s="63">
        <f t="shared" si="60"/>
        <v>100000</v>
      </c>
      <c r="O121" s="63">
        <v>100000</v>
      </c>
      <c r="P121" s="63">
        <v>90000</v>
      </c>
      <c r="Q121" s="63">
        <f t="shared" si="61"/>
        <v>190000</v>
      </c>
      <c r="R121" s="63">
        <v>100000</v>
      </c>
      <c r="S121" s="63">
        <v>45000</v>
      </c>
      <c r="T121" s="63">
        <f t="shared" si="62"/>
        <v>145000</v>
      </c>
      <c r="U121" s="63">
        <v>100000</v>
      </c>
      <c r="V121" s="63">
        <v>45000</v>
      </c>
      <c r="W121" s="63">
        <f t="shared" si="63"/>
        <v>145000</v>
      </c>
      <c r="X121" s="63">
        <v>100000</v>
      </c>
      <c r="Y121" s="63">
        <v>0</v>
      </c>
      <c r="Z121" s="63">
        <f t="shared" si="64"/>
        <v>100000</v>
      </c>
      <c r="AA121" s="63">
        <v>100000</v>
      </c>
      <c r="AB121" s="63">
        <v>0</v>
      </c>
      <c r="AC121" s="63">
        <f t="shared" si="65"/>
        <v>100000</v>
      </c>
      <c r="AD121" s="63">
        <v>100000</v>
      </c>
      <c r="AE121" s="63">
        <v>0</v>
      </c>
      <c r="AF121" s="63">
        <f t="shared" si="66"/>
        <v>100000</v>
      </c>
      <c r="AG121" s="63">
        <v>100000</v>
      </c>
      <c r="AH121" s="63">
        <f>42000</f>
        <v>42000</v>
      </c>
      <c r="AI121" s="63">
        <f t="shared" si="58"/>
        <v>142000</v>
      </c>
      <c r="AJ121" s="63">
        <v>100000</v>
      </c>
      <c r="AK121" s="63">
        <v>0</v>
      </c>
      <c r="AL121" s="63">
        <f t="shared" si="31"/>
        <v>100000</v>
      </c>
      <c r="AM121" s="63">
        <v>100000</v>
      </c>
      <c r="AN121" s="63">
        <v>0</v>
      </c>
      <c r="AO121" s="63">
        <f t="shared" si="32"/>
        <v>100000</v>
      </c>
      <c r="AP121" s="64">
        <f t="shared" si="33"/>
        <v>2775000</v>
      </c>
      <c r="AQ121" s="65">
        <f t="shared" si="35"/>
        <v>39316.648380731283</v>
      </c>
      <c r="AR121" s="100"/>
    </row>
    <row r="122" spans="1:44" s="23" customFormat="1" ht="14.25">
      <c r="A122" s="60">
        <f t="shared" si="34"/>
        <v>118</v>
      </c>
      <c r="B122" s="67" t="s">
        <v>506</v>
      </c>
      <c r="C122" s="61" t="s">
        <v>507</v>
      </c>
      <c r="D122" s="61" t="s">
        <v>467</v>
      </c>
      <c r="E122" s="62">
        <v>1575000</v>
      </c>
      <c r="F122" s="63">
        <v>100000</v>
      </c>
      <c r="G122" s="63">
        <v>0</v>
      </c>
      <c r="H122" s="63">
        <f t="shared" si="59"/>
        <v>100000</v>
      </c>
      <c r="I122" s="63">
        <v>100000</v>
      </c>
      <c r="J122" s="63">
        <v>0</v>
      </c>
      <c r="K122" s="63">
        <v>0</v>
      </c>
      <c r="L122" s="63">
        <v>100000</v>
      </c>
      <c r="M122" s="63">
        <v>0</v>
      </c>
      <c r="N122" s="63">
        <f t="shared" si="60"/>
        <v>100000</v>
      </c>
      <c r="O122" s="63">
        <v>100000</v>
      </c>
      <c r="P122" s="63">
        <v>0</v>
      </c>
      <c r="Q122" s="63">
        <f t="shared" si="61"/>
        <v>100000</v>
      </c>
      <c r="R122" s="63">
        <v>100000</v>
      </c>
      <c r="S122" s="63">
        <v>0</v>
      </c>
      <c r="T122" s="63">
        <f t="shared" si="62"/>
        <v>100000</v>
      </c>
      <c r="U122" s="63">
        <v>100000</v>
      </c>
      <c r="V122" s="63">
        <v>0</v>
      </c>
      <c r="W122" s="63">
        <f t="shared" si="63"/>
        <v>100000</v>
      </c>
      <c r="X122" s="63">
        <v>100000</v>
      </c>
      <c r="Y122" s="63">
        <v>0</v>
      </c>
      <c r="Z122" s="63">
        <f t="shared" si="64"/>
        <v>100000</v>
      </c>
      <c r="AA122" s="63">
        <v>100000</v>
      </c>
      <c r="AB122" s="63">
        <v>0</v>
      </c>
      <c r="AC122" s="63">
        <f t="shared" si="65"/>
        <v>100000</v>
      </c>
      <c r="AD122" s="63">
        <v>100000</v>
      </c>
      <c r="AE122" s="63">
        <v>0</v>
      </c>
      <c r="AF122" s="63">
        <f t="shared" si="66"/>
        <v>100000</v>
      </c>
      <c r="AG122" s="63">
        <v>100000</v>
      </c>
      <c r="AH122" s="63">
        <f>20000</f>
        <v>20000</v>
      </c>
      <c r="AI122" s="63">
        <f t="shared" si="58"/>
        <v>120000</v>
      </c>
      <c r="AJ122" s="63">
        <v>100000</v>
      </c>
      <c r="AK122" s="63">
        <v>0</v>
      </c>
      <c r="AL122" s="63">
        <f t="shared" si="31"/>
        <v>100000</v>
      </c>
      <c r="AM122" s="63">
        <v>100000</v>
      </c>
      <c r="AN122" s="63">
        <v>0</v>
      </c>
      <c r="AO122" s="63">
        <f t="shared" si="32"/>
        <v>100000</v>
      </c>
      <c r="AP122" s="64">
        <f t="shared" si="33"/>
        <v>2775000</v>
      </c>
      <c r="AQ122" s="65">
        <f t="shared" si="35"/>
        <v>39316.648380731283</v>
      </c>
      <c r="AR122" s="100"/>
    </row>
    <row r="123" spans="1:44" s="23" customFormat="1" ht="14.25">
      <c r="A123" s="60">
        <f t="shared" si="34"/>
        <v>119</v>
      </c>
      <c r="B123" s="60">
        <v>95080705</v>
      </c>
      <c r="C123" s="61" t="s">
        <v>508</v>
      </c>
      <c r="D123" s="61" t="s">
        <v>467</v>
      </c>
      <c r="E123" s="62">
        <v>1575000</v>
      </c>
      <c r="F123" s="63">
        <v>100000</v>
      </c>
      <c r="G123" s="63">
        <v>386000</v>
      </c>
      <c r="H123" s="63">
        <f t="shared" si="59"/>
        <v>486000</v>
      </c>
      <c r="I123" s="63">
        <v>100000</v>
      </c>
      <c r="J123" s="63">
        <v>0</v>
      </c>
      <c r="K123" s="63">
        <v>0</v>
      </c>
      <c r="L123" s="63">
        <v>100000</v>
      </c>
      <c r="M123" s="63">
        <f>530000+322000</f>
        <v>852000</v>
      </c>
      <c r="N123" s="63">
        <f t="shared" si="60"/>
        <v>952000</v>
      </c>
      <c r="O123" s="63">
        <v>100000</v>
      </c>
      <c r="P123" s="63">
        <v>440000</v>
      </c>
      <c r="Q123" s="63">
        <f t="shared" si="61"/>
        <v>540000</v>
      </c>
      <c r="R123" s="63">
        <v>100000</v>
      </c>
      <c r="S123" s="63">
        <v>240000</v>
      </c>
      <c r="T123" s="63">
        <f t="shared" si="62"/>
        <v>340000</v>
      </c>
      <c r="U123" s="63">
        <v>100000</v>
      </c>
      <c r="V123" s="63">
        <v>0</v>
      </c>
      <c r="W123" s="63">
        <f t="shared" si="63"/>
        <v>100000</v>
      </c>
      <c r="X123" s="63">
        <v>100000</v>
      </c>
      <c r="Y123" s="63">
        <v>152000</v>
      </c>
      <c r="Z123" s="63">
        <f t="shared" si="64"/>
        <v>252000</v>
      </c>
      <c r="AA123" s="63">
        <v>100000</v>
      </c>
      <c r="AB123" s="63">
        <v>103500</v>
      </c>
      <c r="AC123" s="63">
        <f t="shared" si="65"/>
        <v>203500</v>
      </c>
      <c r="AD123" s="63">
        <v>100000</v>
      </c>
      <c r="AE123" s="63">
        <v>0</v>
      </c>
      <c r="AF123" s="63">
        <f t="shared" si="66"/>
        <v>100000</v>
      </c>
      <c r="AG123" s="63">
        <v>100000</v>
      </c>
      <c r="AH123" s="63">
        <f>672500</f>
        <v>672500</v>
      </c>
      <c r="AI123" s="63">
        <f t="shared" si="58"/>
        <v>772500</v>
      </c>
      <c r="AJ123" s="63">
        <v>100000</v>
      </c>
      <c r="AK123" s="63">
        <v>195000</v>
      </c>
      <c r="AL123" s="63">
        <f t="shared" si="31"/>
        <v>295000</v>
      </c>
      <c r="AM123" s="63">
        <v>100000</v>
      </c>
      <c r="AN123" s="63">
        <v>633700</v>
      </c>
      <c r="AO123" s="63">
        <f t="shared" si="32"/>
        <v>733700</v>
      </c>
      <c r="AP123" s="64">
        <f t="shared" si="33"/>
        <v>2775000</v>
      </c>
      <c r="AQ123" s="65">
        <f t="shared" si="35"/>
        <v>39316.648380731283</v>
      </c>
      <c r="AR123" s="100"/>
    </row>
    <row r="124" spans="1:44" s="23" customFormat="1" ht="14.25">
      <c r="A124" s="60">
        <f t="shared" si="34"/>
        <v>120</v>
      </c>
      <c r="B124" s="67" t="s">
        <v>509</v>
      </c>
      <c r="C124" s="61" t="s">
        <v>510</v>
      </c>
      <c r="D124" s="61" t="s">
        <v>467</v>
      </c>
      <c r="E124" s="62">
        <v>1575000</v>
      </c>
      <c r="F124" s="63">
        <v>100000</v>
      </c>
      <c r="G124" s="63">
        <v>265000</v>
      </c>
      <c r="H124" s="63">
        <f t="shared" si="59"/>
        <v>365000</v>
      </c>
      <c r="I124" s="63">
        <v>100000</v>
      </c>
      <c r="J124" s="63">
        <v>0</v>
      </c>
      <c r="K124" s="63">
        <v>0</v>
      </c>
      <c r="L124" s="63">
        <v>100000</v>
      </c>
      <c r="M124" s="63">
        <v>265000</v>
      </c>
      <c r="N124" s="63">
        <f t="shared" si="60"/>
        <v>365000</v>
      </c>
      <c r="O124" s="63">
        <v>100000</v>
      </c>
      <c r="P124" s="63">
        <v>265000</v>
      </c>
      <c r="Q124" s="63">
        <f t="shared" si="61"/>
        <v>365000</v>
      </c>
      <c r="R124" s="63">
        <v>100000</v>
      </c>
      <c r="S124" s="63">
        <v>0</v>
      </c>
      <c r="T124" s="63">
        <f t="shared" si="62"/>
        <v>100000</v>
      </c>
      <c r="U124" s="63">
        <v>100000</v>
      </c>
      <c r="V124" s="63">
        <v>0</v>
      </c>
      <c r="W124" s="63">
        <f t="shared" si="63"/>
        <v>100000</v>
      </c>
      <c r="X124" s="63">
        <v>100000</v>
      </c>
      <c r="Y124" s="63">
        <v>0</v>
      </c>
      <c r="Z124" s="63">
        <f t="shared" si="64"/>
        <v>100000</v>
      </c>
      <c r="AA124" s="63">
        <v>100000</v>
      </c>
      <c r="AB124" s="63">
        <v>0</v>
      </c>
      <c r="AC124" s="63">
        <f t="shared" si="65"/>
        <v>100000</v>
      </c>
      <c r="AD124" s="63">
        <v>100000</v>
      </c>
      <c r="AE124" s="63">
        <v>0</v>
      </c>
      <c r="AF124" s="63">
        <f t="shared" si="66"/>
        <v>100000</v>
      </c>
      <c r="AG124" s="63">
        <v>100000</v>
      </c>
      <c r="AH124" s="63">
        <f>540000</f>
        <v>540000</v>
      </c>
      <c r="AI124" s="63">
        <f t="shared" si="58"/>
        <v>640000</v>
      </c>
      <c r="AJ124" s="63">
        <v>100000</v>
      </c>
      <c r="AK124" s="63">
        <v>540000</v>
      </c>
      <c r="AL124" s="63">
        <f t="shared" si="31"/>
        <v>640000</v>
      </c>
      <c r="AM124" s="63">
        <v>100000</v>
      </c>
      <c r="AN124" s="63">
        <f>540000</f>
        <v>540000</v>
      </c>
      <c r="AO124" s="63">
        <f t="shared" si="32"/>
        <v>640000</v>
      </c>
      <c r="AP124" s="64">
        <f t="shared" si="33"/>
        <v>2775000</v>
      </c>
      <c r="AQ124" s="65">
        <f t="shared" si="35"/>
        <v>39316.648380731283</v>
      </c>
      <c r="AR124" s="100"/>
    </row>
    <row r="125" spans="1:44" s="23" customFormat="1" ht="14.25">
      <c r="A125" s="60">
        <f t="shared" si="34"/>
        <v>121</v>
      </c>
      <c r="B125" s="60">
        <v>95100795</v>
      </c>
      <c r="C125" s="61" t="s">
        <v>511</v>
      </c>
      <c r="D125" s="61" t="s">
        <v>467</v>
      </c>
      <c r="E125" s="62">
        <v>1125000</v>
      </c>
      <c r="F125" s="63">
        <v>100000</v>
      </c>
      <c r="G125" s="63">
        <f>270000+171800</f>
        <v>441800</v>
      </c>
      <c r="H125" s="63">
        <f t="shared" si="59"/>
        <v>541800</v>
      </c>
      <c r="I125" s="63">
        <v>100000</v>
      </c>
      <c r="J125" s="63">
        <v>0</v>
      </c>
      <c r="K125" s="63">
        <v>0</v>
      </c>
      <c r="L125" s="63">
        <v>100000</v>
      </c>
      <c r="M125" s="63">
        <f>270000+440000+164750</f>
        <v>874750</v>
      </c>
      <c r="N125" s="63">
        <f t="shared" si="60"/>
        <v>974750</v>
      </c>
      <c r="O125" s="63">
        <v>100000</v>
      </c>
      <c r="P125" s="63">
        <v>347500</v>
      </c>
      <c r="Q125" s="63">
        <f t="shared" si="61"/>
        <v>447500</v>
      </c>
      <c r="R125" s="63">
        <v>100000</v>
      </c>
      <c r="S125" s="63">
        <f>440000+181500</f>
        <v>621500</v>
      </c>
      <c r="T125" s="63">
        <f t="shared" si="62"/>
        <v>721500</v>
      </c>
      <c r="U125" s="63">
        <v>100000</v>
      </c>
      <c r="V125" s="63">
        <f>440000+190000</f>
        <v>630000</v>
      </c>
      <c r="W125" s="63">
        <f t="shared" si="63"/>
        <v>730000</v>
      </c>
      <c r="X125" s="63">
        <v>100000</v>
      </c>
      <c r="Y125" s="63">
        <f>440000+190500</f>
        <v>630500</v>
      </c>
      <c r="Z125" s="63">
        <f t="shared" si="64"/>
        <v>730500</v>
      </c>
      <c r="AA125" s="63">
        <v>100000</v>
      </c>
      <c r="AB125" s="63">
        <f>440000+112500</f>
        <v>552500</v>
      </c>
      <c r="AC125" s="63">
        <f t="shared" si="65"/>
        <v>652500</v>
      </c>
      <c r="AD125" s="63">
        <v>100000</v>
      </c>
      <c r="AE125" s="63">
        <v>440000</v>
      </c>
      <c r="AF125" s="63">
        <f t="shared" si="66"/>
        <v>540000</v>
      </c>
      <c r="AG125" s="63">
        <v>100000</v>
      </c>
      <c r="AH125" s="63">
        <f>440000</f>
        <v>440000</v>
      </c>
      <c r="AI125" s="63">
        <f t="shared" si="58"/>
        <v>540000</v>
      </c>
      <c r="AJ125" s="63">
        <v>100000</v>
      </c>
      <c r="AK125" s="63">
        <f>440000+161000</f>
        <v>601000</v>
      </c>
      <c r="AL125" s="63">
        <f t="shared" si="31"/>
        <v>701000</v>
      </c>
      <c r="AM125" s="63">
        <v>100000</v>
      </c>
      <c r="AN125" s="63">
        <f>530000+144000</f>
        <v>674000</v>
      </c>
      <c r="AO125" s="63">
        <f t="shared" si="32"/>
        <v>774000</v>
      </c>
      <c r="AP125" s="64">
        <f t="shared" si="33"/>
        <v>2325000</v>
      </c>
      <c r="AQ125" s="65">
        <f t="shared" si="35"/>
        <v>32940.975670342428</v>
      </c>
      <c r="AR125" s="100"/>
    </row>
    <row r="126" spans="1:44" s="23" customFormat="1" ht="14.25">
      <c r="A126" s="60">
        <f t="shared" si="34"/>
        <v>122</v>
      </c>
      <c r="B126" s="60">
        <v>95070465</v>
      </c>
      <c r="C126" s="61" t="s">
        <v>512</v>
      </c>
      <c r="D126" s="61" t="s">
        <v>467</v>
      </c>
      <c r="E126" s="62">
        <v>1575000</v>
      </c>
      <c r="F126" s="63">
        <v>100000</v>
      </c>
      <c r="G126" s="63">
        <v>265000</v>
      </c>
      <c r="H126" s="63">
        <f t="shared" si="59"/>
        <v>365000</v>
      </c>
      <c r="I126" s="63">
        <v>100000</v>
      </c>
      <c r="J126" s="63">
        <v>0</v>
      </c>
      <c r="K126" s="63">
        <v>0</v>
      </c>
      <c r="L126" s="63">
        <v>100000</v>
      </c>
      <c r="M126" s="63">
        <v>270000</v>
      </c>
      <c r="N126" s="63">
        <f t="shared" si="60"/>
        <v>370000</v>
      </c>
      <c r="O126" s="63">
        <v>100000</v>
      </c>
      <c r="P126" s="63">
        <v>270000</v>
      </c>
      <c r="Q126" s="63">
        <f t="shared" si="61"/>
        <v>370000</v>
      </c>
      <c r="R126" s="63">
        <v>100000</v>
      </c>
      <c r="S126" s="63">
        <v>270000</v>
      </c>
      <c r="T126" s="63">
        <f t="shared" si="62"/>
        <v>370000</v>
      </c>
      <c r="U126" s="63">
        <v>100000</v>
      </c>
      <c r="V126" s="63">
        <v>270000</v>
      </c>
      <c r="W126" s="63">
        <f t="shared" si="63"/>
        <v>370000</v>
      </c>
      <c r="X126" s="63">
        <v>100000</v>
      </c>
      <c r="Y126" s="63">
        <v>270000</v>
      </c>
      <c r="Z126" s="63">
        <f t="shared" si="64"/>
        <v>370000</v>
      </c>
      <c r="AA126" s="63">
        <v>100000</v>
      </c>
      <c r="AB126" s="63">
        <v>270000</v>
      </c>
      <c r="AC126" s="63">
        <f t="shared" si="65"/>
        <v>370000</v>
      </c>
      <c r="AD126" s="63">
        <v>100000</v>
      </c>
      <c r="AE126" s="63">
        <v>0</v>
      </c>
      <c r="AF126" s="63">
        <f t="shared" si="66"/>
        <v>100000</v>
      </c>
      <c r="AG126" s="63">
        <v>100000</v>
      </c>
      <c r="AH126" s="63">
        <f>505500+440000</f>
        <v>945500</v>
      </c>
      <c r="AI126" s="63">
        <f t="shared" si="58"/>
        <v>1045500</v>
      </c>
      <c r="AJ126" s="63">
        <v>100000</v>
      </c>
      <c r="AK126" s="63">
        <f>440000+263000</f>
        <v>703000</v>
      </c>
      <c r="AL126" s="63">
        <f t="shared" si="31"/>
        <v>803000</v>
      </c>
      <c r="AM126" s="63">
        <v>100000</v>
      </c>
      <c r="AN126" s="63">
        <f>440000+265000</f>
        <v>705000</v>
      </c>
      <c r="AO126" s="63">
        <f t="shared" si="32"/>
        <v>805000</v>
      </c>
      <c r="AP126" s="64">
        <f t="shared" si="33"/>
        <v>2775000</v>
      </c>
      <c r="AQ126" s="65">
        <f t="shared" si="35"/>
        <v>39316.648380731283</v>
      </c>
      <c r="AR126" s="100"/>
    </row>
    <row r="127" spans="1:44" s="23" customFormat="1" ht="14.25">
      <c r="A127" s="60">
        <f t="shared" si="34"/>
        <v>123</v>
      </c>
      <c r="B127" s="68">
        <v>14020585</v>
      </c>
      <c r="C127" s="61" t="s">
        <v>513</v>
      </c>
      <c r="D127" s="61" t="s">
        <v>467</v>
      </c>
      <c r="E127" s="62">
        <v>300000</v>
      </c>
      <c r="F127" s="63">
        <v>100000</v>
      </c>
      <c r="G127" s="63">
        <v>83000</v>
      </c>
      <c r="H127" s="63">
        <f t="shared" si="59"/>
        <v>183000</v>
      </c>
      <c r="I127" s="63">
        <v>100000</v>
      </c>
      <c r="J127" s="63">
        <v>0</v>
      </c>
      <c r="K127" s="63">
        <v>0</v>
      </c>
      <c r="L127" s="63">
        <v>100000</v>
      </c>
      <c r="M127" s="63">
        <v>0</v>
      </c>
      <c r="N127" s="63">
        <f t="shared" si="60"/>
        <v>100000</v>
      </c>
      <c r="O127" s="63">
        <v>100000</v>
      </c>
      <c r="P127" s="63">
        <v>0</v>
      </c>
      <c r="Q127" s="63">
        <f t="shared" si="61"/>
        <v>100000</v>
      </c>
      <c r="R127" s="63">
        <v>100000</v>
      </c>
      <c r="S127" s="63">
        <v>95000</v>
      </c>
      <c r="T127" s="63">
        <f t="shared" si="62"/>
        <v>195000</v>
      </c>
      <c r="U127" s="63">
        <v>100000</v>
      </c>
      <c r="V127" s="63">
        <v>136000</v>
      </c>
      <c r="W127" s="63">
        <f t="shared" si="63"/>
        <v>236000</v>
      </c>
      <c r="X127" s="63">
        <v>100000</v>
      </c>
      <c r="Y127" s="63">
        <v>158000</v>
      </c>
      <c r="Z127" s="63">
        <f t="shared" si="64"/>
        <v>258000</v>
      </c>
      <c r="AA127" s="63">
        <v>100000</v>
      </c>
      <c r="AB127" s="63">
        <v>0</v>
      </c>
      <c r="AC127" s="63">
        <f t="shared" si="65"/>
        <v>100000</v>
      </c>
      <c r="AD127" s="63">
        <v>100000</v>
      </c>
      <c r="AE127" s="63">
        <v>0</v>
      </c>
      <c r="AF127" s="63">
        <f t="shared" si="66"/>
        <v>100000</v>
      </c>
      <c r="AG127" s="63">
        <v>100000</v>
      </c>
      <c r="AH127" s="63">
        <v>0</v>
      </c>
      <c r="AI127" s="63">
        <f t="shared" si="58"/>
        <v>100000</v>
      </c>
      <c r="AJ127" s="63">
        <v>100000</v>
      </c>
      <c r="AK127" s="63">
        <v>51000</v>
      </c>
      <c r="AL127" s="63">
        <f t="shared" si="31"/>
        <v>151000</v>
      </c>
      <c r="AM127" s="63">
        <v>100000</v>
      </c>
      <c r="AN127" s="63">
        <f>423500</f>
        <v>423500</v>
      </c>
      <c r="AO127" s="63">
        <f t="shared" si="32"/>
        <v>523500</v>
      </c>
      <c r="AP127" s="64">
        <f t="shared" si="33"/>
        <v>1500000</v>
      </c>
      <c r="AQ127" s="65">
        <f t="shared" si="35"/>
        <v>21252.242367962855</v>
      </c>
      <c r="AR127" s="100"/>
    </row>
    <row r="128" spans="1:44" s="23" customFormat="1" ht="14.25">
      <c r="A128" s="60">
        <f t="shared" si="34"/>
        <v>124</v>
      </c>
      <c r="B128" s="67" t="s">
        <v>514</v>
      </c>
      <c r="C128" s="61" t="s">
        <v>515</v>
      </c>
      <c r="D128" s="61" t="s">
        <v>467</v>
      </c>
      <c r="E128" s="62">
        <v>1575000</v>
      </c>
      <c r="F128" s="63">
        <v>100000</v>
      </c>
      <c r="G128" s="63">
        <v>0</v>
      </c>
      <c r="H128" s="63">
        <f t="shared" si="59"/>
        <v>100000</v>
      </c>
      <c r="I128" s="63">
        <v>100000</v>
      </c>
      <c r="J128" s="63">
        <v>0</v>
      </c>
      <c r="K128" s="63">
        <v>0</v>
      </c>
      <c r="L128" s="63">
        <v>100000</v>
      </c>
      <c r="M128" s="63">
        <v>0</v>
      </c>
      <c r="N128" s="63">
        <f t="shared" si="60"/>
        <v>100000</v>
      </c>
      <c r="O128" s="63">
        <v>100000</v>
      </c>
      <c r="P128" s="63">
        <v>0</v>
      </c>
      <c r="Q128" s="63">
        <f t="shared" si="61"/>
        <v>100000</v>
      </c>
      <c r="R128" s="63">
        <v>100000</v>
      </c>
      <c r="S128" s="63">
        <v>0</v>
      </c>
      <c r="T128" s="63">
        <f t="shared" si="62"/>
        <v>100000</v>
      </c>
      <c r="U128" s="63">
        <v>100000</v>
      </c>
      <c r="V128" s="63">
        <v>0</v>
      </c>
      <c r="W128" s="63">
        <f t="shared" si="63"/>
        <v>100000</v>
      </c>
      <c r="X128" s="63">
        <v>100000</v>
      </c>
      <c r="Y128" s="63">
        <v>0</v>
      </c>
      <c r="Z128" s="63">
        <f t="shared" si="64"/>
        <v>100000</v>
      </c>
      <c r="AA128" s="63">
        <v>100000</v>
      </c>
      <c r="AB128" s="63">
        <v>0</v>
      </c>
      <c r="AC128" s="63">
        <f t="shared" si="65"/>
        <v>100000</v>
      </c>
      <c r="AD128" s="63">
        <v>100000</v>
      </c>
      <c r="AE128" s="63">
        <v>0</v>
      </c>
      <c r="AF128" s="63">
        <f t="shared" si="66"/>
        <v>100000</v>
      </c>
      <c r="AG128" s="63">
        <v>100000</v>
      </c>
      <c r="AH128" s="63">
        <v>0</v>
      </c>
      <c r="AI128" s="63">
        <f t="shared" si="58"/>
        <v>100000</v>
      </c>
      <c r="AJ128" s="63">
        <v>100000</v>
      </c>
      <c r="AK128" s="63">
        <v>0</v>
      </c>
      <c r="AL128" s="63">
        <f t="shared" si="31"/>
        <v>100000</v>
      </c>
      <c r="AM128" s="63">
        <v>100000</v>
      </c>
      <c r="AN128" s="63">
        <v>0</v>
      </c>
      <c r="AO128" s="63">
        <f t="shared" si="32"/>
        <v>100000</v>
      </c>
      <c r="AP128" s="64">
        <f t="shared" si="33"/>
        <v>2775000</v>
      </c>
      <c r="AQ128" s="65">
        <f t="shared" si="35"/>
        <v>39316.648380731283</v>
      </c>
      <c r="AR128" s="100"/>
    </row>
    <row r="129" spans="1:44" s="23" customFormat="1" ht="14.25">
      <c r="A129" s="60">
        <f t="shared" si="34"/>
        <v>125</v>
      </c>
      <c r="B129" s="67" t="s">
        <v>516</v>
      </c>
      <c r="C129" s="61" t="s">
        <v>517</v>
      </c>
      <c r="D129" s="61" t="s">
        <v>518</v>
      </c>
      <c r="E129" s="62">
        <v>1575000</v>
      </c>
      <c r="F129" s="63">
        <v>100000</v>
      </c>
      <c r="G129" s="63">
        <v>0</v>
      </c>
      <c r="H129" s="63">
        <f t="shared" si="59"/>
        <v>100000</v>
      </c>
      <c r="I129" s="63">
        <v>100000</v>
      </c>
      <c r="J129" s="63">
        <v>0</v>
      </c>
      <c r="K129" s="63">
        <v>0</v>
      </c>
      <c r="L129" s="63">
        <v>100000</v>
      </c>
      <c r="M129" s="63">
        <v>0</v>
      </c>
      <c r="N129" s="63">
        <f t="shared" si="60"/>
        <v>100000</v>
      </c>
      <c r="O129" s="63">
        <v>100000</v>
      </c>
      <c r="P129" s="63">
        <v>0</v>
      </c>
      <c r="Q129" s="63">
        <f t="shared" si="61"/>
        <v>100000</v>
      </c>
      <c r="R129" s="63">
        <v>100000</v>
      </c>
      <c r="S129" s="63">
        <v>0</v>
      </c>
      <c r="T129" s="63">
        <f t="shared" si="62"/>
        <v>100000</v>
      </c>
      <c r="U129" s="63">
        <v>100000</v>
      </c>
      <c r="V129" s="63">
        <v>0</v>
      </c>
      <c r="W129" s="63">
        <f t="shared" si="63"/>
        <v>100000</v>
      </c>
      <c r="X129" s="63">
        <v>100000</v>
      </c>
      <c r="Y129" s="63">
        <v>0</v>
      </c>
      <c r="Z129" s="63">
        <f t="shared" si="64"/>
        <v>100000</v>
      </c>
      <c r="AA129" s="63">
        <v>100000</v>
      </c>
      <c r="AB129" s="63">
        <v>0</v>
      </c>
      <c r="AC129" s="63">
        <f t="shared" si="65"/>
        <v>100000</v>
      </c>
      <c r="AD129" s="63">
        <v>100000</v>
      </c>
      <c r="AE129" s="63">
        <v>0</v>
      </c>
      <c r="AF129" s="63">
        <f t="shared" si="66"/>
        <v>100000</v>
      </c>
      <c r="AG129" s="63">
        <v>100000</v>
      </c>
      <c r="AH129" s="63">
        <v>0</v>
      </c>
      <c r="AI129" s="63">
        <f t="shared" si="58"/>
        <v>100000</v>
      </c>
      <c r="AJ129" s="63">
        <v>100000</v>
      </c>
      <c r="AK129" s="63">
        <v>0</v>
      </c>
      <c r="AL129" s="63">
        <f t="shared" si="31"/>
        <v>100000</v>
      </c>
      <c r="AM129" s="63">
        <v>100000</v>
      </c>
      <c r="AN129" s="63">
        <f>530000</f>
        <v>530000</v>
      </c>
      <c r="AO129" s="63">
        <f t="shared" si="32"/>
        <v>630000</v>
      </c>
      <c r="AP129" s="64">
        <f t="shared" si="33"/>
        <v>2775000</v>
      </c>
      <c r="AQ129" s="65">
        <f t="shared" si="35"/>
        <v>39316.648380731283</v>
      </c>
      <c r="AR129" s="100"/>
    </row>
    <row r="130" spans="1:44" s="23" customFormat="1" ht="14.25">
      <c r="A130" s="60">
        <f t="shared" si="34"/>
        <v>126</v>
      </c>
      <c r="B130" s="68">
        <v>99071521</v>
      </c>
      <c r="C130" s="61" t="s">
        <v>519</v>
      </c>
      <c r="D130" s="61" t="s">
        <v>518</v>
      </c>
      <c r="E130" s="62">
        <v>300000</v>
      </c>
      <c r="F130" s="63">
        <v>100000</v>
      </c>
      <c r="G130" s="63">
        <v>0</v>
      </c>
      <c r="H130" s="63">
        <f t="shared" si="59"/>
        <v>100000</v>
      </c>
      <c r="I130" s="63">
        <v>100000</v>
      </c>
      <c r="J130" s="63">
        <v>0</v>
      </c>
      <c r="K130" s="63">
        <v>0</v>
      </c>
      <c r="L130" s="63">
        <v>100000</v>
      </c>
      <c r="M130" s="63">
        <v>0</v>
      </c>
      <c r="N130" s="63">
        <f t="shared" si="60"/>
        <v>100000</v>
      </c>
      <c r="O130" s="63">
        <v>100000</v>
      </c>
      <c r="P130" s="63">
        <v>0</v>
      </c>
      <c r="Q130" s="63">
        <f t="shared" si="61"/>
        <v>100000</v>
      </c>
      <c r="R130" s="63">
        <v>100000</v>
      </c>
      <c r="S130" s="63">
        <v>0</v>
      </c>
      <c r="T130" s="63">
        <f t="shared" si="62"/>
        <v>100000</v>
      </c>
      <c r="U130" s="63">
        <v>100000</v>
      </c>
      <c r="V130" s="63">
        <v>550000</v>
      </c>
      <c r="W130" s="63">
        <f t="shared" si="63"/>
        <v>650000</v>
      </c>
      <c r="X130" s="63">
        <v>100000</v>
      </c>
      <c r="Y130" s="63">
        <f>550000+153000</f>
        <v>703000</v>
      </c>
      <c r="Z130" s="63">
        <f t="shared" si="64"/>
        <v>803000</v>
      </c>
      <c r="AA130" s="63">
        <v>100000</v>
      </c>
      <c r="AB130" s="63">
        <v>550000</v>
      </c>
      <c r="AC130" s="63">
        <f t="shared" si="65"/>
        <v>650000</v>
      </c>
      <c r="AD130" s="63">
        <v>100000</v>
      </c>
      <c r="AE130" s="63">
        <v>550000</v>
      </c>
      <c r="AF130" s="63">
        <f t="shared" si="66"/>
        <v>650000</v>
      </c>
      <c r="AG130" s="63">
        <v>100000</v>
      </c>
      <c r="AH130" s="63">
        <f>437500+440000</f>
        <v>877500</v>
      </c>
      <c r="AI130" s="63">
        <f t="shared" si="58"/>
        <v>977500</v>
      </c>
      <c r="AJ130" s="63">
        <v>100000</v>
      </c>
      <c r="AK130" s="63">
        <v>440000</v>
      </c>
      <c r="AL130" s="63">
        <f t="shared" si="31"/>
        <v>540000</v>
      </c>
      <c r="AM130" s="63">
        <v>100000</v>
      </c>
      <c r="AN130" s="63">
        <f>440000+265000</f>
        <v>705000</v>
      </c>
      <c r="AO130" s="63">
        <f t="shared" si="32"/>
        <v>805000</v>
      </c>
      <c r="AP130" s="64">
        <f t="shared" si="33"/>
        <v>1500000</v>
      </c>
      <c r="AQ130" s="65">
        <f t="shared" si="35"/>
        <v>21252.242367962855</v>
      </c>
      <c r="AR130" s="100"/>
    </row>
    <row r="131" spans="1:44" s="23" customFormat="1" ht="14.25">
      <c r="A131" s="60">
        <f t="shared" si="34"/>
        <v>127</v>
      </c>
      <c r="B131" s="72">
        <v>15091773</v>
      </c>
      <c r="C131" s="61" t="s">
        <v>662</v>
      </c>
      <c r="D131" s="61" t="s">
        <v>518</v>
      </c>
      <c r="E131" s="62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>
        <v>0</v>
      </c>
      <c r="AH131" s="63">
        <v>1000000</v>
      </c>
      <c r="AI131" s="63">
        <f t="shared" si="58"/>
        <v>1000000</v>
      </c>
      <c r="AJ131" s="63">
        <v>200000</v>
      </c>
      <c r="AK131" s="63">
        <v>0</v>
      </c>
      <c r="AL131" s="63">
        <f t="shared" si="31"/>
        <v>200000</v>
      </c>
      <c r="AM131" s="63">
        <v>100000</v>
      </c>
      <c r="AN131" s="63">
        <f>530000+298000</f>
        <v>828000</v>
      </c>
      <c r="AO131" s="63">
        <f t="shared" si="32"/>
        <v>928000</v>
      </c>
      <c r="AP131" s="64">
        <f t="shared" si="33"/>
        <v>300000</v>
      </c>
      <c r="AQ131" s="65">
        <f t="shared" si="35"/>
        <v>4250.4484735925707</v>
      </c>
      <c r="AR131" s="100"/>
    </row>
    <row r="132" spans="1:44" s="23" customFormat="1" ht="14.25">
      <c r="A132" s="60">
        <f t="shared" si="34"/>
        <v>128</v>
      </c>
      <c r="B132" s="60">
        <v>95070374</v>
      </c>
      <c r="C132" s="61" t="s">
        <v>520</v>
      </c>
      <c r="D132" s="61" t="s">
        <v>518</v>
      </c>
      <c r="E132" s="62">
        <v>1575000</v>
      </c>
      <c r="F132" s="63">
        <v>100000</v>
      </c>
      <c r="G132" s="63">
        <v>26500</v>
      </c>
      <c r="H132" s="63">
        <f t="shared" ref="H132:H137" si="67">F132+G132</f>
        <v>126500</v>
      </c>
      <c r="I132" s="63">
        <v>100000</v>
      </c>
      <c r="J132" s="63">
        <v>0</v>
      </c>
      <c r="K132" s="63">
        <v>0</v>
      </c>
      <c r="L132" s="63">
        <v>100000</v>
      </c>
      <c r="M132" s="63">
        <v>24000</v>
      </c>
      <c r="N132" s="63">
        <f t="shared" ref="N132:N137" si="68">L132+M132</f>
        <v>124000</v>
      </c>
      <c r="O132" s="63">
        <v>100000</v>
      </c>
      <c r="P132" s="63">
        <v>62000</v>
      </c>
      <c r="Q132" s="63">
        <f t="shared" ref="Q132:Q137" si="69">SUM(O132:P132)</f>
        <v>162000</v>
      </c>
      <c r="R132" s="63">
        <v>100000</v>
      </c>
      <c r="S132" s="63">
        <v>26500</v>
      </c>
      <c r="T132" s="63">
        <f t="shared" ref="T132:T137" si="70">R132+S132</f>
        <v>126500</v>
      </c>
      <c r="U132" s="63">
        <v>100000</v>
      </c>
      <c r="V132" s="63">
        <v>25500</v>
      </c>
      <c r="W132" s="63">
        <f t="shared" ref="W132:W137" si="71">U132+V132</f>
        <v>125500</v>
      </c>
      <c r="X132" s="63">
        <v>100000</v>
      </c>
      <c r="Y132" s="63">
        <v>48000</v>
      </c>
      <c r="Z132" s="63">
        <f t="shared" ref="Z132:Z163" si="72">X132+Y132</f>
        <v>148000</v>
      </c>
      <c r="AA132" s="63">
        <v>100000</v>
      </c>
      <c r="AB132" s="63">
        <v>15000</v>
      </c>
      <c r="AC132" s="63">
        <f t="shared" ref="AC132:AC163" si="73">AB132+AA132</f>
        <v>115000</v>
      </c>
      <c r="AD132" s="63">
        <v>100000</v>
      </c>
      <c r="AE132" s="63">
        <v>0</v>
      </c>
      <c r="AF132" s="63">
        <f t="shared" ref="AF132:AF163" si="74">AD132+AE132</f>
        <v>100000</v>
      </c>
      <c r="AG132" s="63">
        <v>100000</v>
      </c>
      <c r="AH132" s="63">
        <f>115500</f>
        <v>115500</v>
      </c>
      <c r="AI132" s="63">
        <f t="shared" si="58"/>
        <v>215500</v>
      </c>
      <c r="AJ132" s="63">
        <v>100000</v>
      </c>
      <c r="AK132" s="63">
        <f>40000</f>
        <v>40000</v>
      </c>
      <c r="AL132" s="63">
        <f t="shared" si="31"/>
        <v>140000</v>
      </c>
      <c r="AM132" s="63">
        <v>100000</v>
      </c>
      <c r="AN132" s="63">
        <v>0</v>
      </c>
      <c r="AO132" s="63">
        <f t="shared" si="32"/>
        <v>100000</v>
      </c>
      <c r="AP132" s="64">
        <f t="shared" si="33"/>
        <v>2775000</v>
      </c>
      <c r="AQ132" s="65">
        <f t="shared" si="35"/>
        <v>39316.648380731283</v>
      </c>
      <c r="AR132" s="100"/>
    </row>
    <row r="133" spans="1:44" s="23" customFormat="1" ht="14.25">
      <c r="A133" s="60">
        <f t="shared" si="34"/>
        <v>129</v>
      </c>
      <c r="B133" s="67" t="s">
        <v>521</v>
      </c>
      <c r="C133" s="61" t="s">
        <v>256</v>
      </c>
      <c r="D133" s="61" t="s">
        <v>518</v>
      </c>
      <c r="E133" s="62">
        <v>1575000</v>
      </c>
      <c r="F133" s="63">
        <v>100000</v>
      </c>
      <c r="G133" s="63">
        <v>0</v>
      </c>
      <c r="H133" s="63">
        <f t="shared" si="67"/>
        <v>100000</v>
      </c>
      <c r="I133" s="63">
        <v>100000</v>
      </c>
      <c r="J133" s="63">
        <v>0</v>
      </c>
      <c r="K133" s="63">
        <v>0</v>
      </c>
      <c r="L133" s="63">
        <v>100000</v>
      </c>
      <c r="M133" s="63">
        <v>0</v>
      </c>
      <c r="N133" s="63">
        <f t="shared" si="68"/>
        <v>100000</v>
      </c>
      <c r="O133" s="63">
        <v>100000</v>
      </c>
      <c r="P133" s="63">
        <v>0</v>
      </c>
      <c r="Q133" s="63">
        <f t="shared" si="69"/>
        <v>100000</v>
      </c>
      <c r="R133" s="63">
        <v>100000</v>
      </c>
      <c r="S133" s="63">
        <v>0</v>
      </c>
      <c r="T133" s="63">
        <f t="shared" si="70"/>
        <v>100000</v>
      </c>
      <c r="U133" s="63">
        <v>100000</v>
      </c>
      <c r="V133" s="63">
        <v>0</v>
      </c>
      <c r="W133" s="63">
        <f t="shared" si="71"/>
        <v>100000</v>
      </c>
      <c r="X133" s="63">
        <v>100000</v>
      </c>
      <c r="Y133" s="63">
        <v>0</v>
      </c>
      <c r="Z133" s="63">
        <f t="shared" si="72"/>
        <v>100000</v>
      </c>
      <c r="AA133" s="63">
        <v>100000</v>
      </c>
      <c r="AB133" s="63">
        <v>0</v>
      </c>
      <c r="AC133" s="63">
        <f t="shared" si="73"/>
        <v>100000</v>
      </c>
      <c r="AD133" s="63">
        <v>100000</v>
      </c>
      <c r="AE133" s="63">
        <v>0</v>
      </c>
      <c r="AF133" s="63">
        <f t="shared" si="74"/>
        <v>100000</v>
      </c>
      <c r="AG133" s="63">
        <v>100000</v>
      </c>
      <c r="AH133" s="63">
        <v>0</v>
      </c>
      <c r="AI133" s="63">
        <f t="shared" si="58"/>
        <v>100000</v>
      </c>
      <c r="AJ133" s="63">
        <v>100000</v>
      </c>
      <c r="AK133" s="63">
        <v>0</v>
      </c>
      <c r="AL133" s="63">
        <f t="shared" ref="AL133:AL196" si="75">AJ133+AK133</f>
        <v>100000</v>
      </c>
      <c r="AM133" s="63">
        <v>100000</v>
      </c>
      <c r="AN133" s="63">
        <v>0</v>
      </c>
      <c r="AO133" s="63">
        <f t="shared" ref="AO133:AO196" si="76">AM133+AN133</f>
        <v>100000</v>
      </c>
      <c r="AP133" s="64">
        <f t="shared" ref="AP133:AP196" si="77">E133+F133+I133+L133+O133+R133+U133+X133+AA133+AD133+AG133+AJ133+AM133</f>
        <v>2775000</v>
      </c>
      <c r="AQ133" s="65">
        <f t="shared" si="35"/>
        <v>39316.648380731283</v>
      </c>
      <c r="AR133" s="100"/>
    </row>
    <row r="134" spans="1:44">
      <c r="A134" s="60">
        <f t="shared" ref="A134:A197" si="78">A133+1</f>
        <v>130</v>
      </c>
      <c r="B134" s="67" t="s">
        <v>522</v>
      </c>
      <c r="C134" s="61" t="s">
        <v>523</v>
      </c>
      <c r="D134" s="61" t="s">
        <v>518</v>
      </c>
      <c r="E134" s="62">
        <v>1575000</v>
      </c>
      <c r="F134" s="63">
        <v>100000</v>
      </c>
      <c r="G134" s="63">
        <v>440000</v>
      </c>
      <c r="H134" s="63">
        <f t="shared" si="67"/>
        <v>540000</v>
      </c>
      <c r="I134" s="63">
        <v>100000</v>
      </c>
      <c r="J134" s="63">
        <v>0</v>
      </c>
      <c r="K134" s="63">
        <v>0</v>
      </c>
      <c r="L134" s="63">
        <v>100000</v>
      </c>
      <c r="M134" s="63">
        <v>440000</v>
      </c>
      <c r="N134" s="63">
        <f t="shared" si="68"/>
        <v>540000</v>
      </c>
      <c r="O134" s="63">
        <v>100000</v>
      </c>
      <c r="P134" s="63">
        <v>440000</v>
      </c>
      <c r="Q134" s="63">
        <f t="shared" si="69"/>
        <v>540000</v>
      </c>
      <c r="R134" s="63">
        <v>100000</v>
      </c>
      <c r="S134" s="63">
        <v>440000</v>
      </c>
      <c r="T134" s="63">
        <f t="shared" si="70"/>
        <v>540000</v>
      </c>
      <c r="U134" s="63">
        <v>100000</v>
      </c>
      <c r="V134" s="63">
        <v>440000</v>
      </c>
      <c r="W134" s="63">
        <f t="shared" si="71"/>
        <v>540000</v>
      </c>
      <c r="X134" s="63">
        <v>100000</v>
      </c>
      <c r="Y134" s="63">
        <v>440000</v>
      </c>
      <c r="Z134" s="63">
        <f t="shared" si="72"/>
        <v>540000</v>
      </c>
      <c r="AA134" s="63">
        <v>100000</v>
      </c>
      <c r="AB134" s="63">
        <v>440000</v>
      </c>
      <c r="AC134" s="63">
        <f t="shared" si="73"/>
        <v>540000</v>
      </c>
      <c r="AD134" s="63">
        <v>100000</v>
      </c>
      <c r="AE134" s="63">
        <v>440000</v>
      </c>
      <c r="AF134" s="63">
        <f t="shared" si="74"/>
        <v>540000</v>
      </c>
      <c r="AG134" s="63">
        <v>100000</v>
      </c>
      <c r="AH134" s="63">
        <f>440000</f>
        <v>440000</v>
      </c>
      <c r="AI134" s="63">
        <f t="shared" si="58"/>
        <v>540000</v>
      </c>
      <c r="AJ134" s="63">
        <v>100000</v>
      </c>
      <c r="AK134" s="63">
        <v>0</v>
      </c>
      <c r="AL134" s="63">
        <f t="shared" si="75"/>
        <v>100000</v>
      </c>
      <c r="AM134" s="63">
        <v>100000</v>
      </c>
      <c r="AN134" s="63">
        <v>0</v>
      </c>
      <c r="AO134" s="63">
        <f t="shared" si="76"/>
        <v>100000</v>
      </c>
      <c r="AP134" s="64">
        <f t="shared" si="77"/>
        <v>2775000</v>
      </c>
      <c r="AQ134" s="65">
        <f t="shared" ref="AQ134:AQ197" si="79">(AP134/$AP$215)*7323522.72</f>
        <v>39316.648380731283</v>
      </c>
    </row>
    <row r="135" spans="1:44">
      <c r="A135" s="60">
        <f t="shared" si="78"/>
        <v>131</v>
      </c>
      <c r="B135" s="60">
        <v>99101758</v>
      </c>
      <c r="C135" s="61" t="s">
        <v>257</v>
      </c>
      <c r="D135" s="61" t="s">
        <v>524</v>
      </c>
      <c r="E135" s="62">
        <v>1575000</v>
      </c>
      <c r="F135" s="63">
        <v>100000</v>
      </c>
      <c r="G135" s="63">
        <f>550000+201500</f>
        <v>751500</v>
      </c>
      <c r="H135" s="63">
        <f t="shared" si="67"/>
        <v>851500</v>
      </c>
      <c r="I135" s="63">
        <v>100000</v>
      </c>
      <c r="J135" s="63">
        <v>0</v>
      </c>
      <c r="K135" s="63">
        <v>0</v>
      </c>
      <c r="L135" s="63">
        <v>100000</v>
      </c>
      <c r="M135" s="63">
        <f>550000+108000</f>
        <v>658000</v>
      </c>
      <c r="N135" s="63">
        <f t="shared" si="68"/>
        <v>758000</v>
      </c>
      <c r="O135" s="63">
        <v>100000</v>
      </c>
      <c r="P135" s="63">
        <f>440000+476050</f>
        <v>916050</v>
      </c>
      <c r="Q135" s="63">
        <f t="shared" si="69"/>
        <v>1016050</v>
      </c>
      <c r="R135" s="63">
        <v>100000</v>
      </c>
      <c r="S135" s="63">
        <f>440000+128000</f>
        <v>568000</v>
      </c>
      <c r="T135" s="63">
        <f t="shared" si="70"/>
        <v>668000</v>
      </c>
      <c r="U135" s="63">
        <v>100000</v>
      </c>
      <c r="V135" s="63">
        <f>440000+218000</f>
        <v>658000</v>
      </c>
      <c r="W135" s="63">
        <f t="shared" si="71"/>
        <v>758000</v>
      </c>
      <c r="X135" s="63">
        <v>100000</v>
      </c>
      <c r="Y135" s="63">
        <v>440000</v>
      </c>
      <c r="Z135" s="63">
        <f t="shared" si="72"/>
        <v>540000</v>
      </c>
      <c r="AA135" s="63">
        <v>100000</v>
      </c>
      <c r="AB135" s="63">
        <f>440000+20000</f>
        <v>460000</v>
      </c>
      <c r="AC135" s="63">
        <f t="shared" si="73"/>
        <v>560000</v>
      </c>
      <c r="AD135" s="63">
        <v>100000</v>
      </c>
      <c r="AE135" s="63">
        <v>648000</v>
      </c>
      <c r="AF135" s="63">
        <f t="shared" si="74"/>
        <v>748000</v>
      </c>
      <c r="AG135" s="63">
        <v>100000</v>
      </c>
      <c r="AH135" s="63">
        <f>109000+648000</f>
        <v>757000</v>
      </c>
      <c r="AI135" s="63">
        <f t="shared" si="58"/>
        <v>857000</v>
      </c>
      <c r="AJ135" s="63">
        <v>100000</v>
      </c>
      <c r="AK135" s="63">
        <f>648000+531250+329500</f>
        <v>1508750</v>
      </c>
      <c r="AL135" s="63">
        <f t="shared" si="75"/>
        <v>1608750</v>
      </c>
      <c r="AM135" s="63">
        <v>100000</v>
      </c>
      <c r="AN135" s="63">
        <f>648000+171500</f>
        <v>819500</v>
      </c>
      <c r="AO135" s="63">
        <f t="shared" si="76"/>
        <v>919500</v>
      </c>
      <c r="AP135" s="64">
        <f t="shared" si="77"/>
        <v>2775000</v>
      </c>
      <c r="AQ135" s="65">
        <f t="shared" si="79"/>
        <v>39316.648380731283</v>
      </c>
    </row>
    <row r="136" spans="1:44" s="23" customFormat="1" ht="14.25">
      <c r="A136" s="60">
        <f t="shared" si="78"/>
        <v>132</v>
      </c>
      <c r="B136" s="60">
        <v>95120918</v>
      </c>
      <c r="C136" s="61" t="s">
        <v>525</v>
      </c>
      <c r="D136" s="61" t="s">
        <v>524</v>
      </c>
      <c r="E136" s="62">
        <v>1025000</v>
      </c>
      <c r="F136" s="63">
        <v>100000</v>
      </c>
      <c r="G136" s="63">
        <f>550000+180000</f>
        <v>730000</v>
      </c>
      <c r="H136" s="63">
        <f t="shared" si="67"/>
        <v>830000</v>
      </c>
      <c r="I136" s="63">
        <v>100000</v>
      </c>
      <c r="J136" s="63">
        <v>0</v>
      </c>
      <c r="K136" s="63">
        <v>0</v>
      </c>
      <c r="L136" s="63">
        <v>100000</v>
      </c>
      <c r="M136" s="63">
        <f>550000+112000</f>
        <v>662000</v>
      </c>
      <c r="N136" s="63">
        <f t="shared" si="68"/>
        <v>762000</v>
      </c>
      <c r="O136" s="63">
        <v>100000</v>
      </c>
      <c r="P136" s="63">
        <f>550000+185000</f>
        <v>735000</v>
      </c>
      <c r="Q136" s="63">
        <f t="shared" si="69"/>
        <v>835000</v>
      </c>
      <c r="R136" s="63">
        <v>100000</v>
      </c>
      <c r="S136" s="63">
        <f>550000+200500</f>
        <v>750500</v>
      </c>
      <c r="T136" s="63">
        <f t="shared" si="70"/>
        <v>850500</v>
      </c>
      <c r="U136" s="63">
        <v>100000</v>
      </c>
      <c r="V136" s="63">
        <f>550000+336500</f>
        <v>886500</v>
      </c>
      <c r="W136" s="63">
        <f t="shared" si="71"/>
        <v>986500</v>
      </c>
      <c r="X136" s="63">
        <v>100000</v>
      </c>
      <c r="Y136" s="63">
        <f>550000+258500</f>
        <v>808500</v>
      </c>
      <c r="Z136" s="63">
        <f t="shared" si="72"/>
        <v>908500</v>
      </c>
      <c r="AA136" s="63">
        <v>100000</v>
      </c>
      <c r="AB136" s="63">
        <v>550000</v>
      </c>
      <c r="AC136" s="63">
        <f t="shared" si="73"/>
        <v>650000</v>
      </c>
      <c r="AD136" s="63">
        <v>100000</v>
      </c>
      <c r="AE136" s="63">
        <f>204000+550000</f>
        <v>754000</v>
      </c>
      <c r="AF136" s="63">
        <f t="shared" si="74"/>
        <v>854000</v>
      </c>
      <c r="AG136" s="63">
        <v>100000</v>
      </c>
      <c r="AH136" s="63">
        <f>48000+550000</f>
        <v>598000</v>
      </c>
      <c r="AI136" s="63">
        <f t="shared" si="58"/>
        <v>698000</v>
      </c>
      <c r="AJ136" s="63">
        <v>100000</v>
      </c>
      <c r="AK136" s="63">
        <f>550000+119500</f>
        <v>669500</v>
      </c>
      <c r="AL136" s="63">
        <f t="shared" si="75"/>
        <v>769500</v>
      </c>
      <c r="AM136" s="63">
        <v>100000</v>
      </c>
      <c r="AN136" s="63">
        <f>550000</f>
        <v>550000</v>
      </c>
      <c r="AO136" s="63">
        <f t="shared" si="76"/>
        <v>650000</v>
      </c>
      <c r="AP136" s="64">
        <f t="shared" si="77"/>
        <v>2225000</v>
      </c>
      <c r="AQ136" s="65">
        <f t="shared" si="79"/>
        <v>31524.159512478233</v>
      </c>
      <c r="AR136" s="100"/>
    </row>
    <row r="137" spans="1:44" s="23" customFormat="1" ht="14.25">
      <c r="A137" s="60">
        <f t="shared" si="78"/>
        <v>133</v>
      </c>
      <c r="B137" s="60">
        <v>95070278</v>
      </c>
      <c r="C137" s="61" t="s">
        <v>526</v>
      </c>
      <c r="D137" s="61" t="s">
        <v>527</v>
      </c>
      <c r="E137" s="62">
        <v>1575000</v>
      </c>
      <c r="F137" s="63">
        <v>100000</v>
      </c>
      <c r="G137" s="63">
        <v>270000</v>
      </c>
      <c r="H137" s="63">
        <f t="shared" si="67"/>
        <v>370000</v>
      </c>
      <c r="I137" s="63">
        <v>100000</v>
      </c>
      <c r="J137" s="63">
        <v>0</v>
      </c>
      <c r="K137" s="63">
        <v>0</v>
      </c>
      <c r="L137" s="63">
        <v>100000</v>
      </c>
      <c r="M137" s="63">
        <v>440000</v>
      </c>
      <c r="N137" s="63">
        <f t="shared" si="68"/>
        <v>540000</v>
      </c>
      <c r="O137" s="63">
        <v>100000</v>
      </c>
      <c r="P137" s="63">
        <v>440000</v>
      </c>
      <c r="Q137" s="63">
        <f t="shared" si="69"/>
        <v>540000</v>
      </c>
      <c r="R137" s="63">
        <v>100000</v>
      </c>
      <c r="S137" s="63">
        <v>440000</v>
      </c>
      <c r="T137" s="63">
        <f t="shared" si="70"/>
        <v>540000</v>
      </c>
      <c r="U137" s="63">
        <v>100000</v>
      </c>
      <c r="V137" s="63">
        <v>440000</v>
      </c>
      <c r="W137" s="63">
        <f t="shared" si="71"/>
        <v>540000</v>
      </c>
      <c r="X137" s="63">
        <v>100000</v>
      </c>
      <c r="Y137" s="63">
        <v>440000</v>
      </c>
      <c r="Z137" s="63">
        <f t="shared" si="72"/>
        <v>540000</v>
      </c>
      <c r="AA137" s="63">
        <v>100000</v>
      </c>
      <c r="AB137" s="63">
        <v>0</v>
      </c>
      <c r="AC137" s="63">
        <f t="shared" si="73"/>
        <v>100000</v>
      </c>
      <c r="AD137" s="63">
        <v>100000</v>
      </c>
      <c r="AE137" s="63">
        <v>440000</v>
      </c>
      <c r="AF137" s="63">
        <f t="shared" si="74"/>
        <v>540000</v>
      </c>
      <c r="AG137" s="63">
        <v>100000</v>
      </c>
      <c r="AH137" s="63">
        <f>440000</f>
        <v>440000</v>
      </c>
      <c r="AI137" s="63">
        <f t="shared" si="58"/>
        <v>540000</v>
      </c>
      <c r="AJ137" s="63">
        <v>100000</v>
      </c>
      <c r="AK137" s="63">
        <v>440000</v>
      </c>
      <c r="AL137" s="63">
        <f t="shared" si="75"/>
        <v>540000</v>
      </c>
      <c r="AM137" s="63">
        <v>100000</v>
      </c>
      <c r="AN137" s="63">
        <f>440000</f>
        <v>440000</v>
      </c>
      <c r="AO137" s="63">
        <f t="shared" si="76"/>
        <v>540000</v>
      </c>
      <c r="AP137" s="64">
        <f t="shared" si="77"/>
        <v>2775000</v>
      </c>
      <c r="AQ137" s="65">
        <f t="shared" si="79"/>
        <v>39316.648380731283</v>
      </c>
      <c r="AR137" s="100"/>
    </row>
    <row r="138" spans="1:44" s="23" customFormat="1" ht="14.25">
      <c r="A138" s="60">
        <f t="shared" si="78"/>
        <v>134</v>
      </c>
      <c r="B138" s="73">
        <v>14030708</v>
      </c>
      <c r="C138" s="61" t="s">
        <v>528</v>
      </c>
      <c r="D138" s="61" t="s">
        <v>527</v>
      </c>
      <c r="E138" s="62">
        <v>0</v>
      </c>
      <c r="F138" s="62">
        <v>0</v>
      </c>
      <c r="G138" s="62">
        <v>0</v>
      </c>
      <c r="H138" s="62">
        <v>0</v>
      </c>
      <c r="I138" s="62">
        <v>0</v>
      </c>
      <c r="J138" s="62">
        <v>0</v>
      </c>
      <c r="K138" s="62">
        <v>0</v>
      </c>
      <c r="L138" s="62">
        <v>0</v>
      </c>
      <c r="M138" s="62">
        <v>0</v>
      </c>
      <c r="N138" s="62">
        <v>0</v>
      </c>
      <c r="O138" s="62">
        <v>0</v>
      </c>
      <c r="P138" s="62">
        <v>0</v>
      </c>
      <c r="Q138" s="62">
        <v>0</v>
      </c>
      <c r="R138" s="62">
        <v>0</v>
      </c>
      <c r="S138" s="62">
        <v>0</v>
      </c>
      <c r="T138" s="62">
        <v>0</v>
      </c>
      <c r="U138" s="62">
        <v>0</v>
      </c>
      <c r="V138" s="62">
        <v>0</v>
      </c>
      <c r="W138" s="62">
        <v>0</v>
      </c>
      <c r="X138" s="62">
        <v>200000</v>
      </c>
      <c r="Y138" s="62">
        <v>112500</v>
      </c>
      <c r="Z138" s="63">
        <f t="shared" si="72"/>
        <v>312500</v>
      </c>
      <c r="AA138" s="63">
        <v>100000</v>
      </c>
      <c r="AB138" s="63">
        <v>0</v>
      </c>
      <c r="AC138" s="63">
        <f t="shared" si="73"/>
        <v>100000</v>
      </c>
      <c r="AD138" s="63">
        <v>100000</v>
      </c>
      <c r="AE138" s="62">
        <v>0</v>
      </c>
      <c r="AF138" s="63">
        <f t="shared" si="74"/>
        <v>100000</v>
      </c>
      <c r="AG138" s="63">
        <v>100000</v>
      </c>
      <c r="AH138" s="62">
        <f>183500</f>
        <v>183500</v>
      </c>
      <c r="AI138" s="63">
        <f t="shared" si="58"/>
        <v>283500</v>
      </c>
      <c r="AJ138" s="63">
        <v>100000</v>
      </c>
      <c r="AK138" s="62">
        <v>436000</v>
      </c>
      <c r="AL138" s="63">
        <f t="shared" si="75"/>
        <v>536000</v>
      </c>
      <c r="AM138" s="63">
        <v>100000</v>
      </c>
      <c r="AN138" s="62">
        <f>202000</f>
        <v>202000</v>
      </c>
      <c r="AO138" s="63">
        <f t="shared" si="76"/>
        <v>302000</v>
      </c>
      <c r="AP138" s="64">
        <f t="shared" si="77"/>
        <v>700000</v>
      </c>
      <c r="AQ138" s="65">
        <f t="shared" si="79"/>
        <v>9917.7131050493335</v>
      </c>
      <c r="AR138" s="100"/>
    </row>
    <row r="139" spans="1:44" s="23" customFormat="1" ht="14.25">
      <c r="A139" s="60">
        <f t="shared" si="78"/>
        <v>135</v>
      </c>
      <c r="B139" s="60">
        <v>96031058</v>
      </c>
      <c r="C139" s="61" t="s">
        <v>529</v>
      </c>
      <c r="D139" s="61" t="s">
        <v>527</v>
      </c>
      <c r="E139" s="62">
        <v>1575000</v>
      </c>
      <c r="F139" s="63">
        <v>100000</v>
      </c>
      <c r="G139" s="63">
        <f>265000+76000</f>
        <v>341000</v>
      </c>
      <c r="H139" s="63">
        <f>F139+G139</f>
        <v>441000</v>
      </c>
      <c r="I139" s="63">
        <v>100000</v>
      </c>
      <c r="J139" s="63">
        <v>0</v>
      </c>
      <c r="K139" s="63">
        <v>0</v>
      </c>
      <c r="L139" s="63">
        <v>100000</v>
      </c>
      <c r="M139" s="63">
        <f>265000+155500</f>
        <v>420500</v>
      </c>
      <c r="N139" s="63">
        <f>L139+M139</f>
        <v>520500</v>
      </c>
      <c r="O139" s="63">
        <v>100000</v>
      </c>
      <c r="P139" s="63">
        <f>265000+440000+118000+202500</f>
        <v>1025500</v>
      </c>
      <c r="Q139" s="63">
        <f t="shared" ref="Q139:Q170" si="80">SUM(O139:P139)</f>
        <v>1125500</v>
      </c>
      <c r="R139" s="63">
        <v>100000</v>
      </c>
      <c r="S139" s="63">
        <f>440000+152000</f>
        <v>592000</v>
      </c>
      <c r="T139" s="63">
        <f t="shared" ref="T139:T170" si="81">R139+S139</f>
        <v>692000</v>
      </c>
      <c r="U139" s="63">
        <v>100000</v>
      </c>
      <c r="V139" s="63">
        <f>440000+107000</f>
        <v>547000</v>
      </c>
      <c r="W139" s="63">
        <f t="shared" ref="W139:W170" si="82">U139+V139</f>
        <v>647000</v>
      </c>
      <c r="X139" s="63">
        <v>100000</v>
      </c>
      <c r="Y139" s="63">
        <f>440000+337000</f>
        <v>777000</v>
      </c>
      <c r="Z139" s="63">
        <f t="shared" si="72"/>
        <v>877000</v>
      </c>
      <c r="AA139" s="63">
        <v>100000</v>
      </c>
      <c r="AB139" s="63">
        <f>440000+137000</f>
        <v>577000</v>
      </c>
      <c r="AC139" s="63">
        <f t="shared" si="73"/>
        <v>677000</v>
      </c>
      <c r="AD139" s="63">
        <v>100000</v>
      </c>
      <c r="AE139" s="63">
        <f>65000+540000</f>
        <v>605000</v>
      </c>
      <c r="AF139" s="63">
        <f t="shared" si="74"/>
        <v>705000</v>
      </c>
      <c r="AG139" s="63">
        <v>100000</v>
      </c>
      <c r="AH139" s="63">
        <f>43000+34000+540000</f>
        <v>617000</v>
      </c>
      <c r="AI139" s="63">
        <f t="shared" si="58"/>
        <v>717000</v>
      </c>
      <c r="AJ139" s="63">
        <v>100000</v>
      </c>
      <c r="AK139" s="63">
        <f>540000+241000</f>
        <v>781000</v>
      </c>
      <c r="AL139" s="63">
        <f t="shared" si="75"/>
        <v>881000</v>
      </c>
      <c r="AM139" s="63">
        <v>100000</v>
      </c>
      <c r="AN139" s="63">
        <f>540000+239000</f>
        <v>779000</v>
      </c>
      <c r="AO139" s="63">
        <f t="shared" si="76"/>
        <v>879000</v>
      </c>
      <c r="AP139" s="64">
        <f t="shared" si="77"/>
        <v>2775000</v>
      </c>
      <c r="AQ139" s="65">
        <f t="shared" si="79"/>
        <v>39316.648380731283</v>
      </c>
      <c r="AR139" s="100"/>
    </row>
    <row r="140" spans="1:44" s="23" customFormat="1" ht="14.25">
      <c r="A140" s="60">
        <f t="shared" si="78"/>
        <v>136</v>
      </c>
      <c r="B140" s="73">
        <v>10107908</v>
      </c>
      <c r="C140" s="61" t="s">
        <v>530</v>
      </c>
      <c r="D140" s="61" t="s">
        <v>527</v>
      </c>
      <c r="E140" s="62">
        <v>0</v>
      </c>
      <c r="F140" s="62">
        <v>0</v>
      </c>
      <c r="G140" s="62">
        <v>0</v>
      </c>
      <c r="H140" s="62">
        <v>0</v>
      </c>
      <c r="I140" s="62">
        <v>0</v>
      </c>
      <c r="J140" s="62">
        <v>0</v>
      </c>
      <c r="K140" s="62">
        <v>0</v>
      </c>
      <c r="L140" s="62">
        <v>0</v>
      </c>
      <c r="M140" s="62">
        <v>0</v>
      </c>
      <c r="N140" s="62">
        <v>0</v>
      </c>
      <c r="O140" s="63">
        <v>200000</v>
      </c>
      <c r="P140" s="63">
        <v>0</v>
      </c>
      <c r="Q140" s="63">
        <f t="shared" si="80"/>
        <v>200000</v>
      </c>
      <c r="R140" s="63">
        <v>100000</v>
      </c>
      <c r="S140" s="63">
        <v>384500</v>
      </c>
      <c r="T140" s="63">
        <f t="shared" si="81"/>
        <v>484500</v>
      </c>
      <c r="U140" s="63">
        <v>100000</v>
      </c>
      <c r="V140" s="63">
        <v>245000</v>
      </c>
      <c r="W140" s="63">
        <f t="shared" si="82"/>
        <v>345000</v>
      </c>
      <c r="X140" s="63">
        <v>100000</v>
      </c>
      <c r="Y140" s="63">
        <v>126500</v>
      </c>
      <c r="Z140" s="63">
        <f t="shared" si="72"/>
        <v>226500</v>
      </c>
      <c r="AA140" s="63">
        <v>100000</v>
      </c>
      <c r="AB140" s="63">
        <v>0</v>
      </c>
      <c r="AC140" s="63">
        <f t="shared" si="73"/>
        <v>100000</v>
      </c>
      <c r="AD140" s="63">
        <v>100000</v>
      </c>
      <c r="AE140" s="63"/>
      <c r="AF140" s="63">
        <f t="shared" si="74"/>
        <v>100000</v>
      </c>
      <c r="AG140" s="63">
        <v>100000</v>
      </c>
      <c r="AH140" s="63">
        <f>72000</f>
        <v>72000</v>
      </c>
      <c r="AI140" s="63">
        <f t="shared" si="58"/>
        <v>172000</v>
      </c>
      <c r="AJ140" s="63">
        <v>100000</v>
      </c>
      <c r="AK140" s="63">
        <v>110000</v>
      </c>
      <c r="AL140" s="63">
        <f t="shared" si="75"/>
        <v>210000</v>
      </c>
      <c r="AM140" s="63">
        <v>100000</v>
      </c>
      <c r="AN140" s="63">
        <f>425000+138000</f>
        <v>563000</v>
      </c>
      <c r="AO140" s="63">
        <f t="shared" si="76"/>
        <v>663000</v>
      </c>
      <c r="AP140" s="64">
        <f t="shared" si="77"/>
        <v>1000000</v>
      </c>
      <c r="AQ140" s="65">
        <f t="shared" si="79"/>
        <v>14168.161578641904</v>
      </c>
      <c r="AR140" s="100"/>
    </row>
    <row r="141" spans="1:44" s="23" customFormat="1" ht="14.25">
      <c r="A141" s="60">
        <f t="shared" si="78"/>
        <v>137</v>
      </c>
      <c r="B141" s="101" t="s">
        <v>531</v>
      </c>
      <c r="C141" s="61" t="s">
        <v>532</v>
      </c>
      <c r="D141" s="61" t="s">
        <v>527</v>
      </c>
      <c r="E141" s="62">
        <v>1575000</v>
      </c>
      <c r="F141" s="63">
        <v>100000</v>
      </c>
      <c r="G141" s="63">
        <f>270000+176200</f>
        <v>446200</v>
      </c>
      <c r="H141" s="63">
        <f t="shared" ref="H141:H155" si="83">F141+G141</f>
        <v>546200</v>
      </c>
      <c r="I141" s="63">
        <v>100000</v>
      </c>
      <c r="J141" s="63">
        <v>0</v>
      </c>
      <c r="K141" s="63">
        <v>0</v>
      </c>
      <c r="L141" s="63">
        <v>100000</v>
      </c>
      <c r="M141" s="63">
        <f>270000+231700</f>
        <v>501700</v>
      </c>
      <c r="N141" s="63">
        <f t="shared" ref="N141:N155" si="84">L141+M141</f>
        <v>601700</v>
      </c>
      <c r="O141" s="63">
        <v>100000</v>
      </c>
      <c r="P141" s="63">
        <f>270000+311000</f>
        <v>581000</v>
      </c>
      <c r="Q141" s="63">
        <f t="shared" si="80"/>
        <v>681000</v>
      </c>
      <c r="R141" s="63">
        <v>100000</v>
      </c>
      <c r="S141" s="63">
        <f>270000+261000+270000</f>
        <v>801000</v>
      </c>
      <c r="T141" s="63">
        <f t="shared" si="81"/>
        <v>901000</v>
      </c>
      <c r="U141" s="63">
        <v>100000</v>
      </c>
      <c r="V141" s="63">
        <f>270000+364000</f>
        <v>634000</v>
      </c>
      <c r="W141" s="63">
        <f t="shared" si="82"/>
        <v>734000</v>
      </c>
      <c r="X141" s="63">
        <v>100000</v>
      </c>
      <c r="Y141" s="63">
        <f>440000+416000+167500</f>
        <v>1023500</v>
      </c>
      <c r="Z141" s="63">
        <f t="shared" si="72"/>
        <v>1123500</v>
      </c>
      <c r="AA141" s="63">
        <v>100000</v>
      </c>
      <c r="AB141" s="63">
        <f>440000+186000</f>
        <v>626000</v>
      </c>
      <c r="AC141" s="63">
        <f t="shared" si="73"/>
        <v>726000</v>
      </c>
      <c r="AD141" s="63">
        <v>100000</v>
      </c>
      <c r="AE141" s="63">
        <f>188000+440000</f>
        <v>628000</v>
      </c>
      <c r="AF141" s="63">
        <f t="shared" si="74"/>
        <v>728000</v>
      </c>
      <c r="AG141" s="63">
        <v>100000</v>
      </c>
      <c r="AH141" s="63">
        <f>576000+440000</f>
        <v>1016000</v>
      </c>
      <c r="AI141" s="63">
        <f t="shared" si="58"/>
        <v>1116000</v>
      </c>
      <c r="AJ141" s="63">
        <v>100000</v>
      </c>
      <c r="AK141" s="63">
        <f>440000+420000</f>
        <v>860000</v>
      </c>
      <c r="AL141" s="63">
        <f t="shared" si="75"/>
        <v>960000</v>
      </c>
      <c r="AM141" s="63">
        <v>100000</v>
      </c>
      <c r="AN141" s="63">
        <f>530000+385500</f>
        <v>915500</v>
      </c>
      <c r="AO141" s="63">
        <f t="shared" si="76"/>
        <v>1015500</v>
      </c>
      <c r="AP141" s="64">
        <f t="shared" si="77"/>
        <v>2775000</v>
      </c>
      <c r="AQ141" s="65">
        <f t="shared" si="79"/>
        <v>39316.648380731283</v>
      </c>
      <c r="AR141" s="100"/>
    </row>
    <row r="142" spans="1:44" s="23" customFormat="1" ht="14.25">
      <c r="A142" s="60">
        <f t="shared" si="78"/>
        <v>138</v>
      </c>
      <c r="B142" s="60">
        <v>95110858</v>
      </c>
      <c r="C142" s="61" t="s">
        <v>533</v>
      </c>
      <c r="D142" s="61" t="s">
        <v>534</v>
      </c>
      <c r="E142" s="62">
        <v>1125000</v>
      </c>
      <c r="F142" s="63">
        <v>100000</v>
      </c>
      <c r="G142" s="63">
        <f>265000+372000</f>
        <v>637000</v>
      </c>
      <c r="H142" s="63">
        <f t="shared" si="83"/>
        <v>737000</v>
      </c>
      <c r="I142" s="63">
        <v>100000</v>
      </c>
      <c r="J142" s="63">
        <v>0</v>
      </c>
      <c r="K142" s="63">
        <v>0</v>
      </c>
      <c r="L142" s="63">
        <v>100000</v>
      </c>
      <c r="M142" s="63">
        <v>268500</v>
      </c>
      <c r="N142" s="63">
        <f t="shared" si="84"/>
        <v>368500</v>
      </c>
      <c r="O142" s="63">
        <v>100000</v>
      </c>
      <c r="P142" s="63">
        <f>440000+546700</f>
        <v>986700</v>
      </c>
      <c r="Q142" s="63">
        <f t="shared" si="80"/>
        <v>1086700</v>
      </c>
      <c r="R142" s="63">
        <v>100000</v>
      </c>
      <c r="S142" s="63">
        <f>440000+283000</f>
        <v>723000</v>
      </c>
      <c r="T142" s="63">
        <f t="shared" si="81"/>
        <v>823000</v>
      </c>
      <c r="U142" s="63">
        <v>100000</v>
      </c>
      <c r="V142" s="63">
        <f>440000+267000</f>
        <v>707000</v>
      </c>
      <c r="W142" s="63">
        <f t="shared" si="82"/>
        <v>807000</v>
      </c>
      <c r="X142" s="63">
        <v>100000</v>
      </c>
      <c r="Y142" s="63">
        <f>440000+446000</f>
        <v>886000</v>
      </c>
      <c r="Z142" s="63">
        <f t="shared" si="72"/>
        <v>986000</v>
      </c>
      <c r="AA142" s="63">
        <v>100000</v>
      </c>
      <c r="AB142" s="63">
        <f>440000+385000</f>
        <v>825000</v>
      </c>
      <c r="AC142" s="63">
        <f t="shared" si="73"/>
        <v>925000</v>
      </c>
      <c r="AD142" s="63">
        <v>100000</v>
      </c>
      <c r="AE142" s="63">
        <f>288000</f>
        <v>288000</v>
      </c>
      <c r="AF142" s="63">
        <f t="shared" si="74"/>
        <v>388000</v>
      </c>
      <c r="AG142" s="63">
        <v>100000</v>
      </c>
      <c r="AH142" s="63">
        <f>258500</f>
        <v>258500</v>
      </c>
      <c r="AI142" s="63">
        <f t="shared" ref="AI142:AI173" si="85">AG142+AH142</f>
        <v>358500</v>
      </c>
      <c r="AJ142" s="63">
        <v>100000</v>
      </c>
      <c r="AK142" s="63">
        <v>485500</v>
      </c>
      <c r="AL142" s="63">
        <f t="shared" si="75"/>
        <v>585500</v>
      </c>
      <c r="AM142" s="63">
        <v>100000</v>
      </c>
      <c r="AN142" s="63">
        <f>530000+465000</f>
        <v>995000</v>
      </c>
      <c r="AO142" s="63">
        <f t="shared" si="76"/>
        <v>1095000</v>
      </c>
      <c r="AP142" s="64">
        <f t="shared" si="77"/>
        <v>2325000</v>
      </c>
      <c r="AQ142" s="65">
        <f t="shared" si="79"/>
        <v>32940.975670342428</v>
      </c>
      <c r="AR142" s="100"/>
    </row>
    <row r="143" spans="1:44" s="23" customFormat="1" ht="14.25">
      <c r="A143" s="60">
        <f t="shared" si="78"/>
        <v>139</v>
      </c>
      <c r="B143" s="68">
        <v>95120928</v>
      </c>
      <c r="C143" s="61" t="s">
        <v>535</v>
      </c>
      <c r="D143" s="61" t="s">
        <v>534</v>
      </c>
      <c r="E143" s="62">
        <v>700000</v>
      </c>
      <c r="F143" s="63">
        <v>100000</v>
      </c>
      <c r="G143" s="63">
        <v>0</v>
      </c>
      <c r="H143" s="63">
        <f t="shared" si="83"/>
        <v>100000</v>
      </c>
      <c r="I143" s="63">
        <v>100000</v>
      </c>
      <c r="J143" s="63">
        <v>0</v>
      </c>
      <c r="K143" s="63">
        <v>0</v>
      </c>
      <c r="L143" s="63">
        <v>100000</v>
      </c>
      <c r="M143" s="63">
        <v>265000</v>
      </c>
      <c r="N143" s="63">
        <f t="shared" si="84"/>
        <v>365000</v>
      </c>
      <c r="O143" s="63">
        <v>100000</v>
      </c>
      <c r="P143" s="63">
        <v>265000</v>
      </c>
      <c r="Q143" s="63">
        <f t="shared" si="80"/>
        <v>365000</v>
      </c>
      <c r="R143" s="63">
        <v>100000</v>
      </c>
      <c r="S143" s="63">
        <v>265000</v>
      </c>
      <c r="T143" s="63">
        <f t="shared" si="81"/>
        <v>365000</v>
      </c>
      <c r="U143" s="63">
        <v>100000</v>
      </c>
      <c r="V143" s="63">
        <v>0</v>
      </c>
      <c r="W143" s="63">
        <f t="shared" si="82"/>
        <v>100000</v>
      </c>
      <c r="X143" s="63">
        <v>100000</v>
      </c>
      <c r="Y143" s="63">
        <v>265000</v>
      </c>
      <c r="Z143" s="63">
        <f t="shared" si="72"/>
        <v>365000</v>
      </c>
      <c r="AA143" s="63">
        <v>100000</v>
      </c>
      <c r="AB143" s="63">
        <v>265000</v>
      </c>
      <c r="AC143" s="63">
        <f t="shared" si="73"/>
        <v>365000</v>
      </c>
      <c r="AD143" s="63">
        <v>100000</v>
      </c>
      <c r="AE143" s="63">
        <v>265000</v>
      </c>
      <c r="AF143" s="63">
        <f t="shared" si="74"/>
        <v>365000</v>
      </c>
      <c r="AG143" s="63">
        <v>100000</v>
      </c>
      <c r="AH143" s="63">
        <f>265000</f>
        <v>265000</v>
      </c>
      <c r="AI143" s="63">
        <f t="shared" si="85"/>
        <v>365000</v>
      </c>
      <c r="AJ143" s="63">
        <v>100000</v>
      </c>
      <c r="AK143" s="63">
        <v>0</v>
      </c>
      <c r="AL143" s="63">
        <f t="shared" si="75"/>
        <v>100000</v>
      </c>
      <c r="AM143" s="63">
        <v>100000</v>
      </c>
      <c r="AN143" s="63">
        <v>0</v>
      </c>
      <c r="AO143" s="63">
        <f t="shared" si="76"/>
        <v>100000</v>
      </c>
      <c r="AP143" s="64">
        <f t="shared" si="77"/>
        <v>1900000</v>
      </c>
      <c r="AQ143" s="65">
        <f t="shared" si="79"/>
        <v>26919.506999419616</v>
      </c>
      <c r="AR143" s="100"/>
    </row>
    <row r="144" spans="1:44" s="23" customFormat="1" ht="14.25">
      <c r="A144" s="60">
        <f t="shared" si="78"/>
        <v>140</v>
      </c>
      <c r="B144" s="67" t="s">
        <v>536</v>
      </c>
      <c r="C144" s="61" t="s">
        <v>537</v>
      </c>
      <c r="D144" s="61" t="s">
        <v>534</v>
      </c>
      <c r="E144" s="62">
        <v>1575000</v>
      </c>
      <c r="F144" s="63">
        <v>100000</v>
      </c>
      <c r="G144" s="63">
        <v>270000</v>
      </c>
      <c r="H144" s="63">
        <f t="shared" si="83"/>
        <v>370000</v>
      </c>
      <c r="I144" s="63">
        <v>100000</v>
      </c>
      <c r="J144" s="63">
        <v>0</v>
      </c>
      <c r="K144" s="63">
        <v>0</v>
      </c>
      <c r="L144" s="63">
        <v>100000</v>
      </c>
      <c r="M144" s="63">
        <v>270000</v>
      </c>
      <c r="N144" s="63">
        <f t="shared" si="84"/>
        <v>370000</v>
      </c>
      <c r="O144" s="63">
        <v>100000</v>
      </c>
      <c r="P144" s="63">
        <v>270000</v>
      </c>
      <c r="Q144" s="63">
        <f t="shared" si="80"/>
        <v>370000</v>
      </c>
      <c r="R144" s="63">
        <v>100000</v>
      </c>
      <c r="S144" s="63">
        <v>270000</v>
      </c>
      <c r="T144" s="63">
        <f t="shared" si="81"/>
        <v>370000</v>
      </c>
      <c r="U144" s="63">
        <v>100000</v>
      </c>
      <c r="V144" s="63">
        <v>550000</v>
      </c>
      <c r="W144" s="63">
        <f t="shared" si="82"/>
        <v>650000</v>
      </c>
      <c r="X144" s="63">
        <v>100000</v>
      </c>
      <c r="Y144" s="63">
        <v>550000</v>
      </c>
      <c r="Z144" s="63">
        <f t="shared" si="72"/>
        <v>650000</v>
      </c>
      <c r="AA144" s="63">
        <v>100000</v>
      </c>
      <c r="AB144" s="63">
        <v>550000</v>
      </c>
      <c r="AC144" s="63">
        <f t="shared" si="73"/>
        <v>650000</v>
      </c>
      <c r="AD144" s="63">
        <v>100000</v>
      </c>
      <c r="AE144" s="63">
        <v>550000</v>
      </c>
      <c r="AF144" s="63">
        <f t="shared" si="74"/>
        <v>650000</v>
      </c>
      <c r="AG144" s="63">
        <v>100000</v>
      </c>
      <c r="AH144" s="63">
        <v>0</v>
      </c>
      <c r="AI144" s="63">
        <f t="shared" si="85"/>
        <v>100000</v>
      </c>
      <c r="AJ144" s="63">
        <v>100000</v>
      </c>
      <c r="AK144" s="63">
        <v>0</v>
      </c>
      <c r="AL144" s="63">
        <f t="shared" si="75"/>
        <v>100000</v>
      </c>
      <c r="AM144" s="63">
        <v>100000</v>
      </c>
      <c r="AN144" s="63">
        <v>0</v>
      </c>
      <c r="AO144" s="63">
        <f t="shared" si="76"/>
        <v>100000</v>
      </c>
      <c r="AP144" s="64">
        <f t="shared" si="77"/>
        <v>2775000</v>
      </c>
      <c r="AQ144" s="65">
        <f t="shared" si="79"/>
        <v>39316.648380731283</v>
      </c>
      <c r="AR144" s="100"/>
    </row>
    <row r="145" spans="1:44" s="23" customFormat="1" ht="14.25">
      <c r="A145" s="60">
        <f t="shared" si="78"/>
        <v>141</v>
      </c>
      <c r="B145" s="60">
        <v>99091568</v>
      </c>
      <c r="C145" s="61" t="s">
        <v>551</v>
      </c>
      <c r="D145" s="61" t="s">
        <v>534</v>
      </c>
      <c r="E145" s="62">
        <v>1575000</v>
      </c>
      <c r="F145" s="63">
        <v>100000</v>
      </c>
      <c r="G145" s="63">
        <v>270000</v>
      </c>
      <c r="H145" s="63">
        <f t="shared" si="83"/>
        <v>370000</v>
      </c>
      <c r="I145" s="63">
        <v>100000</v>
      </c>
      <c r="J145" s="63">
        <v>0</v>
      </c>
      <c r="K145" s="63">
        <v>0</v>
      </c>
      <c r="L145" s="63">
        <v>100000</v>
      </c>
      <c r="M145" s="63">
        <v>550000</v>
      </c>
      <c r="N145" s="63">
        <f t="shared" si="84"/>
        <v>650000</v>
      </c>
      <c r="O145" s="63">
        <v>100000</v>
      </c>
      <c r="P145" s="63">
        <v>550000</v>
      </c>
      <c r="Q145" s="63">
        <f t="shared" si="80"/>
        <v>650000</v>
      </c>
      <c r="R145" s="63">
        <v>100000</v>
      </c>
      <c r="S145" s="63">
        <v>550000</v>
      </c>
      <c r="T145" s="63">
        <f t="shared" si="81"/>
        <v>650000</v>
      </c>
      <c r="U145" s="63">
        <v>100000</v>
      </c>
      <c r="V145" s="63">
        <v>0</v>
      </c>
      <c r="W145" s="63">
        <f t="shared" si="82"/>
        <v>100000</v>
      </c>
      <c r="X145" s="63">
        <v>100000</v>
      </c>
      <c r="Y145" s="63">
        <v>0</v>
      </c>
      <c r="Z145" s="63">
        <f t="shared" si="72"/>
        <v>100000</v>
      </c>
      <c r="AA145" s="63">
        <v>100000</v>
      </c>
      <c r="AB145" s="63">
        <v>0</v>
      </c>
      <c r="AC145" s="63">
        <f t="shared" si="73"/>
        <v>100000</v>
      </c>
      <c r="AD145" s="63">
        <v>100000</v>
      </c>
      <c r="AE145" s="63">
        <v>0</v>
      </c>
      <c r="AF145" s="63">
        <f t="shared" si="74"/>
        <v>100000</v>
      </c>
      <c r="AG145" s="63">
        <v>100000</v>
      </c>
      <c r="AH145" s="63">
        <f>31000</f>
        <v>31000</v>
      </c>
      <c r="AI145" s="63">
        <f t="shared" si="85"/>
        <v>131000</v>
      </c>
      <c r="AJ145" s="63">
        <v>100000</v>
      </c>
      <c r="AK145" s="63">
        <v>0</v>
      </c>
      <c r="AL145" s="63">
        <f t="shared" si="75"/>
        <v>100000</v>
      </c>
      <c r="AM145" s="63">
        <v>100000</v>
      </c>
      <c r="AN145" s="63">
        <v>0</v>
      </c>
      <c r="AO145" s="63">
        <f t="shared" si="76"/>
        <v>100000</v>
      </c>
      <c r="AP145" s="64">
        <f t="shared" si="77"/>
        <v>2775000</v>
      </c>
      <c r="AQ145" s="65">
        <f t="shared" si="79"/>
        <v>39316.648380731283</v>
      </c>
      <c r="AR145" s="100"/>
    </row>
    <row r="146" spans="1:44">
      <c r="A146" s="60">
        <f t="shared" si="78"/>
        <v>142</v>
      </c>
      <c r="B146" s="60">
        <v>95080678</v>
      </c>
      <c r="C146" s="61" t="s">
        <v>538</v>
      </c>
      <c r="D146" s="61" t="s">
        <v>539</v>
      </c>
      <c r="E146" s="62">
        <v>1575000</v>
      </c>
      <c r="F146" s="63">
        <v>100000</v>
      </c>
      <c r="G146" s="63">
        <v>0</v>
      </c>
      <c r="H146" s="63">
        <f t="shared" si="83"/>
        <v>100000</v>
      </c>
      <c r="I146" s="63">
        <v>100000</v>
      </c>
      <c r="J146" s="63">
        <v>0</v>
      </c>
      <c r="K146" s="63">
        <v>0</v>
      </c>
      <c r="L146" s="63">
        <v>100000</v>
      </c>
      <c r="M146" s="63">
        <v>265000</v>
      </c>
      <c r="N146" s="63">
        <f t="shared" si="84"/>
        <v>365000</v>
      </c>
      <c r="O146" s="63">
        <v>100000</v>
      </c>
      <c r="P146" s="63">
        <v>265000</v>
      </c>
      <c r="Q146" s="63">
        <f t="shared" si="80"/>
        <v>365000</v>
      </c>
      <c r="R146" s="63">
        <v>100000</v>
      </c>
      <c r="S146" s="63">
        <f>265000+268000</f>
        <v>533000</v>
      </c>
      <c r="T146" s="63">
        <f t="shared" si="81"/>
        <v>633000</v>
      </c>
      <c r="U146" s="63">
        <v>100000</v>
      </c>
      <c r="V146" s="63">
        <v>265000</v>
      </c>
      <c r="W146" s="63">
        <f t="shared" si="82"/>
        <v>365000</v>
      </c>
      <c r="X146" s="63">
        <v>100000</v>
      </c>
      <c r="Y146" s="63">
        <f>265000+357500</f>
        <v>622500</v>
      </c>
      <c r="Z146" s="63">
        <f t="shared" si="72"/>
        <v>722500</v>
      </c>
      <c r="AA146" s="63">
        <v>100000</v>
      </c>
      <c r="AB146" s="63">
        <f>265000+248000</f>
        <v>513000</v>
      </c>
      <c r="AC146" s="63">
        <f t="shared" si="73"/>
        <v>613000</v>
      </c>
      <c r="AD146" s="63">
        <v>100000</v>
      </c>
      <c r="AE146" s="63">
        <f>323000+265000</f>
        <v>588000</v>
      </c>
      <c r="AF146" s="63">
        <f t="shared" si="74"/>
        <v>688000</v>
      </c>
      <c r="AG146" s="63">
        <v>100000</v>
      </c>
      <c r="AH146" s="63">
        <f>459500+440000</f>
        <v>899500</v>
      </c>
      <c r="AI146" s="63">
        <f t="shared" si="85"/>
        <v>999500</v>
      </c>
      <c r="AJ146" s="63">
        <v>100000</v>
      </c>
      <c r="AK146" s="63">
        <v>440000</v>
      </c>
      <c r="AL146" s="63">
        <f t="shared" si="75"/>
        <v>540000</v>
      </c>
      <c r="AM146" s="63">
        <v>100000</v>
      </c>
      <c r="AN146" s="63">
        <f>440000+504000</f>
        <v>944000</v>
      </c>
      <c r="AO146" s="63">
        <f t="shared" si="76"/>
        <v>1044000</v>
      </c>
      <c r="AP146" s="64">
        <f t="shared" si="77"/>
        <v>2775000</v>
      </c>
      <c r="AQ146" s="65">
        <f t="shared" si="79"/>
        <v>39316.648380731283</v>
      </c>
    </row>
    <row r="147" spans="1:44">
      <c r="A147" s="60">
        <f t="shared" si="78"/>
        <v>143</v>
      </c>
      <c r="B147" s="60">
        <v>95070268</v>
      </c>
      <c r="C147" s="61" t="s">
        <v>540</v>
      </c>
      <c r="D147" s="61" t="s">
        <v>539</v>
      </c>
      <c r="E147" s="62">
        <v>1575000</v>
      </c>
      <c r="F147" s="63">
        <v>100000</v>
      </c>
      <c r="G147" s="63">
        <v>270000</v>
      </c>
      <c r="H147" s="63">
        <f t="shared" si="83"/>
        <v>370000</v>
      </c>
      <c r="I147" s="63">
        <v>100000</v>
      </c>
      <c r="J147" s="63">
        <v>0</v>
      </c>
      <c r="K147" s="63">
        <v>0</v>
      </c>
      <c r="L147" s="63">
        <v>100000</v>
      </c>
      <c r="M147" s="63">
        <v>270000</v>
      </c>
      <c r="N147" s="63">
        <f t="shared" si="84"/>
        <v>370000</v>
      </c>
      <c r="O147" s="63">
        <v>100000</v>
      </c>
      <c r="P147" s="63">
        <v>270000</v>
      </c>
      <c r="Q147" s="63">
        <f t="shared" si="80"/>
        <v>370000</v>
      </c>
      <c r="R147" s="63">
        <v>100000</v>
      </c>
      <c r="S147" s="63">
        <v>270000</v>
      </c>
      <c r="T147" s="63">
        <f t="shared" si="81"/>
        <v>370000</v>
      </c>
      <c r="U147" s="63">
        <v>100000</v>
      </c>
      <c r="V147" s="63">
        <v>540000</v>
      </c>
      <c r="W147" s="63">
        <f t="shared" si="82"/>
        <v>640000</v>
      </c>
      <c r="X147" s="63">
        <v>100000</v>
      </c>
      <c r="Y147" s="63">
        <v>540000</v>
      </c>
      <c r="Z147" s="63">
        <f t="shared" si="72"/>
        <v>640000</v>
      </c>
      <c r="AA147" s="63">
        <v>100000</v>
      </c>
      <c r="AB147" s="63">
        <v>540000</v>
      </c>
      <c r="AC147" s="63">
        <f t="shared" si="73"/>
        <v>640000</v>
      </c>
      <c r="AD147" s="63">
        <v>100000</v>
      </c>
      <c r="AE147" s="63">
        <v>540000</v>
      </c>
      <c r="AF147" s="63">
        <f t="shared" si="74"/>
        <v>640000</v>
      </c>
      <c r="AG147" s="63">
        <v>100000</v>
      </c>
      <c r="AH147" s="63">
        <f>540000</f>
        <v>540000</v>
      </c>
      <c r="AI147" s="63">
        <f t="shared" si="85"/>
        <v>640000</v>
      </c>
      <c r="AJ147" s="63">
        <v>100000</v>
      </c>
      <c r="AK147" s="63">
        <v>540000</v>
      </c>
      <c r="AL147" s="63">
        <f t="shared" si="75"/>
        <v>640000</v>
      </c>
      <c r="AM147" s="63">
        <v>100000</v>
      </c>
      <c r="AN147" s="63">
        <v>0</v>
      </c>
      <c r="AO147" s="63">
        <f t="shared" si="76"/>
        <v>100000</v>
      </c>
      <c r="AP147" s="64">
        <f t="shared" si="77"/>
        <v>2775000</v>
      </c>
      <c r="AQ147" s="65">
        <f t="shared" si="79"/>
        <v>39316.648380731283</v>
      </c>
    </row>
    <row r="148" spans="1:44">
      <c r="A148" s="60">
        <f t="shared" si="78"/>
        <v>144</v>
      </c>
      <c r="B148" s="67" t="s">
        <v>541</v>
      </c>
      <c r="C148" s="61" t="s">
        <v>542</v>
      </c>
      <c r="D148" s="61" t="s">
        <v>539</v>
      </c>
      <c r="E148" s="62">
        <v>1425000</v>
      </c>
      <c r="F148" s="63">
        <v>100000</v>
      </c>
      <c r="G148" s="63">
        <v>270000</v>
      </c>
      <c r="H148" s="63">
        <f t="shared" si="83"/>
        <v>370000</v>
      </c>
      <c r="I148" s="63">
        <v>100000</v>
      </c>
      <c r="J148" s="63">
        <v>0</v>
      </c>
      <c r="K148" s="63">
        <v>0</v>
      </c>
      <c r="L148" s="63">
        <v>100000</v>
      </c>
      <c r="M148" s="63">
        <f>270000+405000</f>
        <v>675000</v>
      </c>
      <c r="N148" s="63">
        <f t="shared" si="84"/>
        <v>775000</v>
      </c>
      <c r="O148" s="63">
        <v>100000</v>
      </c>
      <c r="P148" s="63">
        <v>405000</v>
      </c>
      <c r="Q148" s="63">
        <f t="shared" si="80"/>
        <v>505000</v>
      </c>
      <c r="R148" s="63">
        <v>100000</v>
      </c>
      <c r="S148" s="63">
        <f>405000+270000</f>
        <v>675000</v>
      </c>
      <c r="T148" s="63">
        <f t="shared" si="81"/>
        <v>775000</v>
      </c>
      <c r="U148" s="63">
        <v>100000</v>
      </c>
      <c r="V148" s="63">
        <v>270000</v>
      </c>
      <c r="W148" s="63">
        <f t="shared" si="82"/>
        <v>370000</v>
      </c>
      <c r="X148" s="63">
        <v>100000</v>
      </c>
      <c r="Y148" s="63">
        <v>270000</v>
      </c>
      <c r="Z148" s="63">
        <f t="shared" si="72"/>
        <v>370000</v>
      </c>
      <c r="AA148" s="63">
        <v>100000</v>
      </c>
      <c r="AB148" s="63">
        <v>270000</v>
      </c>
      <c r="AC148" s="63">
        <f t="shared" si="73"/>
        <v>370000</v>
      </c>
      <c r="AD148" s="63">
        <v>100000</v>
      </c>
      <c r="AE148" s="63">
        <f>270000+550000</f>
        <v>820000</v>
      </c>
      <c r="AF148" s="63">
        <f t="shared" si="74"/>
        <v>920000</v>
      </c>
      <c r="AG148" s="63">
        <v>100000</v>
      </c>
      <c r="AH148" s="63">
        <f>270000+550000</f>
        <v>820000</v>
      </c>
      <c r="AI148" s="63">
        <f t="shared" si="85"/>
        <v>920000</v>
      </c>
      <c r="AJ148" s="63">
        <v>100000</v>
      </c>
      <c r="AK148" s="63">
        <v>550000</v>
      </c>
      <c r="AL148" s="63">
        <f t="shared" si="75"/>
        <v>650000</v>
      </c>
      <c r="AM148" s="63">
        <v>100000</v>
      </c>
      <c r="AN148" s="63">
        <f>550000</f>
        <v>550000</v>
      </c>
      <c r="AO148" s="63">
        <f t="shared" si="76"/>
        <v>650000</v>
      </c>
      <c r="AP148" s="64">
        <f t="shared" si="77"/>
        <v>2625000</v>
      </c>
      <c r="AQ148" s="65">
        <f t="shared" si="79"/>
        <v>37191.424143935001</v>
      </c>
    </row>
    <row r="149" spans="1:44" s="23" customFormat="1" ht="14.25">
      <c r="A149" s="60">
        <f t="shared" si="78"/>
        <v>145</v>
      </c>
      <c r="B149" s="60">
        <v>99091628</v>
      </c>
      <c r="C149" s="61" t="s">
        <v>543</v>
      </c>
      <c r="D149" s="61" t="s">
        <v>539</v>
      </c>
      <c r="E149" s="62">
        <v>1575000</v>
      </c>
      <c r="F149" s="63">
        <v>100000</v>
      </c>
      <c r="G149" s="63">
        <f>540000+46500</f>
        <v>586500</v>
      </c>
      <c r="H149" s="63">
        <f t="shared" si="83"/>
        <v>686500</v>
      </c>
      <c r="I149" s="63">
        <v>100000</v>
      </c>
      <c r="J149" s="63">
        <v>0</v>
      </c>
      <c r="K149" s="63">
        <v>0</v>
      </c>
      <c r="L149" s="63">
        <v>100000</v>
      </c>
      <c r="M149" s="63">
        <f>540000+77000</f>
        <v>617000</v>
      </c>
      <c r="N149" s="63">
        <f t="shared" si="84"/>
        <v>717000</v>
      </c>
      <c r="O149" s="63">
        <v>100000</v>
      </c>
      <c r="P149" s="63">
        <v>540000</v>
      </c>
      <c r="Q149" s="63">
        <f t="shared" si="80"/>
        <v>640000</v>
      </c>
      <c r="R149" s="63">
        <v>100000</v>
      </c>
      <c r="S149" s="63">
        <f>540000+130000</f>
        <v>670000</v>
      </c>
      <c r="T149" s="63">
        <f t="shared" si="81"/>
        <v>770000</v>
      </c>
      <c r="U149" s="63">
        <v>100000</v>
      </c>
      <c r="V149" s="63">
        <f>540000+217500</f>
        <v>757500</v>
      </c>
      <c r="W149" s="63">
        <f t="shared" si="82"/>
        <v>857500</v>
      </c>
      <c r="X149" s="63">
        <v>100000</v>
      </c>
      <c r="Y149" s="63">
        <f>265000+77500</f>
        <v>342500</v>
      </c>
      <c r="Z149" s="63">
        <f t="shared" si="72"/>
        <v>442500</v>
      </c>
      <c r="AA149" s="63">
        <v>100000</v>
      </c>
      <c r="AB149" s="63">
        <f>265000+58500</f>
        <v>323500</v>
      </c>
      <c r="AC149" s="63">
        <f t="shared" si="73"/>
        <v>423500</v>
      </c>
      <c r="AD149" s="63">
        <v>100000</v>
      </c>
      <c r="AE149" s="63">
        <f>265000+265000</f>
        <v>530000</v>
      </c>
      <c r="AF149" s="63">
        <f t="shared" si="74"/>
        <v>630000</v>
      </c>
      <c r="AG149" s="63">
        <v>100000</v>
      </c>
      <c r="AH149" s="63">
        <f>71500+265000+265000</f>
        <v>601500</v>
      </c>
      <c r="AI149" s="63">
        <f t="shared" si="85"/>
        <v>701500</v>
      </c>
      <c r="AJ149" s="63">
        <v>100000</v>
      </c>
      <c r="AK149" s="63">
        <f>265000+27000</f>
        <v>292000</v>
      </c>
      <c r="AL149" s="63">
        <f t="shared" si="75"/>
        <v>392000</v>
      </c>
      <c r="AM149" s="63">
        <v>100000</v>
      </c>
      <c r="AN149" s="63">
        <f>265000+265000+172000</f>
        <v>702000</v>
      </c>
      <c r="AO149" s="63">
        <f t="shared" si="76"/>
        <v>802000</v>
      </c>
      <c r="AP149" s="64">
        <f t="shared" si="77"/>
        <v>2775000</v>
      </c>
      <c r="AQ149" s="65">
        <f t="shared" si="79"/>
        <v>39316.648380731283</v>
      </c>
      <c r="AR149" s="100"/>
    </row>
    <row r="150" spans="1:44" s="23" customFormat="1" ht="14.25">
      <c r="A150" s="60">
        <f t="shared" si="78"/>
        <v>146</v>
      </c>
      <c r="B150" s="67" t="s">
        <v>544</v>
      </c>
      <c r="C150" s="61" t="s">
        <v>545</v>
      </c>
      <c r="D150" s="61" t="s">
        <v>539</v>
      </c>
      <c r="E150" s="62">
        <v>1575000</v>
      </c>
      <c r="F150" s="63">
        <v>100000</v>
      </c>
      <c r="G150" s="63">
        <v>0</v>
      </c>
      <c r="H150" s="63">
        <f t="shared" si="83"/>
        <v>100000</v>
      </c>
      <c r="I150" s="63">
        <v>100000</v>
      </c>
      <c r="J150" s="63">
        <v>0</v>
      </c>
      <c r="K150" s="63">
        <v>0</v>
      </c>
      <c r="L150" s="63">
        <v>100000</v>
      </c>
      <c r="M150" s="63">
        <v>440000</v>
      </c>
      <c r="N150" s="63">
        <f t="shared" si="84"/>
        <v>540000</v>
      </c>
      <c r="O150" s="63">
        <v>100000</v>
      </c>
      <c r="P150" s="63">
        <v>440000</v>
      </c>
      <c r="Q150" s="63">
        <f t="shared" si="80"/>
        <v>540000</v>
      </c>
      <c r="R150" s="63">
        <v>100000</v>
      </c>
      <c r="S150" s="63">
        <v>440000</v>
      </c>
      <c r="T150" s="63">
        <f t="shared" si="81"/>
        <v>540000</v>
      </c>
      <c r="U150" s="63">
        <v>100000</v>
      </c>
      <c r="V150" s="63">
        <v>440000</v>
      </c>
      <c r="W150" s="63">
        <f t="shared" si="82"/>
        <v>540000</v>
      </c>
      <c r="X150" s="63">
        <v>100000</v>
      </c>
      <c r="Y150" s="63">
        <v>0</v>
      </c>
      <c r="Z150" s="63">
        <f t="shared" si="72"/>
        <v>100000</v>
      </c>
      <c r="AA150" s="63">
        <v>100000</v>
      </c>
      <c r="AB150" s="63">
        <v>440000</v>
      </c>
      <c r="AC150" s="63">
        <f t="shared" si="73"/>
        <v>540000</v>
      </c>
      <c r="AD150" s="63">
        <v>100000</v>
      </c>
      <c r="AE150" s="63">
        <v>440000</v>
      </c>
      <c r="AF150" s="63">
        <f t="shared" si="74"/>
        <v>540000</v>
      </c>
      <c r="AG150" s="63">
        <v>100000</v>
      </c>
      <c r="AH150" s="63">
        <f>440000</f>
        <v>440000</v>
      </c>
      <c r="AI150" s="63">
        <f t="shared" si="85"/>
        <v>540000</v>
      </c>
      <c r="AJ150" s="63">
        <v>100000</v>
      </c>
      <c r="AK150" s="63">
        <v>440000</v>
      </c>
      <c r="AL150" s="63">
        <f t="shared" si="75"/>
        <v>540000</v>
      </c>
      <c r="AM150" s="63">
        <v>100000</v>
      </c>
      <c r="AN150" s="63">
        <f>440000</f>
        <v>440000</v>
      </c>
      <c r="AO150" s="63">
        <f t="shared" si="76"/>
        <v>540000</v>
      </c>
      <c r="AP150" s="64">
        <f t="shared" si="77"/>
        <v>2775000</v>
      </c>
      <c r="AQ150" s="65">
        <f t="shared" si="79"/>
        <v>39316.648380731283</v>
      </c>
      <c r="AR150" s="100"/>
    </row>
    <row r="151" spans="1:44" s="23" customFormat="1" ht="14.25">
      <c r="A151" s="60">
        <f t="shared" si="78"/>
        <v>147</v>
      </c>
      <c r="B151" s="60">
        <v>95070188</v>
      </c>
      <c r="C151" s="61" t="s">
        <v>546</v>
      </c>
      <c r="D151" s="61" t="s">
        <v>539</v>
      </c>
      <c r="E151" s="62">
        <v>1575000</v>
      </c>
      <c r="F151" s="63">
        <v>100000</v>
      </c>
      <c r="G151" s="63">
        <v>0</v>
      </c>
      <c r="H151" s="63">
        <f t="shared" si="83"/>
        <v>100000</v>
      </c>
      <c r="I151" s="63">
        <v>100000</v>
      </c>
      <c r="J151" s="63">
        <v>0</v>
      </c>
      <c r="K151" s="63">
        <v>0</v>
      </c>
      <c r="L151" s="63">
        <v>100000</v>
      </c>
      <c r="M151" s="63">
        <v>440000</v>
      </c>
      <c r="N151" s="63">
        <f t="shared" si="84"/>
        <v>540000</v>
      </c>
      <c r="O151" s="63">
        <v>100000</v>
      </c>
      <c r="P151" s="63">
        <v>265000</v>
      </c>
      <c r="Q151" s="63">
        <f t="shared" si="80"/>
        <v>365000</v>
      </c>
      <c r="R151" s="63">
        <v>100000</v>
      </c>
      <c r="S151" s="63">
        <v>440000</v>
      </c>
      <c r="T151" s="63">
        <f t="shared" si="81"/>
        <v>540000</v>
      </c>
      <c r="U151" s="63">
        <v>100000</v>
      </c>
      <c r="V151" s="63">
        <v>440000</v>
      </c>
      <c r="W151" s="63">
        <f t="shared" si="82"/>
        <v>540000</v>
      </c>
      <c r="X151" s="63">
        <v>100000</v>
      </c>
      <c r="Y151" s="63">
        <v>440000</v>
      </c>
      <c r="Z151" s="63">
        <f t="shared" si="72"/>
        <v>540000</v>
      </c>
      <c r="AA151" s="63">
        <v>100000</v>
      </c>
      <c r="AB151" s="63">
        <v>0</v>
      </c>
      <c r="AC151" s="63">
        <f t="shared" si="73"/>
        <v>100000</v>
      </c>
      <c r="AD151" s="63">
        <v>100000</v>
      </c>
      <c r="AE151" s="63">
        <v>0</v>
      </c>
      <c r="AF151" s="63">
        <f t="shared" si="74"/>
        <v>100000</v>
      </c>
      <c r="AG151" s="63">
        <v>100000</v>
      </c>
      <c r="AH151" s="63">
        <v>0</v>
      </c>
      <c r="AI151" s="63">
        <f t="shared" si="85"/>
        <v>100000</v>
      </c>
      <c r="AJ151" s="63">
        <v>100000</v>
      </c>
      <c r="AK151" s="63">
        <v>0</v>
      </c>
      <c r="AL151" s="63">
        <f t="shared" si="75"/>
        <v>100000</v>
      </c>
      <c r="AM151" s="63">
        <v>100000</v>
      </c>
      <c r="AN151" s="63">
        <v>0</v>
      </c>
      <c r="AO151" s="63">
        <f t="shared" si="76"/>
        <v>100000</v>
      </c>
      <c r="AP151" s="64">
        <f t="shared" si="77"/>
        <v>2775000</v>
      </c>
      <c r="AQ151" s="65">
        <f t="shared" si="79"/>
        <v>39316.648380731283</v>
      </c>
      <c r="AR151" s="100"/>
    </row>
    <row r="152" spans="1:44" s="23" customFormat="1">
      <c r="A152" s="60">
        <f t="shared" si="78"/>
        <v>148</v>
      </c>
      <c r="B152" s="70" t="s">
        <v>547</v>
      </c>
      <c r="C152" s="71" t="s">
        <v>548</v>
      </c>
      <c r="D152" s="61" t="s">
        <v>539</v>
      </c>
      <c r="E152" s="62">
        <v>1575000</v>
      </c>
      <c r="F152" s="63">
        <v>100000</v>
      </c>
      <c r="G152" s="63">
        <v>0</v>
      </c>
      <c r="H152" s="63">
        <f t="shared" si="83"/>
        <v>100000</v>
      </c>
      <c r="I152" s="63">
        <v>100000</v>
      </c>
      <c r="J152" s="63">
        <v>0</v>
      </c>
      <c r="K152" s="63">
        <v>0</v>
      </c>
      <c r="L152" s="63">
        <v>100000</v>
      </c>
      <c r="M152" s="63">
        <v>265000</v>
      </c>
      <c r="N152" s="63">
        <f t="shared" si="84"/>
        <v>365000</v>
      </c>
      <c r="O152" s="63">
        <v>100000</v>
      </c>
      <c r="P152" s="63">
        <v>265000</v>
      </c>
      <c r="Q152" s="63">
        <f t="shared" si="80"/>
        <v>365000</v>
      </c>
      <c r="R152" s="63">
        <v>100000</v>
      </c>
      <c r="S152" s="63">
        <v>265000</v>
      </c>
      <c r="T152" s="63">
        <f t="shared" si="81"/>
        <v>365000</v>
      </c>
      <c r="U152" s="63">
        <v>100000</v>
      </c>
      <c r="V152" s="63">
        <v>265000</v>
      </c>
      <c r="W152" s="63">
        <f t="shared" si="82"/>
        <v>365000</v>
      </c>
      <c r="X152" s="63">
        <v>100000</v>
      </c>
      <c r="Y152" s="63">
        <v>0</v>
      </c>
      <c r="Z152" s="63">
        <f t="shared" si="72"/>
        <v>100000</v>
      </c>
      <c r="AA152" s="63">
        <v>100000</v>
      </c>
      <c r="AB152" s="63">
        <v>0</v>
      </c>
      <c r="AC152" s="63">
        <f t="shared" si="73"/>
        <v>100000</v>
      </c>
      <c r="AD152" s="63">
        <v>100000</v>
      </c>
      <c r="AE152" s="63">
        <v>0</v>
      </c>
      <c r="AF152" s="63">
        <f t="shared" si="74"/>
        <v>100000</v>
      </c>
      <c r="AG152" s="63">
        <v>100000</v>
      </c>
      <c r="AH152" s="63">
        <f>265000</f>
        <v>265000</v>
      </c>
      <c r="AI152" s="63">
        <f t="shared" si="85"/>
        <v>365000</v>
      </c>
      <c r="AJ152" s="63">
        <v>100000</v>
      </c>
      <c r="AK152" s="63">
        <v>265000</v>
      </c>
      <c r="AL152" s="63">
        <f t="shared" si="75"/>
        <v>365000</v>
      </c>
      <c r="AM152" s="63">
        <v>100000</v>
      </c>
      <c r="AN152" s="63">
        <f>265000</f>
        <v>265000</v>
      </c>
      <c r="AO152" s="63">
        <f t="shared" si="76"/>
        <v>365000</v>
      </c>
      <c r="AP152" s="64">
        <f t="shared" si="77"/>
        <v>2775000</v>
      </c>
      <c r="AQ152" s="65">
        <f t="shared" si="79"/>
        <v>39316.648380731283</v>
      </c>
      <c r="AR152" s="100"/>
    </row>
    <row r="153" spans="1:44" s="23" customFormat="1" ht="14.25">
      <c r="A153" s="60">
        <f t="shared" si="78"/>
        <v>149</v>
      </c>
      <c r="B153" s="67" t="s">
        <v>549</v>
      </c>
      <c r="C153" s="61" t="s">
        <v>550</v>
      </c>
      <c r="D153" s="61" t="s">
        <v>539</v>
      </c>
      <c r="E153" s="62">
        <v>1475000</v>
      </c>
      <c r="F153" s="63">
        <v>100000</v>
      </c>
      <c r="G153" s="63">
        <v>0</v>
      </c>
      <c r="H153" s="63">
        <f t="shared" si="83"/>
        <v>100000</v>
      </c>
      <c r="I153" s="63">
        <v>100000</v>
      </c>
      <c r="J153" s="63">
        <v>0</v>
      </c>
      <c r="K153" s="63">
        <v>0</v>
      </c>
      <c r="L153" s="63">
        <v>100000</v>
      </c>
      <c r="M153" s="63">
        <v>0</v>
      </c>
      <c r="N153" s="63">
        <f t="shared" si="84"/>
        <v>100000</v>
      </c>
      <c r="O153" s="63">
        <v>100000</v>
      </c>
      <c r="P153" s="63">
        <v>0</v>
      </c>
      <c r="Q153" s="63">
        <f t="shared" si="80"/>
        <v>100000</v>
      </c>
      <c r="R153" s="63">
        <v>100000</v>
      </c>
      <c r="S153" s="63">
        <v>0</v>
      </c>
      <c r="T153" s="63">
        <f t="shared" si="81"/>
        <v>100000</v>
      </c>
      <c r="U153" s="63">
        <v>100000</v>
      </c>
      <c r="V153" s="63">
        <v>0</v>
      </c>
      <c r="W153" s="63">
        <f t="shared" si="82"/>
        <v>100000</v>
      </c>
      <c r="X153" s="63">
        <v>100000</v>
      </c>
      <c r="Y153" s="63">
        <v>0</v>
      </c>
      <c r="Z153" s="63">
        <f t="shared" si="72"/>
        <v>100000</v>
      </c>
      <c r="AA153" s="63">
        <v>100000</v>
      </c>
      <c r="AB153" s="63">
        <v>0</v>
      </c>
      <c r="AC153" s="63">
        <f t="shared" si="73"/>
        <v>100000</v>
      </c>
      <c r="AD153" s="63">
        <v>100000</v>
      </c>
      <c r="AE153" s="63">
        <v>550000</v>
      </c>
      <c r="AF153" s="63">
        <f t="shared" si="74"/>
        <v>650000</v>
      </c>
      <c r="AG153" s="63">
        <v>100000</v>
      </c>
      <c r="AH153" s="63">
        <f>550000</f>
        <v>550000</v>
      </c>
      <c r="AI153" s="63">
        <f t="shared" si="85"/>
        <v>650000</v>
      </c>
      <c r="AJ153" s="63">
        <v>100000</v>
      </c>
      <c r="AK153" s="63">
        <v>550000</v>
      </c>
      <c r="AL153" s="63">
        <f t="shared" si="75"/>
        <v>650000</v>
      </c>
      <c r="AM153" s="63">
        <v>100000</v>
      </c>
      <c r="AN153" s="63">
        <f>550000</f>
        <v>550000</v>
      </c>
      <c r="AO153" s="63">
        <f t="shared" si="76"/>
        <v>650000</v>
      </c>
      <c r="AP153" s="64">
        <f t="shared" si="77"/>
        <v>2675000</v>
      </c>
      <c r="AQ153" s="65">
        <f t="shared" si="79"/>
        <v>37899.832222867095</v>
      </c>
      <c r="AR153" s="100"/>
    </row>
    <row r="154" spans="1:44" s="23" customFormat="1" ht="14.25">
      <c r="A154" s="60">
        <f t="shared" si="78"/>
        <v>150</v>
      </c>
      <c r="B154" s="60">
        <v>14050868</v>
      </c>
      <c r="C154" s="61" t="s">
        <v>552</v>
      </c>
      <c r="D154" s="61" t="s">
        <v>553</v>
      </c>
      <c r="E154" s="62">
        <v>700000</v>
      </c>
      <c r="F154" s="63">
        <v>100000</v>
      </c>
      <c r="G154" s="63">
        <f>265000+222000</f>
        <v>487000</v>
      </c>
      <c r="H154" s="63">
        <f t="shared" si="83"/>
        <v>587000</v>
      </c>
      <c r="I154" s="63">
        <v>100000</v>
      </c>
      <c r="J154" s="63">
        <v>0</v>
      </c>
      <c r="K154" s="63">
        <v>0</v>
      </c>
      <c r="L154" s="63">
        <v>100000</v>
      </c>
      <c r="M154" s="63">
        <v>265000</v>
      </c>
      <c r="N154" s="63">
        <f t="shared" si="84"/>
        <v>365000</v>
      </c>
      <c r="O154" s="63">
        <v>100000</v>
      </c>
      <c r="P154" s="63">
        <v>0</v>
      </c>
      <c r="Q154" s="63">
        <f t="shared" si="80"/>
        <v>100000</v>
      </c>
      <c r="R154" s="63">
        <v>100000</v>
      </c>
      <c r="S154" s="63">
        <v>229500</v>
      </c>
      <c r="T154" s="63">
        <f t="shared" si="81"/>
        <v>329500</v>
      </c>
      <c r="U154" s="63">
        <v>100000</v>
      </c>
      <c r="V154" s="63">
        <v>0</v>
      </c>
      <c r="W154" s="63">
        <f t="shared" si="82"/>
        <v>100000</v>
      </c>
      <c r="X154" s="63">
        <v>100000</v>
      </c>
      <c r="Y154" s="63">
        <f>297000+86000</f>
        <v>383000</v>
      </c>
      <c r="Z154" s="63">
        <f t="shared" si="72"/>
        <v>483000</v>
      </c>
      <c r="AA154" s="63">
        <v>100000</v>
      </c>
      <c r="AB154" s="63">
        <v>0</v>
      </c>
      <c r="AC154" s="63">
        <f t="shared" si="73"/>
        <v>100000</v>
      </c>
      <c r="AD154" s="63">
        <v>100000</v>
      </c>
      <c r="AE154" s="63">
        <v>0</v>
      </c>
      <c r="AF154" s="63">
        <f t="shared" si="74"/>
        <v>100000</v>
      </c>
      <c r="AG154" s="63">
        <v>100000</v>
      </c>
      <c r="AH154" s="63">
        <f>50000</f>
        <v>50000</v>
      </c>
      <c r="AI154" s="63">
        <f t="shared" si="85"/>
        <v>150000</v>
      </c>
      <c r="AJ154" s="63">
        <v>100000</v>
      </c>
      <c r="AK154" s="63">
        <v>0</v>
      </c>
      <c r="AL154" s="63">
        <f t="shared" si="75"/>
        <v>100000</v>
      </c>
      <c r="AM154" s="63">
        <v>100000</v>
      </c>
      <c r="AN154" s="63">
        <f>164000</f>
        <v>164000</v>
      </c>
      <c r="AO154" s="63">
        <f t="shared" si="76"/>
        <v>264000</v>
      </c>
      <c r="AP154" s="64">
        <f t="shared" si="77"/>
        <v>1900000</v>
      </c>
      <c r="AQ154" s="65">
        <f t="shared" si="79"/>
        <v>26919.506999419616</v>
      </c>
      <c r="AR154" s="100"/>
    </row>
    <row r="155" spans="1:44" s="23" customFormat="1" ht="14.25">
      <c r="A155" s="60">
        <f t="shared" si="78"/>
        <v>151</v>
      </c>
      <c r="B155" s="60">
        <v>99112108</v>
      </c>
      <c r="C155" s="61" t="s">
        <v>554</v>
      </c>
      <c r="D155" s="61" t="s">
        <v>553</v>
      </c>
      <c r="E155" s="62">
        <v>1575000</v>
      </c>
      <c r="F155" s="63">
        <v>100000</v>
      </c>
      <c r="G155" s="63">
        <v>270000</v>
      </c>
      <c r="H155" s="63">
        <f t="shared" si="83"/>
        <v>370000</v>
      </c>
      <c r="I155" s="63">
        <v>100000</v>
      </c>
      <c r="J155" s="63">
        <v>0</v>
      </c>
      <c r="K155" s="63">
        <v>0</v>
      </c>
      <c r="L155" s="63">
        <v>100000</v>
      </c>
      <c r="M155" s="63">
        <v>270000</v>
      </c>
      <c r="N155" s="63">
        <f t="shared" si="84"/>
        <v>370000</v>
      </c>
      <c r="O155" s="63">
        <v>100000</v>
      </c>
      <c r="P155" s="63">
        <v>270000</v>
      </c>
      <c r="Q155" s="63">
        <f t="shared" si="80"/>
        <v>370000</v>
      </c>
      <c r="R155" s="63">
        <v>100000</v>
      </c>
      <c r="S155" s="63">
        <v>270000</v>
      </c>
      <c r="T155" s="63">
        <f t="shared" si="81"/>
        <v>370000</v>
      </c>
      <c r="U155" s="63">
        <v>100000</v>
      </c>
      <c r="V155" s="63">
        <v>0</v>
      </c>
      <c r="W155" s="63">
        <f t="shared" si="82"/>
        <v>100000</v>
      </c>
      <c r="X155" s="63">
        <v>100000</v>
      </c>
      <c r="Y155" s="63">
        <v>0</v>
      </c>
      <c r="Z155" s="63">
        <f t="shared" si="72"/>
        <v>100000</v>
      </c>
      <c r="AA155" s="63">
        <v>100000</v>
      </c>
      <c r="AB155" s="63">
        <v>540000</v>
      </c>
      <c r="AC155" s="63">
        <f t="shared" si="73"/>
        <v>640000</v>
      </c>
      <c r="AD155" s="63">
        <v>100000</v>
      </c>
      <c r="AE155" s="63">
        <v>540000</v>
      </c>
      <c r="AF155" s="63">
        <f t="shared" si="74"/>
        <v>640000</v>
      </c>
      <c r="AG155" s="63">
        <v>100000</v>
      </c>
      <c r="AH155" s="63">
        <f>540000</f>
        <v>540000</v>
      </c>
      <c r="AI155" s="63">
        <f t="shared" si="85"/>
        <v>640000</v>
      </c>
      <c r="AJ155" s="63">
        <v>100000</v>
      </c>
      <c r="AK155" s="63">
        <v>540000</v>
      </c>
      <c r="AL155" s="63">
        <f t="shared" si="75"/>
        <v>640000</v>
      </c>
      <c r="AM155" s="63">
        <v>100000</v>
      </c>
      <c r="AN155" s="63">
        <f>540000</f>
        <v>540000</v>
      </c>
      <c r="AO155" s="63">
        <f t="shared" si="76"/>
        <v>640000</v>
      </c>
      <c r="AP155" s="64">
        <f t="shared" si="77"/>
        <v>2775000</v>
      </c>
      <c r="AQ155" s="65">
        <f t="shared" si="79"/>
        <v>39316.648380731283</v>
      </c>
      <c r="AR155" s="100"/>
    </row>
    <row r="156" spans="1:44" s="23" customFormat="1" ht="14.25">
      <c r="A156" s="60">
        <f t="shared" si="78"/>
        <v>152</v>
      </c>
      <c r="B156" s="60">
        <v>14091218</v>
      </c>
      <c r="C156" s="61" t="s">
        <v>555</v>
      </c>
      <c r="D156" s="61" t="s">
        <v>553</v>
      </c>
      <c r="E156" s="62"/>
      <c r="F156" s="63"/>
      <c r="G156" s="63"/>
      <c r="H156" s="63"/>
      <c r="I156" s="63"/>
      <c r="J156" s="63"/>
      <c r="K156" s="63"/>
      <c r="L156" s="63"/>
      <c r="M156" s="63"/>
      <c r="N156" s="63"/>
      <c r="O156" s="63">
        <v>200000</v>
      </c>
      <c r="P156" s="63">
        <v>0</v>
      </c>
      <c r="Q156" s="63">
        <f t="shared" si="80"/>
        <v>200000</v>
      </c>
      <c r="R156" s="63">
        <v>100000</v>
      </c>
      <c r="S156" s="63"/>
      <c r="T156" s="63">
        <f t="shared" si="81"/>
        <v>100000</v>
      </c>
      <c r="U156" s="63">
        <v>100000</v>
      </c>
      <c r="V156" s="63"/>
      <c r="W156" s="63">
        <f t="shared" si="82"/>
        <v>100000</v>
      </c>
      <c r="X156" s="63">
        <v>100000</v>
      </c>
      <c r="Y156" s="63"/>
      <c r="Z156" s="63">
        <f t="shared" si="72"/>
        <v>100000</v>
      </c>
      <c r="AA156" s="63">
        <v>100000</v>
      </c>
      <c r="AB156" s="63"/>
      <c r="AC156" s="63">
        <f t="shared" si="73"/>
        <v>100000</v>
      </c>
      <c r="AD156" s="63">
        <v>100000</v>
      </c>
      <c r="AE156" s="63"/>
      <c r="AF156" s="63">
        <f t="shared" si="74"/>
        <v>100000</v>
      </c>
      <c r="AG156" s="63">
        <v>100000</v>
      </c>
      <c r="AH156" s="63">
        <f>32000</f>
        <v>32000</v>
      </c>
      <c r="AI156" s="63">
        <f t="shared" si="85"/>
        <v>132000</v>
      </c>
      <c r="AJ156" s="63">
        <v>100000</v>
      </c>
      <c r="AK156" s="63">
        <f>540000+87000</f>
        <v>627000</v>
      </c>
      <c r="AL156" s="63">
        <f t="shared" si="75"/>
        <v>727000</v>
      </c>
      <c r="AM156" s="63">
        <v>100000</v>
      </c>
      <c r="AN156" s="63">
        <f>540000</f>
        <v>540000</v>
      </c>
      <c r="AO156" s="63">
        <f t="shared" si="76"/>
        <v>640000</v>
      </c>
      <c r="AP156" s="64">
        <f t="shared" si="77"/>
        <v>1000000</v>
      </c>
      <c r="AQ156" s="65">
        <f t="shared" si="79"/>
        <v>14168.161578641904</v>
      </c>
      <c r="AR156" s="100"/>
    </row>
    <row r="157" spans="1:44">
      <c r="A157" s="60">
        <f t="shared" si="78"/>
        <v>153</v>
      </c>
      <c r="B157" s="60">
        <v>95100828</v>
      </c>
      <c r="C157" s="61" t="s">
        <v>556</v>
      </c>
      <c r="D157" s="61" t="s">
        <v>553</v>
      </c>
      <c r="E157" s="62">
        <v>1575000</v>
      </c>
      <c r="F157" s="63">
        <v>100000</v>
      </c>
      <c r="G157" s="63">
        <v>180000</v>
      </c>
      <c r="H157" s="63">
        <f t="shared" ref="H157:H163" si="86">F157+G157</f>
        <v>280000</v>
      </c>
      <c r="I157" s="63">
        <v>100000</v>
      </c>
      <c r="J157" s="63">
        <v>0</v>
      </c>
      <c r="K157" s="63">
        <v>0</v>
      </c>
      <c r="L157" s="63">
        <v>100000</v>
      </c>
      <c r="M157" s="63">
        <f>440000+201000</f>
        <v>641000</v>
      </c>
      <c r="N157" s="63">
        <f t="shared" ref="N157:N188" si="87">L157+M157</f>
        <v>741000</v>
      </c>
      <c r="O157" s="63">
        <v>100000</v>
      </c>
      <c r="P157" s="63">
        <f>440000+182500</f>
        <v>622500</v>
      </c>
      <c r="Q157" s="63">
        <f t="shared" si="80"/>
        <v>722500</v>
      </c>
      <c r="R157" s="63">
        <v>100000</v>
      </c>
      <c r="S157" s="63">
        <f>440000+180000</f>
        <v>620000</v>
      </c>
      <c r="T157" s="63">
        <f t="shared" si="81"/>
        <v>720000</v>
      </c>
      <c r="U157" s="63">
        <v>100000</v>
      </c>
      <c r="V157" s="63">
        <f>440000+185000</f>
        <v>625000</v>
      </c>
      <c r="W157" s="63">
        <f t="shared" si="82"/>
        <v>725000</v>
      </c>
      <c r="X157" s="63">
        <v>100000</v>
      </c>
      <c r="Y157" s="63">
        <v>0</v>
      </c>
      <c r="Z157" s="63">
        <f t="shared" si="72"/>
        <v>100000</v>
      </c>
      <c r="AA157" s="63">
        <v>100000</v>
      </c>
      <c r="AB157" s="63">
        <v>0</v>
      </c>
      <c r="AC157" s="63">
        <f t="shared" si="73"/>
        <v>100000</v>
      </c>
      <c r="AD157" s="63">
        <v>100000</v>
      </c>
      <c r="AE157" s="63">
        <f>117000</f>
        <v>117000</v>
      </c>
      <c r="AF157" s="63">
        <f t="shared" si="74"/>
        <v>217000</v>
      </c>
      <c r="AG157" s="63">
        <v>100000</v>
      </c>
      <c r="AH157" s="63">
        <f>171000</f>
        <v>171000</v>
      </c>
      <c r="AI157" s="63">
        <f t="shared" si="85"/>
        <v>271000</v>
      </c>
      <c r="AJ157" s="63">
        <v>100000</v>
      </c>
      <c r="AK157" s="63">
        <f>95000+57000</f>
        <v>152000</v>
      </c>
      <c r="AL157" s="63">
        <f t="shared" si="75"/>
        <v>252000</v>
      </c>
      <c r="AM157" s="63">
        <v>100000</v>
      </c>
      <c r="AN157" s="63">
        <f>190000</f>
        <v>190000</v>
      </c>
      <c r="AO157" s="63">
        <f t="shared" si="76"/>
        <v>290000</v>
      </c>
      <c r="AP157" s="64">
        <f t="shared" si="77"/>
        <v>2775000</v>
      </c>
      <c r="AQ157" s="65">
        <f t="shared" si="79"/>
        <v>39316.648380731283</v>
      </c>
    </row>
    <row r="158" spans="1:44">
      <c r="A158" s="60">
        <f t="shared" si="78"/>
        <v>154</v>
      </c>
      <c r="B158" s="60">
        <v>99112118</v>
      </c>
      <c r="C158" s="61" t="s">
        <v>557</v>
      </c>
      <c r="D158" s="61" t="s">
        <v>553</v>
      </c>
      <c r="E158" s="62">
        <v>1575000</v>
      </c>
      <c r="F158" s="63">
        <v>100000</v>
      </c>
      <c r="G158" s="63">
        <v>0</v>
      </c>
      <c r="H158" s="63">
        <f t="shared" si="86"/>
        <v>100000</v>
      </c>
      <c r="I158" s="63">
        <v>100000</v>
      </c>
      <c r="J158" s="63">
        <v>0</v>
      </c>
      <c r="K158" s="63">
        <v>0</v>
      </c>
      <c r="L158" s="63">
        <v>100000</v>
      </c>
      <c r="M158" s="63">
        <v>440000</v>
      </c>
      <c r="N158" s="63">
        <f t="shared" si="87"/>
        <v>540000</v>
      </c>
      <c r="O158" s="63">
        <v>100000</v>
      </c>
      <c r="P158" s="63">
        <v>440000</v>
      </c>
      <c r="Q158" s="63">
        <f t="shared" si="80"/>
        <v>540000</v>
      </c>
      <c r="R158" s="63">
        <v>100000</v>
      </c>
      <c r="S158" s="63">
        <f>440000+300000</f>
        <v>740000</v>
      </c>
      <c r="T158" s="63">
        <f t="shared" si="81"/>
        <v>840000</v>
      </c>
      <c r="U158" s="63">
        <v>100000</v>
      </c>
      <c r="V158" s="63">
        <v>440000</v>
      </c>
      <c r="W158" s="63">
        <f t="shared" si="82"/>
        <v>540000</v>
      </c>
      <c r="X158" s="63">
        <v>100000</v>
      </c>
      <c r="Y158" s="63">
        <v>440000</v>
      </c>
      <c r="Z158" s="63">
        <f t="shared" si="72"/>
        <v>540000</v>
      </c>
      <c r="AA158" s="63">
        <v>100000</v>
      </c>
      <c r="AB158" s="63">
        <v>211500</v>
      </c>
      <c r="AC158" s="63">
        <f t="shared" si="73"/>
        <v>311500</v>
      </c>
      <c r="AD158" s="63">
        <v>100000</v>
      </c>
      <c r="AE158" s="63">
        <v>0</v>
      </c>
      <c r="AF158" s="63">
        <f t="shared" si="74"/>
        <v>100000</v>
      </c>
      <c r="AG158" s="63">
        <v>100000</v>
      </c>
      <c r="AH158" s="63">
        <v>0</v>
      </c>
      <c r="AI158" s="63">
        <f t="shared" si="85"/>
        <v>100000</v>
      </c>
      <c r="AJ158" s="63">
        <v>100000</v>
      </c>
      <c r="AK158" s="63">
        <v>0</v>
      </c>
      <c r="AL158" s="63">
        <f t="shared" si="75"/>
        <v>100000</v>
      </c>
      <c r="AM158" s="63">
        <v>100000</v>
      </c>
      <c r="AN158" s="63">
        <f>530000+74000</f>
        <v>604000</v>
      </c>
      <c r="AO158" s="63">
        <f t="shared" si="76"/>
        <v>704000</v>
      </c>
      <c r="AP158" s="64">
        <f t="shared" si="77"/>
        <v>2775000</v>
      </c>
      <c r="AQ158" s="65">
        <f t="shared" si="79"/>
        <v>39316.648380731283</v>
      </c>
    </row>
    <row r="159" spans="1:44">
      <c r="A159" s="60">
        <f t="shared" si="78"/>
        <v>155</v>
      </c>
      <c r="B159" s="67" t="s">
        <v>558</v>
      </c>
      <c r="C159" s="61" t="s">
        <v>559</v>
      </c>
      <c r="D159" s="61" t="s">
        <v>553</v>
      </c>
      <c r="E159" s="62">
        <v>1575000</v>
      </c>
      <c r="F159" s="63">
        <v>100000</v>
      </c>
      <c r="G159" s="63">
        <v>270000</v>
      </c>
      <c r="H159" s="63">
        <f t="shared" si="86"/>
        <v>370000</v>
      </c>
      <c r="I159" s="63">
        <v>100000</v>
      </c>
      <c r="J159" s="63">
        <v>0</v>
      </c>
      <c r="K159" s="63">
        <v>0</v>
      </c>
      <c r="L159" s="63">
        <v>100000</v>
      </c>
      <c r="M159" s="63">
        <v>0</v>
      </c>
      <c r="N159" s="63">
        <f t="shared" si="87"/>
        <v>100000</v>
      </c>
      <c r="O159" s="63">
        <v>100000</v>
      </c>
      <c r="P159" s="63">
        <f>440000+292000</f>
        <v>732000</v>
      </c>
      <c r="Q159" s="63">
        <f t="shared" si="80"/>
        <v>832000</v>
      </c>
      <c r="R159" s="63">
        <v>100000</v>
      </c>
      <c r="S159" s="63">
        <f>440000+92000+123000</f>
        <v>655000</v>
      </c>
      <c r="T159" s="63">
        <f t="shared" si="81"/>
        <v>755000</v>
      </c>
      <c r="U159" s="63">
        <v>100000</v>
      </c>
      <c r="V159" s="63">
        <f>440000+443500</f>
        <v>883500</v>
      </c>
      <c r="W159" s="63">
        <f t="shared" si="82"/>
        <v>983500</v>
      </c>
      <c r="X159" s="63">
        <v>100000</v>
      </c>
      <c r="Y159" s="63">
        <f>440000+561000+129000</f>
        <v>1130000</v>
      </c>
      <c r="Z159" s="63">
        <f t="shared" si="72"/>
        <v>1230000</v>
      </c>
      <c r="AA159" s="63">
        <v>100000</v>
      </c>
      <c r="AB159" s="63">
        <f>440000+188000</f>
        <v>628000</v>
      </c>
      <c r="AC159" s="63">
        <f t="shared" si="73"/>
        <v>728000</v>
      </c>
      <c r="AD159" s="63">
        <v>100000</v>
      </c>
      <c r="AE159" s="63">
        <f>359000</f>
        <v>359000</v>
      </c>
      <c r="AF159" s="63">
        <f t="shared" si="74"/>
        <v>459000</v>
      </c>
      <c r="AG159" s="63">
        <v>100000</v>
      </c>
      <c r="AH159" s="63">
        <f>344000</f>
        <v>344000</v>
      </c>
      <c r="AI159" s="63">
        <f t="shared" si="85"/>
        <v>444000</v>
      </c>
      <c r="AJ159" s="63">
        <v>100000</v>
      </c>
      <c r="AK159" s="63">
        <v>598000</v>
      </c>
      <c r="AL159" s="63">
        <f t="shared" si="75"/>
        <v>698000</v>
      </c>
      <c r="AM159" s="63">
        <v>100000</v>
      </c>
      <c r="AN159" s="63">
        <f>530000+238000</f>
        <v>768000</v>
      </c>
      <c r="AO159" s="63">
        <f t="shared" si="76"/>
        <v>868000</v>
      </c>
      <c r="AP159" s="64">
        <f t="shared" si="77"/>
        <v>2775000</v>
      </c>
      <c r="AQ159" s="65">
        <f t="shared" si="79"/>
        <v>39316.648380731283</v>
      </c>
    </row>
    <row r="160" spans="1:44">
      <c r="A160" s="60">
        <f t="shared" si="78"/>
        <v>156</v>
      </c>
      <c r="B160" s="60">
        <v>95100788</v>
      </c>
      <c r="C160" s="61" t="s">
        <v>560</v>
      </c>
      <c r="D160" s="61" t="s">
        <v>553</v>
      </c>
      <c r="E160" s="62">
        <v>1575000</v>
      </c>
      <c r="F160" s="63">
        <v>100000</v>
      </c>
      <c r="G160" s="63">
        <f>270000+100000</f>
        <v>370000</v>
      </c>
      <c r="H160" s="63">
        <f t="shared" si="86"/>
        <v>470000</v>
      </c>
      <c r="I160" s="63">
        <v>100000</v>
      </c>
      <c r="J160" s="63">
        <v>0</v>
      </c>
      <c r="K160" s="63">
        <v>0</v>
      </c>
      <c r="L160" s="63">
        <v>100000</v>
      </c>
      <c r="M160" s="63">
        <f>270000+169750+114000</f>
        <v>553750</v>
      </c>
      <c r="N160" s="63">
        <f t="shared" si="87"/>
        <v>653750</v>
      </c>
      <c r="O160" s="63">
        <v>100000</v>
      </c>
      <c r="P160" s="63">
        <v>0</v>
      </c>
      <c r="Q160" s="63">
        <f t="shared" si="80"/>
        <v>100000</v>
      </c>
      <c r="R160" s="63">
        <v>100000</v>
      </c>
      <c r="S160" s="63">
        <v>440000</v>
      </c>
      <c r="T160" s="63">
        <f t="shared" si="81"/>
        <v>540000</v>
      </c>
      <c r="U160" s="63">
        <v>100000</v>
      </c>
      <c r="V160" s="63">
        <v>440000</v>
      </c>
      <c r="W160" s="63">
        <f t="shared" si="82"/>
        <v>540000</v>
      </c>
      <c r="X160" s="63">
        <v>100000</v>
      </c>
      <c r="Y160" s="63">
        <f>440000+116000</f>
        <v>556000</v>
      </c>
      <c r="Z160" s="63">
        <f t="shared" si="72"/>
        <v>656000</v>
      </c>
      <c r="AA160" s="63">
        <v>100000</v>
      </c>
      <c r="AB160" s="63">
        <f>440000+117000</f>
        <v>557000</v>
      </c>
      <c r="AC160" s="63">
        <f t="shared" si="73"/>
        <v>657000</v>
      </c>
      <c r="AD160" s="63">
        <v>100000</v>
      </c>
      <c r="AE160" s="63">
        <f>119500+440000</f>
        <v>559500</v>
      </c>
      <c r="AF160" s="63">
        <f t="shared" si="74"/>
        <v>659500</v>
      </c>
      <c r="AG160" s="63">
        <v>100000</v>
      </c>
      <c r="AH160" s="63">
        <f>199000</f>
        <v>199000</v>
      </c>
      <c r="AI160" s="63">
        <f t="shared" si="85"/>
        <v>299000</v>
      </c>
      <c r="AJ160" s="63">
        <v>100000</v>
      </c>
      <c r="AK160" s="63">
        <v>648000</v>
      </c>
      <c r="AL160" s="63">
        <f t="shared" si="75"/>
        <v>748000</v>
      </c>
      <c r="AM160" s="63">
        <v>100000</v>
      </c>
      <c r="AN160" s="63">
        <f>648000</f>
        <v>648000</v>
      </c>
      <c r="AO160" s="63">
        <f t="shared" si="76"/>
        <v>748000</v>
      </c>
      <c r="AP160" s="64">
        <f t="shared" si="77"/>
        <v>2775000</v>
      </c>
      <c r="AQ160" s="65">
        <f t="shared" si="79"/>
        <v>39316.648380731283</v>
      </c>
    </row>
    <row r="161" spans="1:43">
      <c r="A161" s="60">
        <f t="shared" si="78"/>
        <v>157</v>
      </c>
      <c r="B161" s="67" t="s">
        <v>561</v>
      </c>
      <c r="C161" s="61" t="s">
        <v>562</v>
      </c>
      <c r="D161" s="61" t="s">
        <v>553</v>
      </c>
      <c r="E161" s="62">
        <v>1475000</v>
      </c>
      <c r="F161" s="63">
        <v>100000</v>
      </c>
      <c r="G161" s="63">
        <f>270000+480000</f>
        <v>750000</v>
      </c>
      <c r="H161" s="63">
        <f t="shared" si="86"/>
        <v>850000</v>
      </c>
      <c r="I161" s="63">
        <v>100000</v>
      </c>
      <c r="J161" s="63">
        <v>0</v>
      </c>
      <c r="K161" s="63">
        <v>0</v>
      </c>
      <c r="L161" s="63">
        <v>100000</v>
      </c>
      <c r="M161" s="63">
        <f>270000+80000</f>
        <v>350000</v>
      </c>
      <c r="N161" s="63">
        <f t="shared" si="87"/>
        <v>450000</v>
      </c>
      <c r="O161" s="63">
        <v>100000</v>
      </c>
      <c r="P161" s="63">
        <f>270000+330000</f>
        <v>600000</v>
      </c>
      <c r="Q161" s="63">
        <f t="shared" si="80"/>
        <v>700000</v>
      </c>
      <c r="R161" s="63">
        <v>100000</v>
      </c>
      <c r="S161" s="63">
        <f>270000+181000</f>
        <v>451000</v>
      </c>
      <c r="T161" s="63">
        <f t="shared" si="81"/>
        <v>551000</v>
      </c>
      <c r="U161" s="63">
        <v>100000</v>
      </c>
      <c r="V161" s="63">
        <v>440000</v>
      </c>
      <c r="W161" s="63">
        <f t="shared" si="82"/>
        <v>540000</v>
      </c>
      <c r="X161" s="63">
        <v>100000</v>
      </c>
      <c r="Y161" s="63">
        <f>440000+303000</f>
        <v>743000</v>
      </c>
      <c r="Z161" s="63">
        <f t="shared" si="72"/>
        <v>843000</v>
      </c>
      <c r="AA161" s="63">
        <v>100000</v>
      </c>
      <c r="AB161" s="63">
        <v>440000</v>
      </c>
      <c r="AC161" s="63">
        <f t="shared" si="73"/>
        <v>540000</v>
      </c>
      <c r="AD161" s="63">
        <v>100000</v>
      </c>
      <c r="AE161" s="63">
        <v>440000</v>
      </c>
      <c r="AF161" s="63">
        <f t="shared" si="74"/>
        <v>540000</v>
      </c>
      <c r="AG161" s="63">
        <v>100000</v>
      </c>
      <c r="AH161" s="63">
        <f>80000+440000</f>
        <v>520000</v>
      </c>
      <c r="AI161" s="63">
        <f t="shared" si="85"/>
        <v>620000</v>
      </c>
      <c r="AJ161" s="63">
        <v>100000</v>
      </c>
      <c r="AK161" s="63">
        <f>530000+85000</f>
        <v>615000</v>
      </c>
      <c r="AL161" s="63">
        <f t="shared" si="75"/>
        <v>715000</v>
      </c>
      <c r="AM161" s="63">
        <v>100000</v>
      </c>
      <c r="AN161" s="63">
        <f>530000</f>
        <v>530000</v>
      </c>
      <c r="AO161" s="63">
        <f t="shared" si="76"/>
        <v>630000</v>
      </c>
      <c r="AP161" s="64">
        <f t="shared" si="77"/>
        <v>2675000</v>
      </c>
      <c r="AQ161" s="65">
        <f t="shared" si="79"/>
        <v>37899.832222867095</v>
      </c>
    </row>
    <row r="162" spans="1:43">
      <c r="A162" s="60">
        <f t="shared" si="78"/>
        <v>158</v>
      </c>
      <c r="B162" s="60">
        <v>95070578</v>
      </c>
      <c r="C162" s="61" t="s">
        <v>563</v>
      </c>
      <c r="D162" s="61" t="s">
        <v>553</v>
      </c>
      <c r="E162" s="62">
        <v>1575000</v>
      </c>
      <c r="F162" s="63">
        <v>100000</v>
      </c>
      <c r="G162" s="63">
        <v>0</v>
      </c>
      <c r="H162" s="63">
        <f t="shared" si="86"/>
        <v>100000</v>
      </c>
      <c r="I162" s="63">
        <v>100000</v>
      </c>
      <c r="J162" s="63">
        <v>0</v>
      </c>
      <c r="K162" s="63">
        <v>0</v>
      </c>
      <c r="L162" s="63">
        <v>100000</v>
      </c>
      <c r="M162" s="63">
        <v>540000</v>
      </c>
      <c r="N162" s="63">
        <f t="shared" si="87"/>
        <v>640000</v>
      </c>
      <c r="O162" s="63">
        <v>100000</v>
      </c>
      <c r="P162" s="63">
        <f>540000+50000</f>
        <v>590000</v>
      </c>
      <c r="Q162" s="63">
        <f t="shared" si="80"/>
        <v>690000</v>
      </c>
      <c r="R162" s="63">
        <v>100000</v>
      </c>
      <c r="S162" s="63">
        <v>105500</v>
      </c>
      <c r="T162" s="63">
        <f t="shared" si="81"/>
        <v>205500</v>
      </c>
      <c r="U162" s="63">
        <v>100000</v>
      </c>
      <c r="V162" s="63">
        <f>530000+66000</f>
        <v>596000</v>
      </c>
      <c r="W162" s="63">
        <f t="shared" si="82"/>
        <v>696000</v>
      </c>
      <c r="X162" s="63">
        <v>100000</v>
      </c>
      <c r="Y162" s="63">
        <v>530000</v>
      </c>
      <c r="Z162" s="63">
        <f t="shared" si="72"/>
        <v>630000</v>
      </c>
      <c r="AA162" s="63">
        <v>100000</v>
      </c>
      <c r="AB162" s="63">
        <v>54500</v>
      </c>
      <c r="AC162" s="63">
        <f t="shared" si="73"/>
        <v>154500</v>
      </c>
      <c r="AD162" s="63">
        <v>100000</v>
      </c>
      <c r="AE162" s="63">
        <v>0</v>
      </c>
      <c r="AF162" s="63">
        <f t="shared" si="74"/>
        <v>100000</v>
      </c>
      <c r="AG162" s="63">
        <v>100000</v>
      </c>
      <c r="AH162" s="63">
        <f>530000</f>
        <v>530000</v>
      </c>
      <c r="AI162" s="63">
        <f t="shared" si="85"/>
        <v>630000</v>
      </c>
      <c r="AJ162" s="63">
        <v>100000</v>
      </c>
      <c r="AK162" s="63">
        <f>530000+96000</f>
        <v>626000</v>
      </c>
      <c r="AL162" s="63">
        <f t="shared" si="75"/>
        <v>726000</v>
      </c>
      <c r="AM162" s="63">
        <v>100000</v>
      </c>
      <c r="AN162" s="63">
        <v>71000</v>
      </c>
      <c r="AO162" s="63">
        <f t="shared" si="76"/>
        <v>171000</v>
      </c>
      <c r="AP162" s="64">
        <f t="shared" si="77"/>
        <v>2775000</v>
      </c>
      <c r="AQ162" s="65">
        <f t="shared" si="79"/>
        <v>39316.648380731283</v>
      </c>
    </row>
    <row r="163" spans="1:43">
      <c r="A163" s="60">
        <f t="shared" si="78"/>
        <v>159</v>
      </c>
      <c r="B163" s="60">
        <v>95070558</v>
      </c>
      <c r="C163" s="61" t="s">
        <v>564</v>
      </c>
      <c r="D163" s="61" t="s">
        <v>553</v>
      </c>
      <c r="E163" s="62">
        <v>1575000</v>
      </c>
      <c r="F163" s="63">
        <v>100000</v>
      </c>
      <c r="G163" s="63">
        <v>270000</v>
      </c>
      <c r="H163" s="63">
        <f t="shared" si="86"/>
        <v>370000</v>
      </c>
      <c r="I163" s="63">
        <v>100000</v>
      </c>
      <c r="J163" s="63">
        <v>0</v>
      </c>
      <c r="K163" s="63">
        <v>0</v>
      </c>
      <c r="L163" s="63">
        <v>100000</v>
      </c>
      <c r="M163" s="63">
        <v>440000</v>
      </c>
      <c r="N163" s="63">
        <f t="shared" si="87"/>
        <v>540000</v>
      </c>
      <c r="O163" s="63">
        <v>100000</v>
      </c>
      <c r="P163" s="63">
        <v>440000</v>
      </c>
      <c r="Q163" s="63">
        <f t="shared" si="80"/>
        <v>540000</v>
      </c>
      <c r="R163" s="63">
        <v>100000</v>
      </c>
      <c r="S163" s="63">
        <v>440000</v>
      </c>
      <c r="T163" s="63">
        <f t="shared" si="81"/>
        <v>540000</v>
      </c>
      <c r="U163" s="63">
        <v>100000</v>
      </c>
      <c r="V163" s="63">
        <f>440000+176000</f>
        <v>616000</v>
      </c>
      <c r="W163" s="63">
        <f t="shared" si="82"/>
        <v>716000</v>
      </c>
      <c r="X163" s="63">
        <v>100000</v>
      </c>
      <c r="Y163" s="63">
        <f>440000+170000</f>
        <v>610000</v>
      </c>
      <c r="Z163" s="63">
        <f t="shared" si="72"/>
        <v>710000</v>
      </c>
      <c r="AA163" s="63">
        <v>100000</v>
      </c>
      <c r="AB163" s="63">
        <v>0</v>
      </c>
      <c r="AC163" s="63">
        <f t="shared" si="73"/>
        <v>100000</v>
      </c>
      <c r="AD163" s="63">
        <v>100000</v>
      </c>
      <c r="AE163" s="63">
        <v>540000</v>
      </c>
      <c r="AF163" s="63">
        <f t="shared" si="74"/>
        <v>640000</v>
      </c>
      <c r="AG163" s="63">
        <v>100000</v>
      </c>
      <c r="AH163" s="63">
        <f>540000</f>
        <v>540000</v>
      </c>
      <c r="AI163" s="63">
        <f t="shared" si="85"/>
        <v>640000</v>
      </c>
      <c r="AJ163" s="63">
        <v>100000</v>
      </c>
      <c r="AK163" s="63">
        <v>540000</v>
      </c>
      <c r="AL163" s="63">
        <f t="shared" si="75"/>
        <v>640000</v>
      </c>
      <c r="AM163" s="63">
        <v>100000</v>
      </c>
      <c r="AN163" s="63">
        <f>540000</f>
        <v>540000</v>
      </c>
      <c r="AO163" s="63">
        <f t="shared" si="76"/>
        <v>640000</v>
      </c>
      <c r="AP163" s="64">
        <f t="shared" si="77"/>
        <v>2775000</v>
      </c>
      <c r="AQ163" s="65">
        <f t="shared" si="79"/>
        <v>39316.648380731283</v>
      </c>
    </row>
    <row r="164" spans="1:43">
      <c r="A164" s="60">
        <f t="shared" si="78"/>
        <v>160</v>
      </c>
      <c r="B164" s="73" t="s">
        <v>565</v>
      </c>
      <c r="C164" s="61" t="s">
        <v>566</v>
      </c>
      <c r="D164" s="61" t="s">
        <v>553</v>
      </c>
      <c r="E164" s="62">
        <v>0</v>
      </c>
      <c r="F164" s="62">
        <v>0</v>
      </c>
      <c r="G164" s="62">
        <v>0</v>
      </c>
      <c r="H164" s="62">
        <v>0</v>
      </c>
      <c r="I164" s="62">
        <v>200000</v>
      </c>
      <c r="J164" s="62">
        <v>0</v>
      </c>
      <c r="K164" s="62">
        <v>0</v>
      </c>
      <c r="L164" s="62">
        <v>100000</v>
      </c>
      <c r="M164" s="62">
        <v>0</v>
      </c>
      <c r="N164" s="63">
        <f t="shared" si="87"/>
        <v>100000</v>
      </c>
      <c r="O164" s="63">
        <v>100000</v>
      </c>
      <c r="P164" s="62">
        <f>265000+400000</f>
        <v>665000</v>
      </c>
      <c r="Q164" s="63">
        <f t="shared" si="80"/>
        <v>765000</v>
      </c>
      <c r="R164" s="63">
        <v>100000</v>
      </c>
      <c r="S164" s="62">
        <v>265000</v>
      </c>
      <c r="T164" s="63">
        <f t="shared" si="81"/>
        <v>365000</v>
      </c>
      <c r="U164" s="63">
        <v>100000</v>
      </c>
      <c r="V164" s="62">
        <v>265000</v>
      </c>
      <c r="W164" s="63">
        <f t="shared" si="82"/>
        <v>365000</v>
      </c>
      <c r="X164" s="63">
        <v>100000</v>
      </c>
      <c r="Y164" s="62">
        <v>265000</v>
      </c>
      <c r="Z164" s="63">
        <f t="shared" ref="Z164:Z195" si="88">X164+Y164</f>
        <v>365000</v>
      </c>
      <c r="AA164" s="63">
        <v>100000</v>
      </c>
      <c r="AB164" s="62">
        <v>440000</v>
      </c>
      <c r="AC164" s="63">
        <f t="shared" ref="AC164:AC195" si="89">AB164+AA164</f>
        <v>540000</v>
      </c>
      <c r="AD164" s="63">
        <v>100000</v>
      </c>
      <c r="AE164" s="62">
        <v>440000</v>
      </c>
      <c r="AF164" s="63">
        <f t="shared" ref="AF164:AF195" si="90">AD164+AE164</f>
        <v>540000</v>
      </c>
      <c r="AG164" s="63">
        <v>100000</v>
      </c>
      <c r="AH164" s="62">
        <v>440000</v>
      </c>
      <c r="AI164" s="63">
        <f t="shared" si="85"/>
        <v>540000</v>
      </c>
      <c r="AJ164" s="63">
        <v>100000</v>
      </c>
      <c r="AK164" s="62">
        <f>440000+204000</f>
        <v>644000</v>
      </c>
      <c r="AL164" s="63">
        <f t="shared" si="75"/>
        <v>744000</v>
      </c>
      <c r="AM164" s="63">
        <v>100000</v>
      </c>
      <c r="AN164" s="62">
        <f>440000+499000</f>
        <v>939000</v>
      </c>
      <c r="AO164" s="63">
        <f t="shared" si="76"/>
        <v>1039000</v>
      </c>
      <c r="AP164" s="64">
        <f t="shared" si="77"/>
        <v>1200000</v>
      </c>
      <c r="AQ164" s="65">
        <f t="shared" si="79"/>
        <v>17001.793894370283</v>
      </c>
    </row>
    <row r="165" spans="1:43">
      <c r="A165" s="60">
        <f t="shared" si="78"/>
        <v>161</v>
      </c>
      <c r="B165" s="67" t="s">
        <v>567</v>
      </c>
      <c r="C165" s="61" t="s">
        <v>568</v>
      </c>
      <c r="D165" s="61" t="s">
        <v>569</v>
      </c>
      <c r="E165" s="62">
        <v>1575000</v>
      </c>
      <c r="F165" s="63">
        <v>100000</v>
      </c>
      <c r="G165" s="63">
        <v>405000</v>
      </c>
      <c r="H165" s="63">
        <f t="shared" ref="H165:H179" si="91">F165+G165</f>
        <v>505000</v>
      </c>
      <c r="I165" s="63">
        <v>100000</v>
      </c>
      <c r="J165" s="63">
        <v>0</v>
      </c>
      <c r="K165" s="63">
        <v>0</v>
      </c>
      <c r="L165" s="63">
        <v>100000</v>
      </c>
      <c r="M165" s="63">
        <v>0</v>
      </c>
      <c r="N165" s="63">
        <f t="shared" si="87"/>
        <v>100000</v>
      </c>
      <c r="O165" s="63">
        <v>100000</v>
      </c>
      <c r="P165" s="63">
        <v>265000</v>
      </c>
      <c r="Q165" s="63">
        <f t="shared" si="80"/>
        <v>365000</v>
      </c>
      <c r="R165" s="63">
        <v>100000</v>
      </c>
      <c r="S165" s="63">
        <v>265000</v>
      </c>
      <c r="T165" s="63">
        <f t="shared" si="81"/>
        <v>365000</v>
      </c>
      <c r="U165" s="63">
        <v>100000</v>
      </c>
      <c r="V165" s="63">
        <v>265000</v>
      </c>
      <c r="W165" s="63">
        <f t="shared" si="82"/>
        <v>365000</v>
      </c>
      <c r="X165" s="63">
        <v>100000</v>
      </c>
      <c r="Y165" s="63">
        <f>265000+35000</f>
        <v>300000</v>
      </c>
      <c r="Z165" s="63">
        <f t="shared" si="88"/>
        <v>400000</v>
      </c>
      <c r="AA165" s="63">
        <v>100000</v>
      </c>
      <c r="AB165" s="63">
        <v>0</v>
      </c>
      <c r="AC165" s="63">
        <f t="shared" si="89"/>
        <v>100000</v>
      </c>
      <c r="AD165" s="63">
        <v>100000</v>
      </c>
      <c r="AE165" s="63">
        <v>0</v>
      </c>
      <c r="AF165" s="63">
        <f t="shared" si="90"/>
        <v>100000</v>
      </c>
      <c r="AG165" s="63">
        <v>100000</v>
      </c>
      <c r="AH165" s="63">
        <v>0</v>
      </c>
      <c r="AI165" s="63">
        <f t="shared" si="85"/>
        <v>100000</v>
      </c>
      <c r="AJ165" s="63">
        <v>100000</v>
      </c>
      <c r="AK165" s="63">
        <v>0</v>
      </c>
      <c r="AL165" s="63">
        <f t="shared" si="75"/>
        <v>100000</v>
      </c>
      <c r="AM165" s="63">
        <v>100000</v>
      </c>
      <c r="AN165" s="63">
        <f>530000</f>
        <v>530000</v>
      </c>
      <c r="AO165" s="63">
        <f t="shared" si="76"/>
        <v>630000</v>
      </c>
      <c r="AP165" s="64">
        <f t="shared" si="77"/>
        <v>2775000</v>
      </c>
      <c r="AQ165" s="65">
        <f t="shared" si="79"/>
        <v>39316.648380731283</v>
      </c>
    </row>
    <row r="166" spans="1:43">
      <c r="A166" s="60">
        <f t="shared" si="78"/>
        <v>162</v>
      </c>
      <c r="B166" s="60">
        <v>12109438</v>
      </c>
      <c r="C166" s="61" t="s">
        <v>570</v>
      </c>
      <c r="D166" s="61" t="s">
        <v>569</v>
      </c>
      <c r="E166" s="62">
        <v>1250000</v>
      </c>
      <c r="F166" s="63">
        <v>100000</v>
      </c>
      <c r="G166" s="63">
        <v>405000</v>
      </c>
      <c r="H166" s="63">
        <f t="shared" si="91"/>
        <v>505000</v>
      </c>
      <c r="I166" s="63">
        <v>100000</v>
      </c>
      <c r="J166" s="63">
        <v>0</v>
      </c>
      <c r="K166" s="63">
        <v>0</v>
      </c>
      <c r="L166" s="63">
        <v>100000</v>
      </c>
      <c r="M166" s="63">
        <v>440000</v>
      </c>
      <c r="N166" s="63">
        <f t="shared" si="87"/>
        <v>540000</v>
      </c>
      <c r="O166" s="63">
        <v>100000</v>
      </c>
      <c r="P166" s="63">
        <v>440000</v>
      </c>
      <c r="Q166" s="63">
        <f t="shared" si="80"/>
        <v>540000</v>
      </c>
      <c r="R166" s="63">
        <v>100000</v>
      </c>
      <c r="S166" s="63">
        <v>440000</v>
      </c>
      <c r="T166" s="63">
        <f t="shared" si="81"/>
        <v>540000</v>
      </c>
      <c r="U166" s="63">
        <v>100000</v>
      </c>
      <c r="V166" s="63">
        <v>440000</v>
      </c>
      <c r="W166" s="63">
        <f t="shared" si="82"/>
        <v>540000</v>
      </c>
      <c r="X166" s="63">
        <v>100000</v>
      </c>
      <c r="Y166" s="63">
        <v>162500</v>
      </c>
      <c r="Z166" s="63">
        <f t="shared" si="88"/>
        <v>262500</v>
      </c>
      <c r="AA166" s="63">
        <v>100000</v>
      </c>
      <c r="AB166" s="63">
        <v>405000</v>
      </c>
      <c r="AC166" s="63">
        <f t="shared" si="89"/>
        <v>505000</v>
      </c>
      <c r="AD166" s="63">
        <v>100000</v>
      </c>
      <c r="AE166" s="63">
        <v>405000</v>
      </c>
      <c r="AF166" s="63">
        <f t="shared" si="90"/>
        <v>505000</v>
      </c>
      <c r="AG166" s="63">
        <v>100000</v>
      </c>
      <c r="AH166" s="63">
        <f>405000</f>
        <v>405000</v>
      </c>
      <c r="AI166" s="63">
        <f t="shared" si="85"/>
        <v>505000</v>
      </c>
      <c r="AJ166" s="63">
        <v>100000</v>
      </c>
      <c r="AK166" s="63">
        <v>405000</v>
      </c>
      <c r="AL166" s="63">
        <f t="shared" si="75"/>
        <v>505000</v>
      </c>
      <c r="AM166" s="63">
        <v>100000</v>
      </c>
      <c r="AN166" s="63">
        <f>530000</f>
        <v>530000</v>
      </c>
      <c r="AO166" s="63">
        <f t="shared" si="76"/>
        <v>630000</v>
      </c>
      <c r="AP166" s="64">
        <f t="shared" si="77"/>
        <v>2450000</v>
      </c>
      <c r="AQ166" s="65">
        <f t="shared" si="79"/>
        <v>34711.995867672667</v>
      </c>
    </row>
    <row r="167" spans="1:43">
      <c r="A167" s="60">
        <f t="shared" si="78"/>
        <v>163</v>
      </c>
      <c r="B167" s="60">
        <v>99122228</v>
      </c>
      <c r="C167" s="61" t="s">
        <v>571</v>
      </c>
      <c r="D167" s="61" t="s">
        <v>569</v>
      </c>
      <c r="E167" s="62">
        <v>1575000</v>
      </c>
      <c r="F167" s="63">
        <v>100000</v>
      </c>
      <c r="G167" s="63">
        <v>405000</v>
      </c>
      <c r="H167" s="63">
        <f t="shared" si="91"/>
        <v>505000</v>
      </c>
      <c r="I167" s="63">
        <v>100000</v>
      </c>
      <c r="J167" s="63">
        <v>0</v>
      </c>
      <c r="K167" s="63">
        <v>0</v>
      </c>
      <c r="L167" s="63">
        <v>100000</v>
      </c>
      <c r="M167" s="63">
        <v>0</v>
      </c>
      <c r="N167" s="63">
        <f t="shared" si="87"/>
        <v>100000</v>
      </c>
      <c r="O167" s="63">
        <v>100000</v>
      </c>
      <c r="P167" s="63">
        <v>440000</v>
      </c>
      <c r="Q167" s="63">
        <f t="shared" si="80"/>
        <v>540000</v>
      </c>
      <c r="R167" s="63">
        <v>100000</v>
      </c>
      <c r="S167" s="63">
        <v>440000</v>
      </c>
      <c r="T167" s="63">
        <f t="shared" si="81"/>
        <v>540000</v>
      </c>
      <c r="U167" s="63">
        <v>100000</v>
      </c>
      <c r="V167" s="63">
        <v>440000</v>
      </c>
      <c r="W167" s="63">
        <f t="shared" si="82"/>
        <v>540000</v>
      </c>
      <c r="X167" s="63">
        <v>100000</v>
      </c>
      <c r="Y167" s="63">
        <v>440000</v>
      </c>
      <c r="Z167" s="63">
        <f t="shared" si="88"/>
        <v>540000</v>
      </c>
      <c r="AA167" s="63">
        <v>100000</v>
      </c>
      <c r="AB167" s="63">
        <v>440000</v>
      </c>
      <c r="AC167" s="63">
        <f t="shared" si="89"/>
        <v>540000</v>
      </c>
      <c r="AD167" s="63">
        <v>100000</v>
      </c>
      <c r="AE167" s="63">
        <v>405000</v>
      </c>
      <c r="AF167" s="63">
        <f t="shared" si="90"/>
        <v>505000</v>
      </c>
      <c r="AG167" s="63">
        <v>100000</v>
      </c>
      <c r="AH167" s="63">
        <f>405000</f>
        <v>405000</v>
      </c>
      <c r="AI167" s="63">
        <f t="shared" si="85"/>
        <v>505000</v>
      </c>
      <c r="AJ167" s="63">
        <v>100000</v>
      </c>
      <c r="AK167" s="63">
        <v>405000</v>
      </c>
      <c r="AL167" s="63">
        <f t="shared" si="75"/>
        <v>505000</v>
      </c>
      <c r="AM167" s="63">
        <v>100000</v>
      </c>
      <c r="AN167" s="63">
        <f>405000</f>
        <v>405000</v>
      </c>
      <c r="AO167" s="63">
        <f t="shared" si="76"/>
        <v>505000</v>
      </c>
      <c r="AP167" s="64">
        <f t="shared" si="77"/>
        <v>2775000</v>
      </c>
      <c r="AQ167" s="65">
        <f t="shared" si="79"/>
        <v>39316.648380731283</v>
      </c>
    </row>
    <row r="168" spans="1:43">
      <c r="A168" s="60">
        <f t="shared" si="78"/>
        <v>164</v>
      </c>
      <c r="B168" s="67" t="s">
        <v>663</v>
      </c>
      <c r="C168" s="61" t="s">
        <v>573</v>
      </c>
      <c r="D168" s="61" t="s">
        <v>572</v>
      </c>
      <c r="E168" s="62">
        <v>1425000</v>
      </c>
      <c r="F168" s="63">
        <v>100000</v>
      </c>
      <c r="G168" s="63">
        <f>270000+1300000</f>
        <v>1570000</v>
      </c>
      <c r="H168" s="63">
        <f t="shared" si="91"/>
        <v>1670000</v>
      </c>
      <c r="I168" s="63">
        <v>100000</v>
      </c>
      <c r="J168" s="63">
        <v>0</v>
      </c>
      <c r="K168" s="63">
        <v>0</v>
      </c>
      <c r="L168" s="63">
        <v>100000</v>
      </c>
      <c r="M168" s="63">
        <f>270000+660000</f>
        <v>930000</v>
      </c>
      <c r="N168" s="63">
        <f t="shared" si="87"/>
        <v>1030000</v>
      </c>
      <c r="O168" s="63">
        <v>100000</v>
      </c>
      <c r="P168" s="63">
        <f>270000+1238300</f>
        <v>1508300</v>
      </c>
      <c r="Q168" s="63">
        <f t="shared" si="80"/>
        <v>1608300</v>
      </c>
      <c r="R168" s="63">
        <v>100000</v>
      </c>
      <c r="S168" s="63">
        <f>550000+1372000-AR168</f>
        <v>1922000</v>
      </c>
      <c r="T168" s="63">
        <f t="shared" si="81"/>
        <v>2022000</v>
      </c>
      <c r="U168" s="63">
        <v>100000</v>
      </c>
      <c r="V168" s="63">
        <f>1100000+944500+719500-1364000</f>
        <v>1400000</v>
      </c>
      <c r="W168" s="69">
        <f t="shared" si="82"/>
        <v>1500000</v>
      </c>
      <c r="X168" s="63">
        <v>100000</v>
      </c>
      <c r="Y168" s="63">
        <f>1364000+1100000-864000</f>
        <v>1600000</v>
      </c>
      <c r="Z168" s="69">
        <f t="shared" si="88"/>
        <v>1700000</v>
      </c>
      <c r="AA168" s="63">
        <v>100000</v>
      </c>
      <c r="AB168" s="63">
        <f>864000+1080000+38000-382000</f>
        <v>1600000</v>
      </c>
      <c r="AC168" s="63">
        <f t="shared" si="89"/>
        <v>1700000</v>
      </c>
      <c r="AD168" s="63">
        <v>100000</v>
      </c>
      <c r="AE168" s="63">
        <f>382000+1080000</f>
        <v>1462000</v>
      </c>
      <c r="AF168" s="63">
        <f t="shared" si="90"/>
        <v>1562000</v>
      </c>
      <c r="AG168" s="63">
        <v>100000</v>
      </c>
      <c r="AH168" s="63">
        <f>95000+1080000</f>
        <v>1175000</v>
      </c>
      <c r="AI168" s="63">
        <f t="shared" si="85"/>
        <v>1275000</v>
      </c>
      <c r="AJ168" s="63">
        <v>100000</v>
      </c>
      <c r="AK168" s="63">
        <f>1060000+518000</f>
        <v>1578000</v>
      </c>
      <c r="AL168" s="63">
        <f t="shared" si="75"/>
        <v>1678000</v>
      </c>
      <c r="AM168" s="63">
        <v>100000</v>
      </c>
      <c r="AN168" s="63">
        <f>1060000+286000</f>
        <v>1346000</v>
      </c>
      <c r="AO168" s="63">
        <f t="shared" si="76"/>
        <v>1446000</v>
      </c>
      <c r="AP168" s="64">
        <f t="shared" si="77"/>
        <v>2625000</v>
      </c>
      <c r="AQ168" s="65">
        <f t="shared" si="79"/>
        <v>37191.424143935001</v>
      </c>
    </row>
    <row r="169" spans="1:43">
      <c r="A169" s="60">
        <f t="shared" si="78"/>
        <v>165</v>
      </c>
      <c r="B169" s="67" t="s">
        <v>574</v>
      </c>
      <c r="C169" s="61" t="s">
        <v>575</v>
      </c>
      <c r="D169" s="61" t="s">
        <v>572</v>
      </c>
      <c r="E169" s="62">
        <v>1575000</v>
      </c>
      <c r="F169" s="63">
        <v>100000</v>
      </c>
      <c r="G169" s="63">
        <f>270000+725000</f>
        <v>995000</v>
      </c>
      <c r="H169" s="63">
        <f t="shared" si="91"/>
        <v>1095000</v>
      </c>
      <c r="I169" s="63">
        <v>100000</v>
      </c>
      <c r="J169" s="63">
        <v>0</v>
      </c>
      <c r="K169" s="63">
        <v>0</v>
      </c>
      <c r="L169" s="63">
        <v>100000</v>
      </c>
      <c r="M169" s="63">
        <f>440000+238000</f>
        <v>678000</v>
      </c>
      <c r="N169" s="63">
        <f t="shared" si="87"/>
        <v>778000</v>
      </c>
      <c r="O169" s="63">
        <v>100000</v>
      </c>
      <c r="P169" s="63">
        <f>440000+46500</f>
        <v>486500</v>
      </c>
      <c r="Q169" s="63">
        <f t="shared" si="80"/>
        <v>586500</v>
      </c>
      <c r="R169" s="63">
        <v>100000</v>
      </c>
      <c r="S169" s="63">
        <f>440000+897000</f>
        <v>1337000</v>
      </c>
      <c r="T169" s="63">
        <f t="shared" si="81"/>
        <v>1437000</v>
      </c>
      <c r="U169" s="63">
        <v>100000</v>
      </c>
      <c r="V169" s="63">
        <f>440000+274000</f>
        <v>714000</v>
      </c>
      <c r="W169" s="63">
        <f t="shared" si="82"/>
        <v>814000</v>
      </c>
      <c r="X169" s="63">
        <v>100000</v>
      </c>
      <c r="Y169" s="63">
        <f>440000+256500</f>
        <v>696500</v>
      </c>
      <c r="Z169" s="63">
        <f t="shared" si="88"/>
        <v>796500</v>
      </c>
      <c r="AA169" s="63">
        <v>100000</v>
      </c>
      <c r="AB169" s="63">
        <f>540000+145000</f>
        <v>685000</v>
      </c>
      <c r="AC169" s="63">
        <f t="shared" si="89"/>
        <v>785000</v>
      </c>
      <c r="AD169" s="63">
        <v>100000</v>
      </c>
      <c r="AE169" s="63">
        <f>181000+540000</f>
        <v>721000</v>
      </c>
      <c r="AF169" s="63">
        <f t="shared" si="90"/>
        <v>821000</v>
      </c>
      <c r="AG169" s="63">
        <v>100000</v>
      </c>
      <c r="AH169" s="63">
        <f>65000+540000</f>
        <v>605000</v>
      </c>
      <c r="AI169" s="63">
        <f t="shared" si="85"/>
        <v>705000</v>
      </c>
      <c r="AJ169" s="63">
        <v>100000</v>
      </c>
      <c r="AK169" s="63">
        <v>0</v>
      </c>
      <c r="AL169" s="63">
        <f t="shared" si="75"/>
        <v>100000</v>
      </c>
      <c r="AM169" s="63">
        <v>100000</v>
      </c>
      <c r="AN169" s="63">
        <f>540000+593000</f>
        <v>1133000</v>
      </c>
      <c r="AO169" s="63">
        <f t="shared" si="76"/>
        <v>1233000</v>
      </c>
      <c r="AP169" s="64">
        <f t="shared" si="77"/>
        <v>2775000</v>
      </c>
      <c r="AQ169" s="65">
        <f t="shared" si="79"/>
        <v>39316.648380731283</v>
      </c>
    </row>
    <row r="170" spans="1:43">
      <c r="A170" s="60">
        <f t="shared" si="78"/>
        <v>166</v>
      </c>
      <c r="B170" s="60">
        <v>99101839</v>
      </c>
      <c r="C170" s="61" t="s">
        <v>576</v>
      </c>
      <c r="D170" s="61" t="s">
        <v>572</v>
      </c>
      <c r="E170" s="62">
        <v>1575000</v>
      </c>
      <c r="F170" s="63">
        <v>100000</v>
      </c>
      <c r="G170" s="63">
        <v>265000</v>
      </c>
      <c r="H170" s="63">
        <f t="shared" si="91"/>
        <v>365000</v>
      </c>
      <c r="I170" s="63">
        <v>100000</v>
      </c>
      <c r="J170" s="63">
        <v>0</v>
      </c>
      <c r="K170" s="63">
        <v>0</v>
      </c>
      <c r="L170" s="63">
        <v>100000</v>
      </c>
      <c r="M170" s="63">
        <v>440000</v>
      </c>
      <c r="N170" s="63">
        <f t="shared" si="87"/>
        <v>540000</v>
      </c>
      <c r="O170" s="63">
        <v>100000</v>
      </c>
      <c r="P170" s="63">
        <v>440000</v>
      </c>
      <c r="Q170" s="63">
        <f t="shared" si="80"/>
        <v>540000</v>
      </c>
      <c r="R170" s="63">
        <v>100000</v>
      </c>
      <c r="S170" s="63">
        <v>440000</v>
      </c>
      <c r="T170" s="63">
        <f t="shared" si="81"/>
        <v>540000</v>
      </c>
      <c r="U170" s="63">
        <v>100000</v>
      </c>
      <c r="V170" s="63">
        <v>440000</v>
      </c>
      <c r="W170" s="63">
        <f t="shared" si="82"/>
        <v>540000</v>
      </c>
      <c r="X170" s="63">
        <v>100000</v>
      </c>
      <c r="Y170" s="63">
        <v>440000</v>
      </c>
      <c r="Z170" s="63">
        <f t="shared" si="88"/>
        <v>540000</v>
      </c>
      <c r="AA170" s="63">
        <v>100000</v>
      </c>
      <c r="AB170" s="63">
        <v>0</v>
      </c>
      <c r="AC170" s="63">
        <f t="shared" si="89"/>
        <v>100000</v>
      </c>
      <c r="AD170" s="63">
        <v>100000</v>
      </c>
      <c r="AE170" s="63">
        <v>440000</v>
      </c>
      <c r="AF170" s="63">
        <f t="shared" si="90"/>
        <v>540000</v>
      </c>
      <c r="AG170" s="63">
        <v>100000</v>
      </c>
      <c r="AH170" s="63">
        <f>440000</f>
        <v>440000</v>
      </c>
      <c r="AI170" s="63">
        <f t="shared" si="85"/>
        <v>540000</v>
      </c>
      <c r="AJ170" s="63">
        <v>100000</v>
      </c>
      <c r="AK170" s="63">
        <v>440000</v>
      </c>
      <c r="AL170" s="63">
        <f t="shared" si="75"/>
        <v>540000</v>
      </c>
      <c r="AM170" s="63">
        <v>100000</v>
      </c>
      <c r="AN170" s="63">
        <f>440000</f>
        <v>440000</v>
      </c>
      <c r="AO170" s="63">
        <f t="shared" si="76"/>
        <v>540000</v>
      </c>
      <c r="AP170" s="64">
        <f t="shared" si="77"/>
        <v>2775000</v>
      </c>
      <c r="AQ170" s="65">
        <f t="shared" si="79"/>
        <v>39316.648380731283</v>
      </c>
    </row>
    <row r="171" spans="1:43">
      <c r="A171" s="60">
        <f t="shared" si="78"/>
        <v>167</v>
      </c>
      <c r="B171" s="60">
        <v>99122238</v>
      </c>
      <c r="C171" s="61" t="s">
        <v>577</v>
      </c>
      <c r="D171" s="61" t="s">
        <v>572</v>
      </c>
      <c r="E171" s="62">
        <v>1575000</v>
      </c>
      <c r="F171" s="63">
        <v>100000</v>
      </c>
      <c r="G171" s="63">
        <f>440000+96000</f>
        <v>536000</v>
      </c>
      <c r="H171" s="63">
        <f t="shared" si="91"/>
        <v>636000</v>
      </c>
      <c r="I171" s="63">
        <v>100000</v>
      </c>
      <c r="J171" s="63">
        <v>0</v>
      </c>
      <c r="K171" s="63">
        <v>0</v>
      </c>
      <c r="L171" s="63">
        <v>100000</v>
      </c>
      <c r="M171" s="63">
        <f>440000+833000</f>
        <v>1273000</v>
      </c>
      <c r="N171" s="63">
        <f t="shared" si="87"/>
        <v>1373000</v>
      </c>
      <c r="O171" s="63">
        <v>100000</v>
      </c>
      <c r="P171" s="63">
        <f>440000+909000</f>
        <v>1349000</v>
      </c>
      <c r="Q171" s="63">
        <f t="shared" ref="Q171:Q202" si="92">SUM(O171:P171)</f>
        <v>1449000</v>
      </c>
      <c r="R171" s="63">
        <v>100000</v>
      </c>
      <c r="S171" s="63">
        <f>440000+973500</f>
        <v>1413500</v>
      </c>
      <c r="T171" s="63">
        <f t="shared" ref="T171:T202" si="93">R171+S171</f>
        <v>1513500</v>
      </c>
      <c r="U171" s="63">
        <v>100000</v>
      </c>
      <c r="V171" s="63">
        <f>440000+1004000</f>
        <v>1444000</v>
      </c>
      <c r="W171" s="63">
        <f t="shared" ref="W171:W202" si="94">U171+V171</f>
        <v>1544000</v>
      </c>
      <c r="X171" s="63">
        <v>100000</v>
      </c>
      <c r="Y171" s="63">
        <f>440000+761000</f>
        <v>1201000</v>
      </c>
      <c r="Z171" s="63">
        <f t="shared" si="88"/>
        <v>1301000</v>
      </c>
      <c r="AA171" s="63">
        <v>100000</v>
      </c>
      <c r="AB171" s="63">
        <f>440000+458000</f>
        <v>898000</v>
      </c>
      <c r="AC171" s="63">
        <f t="shared" si="89"/>
        <v>998000</v>
      </c>
      <c r="AD171" s="63">
        <v>100000</v>
      </c>
      <c r="AE171" s="63">
        <f>403000+440000</f>
        <v>843000</v>
      </c>
      <c r="AF171" s="63">
        <f t="shared" si="90"/>
        <v>943000</v>
      </c>
      <c r="AG171" s="63">
        <v>100000</v>
      </c>
      <c r="AH171" s="63">
        <f>771000+440000</f>
        <v>1211000</v>
      </c>
      <c r="AI171" s="63">
        <f t="shared" si="85"/>
        <v>1311000</v>
      </c>
      <c r="AJ171" s="63">
        <v>100000</v>
      </c>
      <c r="AK171" s="63">
        <f>636000+814500</f>
        <v>1450500</v>
      </c>
      <c r="AL171" s="63">
        <f t="shared" si="75"/>
        <v>1550500</v>
      </c>
      <c r="AM171" s="63">
        <v>100000</v>
      </c>
      <c r="AN171" s="63">
        <f>636000+749000</f>
        <v>1385000</v>
      </c>
      <c r="AO171" s="63">
        <f t="shared" si="76"/>
        <v>1485000</v>
      </c>
      <c r="AP171" s="64">
        <f t="shared" si="77"/>
        <v>2775000</v>
      </c>
      <c r="AQ171" s="65">
        <f t="shared" si="79"/>
        <v>39316.648380731283</v>
      </c>
    </row>
    <row r="172" spans="1:43">
      <c r="A172" s="60">
        <f t="shared" si="78"/>
        <v>168</v>
      </c>
      <c r="B172" s="60">
        <v>96071108</v>
      </c>
      <c r="C172" s="61" t="s">
        <v>578</v>
      </c>
      <c r="D172" s="61" t="s">
        <v>572</v>
      </c>
      <c r="E172" s="62">
        <v>1575000</v>
      </c>
      <c r="F172" s="63">
        <v>100000</v>
      </c>
      <c r="G172" s="63">
        <v>0</v>
      </c>
      <c r="H172" s="63">
        <f t="shared" si="91"/>
        <v>100000</v>
      </c>
      <c r="I172" s="63">
        <v>100000</v>
      </c>
      <c r="J172" s="63">
        <v>0</v>
      </c>
      <c r="K172" s="63">
        <v>0</v>
      </c>
      <c r="L172" s="63">
        <v>100000</v>
      </c>
      <c r="M172" s="63">
        <v>550000</v>
      </c>
      <c r="N172" s="63">
        <f t="shared" si="87"/>
        <v>650000</v>
      </c>
      <c r="O172" s="63">
        <v>100000</v>
      </c>
      <c r="P172" s="63">
        <v>550000</v>
      </c>
      <c r="Q172" s="63">
        <f t="shared" si="92"/>
        <v>650000</v>
      </c>
      <c r="R172" s="63">
        <v>100000</v>
      </c>
      <c r="S172" s="63">
        <v>550000</v>
      </c>
      <c r="T172" s="63">
        <f t="shared" si="93"/>
        <v>650000</v>
      </c>
      <c r="U172" s="63">
        <v>100000</v>
      </c>
      <c r="V172" s="63">
        <v>0</v>
      </c>
      <c r="W172" s="63">
        <f t="shared" si="94"/>
        <v>100000</v>
      </c>
      <c r="X172" s="63">
        <v>100000</v>
      </c>
      <c r="Y172" s="63">
        <v>0</v>
      </c>
      <c r="Z172" s="63">
        <f t="shared" si="88"/>
        <v>100000</v>
      </c>
      <c r="AA172" s="63">
        <v>100000</v>
      </c>
      <c r="AB172" s="63">
        <v>0</v>
      </c>
      <c r="AC172" s="63">
        <f t="shared" si="89"/>
        <v>100000</v>
      </c>
      <c r="AD172" s="63">
        <v>100000</v>
      </c>
      <c r="AE172" s="63">
        <v>540000</v>
      </c>
      <c r="AF172" s="63">
        <f t="shared" si="90"/>
        <v>640000</v>
      </c>
      <c r="AG172" s="63">
        <v>100000</v>
      </c>
      <c r="AH172" s="63">
        <f>540000</f>
        <v>540000</v>
      </c>
      <c r="AI172" s="63">
        <f t="shared" si="85"/>
        <v>640000</v>
      </c>
      <c r="AJ172" s="63">
        <v>100000</v>
      </c>
      <c r="AK172" s="63">
        <v>540000</v>
      </c>
      <c r="AL172" s="63">
        <f t="shared" si="75"/>
        <v>640000</v>
      </c>
      <c r="AM172" s="63">
        <v>100000</v>
      </c>
      <c r="AN172" s="63">
        <f>540000</f>
        <v>540000</v>
      </c>
      <c r="AO172" s="63">
        <f t="shared" si="76"/>
        <v>640000</v>
      </c>
      <c r="AP172" s="64">
        <f t="shared" si="77"/>
        <v>2775000</v>
      </c>
      <c r="AQ172" s="65">
        <f t="shared" si="79"/>
        <v>39316.648380731283</v>
      </c>
    </row>
    <row r="173" spans="1:43">
      <c r="A173" s="60">
        <f t="shared" si="78"/>
        <v>169</v>
      </c>
      <c r="B173" s="60">
        <v>95070258</v>
      </c>
      <c r="C173" s="61" t="s">
        <v>579</v>
      </c>
      <c r="D173" s="61" t="s">
        <v>572</v>
      </c>
      <c r="E173" s="62">
        <v>1575000</v>
      </c>
      <c r="F173" s="63">
        <v>100000</v>
      </c>
      <c r="G173" s="63">
        <f>270000+145000</f>
        <v>415000</v>
      </c>
      <c r="H173" s="63">
        <f t="shared" si="91"/>
        <v>515000</v>
      </c>
      <c r="I173" s="63">
        <v>100000</v>
      </c>
      <c r="J173" s="63">
        <v>0</v>
      </c>
      <c r="K173" s="63">
        <v>0</v>
      </c>
      <c r="L173" s="63">
        <v>100000</v>
      </c>
      <c r="M173" s="63">
        <f>270000+165000</f>
        <v>435000</v>
      </c>
      <c r="N173" s="63">
        <f t="shared" si="87"/>
        <v>535000</v>
      </c>
      <c r="O173" s="63">
        <v>100000</v>
      </c>
      <c r="P173" s="63">
        <f>270000+260000</f>
        <v>530000</v>
      </c>
      <c r="Q173" s="63">
        <f t="shared" si="92"/>
        <v>630000</v>
      </c>
      <c r="R173" s="63">
        <v>100000</v>
      </c>
      <c r="S173" s="63">
        <f>270000+160000</f>
        <v>430000</v>
      </c>
      <c r="T173" s="63">
        <f t="shared" si="93"/>
        <v>530000</v>
      </c>
      <c r="U173" s="63">
        <v>100000</v>
      </c>
      <c r="V173" s="63">
        <f>270000+190000</f>
        <v>460000</v>
      </c>
      <c r="W173" s="63">
        <f t="shared" si="94"/>
        <v>560000</v>
      </c>
      <c r="X173" s="63">
        <v>100000</v>
      </c>
      <c r="Y173" s="63">
        <f>440000+180000</f>
        <v>620000</v>
      </c>
      <c r="Z173" s="63">
        <f t="shared" si="88"/>
        <v>720000</v>
      </c>
      <c r="AA173" s="63">
        <v>100000</v>
      </c>
      <c r="AB173" s="63">
        <f>440000+175000</f>
        <v>615000</v>
      </c>
      <c r="AC173" s="63">
        <f t="shared" si="89"/>
        <v>715000</v>
      </c>
      <c r="AD173" s="63">
        <v>100000</v>
      </c>
      <c r="AE173" s="63">
        <f>175000+440000</f>
        <v>615000</v>
      </c>
      <c r="AF173" s="63">
        <f t="shared" si="90"/>
        <v>715000</v>
      </c>
      <c r="AG173" s="63">
        <v>100000</v>
      </c>
      <c r="AH173" s="63">
        <f>98000+440000</f>
        <v>538000</v>
      </c>
      <c r="AI173" s="63">
        <f t="shared" si="85"/>
        <v>638000</v>
      </c>
      <c r="AJ173" s="63">
        <v>100000</v>
      </c>
      <c r="AK173" s="63">
        <f>440000+546000+103000</f>
        <v>1089000</v>
      </c>
      <c r="AL173" s="63">
        <f t="shared" si="75"/>
        <v>1189000</v>
      </c>
      <c r="AM173" s="63">
        <v>100000</v>
      </c>
      <c r="AN173" s="63">
        <f>546000+115000</f>
        <v>661000</v>
      </c>
      <c r="AO173" s="63">
        <f t="shared" si="76"/>
        <v>761000</v>
      </c>
      <c r="AP173" s="64">
        <f t="shared" si="77"/>
        <v>2775000</v>
      </c>
      <c r="AQ173" s="65">
        <f t="shared" si="79"/>
        <v>39316.648380731283</v>
      </c>
    </row>
    <row r="174" spans="1:43">
      <c r="A174" s="60">
        <f t="shared" si="78"/>
        <v>170</v>
      </c>
      <c r="B174" s="60">
        <v>99101675</v>
      </c>
      <c r="C174" s="61" t="s">
        <v>580</v>
      </c>
      <c r="D174" s="61" t="s">
        <v>572</v>
      </c>
      <c r="E174" s="62">
        <v>1575000</v>
      </c>
      <c r="F174" s="63">
        <v>100000</v>
      </c>
      <c r="G174" s="63">
        <f>440000+202500</f>
        <v>642500</v>
      </c>
      <c r="H174" s="63">
        <f t="shared" si="91"/>
        <v>742500</v>
      </c>
      <c r="I174" s="63">
        <v>100000</v>
      </c>
      <c r="J174" s="63">
        <v>0</v>
      </c>
      <c r="K174" s="63">
        <v>0</v>
      </c>
      <c r="L174" s="63">
        <v>100000</v>
      </c>
      <c r="M174" s="63">
        <f>440000+347500+591000</f>
        <v>1378500</v>
      </c>
      <c r="N174" s="63">
        <f t="shared" si="87"/>
        <v>1478500</v>
      </c>
      <c r="O174" s="63">
        <v>100000</v>
      </c>
      <c r="P174" s="63">
        <f>440000+500000+435000</f>
        <v>1375000</v>
      </c>
      <c r="Q174" s="63">
        <f t="shared" si="92"/>
        <v>1475000</v>
      </c>
      <c r="R174" s="63">
        <v>100000</v>
      </c>
      <c r="S174" s="63">
        <f>544500+500000</f>
        <v>1044500</v>
      </c>
      <c r="T174" s="63">
        <f t="shared" si="93"/>
        <v>1144500</v>
      </c>
      <c r="U174" s="63">
        <v>100000</v>
      </c>
      <c r="V174" s="63">
        <v>486000</v>
      </c>
      <c r="W174" s="63">
        <f t="shared" si="94"/>
        <v>586000</v>
      </c>
      <c r="X174" s="63">
        <v>100000</v>
      </c>
      <c r="Y174" s="63">
        <v>401000</v>
      </c>
      <c r="Z174" s="63">
        <f t="shared" si="88"/>
        <v>501000</v>
      </c>
      <c r="AA174" s="63">
        <v>100000</v>
      </c>
      <c r="AB174" s="63">
        <f>540000+414000</f>
        <v>954000</v>
      </c>
      <c r="AC174" s="63">
        <f t="shared" si="89"/>
        <v>1054000</v>
      </c>
      <c r="AD174" s="63">
        <v>100000</v>
      </c>
      <c r="AE174" s="63">
        <f>241000+540000</f>
        <v>781000</v>
      </c>
      <c r="AF174" s="63">
        <f t="shared" si="90"/>
        <v>881000</v>
      </c>
      <c r="AG174" s="63">
        <v>100000</v>
      </c>
      <c r="AH174" s="63">
        <f>540000</f>
        <v>540000</v>
      </c>
      <c r="AI174" s="63">
        <f t="shared" ref="AI174:AI205" si="95">AG174+AH174</f>
        <v>640000</v>
      </c>
      <c r="AJ174" s="63">
        <v>100000</v>
      </c>
      <c r="AK174" s="63">
        <f>540000+288000</f>
        <v>828000</v>
      </c>
      <c r="AL174" s="63">
        <f t="shared" si="75"/>
        <v>928000</v>
      </c>
      <c r="AM174" s="63">
        <v>100000</v>
      </c>
      <c r="AN174" s="63">
        <f>540000+300500</f>
        <v>840500</v>
      </c>
      <c r="AO174" s="63">
        <f t="shared" si="76"/>
        <v>940500</v>
      </c>
      <c r="AP174" s="64">
        <f t="shared" si="77"/>
        <v>2775000</v>
      </c>
      <c r="AQ174" s="65">
        <f t="shared" si="79"/>
        <v>39316.648380731283</v>
      </c>
    </row>
    <row r="175" spans="1:43">
      <c r="A175" s="60">
        <f t="shared" si="78"/>
        <v>171</v>
      </c>
      <c r="B175" s="68">
        <v>13100018</v>
      </c>
      <c r="C175" s="61" t="s">
        <v>581</v>
      </c>
      <c r="D175" s="61" t="s">
        <v>572</v>
      </c>
      <c r="E175" s="62">
        <v>600000</v>
      </c>
      <c r="F175" s="63">
        <v>100000</v>
      </c>
      <c r="G175" s="63">
        <v>287000</v>
      </c>
      <c r="H175" s="63">
        <f t="shared" si="91"/>
        <v>387000</v>
      </c>
      <c r="I175" s="63">
        <v>100000</v>
      </c>
      <c r="J175" s="63">
        <v>0</v>
      </c>
      <c r="K175" s="63">
        <v>0</v>
      </c>
      <c r="L175" s="63">
        <v>100000</v>
      </c>
      <c r="M175" s="63">
        <f>270000+449000</f>
        <v>719000</v>
      </c>
      <c r="N175" s="63">
        <f t="shared" si="87"/>
        <v>819000</v>
      </c>
      <c r="O175" s="63">
        <v>100000</v>
      </c>
      <c r="P175" s="63">
        <f>270000+600000</f>
        <v>870000</v>
      </c>
      <c r="Q175" s="63">
        <f t="shared" si="92"/>
        <v>970000</v>
      </c>
      <c r="R175" s="63">
        <v>100000</v>
      </c>
      <c r="S175" s="63">
        <f>270000+359000</f>
        <v>629000</v>
      </c>
      <c r="T175" s="63">
        <f t="shared" si="93"/>
        <v>729000</v>
      </c>
      <c r="U175" s="63">
        <v>100000</v>
      </c>
      <c r="V175" s="63">
        <f>270000+570000</f>
        <v>840000</v>
      </c>
      <c r="W175" s="63">
        <f t="shared" si="94"/>
        <v>940000</v>
      </c>
      <c r="X175" s="63">
        <v>100000</v>
      </c>
      <c r="Y175" s="63">
        <f>270000+365000+139500</f>
        <v>774500</v>
      </c>
      <c r="Z175" s="63">
        <f t="shared" si="88"/>
        <v>874500</v>
      </c>
      <c r="AA175" s="63">
        <v>100000</v>
      </c>
      <c r="AB175" s="63">
        <f>270000+393000</f>
        <v>663000</v>
      </c>
      <c r="AC175" s="63">
        <f t="shared" si="89"/>
        <v>763000</v>
      </c>
      <c r="AD175" s="63">
        <v>100000</v>
      </c>
      <c r="AE175" s="63">
        <f>414500+270000</f>
        <v>684500</v>
      </c>
      <c r="AF175" s="63">
        <f t="shared" si="90"/>
        <v>784500</v>
      </c>
      <c r="AG175" s="63">
        <v>100000</v>
      </c>
      <c r="AH175" s="63">
        <f>499000+270000</f>
        <v>769000</v>
      </c>
      <c r="AI175" s="63">
        <f t="shared" si="95"/>
        <v>869000</v>
      </c>
      <c r="AJ175" s="63">
        <v>100000</v>
      </c>
      <c r="AK175" s="63">
        <f>270000+621000</f>
        <v>891000</v>
      </c>
      <c r="AL175" s="63">
        <f t="shared" si="75"/>
        <v>991000</v>
      </c>
      <c r="AM175" s="63">
        <v>100000</v>
      </c>
      <c r="AN175" s="63">
        <f>270000+541000</f>
        <v>811000</v>
      </c>
      <c r="AO175" s="63">
        <f t="shared" si="76"/>
        <v>911000</v>
      </c>
      <c r="AP175" s="64">
        <f t="shared" si="77"/>
        <v>1800000</v>
      </c>
      <c r="AQ175" s="65">
        <f t="shared" si="79"/>
        <v>25502.690841555424</v>
      </c>
    </row>
    <row r="176" spans="1:43">
      <c r="A176" s="60">
        <f t="shared" si="78"/>
        <v>172</v>
      </c>
      <c r="B176" s="60">
        <v>95070497</v>
      </c>
      <c r="C176" s="61" t="s">
        <v>582</v>
      </c>
      <c r="D176" s="61" t="s">
        <v>572</v>
      </c>
      <c r="E176" s="62">
        <v>1575000</v>
      </c>
      <c r="F176" s="63">
        <v>100000</v>
      </c>
      <c r="G176" s="63">
        <v>117000</v>
      </c>
      <c r="H176" s="63">
        <f t="shared" si="91"/>
        <v>217000</v>
      </c>
      <c r="I176" s="63">
        <v>100000</v>
      </c>
      <c r="J176" s="63">
        <v>0</v>
      </c>
      <c r="K176" s="63">
        <v>0</v>
      </c>
      <c r="L176" s="63">
        <v>100000</v>
      </c>
      <c r="M176" s="63">
        <f>440000+57000</f>
        <v>497000</v>
      </c>
      <c r="N176" s="63">
        <f t="shared" si="87"/>
        <v>597000</v>
      </c>
      <c r="O176" s="63">
        <v>100000</v>
      </c>
      <c r="P176" s="63">
        <f>440000+469000</f>
        <v>909000</v>
      </c>
      <c r="Q176" s="63">
        <f t="shared" si="92"/>
        <v>1009000</v>
      </c>
      <c r="R176" s="63">
        <v>100000</v>
      </c>
      <c r="S176" s="63">
        <f>440000+359000</f>
        <v>799000</v>
      </c>
      <c r="T176" s="63">
        <f t="shared" si="93"/>
        <v>899000</v>
      </c>
      <c r="U176" s="63">
        <v>100000</v>
      </c>
      <c r="V176" s="63">
        <f>440000+104000</f>
        <v>544000</v>
      </c>
      <c r="W176" s="63">
        <f t="shared" si="94"/>
        <v>644000</v>
      </c>
      <c r="X176" s="63">
        <v>100000</v>
      </c>
      <c r="Y176" s="63">
        <f>440000+709500</f>
        <v>1149500</v>
      </c>
      <c r="Z176" s="63">
        <f t="shared" si="88"/>
        <v>1249500</v>
      </c>
      <c r="AA176" s="63">
        <v>100000</v>
      </c>
      <c r="AB176" s="63">
        <f>540000+554500</f>
        <v>1094500</v>
      </c>
      <c r="AC176" s="63">
        <f t="shared" si="89"/>
        <v>1194500</v>
      </c>
      <c r="AD176" s="63">
        <v>100000</v>
      </c>
      <c r="AE176" s="63">
        <f>292000+540000</f>
        <v>832000</v>
      </c>
      <c r="AF176" s="63">
        <f t="shared" si="90"/>
        <v>932000</v>
      </c>
      <c r="AG176" s="63">
        <v>100000</v>
      </c>
      <c r="AH176" s="63">
        <f>477500+540000</f>
        <v>1017500</v>
      </c>
      <c r="AI176" s="63">
        <f t="shared" si="95"/>
        <v>1117500</v>
      </c>
      <c r="AJ176" s="63">
        <v>100000</v>
      </c>
      <c r="AK176" s="63">
        <f>540000+328000</f>
        <v>868000</v>
      </c>
      <c r="AL176" s="63">
        <f t="shared" si="75"/>
        <v>968000</v>
      </c>
      <c r="AM176" s="63">
        <v>100000</v>
      </c>
      <c r="AN176" s="63">
        <f>540000+812500</f>
        <v>1352500</v>
      </c>
      <c r="AO176" s="63">
        <f t="shared" si="76"/>
        <v>1452500</v>
      </c>
      <c r="AP176" s="64">
        <f t="shared" si="77"/>
        <v>2775000</v>
      </c>
      <c r="AQ176" s="65">
        <f t="shared" si="79"/>
        <v>39316.648380731283</v>
      </c>
    </row>
    <row r="177" spans="1:43">
      <c r="A177" s="60">
        <f t="shared" si="78"/>
        <v>173</v>
      </c>
      <c r="B177" s="60">
        <v>99112148</v>
      </c>
      <c r="C177" s="61" t="s">
        <v>583</v>
      </c>
      <c r="D177" s="61" t="s">
        <v>572</v>
      </c>
      <c r="E177" s="62">
        <v>1575000</v>
      </c>
      <c r="F177" s="63">
        <v>100000</v>
      </c>
      <c r="G177" s="63">
        <v>270000</v>
      </c>
      <c r="H177" s="63">
        <f t="shared" si="91"/>
        <v>370000</v>
      </c>
      <c r="I177" s="63">
        <v>100000</v>
      </c>
      <c r="J177" s="63">
        <v>0</v>
      </c>
      <c r="K177" s="63">
        <v>0</v>
      </c>
      <c r="L177" s="63">
        <v>100000</v>
      </c>
      <c r="M177" s="63">
        <v>270000</v>
      </c>
      <c r="N177" s="63">
        <f t="shared" si="87"/>
        <v>370000</v>
      </c>
      <c r="O177" s="63">
        <v>100000</v>
      </c>
      <c r="P177" s="63">
        <f>270000+166000</f>
        <v>436000</v>
      </c>
      <c r="Q177" s="63">
        <f t="shared" si="92"/>
        <v>536000</v>
      </c>
      <c r="R177" s="63">
        <v>100000</v>
      </c>
      <c r="S177" s="63">
        <f>270000+322000</f>
        <v>592000</v>
      </c>
      <c r="T177" s="63">
        <f t="shared" si="93"/>
        <v>692000</v>
      </c>
      <c r="U177" s="63">
        <v>100000</v>
      </c>
      <c r="V177" s="63">
        <v>301000</v>
      </c>
      <c r="W177" s="63">
        <f t="shared" si="94"/>
        <v>401000</v>
      </c>
      <c r="X177" s="63">
        <v>100000</v>
      </c>
      <c r="Y177" s="63">
        <f>550000+256000+140000</f>
        <v>946000</v>
      </c>
      <c r="Z177" s="63">
        <f t="shared" si="88"/>
        <v>1046000</v>
      </c>
      <c r="AA177" s="63">
        <v>100000</v>
      </c>
      <c r="AB177" s="63">
        <f>550000+221000</f>
        <v>771000</v>
      </c>
      <c r="AC177" s="63">
        <f t="shared" si="89"/>
        <v>871000</v>
      </c>
      <c r="AD177" s="63">
        <v>100000</v>
      </c>
      <c r="AE177" s="63">
        <v>550000</v>
      </c>
      <c r="AF177" s="63">
        <f t="shared" si="90"/>
        <v>650000</v>
      </c>
      <c r="AG177" s="63">
        <v>100000</v>
      </c>
      <c r="AH177" s="63">
        <f>140000+550000</f>
        <v>690000</v>
      </c>
      <c r="AI177" s="63">
        <f t="shared" si="95"/>
        <v>790000</v>
      </c>
      <c r="AJ177" s="63">
        <v>100000</v>
      </c>
      <c r="AK177" s="63">
        <v>362000</v>
      </c>
      <c r="AL177" s="63">
        <f t="shared" si="75"/>
        <v>462000</v>
      </c>
      <c r="AM177" s="63">
        <v>100000</v>
      </c>
      <c r="AN177" s="63">
        <f>530000</f>
        <v>530000</v>
      </c>
      <c r="AO177" s="63">
        <f t="shared" si="76"/>
        <v>630000</v>
      </c>
      <c r="AP177" s="64">
        <f t="shared" si="77"/>
        <v>2775000</v>
      </c>
      <c r="AQ177" s="65">
        <f t="shared" si="79"/>
        <v>39316.648380731283</v>
      </c>
    </row>
    <row r="178" spans="1:43">
      <c r="A178" s="60">
        <f t="shared" si="78"/>
        <v>174</v>
      </c>
      <c r="B178" s="67" t="s">
        <v>584</v>
      </c>
      <c r="C178" s="61" t="s">
        <v>585</v>
      </c>
      <c r="D178" s="61" t="s">
        <v>572</v>
      </c>
      <c r="E178" s="62">
        <v>1575000</v>
      </c>
      <c r="F178" s="63">
        <v>100000</v>
      </c>
      <c r="G178" s="63">
        <v>265000</v>
      </c>
      <c r="H178" s="63">
        <f t="shared" si="91"/>
        <v>365000</v>
      </c>
      <c r="I178" s="63">
        <v>100000</v>
      </c>
      <c r="J178" s="63">
        <v>0</v>
      </c>
      <c r="K178" s="63">
        <v>0</v>
      </c>
      <c r="L178" s="63">
        <v>100000</v>
      </c>
      <c r="M178" s="63">
        <v>265000</v>
      </c>
      <c r="N178" s="63">
        <f t="shared" si="87"/>
        <v>365000</v>
      </c>
      <c r="O178" s="63">
        <v>100000</v>
      </c>
      <c r="P178" s="63">
        <v>440000</v>
      </c>
      <c r="Q178" s="63">
        <f t="shared" si="92"/>
        <v>540000</v>
      </c>
      <c r="R178" s="63">
        <v>100000</v>
      </c>
      <c r="S178" s="63">
        <v>265000</v>
      </c>
      <c r="T178" s="63">
        <f t="shared" si="93"/>
        <v>365000</v>
      </c>
      <c r="U178" s="63">
        <v>100000</v>
      </c>
      <c r="V178" s="63">
        <v>265000</v>
      </c>
      <c r="W178" s="63">
        <f t="shared" si="94"/>
        <v>365000</v>
      </c>
      <c r="X178" s="63">
        <v>100000</v>
      </c>
      <c r="Y178" s="63">
        <v>265000</v>
      </c>
      <c r="Z178" s="63">
        <f t="shared" si="88"/>
        <v>365000</v>
      </c>
      <c r="AA178" s="63">
        <v>100000</v>
      </c>
      <c r="AB178" s="63">
        <v>265000</v>
      </c>
      <c r="AC178" s="63">
        <f t="shared" si="89"/>
        <v>365000</v>
      </c>
      <c r="AD178" s="63">
        <v>100000</v>
      </c>
      <c r="AE178" s="63">
        <v>265000</v>
      </c>
      <c r="AF178" s="63">
        <f t="shared" si="90"/>
        <v>365000</v>
      </c>
      <c r="AG178" s="63">
        <v>100000</v>
      </c>
      <c r="AH178" s="63">
        <f>265000</f>
        <v>265000</v>
      </c>
      <c r="AI178" s="63">
        <f t="shared" si="95"/>
        <v>365000</v>
      </c>
      <c r="AJ178" s="63">
        <v>100000</v>
      </c>
      <c r="AK178" s="63">
        <v>531250</v>
      </c>
      <c r="AL178" s="63">
        <f t="shared" si="75"/>
        <v>631250</v>
      </c>
      <c r="AM178" s="63">
        <v>100000</v>
      </c>
      <c r="AN178" s="63">
        <f>531250</f>
        <v>531250</v>
      </c>
      <c r="AO178" s="63">
        <f t="shared" si="76"/>
        <v>631250</v>
      </c>
      <c r="AP178" s="64">
        <f t="shared" si="77"/>
        <v>2775000</v>
      </c>
      <c r="AQ178" s="65">
        <f t="shared" si="79"/>
        <v>39316.648380731283</v>
      </c>
    </row>
    <row r="179" spans="1:43">
      <c r="A179" s="60">
        <f t="shared" si="78"/>
        <v>175</v>
      </c>
      <c r="B179" s="60">
        <v>99112128</v>
      </c>
      <c r="C179" s="61" t="s">
        <v>586</v>
      </c>
      <c r="D179" s="61" t="s">
        <v>572</v>
      </c>
      <c r="E179" s="62">
        <v>1575000</v>
      </c>
      <c r="F179" s="63">
        <v>100000</v>
      </c>
      <c r="G179" s="63">
        <v>270000</v>
      </c>
      <c r="H179" s="63">
        <f t="shared" si="91"/>
        <v>370000</v>
      </c>
      <c r="I179" s="63">
        <v>100000</v>
      </c>
      <c r="J179" s="63">
        <v>0</v>
      </c>
      <c r="K179" s="63">
        <v>0</v>
      </c>
      <c r="L179" s="63">
        <v>100000</v>
      </c>
      <c r="M179" s="63">
        <v>270000</v>
      </c>
      <c r="N179" s="63">
        <f t="shared" si="87"/>
        <v>370000</v>
      </c>
      <c r="O179" s="63">
        <v>100000</v>
      </c>
      <c r="P179" s="63">
        <v>0</v>
      </c>
      <c r="Q179" s="63">
        <f t="shared" si="92"/>
        <v>100000</v>
      </c>
      <c r="R179" s="63">
        <v>100000</v>
      </c>
      <c r="S179" s="63">
        <v>265000</v>
      </c>
      <c r="T179" s="63">
        <f t="shared" si="93"/>
        <v>365000</v>
      </c>
      <c r="U179" s="63">
        <v>100000</v>
      </c>
      <c r="V179" s="63">
        <v>265000</v>
      </c>
      <c r="W179" s="63">
        <f t="shared" si="94"/>
        <v>365000</v>
      </c>
      <c r="X179" s="63">
        <v>100000</v>
      </c>
      <c r="Y179" s="63">
        <v>265000</v>
      </c>
      <c r="Z179" s="63">
        <f t="shared" si="88"/>
        <v>365000</v>
      </c>
      <c r="AA179" s="63">
        <v>100000</v>
      </c>
      <c r="AB179" s="63">
        <v>265000</v>
      </c>
      <c r="AC179" s="63">
        <f t="shared" si="89"/>
        <v>365000</v>
      </c>
      <c r="AD179" s="63">
        <v>100000</v>
      </c>
      <c r="AE179" s="63">
        <v>0</v>
      </c>
      <c r="AF179" s="63">
        <f t="shared" si="90"/>
        <v>100000</v>
      </c>
      <c r="AG179" s="63">
        <v>100000</v>
      </c>
      <c r="AH179" s="63">
        <v>0</v>
      </c>
      <c r="AI179" s="63">
        <f t="shared" si="95"/>
        <v>100000</v>
      </c>
      <c r="AJ179" s="63">
        <v>100000</v>
      </c>
      <c r="AK179" s="63">
        <v>0</v>
      </c>
      <c r="AL179" s="63">
        <f t="shared" si="75"/>
        <v>100000</v>
      </c>
      <c r="AM179" s="63">
        <v>100000</v>
      </c>
      <c r="AN179" s="63">
        <v>0</v>
      </c>
      <c r="AO179" s="63">
        <f t="shared" si="76"/>
        <v>100000</v>
      </c>
      <c r="AP179" s="64">
        <f t="shared" si="77"/>
        <v>2775000</v>
      </c>
      <c r="AQ179" s="65">
        <f t="shared" si="79"/>
        <v>39316.648380731283</v>
      </c>
    </row>
    <row r="180" spans="1:43">
      <c r="A180" s="60">
        <f t="shared" si="78"/>
        <v>176</v>
      </c>
      <c r="B180" s="73">
        <v>99101685</v>
      </c>
      <c r="C180" s="61" t="s">
        <v>587</v>
      </c>
      <c r="D180" s="61" t="s">
        <v>588</v>
      </c>
      <c r="E180" s="62">
        <v>0</v>
      </c>
      <c r="F180" s="62">
        <v>0</v>
      </c>
      <c r="G180" s="62">
        <v>0</v>
      </c>
      <c r="H180" s="62">
        <v>0</v>
      </c>
      <c r="I180" s="62">
        <v>0</v>
      </c>
      <c r="J180" s="62">
        <v>0</v>
      </c>
      <c r="K180" s="62">
        <v>0</v>
      </c>
      <c r="L180" s="62">
        <v>200000</v>
      </c>
      <c r="M180" s="62">
        <v>373000</v>
      </c>
      <c r="N180" s="63">
        <f t="shared" si="87"/>
        <v>573000</v>
      </c>
      <c r="O180" s="63">
        <v>100000</v>
      </c>
      <c r="P180" s="62">
        <f>550000+1946000</f>
        <v>2496000</v>
      </c>
      <c r="Q180" s="63">
        <f t="shared" si="92"/>
        <v>2596000</v>
      </c>
      <c r="R180" s="63">
        <v>100000</v>
      </c>
      <c r="S180" s="62">
        <f>550000+845500</f>
        <v>1395500</v>
      </c>
      <c r="T180" s="63">
        <f t="shared" si="93"/>
        <v>1495500</v>
      </c>
      <c r="U180" s="63">
        <v>100000</v>
      </c>
      <c r="V180" s="62">
        <f>1204000</f>
        <v>1204000</v>
      </c>
      <c r="W180" s="75">
        <f t="shared" si="94"/>
        <v>1304000</v>
      </c>
      <c r="X180" s="63">
        <v>100000</v>
      </c>
      <c r="Y180" s="62">
        <f>420000+487000+214500</f>
        <v>1121500</v>
      </c>
      <c r="Z180" s="63">
        <f t="shared" si="88"/>
        <v>1221500</v>
      </c>
      <c r="AA180" s="63">
        <v>100000</v>
      </c>
      <c r="AB180" s="63">
        <f>540000+689000</f>
        <v>1229000</v>
      </c>
      <c r="AC180" s="63">
        <f t="shared" si="89"/>
        <v>1329000</v>
      </c>
      <c r="AD180" s="63">
        <v>100000</v>
      </c>
      <c r="AE180" s="62">
        <f>512500+540000</f>
        <v>1052500</v>
      </c>
      <c r="AF180" s="63">
        <f t="shared" si="90"/>
        <v>1152500</v>
      </c>
      <c r="AG180" s="63">
        <v>100000</v>
      </c>
      <c r="AH180" s="62">
        <f>1038000+540000</f>
        <v>1578000</v>
      </c>
      <c r="AI180" s="63">
        <f t="shared" si="95"/>
        <v>1678000</v>
      </c>
      <c r="AJ180" s="63">
        <v>100000</v>
      </c>
      <c r="AK180" s="62">
        <f>540000+1324000</f>
        <v>1864000</v>
      </c>
      <c r="AL180" s="63">
        <f t="shared" si="75"/>
        <v>1964000</v>
      </c>
      <c r="AM180" s="63">
        <v>100000</v>
      </c>
      <c r="AN180" s="62">
        <f>540000</f>
        <v>540000</v>
      </c>
      <c r="AO180" s="63">
        <f t="shared" si="76"/>
        <v>640000</v>
      </c>
      <c r="AP180" s="64">
        <f t="shared" si="77"/>
        <v>1100000</v>
      </c>
      <c r="AQ180" s="65">
        <f t="shared" si="79"/>
        <v>15584.977736506095</v>
      </c>
    </row>
    <row r="181" spans="1:43">
      <c r="A181" s="60">
        <f t="shared" si="78"/>
        <v>177</v>
      </c>
      <c r="B181" s="67" t="s">
        <v>589</v>
      </c>
      <c r="C181" s="61" t="s">
        <v>590</v>
      </c>
      <c r="D181" s="61" t="s">
        <v>588</v>
      </c>
      <c r="E181" s="62">
        <v>1575000</v>
      </c>
      <c r="F181" s="63">
        <v>100000</v>
      </c>
      <c r="G181" s="63">
        <v>270000</v>
      </c>
      <c r="H181" s="63">
        <f t="shared" ref="H181:H214" si="96">F181+G181</f>
        <v>370000</v>
      </c>
      <c r="I181" s="63">
        <v>100000</v>
      </c>
      <c r="J181" s="63">
        <v>0</v>
      </c>
      <c r="K181" s="63">
        <v>0</v>
      </c>
      <c r="L181" s="63">
        <v>100000</v>
      </c>
      <c r="M181" s="63">
        <v>270000</v>
      </c>
      <c r="N181" s="63">
        <f t="shared" si="87"/>
        <v>370000</v>
      </c>
      <c r="O181" s="63">
        <v>100000</v>
      </c>
      <c r="P181" s="63">
        <v>440000</v>
      </c>
      <c r="Q181" s="63">
        <f t="shared" si="92"/>
        <v>540000</v>
      </c>
      <c r="R181" s="63">
        <v>100000</v>
      </c>
      <c r="S181" s="63">
        <v>440000</v>
      </c>
      <c r="T181" s="63">
        <f t="shared" si="93"/>
        <v>540000</v>
      </c>
      <c r="U181" s="63">
        <v>100000</v>
      </c>
      <c r="V181" s="63">
        <v>440000</v>
      </c>
      <c r="W181" s="63">
        <f t="shared" si="94"/>
        <v>540000</v>
      </c>
      <c r="X181" s="63">
        <v>100000</v>
      </c>
      <c r="Y181" s="63">
        <v>440000</v>
      </c>
      <c r="Z181" s="63">
        <f t="shared" si="88"/>
        <v>540000</v>
      </c>
      <c r="AA181" s="63">
        <v>100000</v>
      </c>
      <c r="AB181" s="63">
        <v>440000</v>
      </c>
      <c r="AC181" s="63">
        <f t="shared" si="89"/>
        <v>540000</v>
      </c>
      <c r="AD181" s="63">
        <v>100000</v>
      </c>
      <c r="AE181" s="63">
        <v>440000</v>
      </c>
      <c r="AF181" s="63">
        <f t="shared" si="90"/>
        <v>540000</v>
      </c>
      <c r="AG181" s="63">
        <v>100000</v>
      </c>
      <c r="AH181" s="63">
        <f>440000</f>
        <v>440000</v>
      </c>
      <c r="AI181" s="63">
        <f t="shared" si="95"/>
        <v>540000</v>
      </c>
      <c r="AJ181" s="63">
        <v>100000</v>
      </c>
      <c r="AK181" s="63">
        <v>440000</v>
      </c>
      <c r="AL181" s="63">
        <f t="shared" si="75"/>
        <v>540000</v>
      </c>
      <c r="AM181" s="63">
        <v>100000</v>
      </c>
      <c r="AN181" s="63">
        <f>440000</f>
        <v>440000</v>
      </c>
      <c r="AO181" s="63">
        <f t="shared" si="76"/>
        <v>540000</v>
      </c>
      <c r="AP181" s="64">
        <f t="shared" si="77"/>
        <v>2775000</v>
      </c>
      <c r="AQ181" s="65">
        <f t="shared" si="79"/>
        <v>39316.648380731283</v>
      </c>
    </row>
    <row r="182" spans="1:43">
      <c r="A182" s="60">
        <f t="shared" si="78"/>
        <v>178</v>
      </c>
      <c r="B182" s="67" t="s">
        <v>591</v>
      </c>
      <c r="C182" s="61" t="s">
        <v>592</v>
      </c>
      <c r="D182" s="61" t="s">
        <v>588</v>
      </c>
      <c r="E182" s="62">
        <v>1575000</v>
      </c>
      <c r="F182" s="63">
        <v>100000</v>
      </c>
      <c r="G182" s="63">
        <f>270000+415000</f>
        <v>685000</v>
      </c>
      <c r="H182" s="63">
        <f t="shared" si="96"/>
        <v>785000</v>
      </c>
      <c r="I182" s="63">
        <v>100000</v>
      </c>
      <c r="J182" s="63">
        <v>0</v>
      </c>
      <c r="K182" s="63">
        <v>0</v>
      </c>
      <c r="L182" s="63">
        <v>100000</v>
      </c>
      <c r="M182" s="63">
        <f>440000+332000</f>
        <v>772000</v>
      </c>
      <c r="N182" s="63">
        <f t="shared" si="87"/>
        <v>872000</v>
      </c>
      <c r="O182" s="63">
        <v>100000</v>
      </c>
      <c r="P182" s="63">
        <f>440000+332000</f>
        <v>772000</v>
      </c>
      <c r="Q182" s="63">
        <f t="shared" si="92"/>
        <v>872000</v>
      </c>
      <c r="R182" s="63">
        <v>100000</v>
      </c>
      <c r="S182" s="63">
        <f>440000+633000</f>
        <v>1073000</v>
      </c>
      <c r="T182" s="63">
        <f t="shared" si="93"/>
        <v>1173000</v>
      </c>
      <c r="U182" s="63">
        <v>100000</v>
      </c>
      <c r="V182" s="63">
        <f>440000+498000</f>
        <v>938000</v>
      </c>
      <c r="W182" s="63">
        <f t="shared" si="94"/>
        <v>1038000</v>
      </c>
      <c r="X182" s="63">
        <v>100000</v>
      </c>
      <c r="Y182" s="63">
        <f>540000+388500+122000</f>
        <v>1050500</v>
      </c>
      <c r="Z182" s="63">
        <f t="shared" si="88"/>
        <v>1150500</v>
      </c>
      <c r="AA182" s="63">
        <v>100000</v>
      </c>
      <c r="AB182" s="63">
        <f>540000+242000</f>
        <v>782000</v>
      </c>
      <c r="AC182" s="63">
        <f t="shared" si="89"/>
        <v>882000</v>
      </c>
      <c r="AD182" s="63">
        <v>100000</v>
      </c>
      <c r="AE182" s="63">
        <f>252000+540000</f>
        <v>792000</v>
      </c>
      <c r="AF182" s="63">
        <f t="shared" si="90"/>
        <v>892000</v>
      </c>
      <c r="AG182" s="63">
        <v>100000</v>
      </c>
      <c r="AH182" s="63">
        <f>118500+540000</f>
        <v>658500</v>
      </c>
      <c r="AI182" s="63">
        <f t="shared" si="95"/>
        <v>758500</v>
      </c>
      <c r="AJ182" s="63">
        <v>100000</v>
      </c>
      <c r="AK182" s="63">
        <f>540000+375000</f>
        <v>915000</v>
      </c>
      <c r="AL182" s="63">
        <f t="shared" si="75"/>
        <v>1015000</v>
      </c>
      <c r="AM182" s="63">
        <v>100000</v>
      </c>
      <c r="AN182" s="63">
        <f>540000+260000</f>
        <v>800000</v>
      </c>
      <c r="AO182" s="63">
        <f t="shared" si="76"/>
        <v>900000</v>
      </c>
      <c r="AP182" s="64">
        <f t="shared" si="77"/>
        <v>2775000</v>
      </c>
      <c r="AQ182" s="65">
        <f t="shared" si="79"/>
        <v>39316.648380731283</v>
      </c>
    </row>
    <row r="183" spans="1:43">
      <c r="A183" s="60">
        <f t="shared" si="78"/>
        <v>179</v>
      </c>
      <c r="B183" s="67" t="s">
        <v>593</v>
      </c>
      <c r="C183" s="61" t="s">
        <v>594</v>
      </c>
      <c r="D183" s="61" t="s">
        <v>588</v>
      </c>
      <c r="E183" s="62">
        <v>1575000</v>
      </c>
      <c r="F183" s="63">
        <v>100000</v>
      </c>
      <c r="G183" s="63">
        <v>0</v>
      </c>
      <c r="H183" s="63">
        <f t="shared" si="96"/>
        <v>100000</v>
      </c>
      <c r="I183" s="63">
        <v>100000</v>
      </c>
      <c r="J183" s="63">
        <v>0</v>
      </c>
      <c r="K183" s="63">
        <v>0</v>
      </c>
      <c r="L183" s="63">
        <v>100000</v>
      </c>
      <c r="M183" s="63">
        <v>0</v>
      </c>
      <c r="N183" s="63">
        <f t="shared" si="87"/>
        <v>100000</v>
      </c>
      <c r="O183" s="63">
        <v>100000</v>
      </c>
      <c r="P183" s="63">
        <v>0</v>
      </c>
      <c r="Q183" s="63">
        <f t="shared" si="92"/>
        <v>100000</v>
      </c>
      <c r="R183" s="63">
        <v>100000</v>
      </c>
      <c r="S183" s="63">
        <v>0</v>
      </c>
      <c r="T183" s="63">
        <f t="shared" si="93"/>
        <v>100000</v>
      </c>
      <c r="U183" s="63">
        <v>100000</v>
      </c>
      <c r="V183" s="63">
        <v>0</v>
      </c>
      <c r="W183" s="63">
        <f t="shared" si="94"/>
        <v>100000</v>
      </c>
      <c r="X183" s="63">
        <v>100000</v>
      </c>
      <c r="Y183" s="63">
        <v>0</v>
      </c>
      <c r="Z183" s="63">
        <f t="shared" si="88"/>
        <v>100000</v>
      </c>
      <c r="AA183" s="63">
        <v>100000</v>
      </c>
      <c r="AB183" s="63">
        <v>0</v>
      </c>
      <c r="AC183" s="63">
        <f t="shared" si="89"/>
        <v>100000</v>
      </c>
      <c r="AD183" s="63">
        <v>100000</v>
      </c>
      <c r="AE183" s="63">
        <v>0</v>
      </c>
      <c r="AF183" s="63">
        <f t="shared" si="90"/>
        <v>100000</v>
      </c>
      <c r="AG183" s="63">
        <v>100000</v>
      </c>
      <c r="AH183" s="63">
        <f>270000</f>
        <v>270000</v>
      </c>
      <c r="AI183" s="63">
        <f t="shared" si="95"/>
        <v>370000</v>
      </c>
      <c r="AJ183" s="63">
        <v>100000</v>
      </c>
      <c r="AK183" s="63">
        <v>270000</v>
      </c>
      <c r="AL183" s="63">
        <f t="shared" si="75"/>
        <v>370000</v>
      </c>
      <c r="AM183" s="63">
        <v>100000</v>
      </c>
      <c r="AN183" s="63">
        <f>270000</f>
        <v>270000</v>
      </c>
      <c r="AO183" s="63">
        <f t="shared" si="76"/>
        <v>370000</v>
      </c>
      <c r="AP183" s="64">
        <f t="shared" si="77"/>
        <v>2775000</v>
      </c>
      <c r="AQ183" s="65">
        <f t="shared" si="79"/>
        <v>39316.648380731283</v>
      </c>
    </row>
    <row r="184" spans="1:43">
      <c r="A184" s="60">
        <f t="shared" si="78"/>
        <v>180</v>
      </c>
      <c r="B184" s="73">
        <v>11048235</v>
      </c>
      <c r="C184" s="61" t="s">
        <v>595</v>
      </c>
      <c r="D184" s="61" t="s">
        <v>588</v>
      </c>
      <c r="E184" s="62">
        <v>0</v>
      </c>
      <c r="F184" s="63">
        <v>200000</v>
      </c>
      <c r="G184" s="63">
        <v>0</v>
      </c>
      <c r="H184" s="63">
        <f t="shared" si="96"/>
        <v>200000</v>
      </c>
      <c r="I184" s="63">
        <v>100000</v>
      </c>
      <c r="J184" s="63">
        <v>0</v>
      </c>
      <c r="K184" s="63">
        <v>0</v>
      </c>
      <c r="L184" s="63">
        <v>100000</v>
      </c>
      <c r="M184" s="63">
        <f>265000+24500</f>
        <v>289500</v>
      </c>
      <c r="N184" s="63">
        <f t="shared" si="87"/>
        <v>389500</v>
      </c>
      <c r="O184" s="63">
        <v>100000</v>
      </c>
      <c r="P184" s="63">
        <f>265000+54000</f>
        <v>319000</v>
      </c>
      <c r="Q184" s="63">
        <f t="shared" si="92"/>
        <v>419000</v>
      </c>
      <c r="R184" s="63">
        <v>100000</v>
      </c>
      <c r="S184" s="63">
        <f>265000+45000</f>
        <v>310000</v>
      </c>
      <c r="T184" s="63">
        <f t="shared" si="93"/>
        <v>410000</v>
      </c>
      <c r="U184" s="63">
        <v>100000</v>
      </c>
      <c r="V184" s="63">
        <f>265000+204000</f>
        <v>469000</v>
      </c>
      <c r="W184" s="63">
        <f t="shared" si="94"/>
        <v>569000</v>
      </c>
      <c r="X184" s="63">
        <v>100000</v>
      </c>
      <c r="Y184" s="63">
        <v>440000</v>
      </c>
      <c r="Z184" s="63">
        <f t="shared" si="88"/>
        <v>540000</v>
      </c>
      <c r="AA184" s="63">
        <v>100000</v>
      </c>
      <c r="AB184" s="63">
        <v>440000</v>
      </c>
      <c r="AC184" s="63">
        <f t="shared" si="89"/>
        <v>540000</v>
      </c>
      <c r="AD184" s="63">
        <v>100000</v>
      </c>
      <c r="AE184" s="63">
        <f>21000+440000</f>
        <v>461000</v>
      </c>
      <c r="AF184" s="63">
        <f t="shared" si="90"/>
        <v>561000</v>
      </c>
      <c r="AG184" s="63">
        <v>100000</v>
      </c>
      <c r="AH184" s="63">
        <f>440000</f>
        <v>440000</v>
      </c>
      <c r="AI184" s="63">
        <f t="shared" si="95"/>
        <v>540000</v>
      </c>
      <c r="AJ184" s="63">
        <v>100000</v>
      </c>
      <c r="AK184" s="63">
        <f>440000+54500</f>
        <v>494500</v>
      </c>
      <c r="AL184" s="63">
        <f t="shared" si="75"/>
        <v>594500</v>
      </c>
      <c r="AM184" s="63">
        <v>100000</v>
      </c>
      <c r="AN184" s="63">
        <f>425000+116000</f>
        <v>541000</v>
      </c>
      <c r="AO184" s="63">
        <f t="shared" si="76"/>
        <v>641000</v>
      </c>
      <c r="AP184" s="64">
        <f t="shared" si="77"/>
        <v>1300000</v>
      </c>
      <c r="AQ184" s="65">
        <f t="shared" si="79"/>
        <v>18418.610052234471</v>
      </c>
    </row>
    <row r="185" spans="1:43">
      <c r="A185" s="60">
        <f t="shared" si="78"/>
        <v>181</v>
      </c>
      <c r="B185" s="67">
        <v>10037465</v>
      </c>
      <c r="C185" s="61" t="s">
        <v>596</v>
      </c>
      <c r="D185" s="61" t="s">
        <v>588</v>
      </c>
      <c r="E185" s="62">
        <v>1575000</v>
      </c>
      <c r="F185" s="63">
        <v>100000</v>
      </c>
      <c r="G185" s="63">
        <v>265000</v>
      </c>
      <c r="H185" s="63">
        <f t="shared" si="96"/>
        <v>365000</v>
      </c>
      <c r="I185" s="63">
        <v>100000</v>
      </c>
      <c r="J185" s="63">
        <v>0</v>
      </c>
      <c r="K185" s="63">
        <v>0</v>
      </c>
      <c r="L185" s="63">
        <v>100000</v>
      </c>
      <c r="M185" s="63">
        <v>265000</v>
      </c>
      <c r="N185" s="63">
        <f t="shared" si="87"/>
        <v>365000</v>
      </c>
      <c r="O185" s="63">
        <v>100000</v>
      </c>
      <c r="P185" s="63">
        <v>167500</v>
      </c>
      <c r="Q185" s="63">
        <f t="shared" si="92"/>
        <v>267500</v>
      </c>
      <c r="R185" s="63">
        <v>100000</v>
      </c>
      <c r="S185" s="63">
        <v>141500</v>
      </c>
      <c r="T185" s="63">
        <f t="shared" si="93"/>
        <v>241500</v>
      </c>
      <c r="U185" s="63">
        <v>100000</v>
      </c>
      <c r="V185" s="63">
        <v>88000</v>
      </c>
      <c r="W185" s="63">
        <f t="shared" si="94"/>
        <v>188000</v>
      </c>
      <c r="X185" s="63">
        <v>100000</v>
      </c>
      <c r="Y185" s="63">
        <f>540000+148000+57500</f>
        <v>745500</v>
      </c>
      <c r="Z185" s="63">
        <f t="shared" si="88"/>
        <v>845500</v>
      </c>
      <c r="AA185" s="63">
        <v>100000</v>
      </c>
      <c r="AB185" s="63">
        <v>540000</v>
      </c>
      <c r="AC185" s="63">
        <f t="shared" si="89"/>
        <v>640000</v>
      </c>
      <c r="AD185" s="63">
        <v>100000</v>
      </c>
      <c r="AE185" s="63">
        <v>540000</v>
      </c>
      <c r="AF185" s="63">
        <f t="shared" si="90"/>
        <v>640000</v>
      </c>
      <c r="AG185" s="63">
        <v>100000</v>
      </c>
      <c r="AH185" s="63">
        <f>137000+540000</f>
        <v>677000</v>
      </c>
      <c r="AI185" s="63">
        <f t="shared" si="95"/>
        <v>777000</v>
      </c>
      <c r="AJ185" s="63">
        <v>100000</v>
      </c>
      <c r="AK185" s="63">
        <v>540000</v>
      </c>
      <c r="AL185" s="63">
        <f t="shared" si="75"/>
        <v>640000</v>
      </c>
      <c r="AM185" s="63">
        <v>100000</v>
      </c>
      <c r="AN185" s="63">
        <f>540000+206000</f>
        <v>746000</v>
      </c>
      <c r="AO185" s="63">
        <f t="shared" si="76"/>
        <v>846000</v>
      </c>
      <c r="AP185" s="64">
        <f t="shared" si="77"/>
        <v>2775000</v>
      </c>
      <c r="AQ185" s="65">
        <f t="shared" si="79"/>
        <v>39316.648380731283</v>
      </c>
    </row>
    <row r="186" spans="1:43">
      <c r="A186" s="60">
        <f t="shared" si="78"/>
        <v>182</v>
      </c>
      <c r="B186" s="60">
        <v>99101944</v>
      </c>
      <c r="C186" s="61" t="s">
        <v>597</v>
      </c>
      <c r="D186" s="61" t="s">
        <v>588</v>
      </c>
      <c r="E186" s="62">
        <v>1575000</v>
      </c>
      <c r="F186" s="63">
        <v>100000</v>
      </c>
      <c r="G186" s="63">
        <v>540000</v>
      </c>
      <c r="H186" s="63">
        <f t="shared" si="96"/>
        <v>640000</v>
      </c>
      <c r="I186" s="63">
        <v>100000</v>
      </c>
      <c r="J186" s="63">
        <v>0</v>
      </c>
      <c r="K186" s="63">
        <v>0</v>
      </c>
      <c r="L186" s="63">
        <v>100000</v>
      </c>
      <c r="M186" s="63">
        <v>440000</v>
      </c>
      <c r="N186" s="63">
        <f t="shared" si="87"/>
        <v>540000</v>
      </c>
      <c r="O186" s="63">
        <v>100000</v>
      </c>
      <c r="P186" s="63">
        <f>265000+184000</f>
        <v>449000</v>
      </c>
      <c r="Q186" s="63">
        <f t="shared" si="92"/>
        <v>549000</v>
      </c>
      <c r="R186" s="63">
        <v>100000</v>
      </c>
      <c r="S186" s="63">
        <f>440000+77000</f>
        <v>517000</v>
      </c>
      <c r="T186" s="63">
        <f t="shared" si="93"/>
        <v>617000</v>
      </c>
      <c r="U186" s="63">
        <v>100000</v>
      </c>
      <c r="V186" s="63">
        <f>440000+77000</f>
        <v>517000</v>
      </c>
      <c r="W186" s="63">
        <f t="shared" si="94"/>
        <v>617000</v>
      </c>
      <c r="X186" s="63">
        <v>100000</v>
      </c>
      <c r="Y186" s="63">
        <f>440000+176000</f>
        <v>616000</v>
      </c>
      <c r="Z186" s="63">
        <f t="shared" si="88"/>
        <v>716000</v>
      </c>
      <c r="AA186" s="63">
        <v>100000</v>
      </c>
      <c r="AB186" s="63">
        <v>540000</v>
      </c>
      <c r="AC186" s="63">
        <f t="shared" si="89"/>
        <v>640000</v>
      </c>
      <c r="AD186" s="63">
        <v>100000</v>
      </c>
      <c r="AE186" s="63">
        <v>540000</v>
      </c>
      <c r="AF186" s="63">
        <f t="shared" si="90"/>
        <v>640000</v>
      </c>
      <c r="AG186" s="63">
        <v>100000</v>
      </c>
      <c r="AH186" s="63">
        <f>75000+540000</f>
        <v>615000</v>
      </c>
      <c r="AI186" s="63">
        <f t="shared" si="95"/>
        <v>715000</v>
      </c>
      <c r="AJ186" s="63">
        <v>100000</v>
      </c>
      <c r="AK186" s="63">
        <f>540000+99000</f>
        <v>639000</v>
      </c>
      <c r="AL186" s="63">
        <f t="shared" si="75"/>
        <v>739000</v>
      </c>
      <c r="AM186" s="63">
        <v>100000</v>
      </c>
      <c r="AN186" s="63">
        <f>540000</f>
        <v>540000</v>
      </c>
      <c r="AO186" s="63">
        <f t="shared" si="76"/>
        <v>640000</v>
      </c>
      <c r="AP186" s="64">
        <f t="shared" si="77"/>
        <v>2775000</v>
      </c>
      <c r="AQ186" s="65">
        <f t="shared" si="79"/>
        <v>39316.648380731283</v>
      </c>
    </row>
    <row r="187" spans="1:43">
      <c r="A187" s="60">
        <f t="shared" si="78"/>
        <v>183</v>
      </c>
      <c r="B187" s="60">
        <v>99101859</v>
      </c>
      <c r="C187" s="61" t="s">
        <v>598</v>
      </c>
      <c r="D187" s="61" t="s">
        <v>588</v>
      </c>
      <c r="E187" s="62">
        <v>1575000</v>
      </c>
      <c r="F187" s="63">
        <v>100000</v>
      </c>
      <c r="G187" s="63">
        <v>0</v>
      </c>
      <c r="H187" s="63">
        <f t="shared" si="96"/>
        <v>100000</v>
      </c>
      <c r="I187" s="63">
        <v>100000</v>
      </c>
      <c r="J187" s="63">
        <v>0</v>
      </c>
      <c r="K187" s="63">
        <v>0</v>
      </c>
      <c r="L187" s="63">
        <v>100000</v>
      </c>
      <c r="M187" s="63">
        <v>0</v>
      </c>
      <c r="N187" s="63">
        <f t="shared" si="87"/>
        <v>100000</v>
      </c>
      <c r="O187" s="63">
        <v>100000</v>
      </c>
      <c r="P187" s="63">
        <v>440000</v>
      </c>
      <c r="Q187" s="63">
        <f t="shared" si="92"/>
        <v>540000</v>
      </c>
      <c r="R187" s="63">
        <v>100000</v>
      </c>
      <c r="S187" s="63">
        <v>440000</v>
      </c>
      <c r="T187" s="63">
        <f t="shared" si="93"/>
        <v>540000</v>
      </c>
      <c r="U187" s="63">
        <v>100000</v>
      </c>
      <c r="V187" s="63">
        <v>440000</v>
      </c>
      <c r="W187" s="63">
        <f t="shared" si="94"/>
        <v>540000</v>
      </c>
      <c r="X187" s="63">
        <v>100000</v>
      </c>
      <c r="Y187" s="63">
        <v>440000</v>
      </c>
      <c r="Z187" s="63">
        <f t="shared" si="88"/>
        <v>540000</v>
      </c>
      <c r="AA187" s="63">
        <v>100000</v>
      </c>
      <c r="AB187" s="63">
        <v>440000</v>
      </c>
      <c r="AC187" s="63">
        <f t="shared" si="89"/>
        <v>540000</v>
      </c>
      <c r="AD187" s="63">
        <v>100000</v>
      </c>
      <c r="AE187" s="63">
        <v>0</v>
      </c>
      <c r="AF187" s="63">
        <f t="shared" si="90"/>
        <v>100000</v>
      </c>
      <c r="AG187" s="63">
        <v>100000</v>
      </c>
      <c r="AH187" s="63">
        <f>287500</f>
        <v>287500</v>
      </c>
      <c r="AI187" s="63">
        <f t="shared" si="95"/>
        <v>387500</v>
      </c>
      <c r="AJ187" s="63">
        <v>100000</v>
      </c>
      <c r="AK187" s="63">
        <f>287500+79000</f>
        <v>366500</v>
      </c>
      <c r="AL187" s="63">
        <f t="shared" si="75"/>
        <v>466500</v>
      </c>
      <c r="AM187" s="63">
        <v>100000</v>
      </c>
      <c r="AN187" s="63">
        <f>287500+80000</f>
        <v>367500</v>
      </c>
      <c r="AO187" s="63">
        <f t="shared" si="76"/>
        <v>467500</v>
      </c>
      <c r="AP187" s="64">
        <f t="shared" si="77"/>
        <v>2775000</v>
      </c>
      <c r="AQ187" s="65">
        <f t="shared" si="79"/>
        <v>39316.648380731283</v>
      </c>
    </row>
    <row r="188" spans="1:43">
      <c r="A188" s="60">
        <f t="shared" si="78"/>
        <v>184</v>
      </c>
      <c r="B188" s="67" t="s">
        <v>599</v>
      </c>
      <c r="C188" s="61" t="s">
        <v>600</v>
      </c>
      <c r="D188" s="61" t="s">
        <v>588</v>
      </c>
      <c r="E188" s="62">
        <v>1575000</v>
      </c>
      <c r="F188" s="63">
        <v>100000</v>
      </c>
      <c r="G188" s="63">
        <v>270000</v>
      </c>
      <c r="H188" s="63">
        <f t="shared" si="96"/>
        <v>370000</v>
      </c>
      <c r="I188" s="63">
        <v>100000</v>
      </c>
      <c r="J188" s="63">
        <v>0</v>
      </c>
      <c r="K188" s="63">
        <v>0</v>
      </c>
      <c r="L188" s="63">
        <v>100000</v>
      </c>
      <c r="M188" s="63">
        <v>440000</v>
      </c>
      <c r="N188" s="63">
        <f t="shared" si="87"/>
        <v>540000</v>
      </c>
      <c r="O188" s="63">
        <v>100000</v>
      </c>
      <c r="P188" s="63">
        <v>440000</v>
      </c>
      <c r="Q188" s="63">
        <f t="shared" si="92"/>
        <v>540000</v>
      </c>
      <c r="R188" s="63">
        <v>100000</v>
      </c>
      <c r="S188" s="63">
        <v>440000</v>
      </c>
      <c r="T188" s="63">
        <f t="shared" si="93"/>
        <v>540000</v>
      </c>
      <c r="U188" s="63">
        <v>100000</v>
      </c>
      <c r="V188" s="63">
        <v>440000</v>
      </c>
      <c r="W188" s="63">
        <f t="shared" si="94"/>
        <v>540000</v>
      </c>
      <c r="X188" s="63">
        <v>100000</v>
      </c>
      <c r="Y188" s="63">
        <v>540000</v>
      </c>
      <c r="Z188" s="63">
        <f t="shared" si="88"/>
        <v>640000</v>
      </c>
      <c r="AA188" s="63">
        <v>100000</v>
      </c>
      <c r="AB188" s="63">
        <v>540000</v>
      </c>
      <c r="AC188" s="63">
        <f t="shared" si="89"/>
        <v>640000</v>
      </c>
      <c r="AD188" s="63">
        <v>100000</v>
      </c>
      <c r="AE188" s="63">
        <v>540000</v>
      </c>
      <c r="AF188" s="63">
        <f t="shared" si="90"/>
        <v>640000</v>
      </c>
      <c r="AG188" s="63">
        <v>100000</v>
      </c>
      <c r="AH188" s="63">
        <f>540000</f>
        <v>540000</v>
      </c>
      <c r="AI188" s="63">
        <f t="shared" si="95"/>
        <v>640000</v>
      </c>
      <c r="AJ188" s="63">
        <v>100000</v>
      </c>
      <c r="AK188" s="63">
        <v>540000</v>
      </c>
      <c r="AL188" s="63">
        <f t="shared" si="75"/>
        <v>640000</v>
      </c>
      <c r="AM188" s="63">
        <v>100000</v>
      </c>
      <c r="AN188" s="63">
        <f>540000</f>
        <v>540000</v>
      </c>
      <c r="AO188" s="63">
        <f t="shared" si="76"/>
        <v>640000</v>
      </c>
      <c r="AP188" s="64">
        <f t="shared" si="77"/>
        <v>2775000</v>
      </c>
      <c r="AQ188" s="65">
        <f t="shared" si="79"/>
        <v>39316.648380731283</v>
      </c>
    </row>
    <row r="189" spans="1:43">
      <c r="A189" s="60">
        <f t="shared" si="78"/>
        <v>185</v>
      </c>
      <c r="B189" s="67" t="s">
        <v>601</v>
      </c>
      <c r="C189" s="61" t="s">
        <v>602</v>
      </c>
      <c r="D189" s="61" t="s">
        <v>588</v>
      </c>
      <c r="E189" s="62">
        <v>1575000</v>
      </c>
      <c r="F189" s="63">
        <v>100000</v>
      </c>
      <c r="G189" s="63">
        <f>270000+416000</f>
        <v>686000</v>
      </c>
      <c r="H189" s="63">
        <f t="shared" si="96"/>
        <v>786000</v>
      </c>
      <c r="I189" s="63">
        <v>100000</v>
      </c>
      <c r="J189" s="63">
        <v>0</v>
      </c>
      <c r="K189" s="63">
        <v>0</v>
      </c>
      <c r="L189" s="63">
        <v>100000</v>
      </c>
      <c r="M189" s="63">
        <v>440000</v>
      </c>
      <c r="N189" s="63">
        <f t="shared" ref="N189:N214" si="97">L189+M189</f>
        <v>540000</v>
      </c>
      <c r="O189" s="63">
        <v>100000</v>
      </c>
      <c r="P189" s="63">
        <f>440000+355000</f>
        <v>795000</v>
      </c>
      <c r="Q189" s="63">
        <f t="shared" si="92"/>
        <v>895000</v>
      </c>
      <c r="R189" s="63">
        <v>100000</v>
      </c>
      <c r="S189" s="63">
        <f>440000+241500</f>
        <v>681500</v>
      </c>
      <c r="T189" s="63">
        <f t="shared" si="93"/>
        <v>781500</v>
      </c>
      <c r="U189" s="63">
        <v>100000</v>
      </c>
      <c r="V189" s="63">
        <f>440000+242000</f>
        <v>682000</v>
      </c>
      <c r="W189" s="63">
        <f t="shared" si="94"/>
        <v>782000</v>
      </c>
      <c r="X189" s="63">
        <v>100000</v>
      </c>
      <c r="Y189" s="63">
        <f>540000+254500</f>
        <v>794500</v>
      </c>
      <c r="Z189" s="63">
        <f t="shared" si="88"/>
        <v>894500</v>
      </c>
      <c r="AA189" s="63">
        <v>100000</v>
      </c>
      <c r="AB189" s="63">
        <v>540000</v>
      </c>
      <c r="AC189" s="63">
        <f t="shared" si="89"/>
        <v>640000</v>
      </c>
      <c r="AD189" s="63">
        <v>100000</v>
      </c>
      <c r="AE189" s="63">
        <v>540000</v>
      </c>
      <c r="AF189" s="63">
        <f t="shared" si="90"/>
        <v>640000</v>
      </c>
      <c r="AG189" s="63">
        <v>100000</v>
      </c>
      <c r="AH189" s="63">
        <f>540000</f>
        <v>540000</v>
      </c>
      <c r="AI189" s="63">
        <f t="shared" si="95"/>
        <v>640000</v>
      </c>
      <c r="AJ189" s="63">
        <v>100000</v>
      </c>
      <c r="AK189" s="63">
        <f>540000+164000</f>
        <v>704000</v>
      </c>
      <c r="AL189" s="63">
        <f t="shared" si="75"/>
        <v>804000</v>
      </c>
      <c r="AM189" s="63">
        <v>100000</v>
      </c>
      <c r="AN189" s="63">
        <f>540000+360000</f>
        <v>900000</v>
      </c>
      <c r="AO189" s="63">
        <f t="shared" si="76"/>
        <v>1000000</v>
      </c>
      <c r="AP189" s="64">
        <f t="shared" si="77"/>
        <v>2775000</v>
      </c>
      <c r="AQ189" s="65">
        <f t="shared" si="79"/>
        <v>39316.648380731283</v>
      </c>
    </row>
    <row r="190" spans="1:43">
      <c r="A190" s="60">
        <f t="shared" si="78"/>
        <v>186</v>
      </c>
      <c r="B190" s="60">
        <v>99101705</v>
      </c>
      <c r="C190" s="61" t="s">
        <v>603</v>
      </c>
      <c r="D190" s="61" t="s">
        <v>588</v>
      </c>
      <c r="E190" s="62">
        <v>1575000</v>
      </c>
      <c r="F190" s="63">
        <v>100000</v>
      </c>
      <c r="G190" s="63">
        <v>405000</v>
      </c>
      <c r="H190" s="63">
        <f t="shared" si="96"/>
        <v>505000</v>
      </c>
      <c r="I190" s="63">
        <v>100000</v>
      </c>
      <c r="J190" s="63">
        <v>0</v>
      </c>
      <c r="K190" s="63">
        <v>0</v>
      </c>
      <c r="L190" s="63">
        <v>100000</v>
      </c>
      <c r="M190" s="63">
        <v>405000</v>
      </c>
      <c r="N190" s="63">
        <f t="shared" si="97"/>
        <v>505000</v>
      </c>
      <c r="O190" s="63">
        <v>100000</v>
      </c>
      <c r="P190" s="63">
        <v>440000</v>
      </c>
      <c r="Q190" s="63">
        <f t="shared" si="92"/>
        <v>540000</v>
      </c>
      <c r="R190" s="63">
        <v>100000</v>
      </c>
      <c r="S190" s="63">
        <v>440000</v>
      </c>
      <c r="T190" s="63">
        <f t="shared" si="93"/>
        <v>540000</v>
      </c>
      <c r="U190" s="63">
        <v>100000</v>
      </c>
      <c r="V190" s="63">
        <v>440000</v>
      </c>
      <c r="W190" s="63">
        <f t="shared" si="94"/>
        <v>540000</v>
      </c>
      <c r="X190" s="63">
        <v>100000</v>
      </c>
      <c r="Y190" s="63">
        <v>440000</v>
      </c>
      <c r="Z190" s="63">
        <f t="shared" si="88"/>
        <v>540000</v>
      </c>
      <c r="AA190" s="63">
        <v>100000</v>
      </c>
      <c r="AB190" s="63">
        <v>440000</v>
      </c>
      <c r="AC190" s="63">
        <f t="shared" si="89"/>
        <v>540000</v>
      </c>
      <c r="AD190" s="63">
        <v>100000</v>
      </c>
      <c r="AE190" s="63">
        <v>0</v>
      </c>
      <c r="AF190" s="63">
        <f t="shared" si="90"/>
        <v>100000</v>
      </c>
      <c r="AG190" s="63">
        <v>100000</v>
      </c>
      <c r="AH190" s="63">
        <f>287500</f>
        <v>287500</v>
      </c>
      <c r="AI190" s="63">
        <f t="shared" si="95"/>
        <v>387500</v>
      </c>
      <c r="AJ190" s="63">
        <v>100000</v>
      </c>
      <c r="AK190" s="63">
        <f>287500</f>
        <v>287500</v>
      </c>
      <c r="AL190" s="63">
        <f t="shared" si="75"/>
        <v>387500</v>
      </c>
      <c r="AM190" s="63">
        <v>100000</v>
      </c>
      <c r="AN190" s="63">
        <f>287500</f>
        <v>287500</v>
      </c>
      <c r="AO190" s="63">
        <f t="shared" si="76"/>
        <v>387500</v>
      </c>
      <c r="AP190" s="64">
        <f t="shared" si="77"/>
        <v>2775000</v>
      </c>
      <c r="AQ190" s="65">
        <f t="shared" si="79"/>
        <v>39316.648380731283</v>
      </c>
    </row>
    <row r="191" spans="1:43">
      <c r="A191" s="60">
        <f t="shared" si="78"/>
        <v>187</v>
      </c>
      <c r="B191" s="67" t="s">
        <v>604</v>
      </c>
      <c r="C191" s="61" t="s">
        <v>605</v>
      </c>
      <c r="D191" s="61" t="s">
        <v>588</v>
      </c>
      <c r="E191" s="62">
        <v>1575000</v>
      </c>
      <c r="F191" s="63">
        <v>100000</v>
      </c>
      <c r="G191" s="63">
        <v>440000</v>
      </c>
      <c r="H191" s="63">
        <f t="shared" si="96"/>
        <v>540000</v>
      </c>
      <c r="I191" s="63">
        <v>100000</v>
      </c>
      <c r="J191" s="63">
        <v>0</v>
      </c>
      <c r="K191" s="63">
        <v>0</v>
      </c>
      <c r="L191" s="63">
        <v>100000</v>
      </c>
      <c r="M191" s="63">
        <v>440000</v>
      </c>
      <c r="N191" s="63">
        <f t="shared" si="97"/>
        <v>540000</v>
      </c>
      <c r="O191" s="63">
        <v>100000</v>
      </c>
      <c r="P191" s="63">
        <v>440000</v>
      </c>
      <c r="Q191" s="63">
        <f t="shared" si="92"/>
        <v>540000</v>
      </c>
      <c r="R191" s="63">
        <v>100000</v>
      </c>
      <c r="S191" s="63">
        <v>440000</v>
      </c>
      <c r="T191" s="63">
        <f t="shared" si="93"/>
        <v>540000</v>
      </c>
      <c r="U191" s="63">
        <v>100000</v>
      </c>
      <c r="V191" s="63">
        <v>0</v>
      </c>
      <c r="W191" s="63">
        <f t="shared" si="94"/>
        <v>100000</v>
      </c>
      <c r="X191" s="63">
        <v>100000</v>
      </c>
      <c r="Y191" s="63">
        <v>0</v>
      </c>
      <c r="Z191" s="63">
        <f t="shared" si="88"/>
        <v>100000</v>
      </c>
      <c r="AA191" s="63">
        <v>100000</v>
      </c>
      <c r="AB191" s="63">
        <v>0</v>
      </c>
      <c r="AC191" s="63">
        <f t="shared" si="89"/>
        <v>100000</v>
      </c>
      <c r="AD191" s="63">
        <v>100000</v>
      </c>
      <c r="AE191" s="63">
        <v>0</v>
      </c>
      <c r="AF191" s="63">
        <f t="shared" si="90"/>
        <v>100000</v>
      </c>
      <c r="AG191" s="63">
        <v>100000</v>
      </c>
      <c r="AH191" s="63">
        <v>0</v>
      </c>
      <c r="AI191" s="63">
        <f t="shared" si="95"/>
        <v>100000</v>
      </c>
      <c r="AJ191" s="63">
        <v>100000</v>
      </c>
      <c r="AK191" s="63">
        <v>0</v>
      </c>
      <c r="AL191" s="63">
        <f t="shared" si="75"/>
        <v>100000</v>
      </c>
      <c r="AM191" s="63">
        <v>100000</v>
      </c>
      <c r="AN191" s="63">
        <v>0</v>
      </c>
      <c r="AO191" s="63">
        <f t="shared" si="76"/>
        <v>100000</v>
      </c>
      <c r="AP191" s="64">
        <f t="shared" si="77"/>
        <v>2775000</v>
      </c>
      <c r="AQ191" s="65">
        <f t="shared" si="79"/>
        <v>39316.648380731283</v>
      </c>
    </row>
    <row r="192" spans="1:43">
      <c r="A192" s="60">
        <f t="shared" si="78"/>
        <v>188</v>
      </c>
      <c r="B192" s="67" t="s">
        <v>606</v>
      </c>
      <c r="C192" s="61" t="s">
        <v>607</v>
      </c>
      <c r="D192" s="61" t="s">
        <v>588</v>
      </c>
      <c r="E192" s="62">
        <v>1575000</v>
      </c>
      <c r="F192" s="63">
        <v>100000</v>
      </c>
      <c r="G192" s="63">
        <v>0</v>
      </c>
      <c r="H192" s="63">
        <f t="shared" si="96"/>
        <v>100000</v>
      </c>
      <c r="I192" s="63">
        <v>100000</v>
      </c>
      <c r="J192" s="63">
        <v>0</v>
      </c>
      <c r="K192" s="63">
        <v>0</v>
      </c>
      <c r="L192" s="63">
        <v>100000</v>
      </c>
      <c r="M192" s="63">
        <v>440000</v>
      </c>
      <c r="N192" s="63">
        <f t="shared" si="97"/>
        <v>540000</v>
      </c>
      <c r="O192" s="63">
        <v>100000</v>
      </c>
      <c r="P192" s="63">
        <v>440000</v>
      </c>
      <c r="Q192" s="63">
        <f t="shared" si="92"/>
        <v>540000</v>
      </c>
      <c r="R192" s="63">
        <v>100000</v>
      </c>
      <c r="S192" s="63">
        <f>440000+165000</f>
        <v>605000</v>
      </c>
      <c r="T192" s="63">
        <f t="shared" si="93"/>
        <v>705000</v>
      </c>
      <c r="U192" s="63">
        <v>100000</v>
      </c>
      <c r="V192" s="63">
        <v>440000</v>
      </c>
      <c r="W192" s="63">
        <f t="shared" si="94"/>
        <v>540000</v>
      </c>
      <c r="X192" s="63">
        <v>100000</v>
      </c>
      <c r="Y192" s="63">
        <v>440000</v>
      </c>
      <c r="Z192" s="63">
        <f t="shared" si="88"/>
        <v>540000</v>
      </c>
      <c r="AA192" s="63">
        <v>100000</v>
      </c>
      <c r="AB192" s="63">
        <v>540000</v>
      </c>
      <c r="AC192" s="63">
        <f t="shared" si="89"/>
        <v>640000</v>
      </c>
      <c r="AD192" s="63">
        <v>100000</v>
      </c>
      <c r="AE192" s="63">
        <v>540000</v>
      </c>
      <c r="AF192" s="63">
        <f t="shared" si="90"/>
        <v>640000</v>
      </c>
      <c r="AG192" s="63">
        <v>100000</v>
      </c>
      <c r="AH192" s="63">
        <f>540000</f>
        <v>540000</v>
      </c>
      <c r="AI192" s="63">
        <f t="shared" si="95"/>
        <v>640000</v>
      </c>
      <c r="AJ192" s="63">
        <v>100000</v>
      </c>
      <c r="AK192" s="63">
        <v>540000</v>
      </c>
      <c r="AL192" s="63">
        <f t="shared" si="75"/>
        <v>640000</v>
      </c>
      <c r="AM192" s="63">
        <v>100000</v>
      </c>
      <c r="AN192" s="63">
        <f>540000+224000</f>
        <v>764000</v>
      </c>
      <c r="AO192" s="63">
        <f t="shared" si="76"/>
        <v>864000</v>
      </c>
      <c r="AP192" s="64">
        <f t="shared" si="77"/>
        <v>2775000</v>
      </c>
      <c r="AQ192" s="65">
        <f t="shared" si="79"/>
        <v>39316.648380731283</v>
      </c>
    </row>
    <row r="193" spans="1:43">
      <c r="A193" s="60">
        <f t="shared" si="78"/>
        <v>189</v>
      </c>
      <c r="B193" s="68">
        <v>11108469</v>
      </c>
      <c r="C193" s="61" t="s">
        <v>432</v>
      </c>
      <c r="D193" s="61" t="s">
        <v>608</v>
      </c>
      <c r="E193" s="62">
        <v>700000</v>
      </c>
      <c r="F193" s="63">
        <v>100000</v>
      </c>
      <c r="G193" s="63">
        <v>0</v>
      </c>
      <c r="H193" s="63">
        <f t="shared" si="96"/>
        <v>100000</v>
      </c>
      <c r="I193" s="63">
        <v>100000</v>
      </c>
      <c r="J193" s="63">
        <v>0</v>
      </c>
      <c r="K193" s="63">
        <v>0</v>
      </c>
      <c r="L193" s="63">
        <v>100000</v>
      </c>
      <c r="M193" s="63">
        <v>0</v>
      </c>
      <c r="N193" s="63">
        <f t="shared" si="97"/>
        <v>100000</v>
      </c>
      <c r="O193" s="63">
        <v>100000</v>
      </c>
      <c r="P193" s="63">
        <v>0</v>
      </c>
      <c r="Q193" s="63">
        <f t="shared" si="92"/>
        <v>100000</v>
      </c>
      <c r="R193" s="63">
        <v>100000</v>
      </c>
      <c r="S193" s="63">
        <v>0</v>
      </c>
      <c r="T193" s="63">
        <f t="shared" si="93"/>
        <v>100000</v>
      </c>
      <c r="U193" s="63">
        <v>100000</v>
      </c>
      <c r="V193" s="63">
        <v>0</v>
      </c>
      <c r="W193" s="63">
        <f t="shared" si="94"/>
        <v>100000</v>
      </c>
      <c r="X193" s="63">
        <v>100000</v>
      </c>
      <c r="Y193" s="63">
        <v>0</v>
      </c>
      <c r="Z193" s="63">
        <f t="shared" si="88"/>
        <v>100000</v>
      </c>
      <c r="AA193" s="63">
        <v>100000</v>
      </c>
      <c r="AB193" s="63">
        <v>0</v>
      </c>
      <c r="AC193" s="63">
        <f t="shared" si="89"/>
        <v>100000</v>
      </c>
      <c r="AD193" s="63">
        <v>100000</v>
      </c>
      <c r="AE193" s="63">
        <v>0</v>
      </c>
      <c r="AF193" s="63">
        <f t="shared" si="90"/>
        <v>100000</v>
      </c>
      <c r="AG193" s="63">
        <v>100000</v>
      </c>
      <c r="AH193" s="63">
        <f>265000</f>
        <v>265000</v>
      </c>
      <c r="AI193" s="63">
        <f t="shared" si="95"/>
        <v>365000</v>
      </c>
      <c r="AJ193" s="63">
        <v>100000</v>
      </c>
      <c r="AK193" s="63">
        <v>265000</v>
      </c>
      <c r="AL193" s="63">
        <f t="shared" si="75"/>
        <v>365000</v>
      </c>
      <c r="AM193" s="63">
        <v>100000</v>
      </c>
      <c r="AN193" s="63">
        <f>265000</f>
        <v>265000</v>
      </c>
      <c r="AO193" s="63">
        <f t="shared" si="76"/>
        <v>365000</v>
      </c>
      <c r="AP193" s="64">
        <f t="shared" si="77"/>
        <v>1900000</v>
      </c>
      <c r="AQ193" s="65">
        <f t="shared" si="79"/>
        <v>26919.506999419616</v>
      </c>
    </row>
    <row r="194" spans="1:43">
      <c r="A194" s="60">
        <f t="shared" si="78"/>
        <v>190</v>
      </c>
      <c r="B194" s="60">
        <v>97111502</v>
      </c>
      <c r="C194" s="61" t="s">
        <v>370</v>
      </c>
      <c r="D194" s="61" t="s">
        <v>608</v>
      </c>
      <c r="E194" s="62">
        <v>1575000</v>
      </c>
      <c r="F194" s="63">
        <v>100000</v>
      </c>
      <c r="G194" s="63">
        <v>1000000</v>
      </c>
      <c r="H194" s="63">
        <f t="shared" si="96"/>
        <v>1100000</v>
      </c>
      <c r="I194" s="63">
        <v>100000</v>
      </c>
      <c r="J194" s="63">
        <v>0</v>
      </c>
      <c r="K194" s="63">
        <v>0</v>
      </c>
      <c r="L194" s="63">
        <v>100000</v>
      </c>
      <c r="M194" s="63">
        <v>8500</v>
      </c>
      <c r="N194" s="63">
        <f t="shared" si="97"/>
        <v>108500</v>
      </c>
      <c r="O194" s="63">
        <v>100000</v>
      </c>
      <c r="P194" s="63">
        <v>94500</v>
      </c>
      <c r="Q194" s="63">
        <f t="shared" si="92"/>
        <v>194500</v>
      </c>
      <c r="R194" s="63">
        <v>100000</v>
      </c>
      <c r="S194" s="63">
        <v>113000</v>
      </c>
      <c r="T194" s="63">
        <f t="shared" si="93"/>
        <v>213000</v>
      </c>
      <c r="U194" s="63">
        <v>100000</v>
      </c>
      <c r="V194" s="63">
        <v>138000</v>
      </c>
      <c r="W194" s="63">
        <f t="shared" si="94"/>
        <v>238000</v>
      </c>
      <c r="X194" s="63">
        <v>100000</v>
      </c>
      <c r="Y194" s="63">
        <v>13500</v>
      </c>
      <c r="Z194" s="63">
        <f t="shared" si="88"/>
        <v>113500</v>
      </c>
      <c r="AA194" s="63">
        <v>100000</v>
      </c>
      <c r="AB194" s="63">
        <v>118000</v>
      </c>
      <c r="AC194" s="63">
        <f t="shared" si="89"/>
        <v>218000</v>
      </c>
      <c r="AD194" s="63">
        <v>100000</v>
      </c>
      <c r="AE194" s="63">
        <f>39000</f>
        <v>39000</v>
      </c>
      <c r="AF194" s="63">
        <f t="shared" si="90"/>
        <v>139000</v>
      </c>
      <c r="AG194" s="63">
        <v>100000</v>
      </c>
      <c r="AH194" s="63">
        <f>1508000</f>
        <v>1508000</v>
      </c>
      <c r="AI194" s="63">
        <f t="shared" si="95"/>
        <v>1608000</v>
      </c>
      <c r="AJ194" s="63">
        <v>100000</v>
      </c>
      <c r="AK194" s="63">
        <v>1508000</v>
      </c>
      <c r="AL194" s="63">
        <f t="shared" si="75"/>
        <v>1608000</v>
      </c>
      <c r="AM194" s="63">
        <v>100000</v>
      </c>
      <c r="AN194" s="63">
        <f>1508000</f>
        <v>1508000</v>
      </c>
      <c r="AO194" s="63">
        <f t="shared" si="76"/>
        <v>1608000</v>
      </c>
      <c r="AP194" s="64">
        <f t="shared" si="77"/>
        <v>2775000</v>
      </c>
      <c r="AQ194" s="65">
        <f t="shared" si="79"/>
        <v>39316.648380731283</v>
      </c>
    </row>
    <row r="195" spans="1:43">
      <c r="A195" s="60">
        <f t="shared" si="78"/>
        <v>191</v>
      </c>
      <c r="B195" s="60">
        <v>99112081</v>
      </c>
      <c r="C195" s="61" t="s">
        <v>609</v>
      </c>
      <c r="D195" s="61" t="s">
        <v>608</v>
      </c>
      <c r="E195" s="62">
        <v>1575000</v>
      </c>
      <c r="F195" s="63">
        <v>100000</v>
      </c>
      <c r="G195" s="63">
        <v>270000</v>
      </c>
      <c r="H195" s="63">
        <f t="shared" si="96"/>
        <v>370000</v>
      </c>
      <c r="I195" s="63">
        <v>100000</v>
      </c>
      <c r="J195" s="63">
        <v>0</v>
      </c>
      <c r="K195" s="63">
        <v>0</v>
      </c>
      <c r="L195" s="63">
        <v>100000</v>
      </c>
      <c r="M195" s="63">
        <f>270000+54000</f>
        <v>324000</v>
      </c>
      <c r="N195" s="63">
        <f t="shared" si="97"/>
        <v>424000</v>
      </c>
      <c r="O195" s="63">
        <v>100000</v>
      </c>
      <c r="P195" s="63">
        <v>360000</v>
      </c>
      <c r="Q195" s="63">
        <f t="shared" si="92"/>
        <v>460000</v>
      </c>
      <c r="R195" s="63">
        <v>100000</v>
      </c>
      <c r="S195" s="63">
        <f>440000+193500</f>
        <v>633500</v>
      </c>
      <c r="T195" s="63">
        <f t="shared" si="93"/>
        <v>733500</v>
      </c>
      <c r="U195" s="63">
        <v>100000</v>
      </c>
      <c r="V195" s="63">
        <f>440000+203000</f>
        <v>643000</v>
      </c>
      <c r="W195" s="63">
        <f t="shared" si="94"/>
        <v>743000</v>
      </c>
      <c r="X195" s="63">
        <v>100000</v>
      </c>
      <c r="Y195" s="63">
        <v>440000</v>
      </c>
      <c r="Z195" s="63">
        <f t="shared" si="88"/>
        <v>540000</v>
      </c>
      <c r="AA195" s="63">
        <v>100000</v>
      </c>
      <c r="AB195" s="63">
        <f>440000+74500</f>
        <v>514500</v>
      </c>
      <c r="AC195" s="63">
        <f t="shared" si="89"/>
        <v>614500</v>
      </c>
      <c r="AD195" s="63">
        <v>100000</v>
      </c>
      <c r="AE195" s="63">
        <f>64000+440000</f>
        <v>504000</v>
      </c>
      <c r="AF195" s="63">
        <f t="shared" si="90"/>
        <v>604000</v>
      </c>
      <c r="AG195" s="63">
        <v>100000</v>
      </c>
      <c r="AH195" s="63">
        <f>32500+25500+540000</f>
        <v>598000</v>
      </c>
      <c r="AI195" s="63">
        <f t="shared" si="95"/>
        <v>698000</v>
      </c>
      <c r="AJ195" s="63">
        <v>100000</v>
      </c>
      <c r="AK195" s="63">
        <v>540000</v>
      </c>
      <c r="AL195" s="63">
        <f t="shared" si="75"/>
        <v>640000</v>
      </c>
      <c r="AM195" s="63">
        <v>100000</v>
      </c>
      <c r="AN195" s="63">
        <f>540000</f>
        <v>540000</v>
      </c>
      <c r="AO195" s="63">
        <f t="shared" si="76"/>
        <v>640000</v>
      </c>
      <c r="AP195" s="64">
        <f t="shared" si="77"/>
        <v>2775000</v>
      </c>
      <c r="AQ195" s="65">
        <f t="shared" si="79"/>
        <v>39316.648380731283</v>
      </c>
    </row>
    <row r="196" spans="1:43">
      <c r="A196" s="60">
        <f t="shared" si="78"/>
        <v>192</v>
      </c>
      <c r="B196" s="60">
        <v>13069814</v>
      </c>
      <c r="C196" s="61" t="s">
        <v>610</v>
      </c>
      <c r="D196" s="61" t="s">
        <v>611</v>
      </c>
      <c r="E196" s="62">
        <v>1225000</v>
      </c>
      <c r="F196" s="63">
        <v>100000</v>
      </c>
      <c r="G196" s="63">
        <v>81500</v>
      </c>
      <c r="H196" s="63">
        <f t="shared" si="96"/>
        <v>181500</v>
      </c>
      <c r="I196" s="63">
        <v>100000</v>
      </c>
      <c r="J196" s="63">
        <v>0</v>
      </c>
      <c r="K196" s="63">
        <v>0</v>
      </c>
      <c r="L196" s="63">
        <v>100000</v>
      </c>
      <c r="M196" s="63">
        <v>108000</v>
      </c>
      <c r="N196" s="63">
        <f t="shared" si="97"/>
        <v>208000</v>
      </c>
      <c r="O196" s="63">
        <v>100000</v>
      </c>
      <c r="P196" s="63">
        <v>69000</v>
      </c>
      <c r="Q196" s="63">
        <f t="shared" si="92"/>
        <v>169000</v>
      </c>
      <c r="R196" s="63">
        <v>100000</v>
      </c>
      <c r="S196" s="63">
        <v>30000</v>
      </c>
      <c r="T196" s="63">
        <f t="shared" si="93"/>
        <v>130000</v>
      </c>
      <c r="U196" s="63">
        <v>100000</v>
      </c>
      <c r="V196" s="63">
        <v>0</v>
      </c>
      <c r="W196" s="63">
        <f t="shared" si="94"/>
        <v>100000</v>
      </c>
      <c r="X196" s="63">
        <v>100000</v>
      </c>
      <c r="Y196" s="63">
        <v>0</v>
      </c>
      <c r="Z196" s="63">
        <f t="shared" ref="Z196:Z214" si="98">X196+Y196</f>
        <v>100000</v>
      </c>
      <c r="AA196" s="63">
        <v>100000</v>
      </c>
      <c r="AB196" s="63">
        <v>0</v>
      </c>
      <c r="AC196" s="63">
        <f t="shared" ref="AC196:AC214" si="99">AB196+AA196</f>
        <v>100000</v>
      </c>
      <c r="AD196" s="63">
        <v>100000</v>
      </c>
      <c r="AE196" s="63">
        <v>0</v>
      </c>
      <c r="AF196" s="63">
        <f t="shared" ref="AF196:AF214" si="100">AD196+AE196</f>
        <v>100000</v>
      </c>
      <c r="AG196" s="63">
        <v>100000</v>
      </c>
      <c r="AH196" s="63">
        <f>27000</f>
        <v>27000</v>
      </c>
      <c r="AI196" s="63">
        <f t="shared" si="95"/>
        <v>127000</v>
      </c>
      <c r="AJ196" s="63">
        <v>100000</v>
      </c>
      <c r="AK196" s="63">
        <v>0</v>
      </c>
      <c r="AL196" s="63">
        <f t="shared" si="75"/>
        <v>100000</v>
      </c>
      <c r="AM196" s="63">
        <v>100000</v>
      </c>
      <c r="AN196" s="63">
        <v>0</v>
      </c>
      <c r="AO196" s="63">
        <f t="shared" si="76"/>
        <v>100000</v>
      </c>
      <c r="AP196" s="64">
        <f t="shared" si="77"/>
        <v>2425000</v>
      </c>
      <c r="AQ196" s="65">
        <f t="shared" si="79"/>
        <v>34357.791828206609</v>
      </c>
    </row>
    <row r="197" spans="1:43">
      <c r="A197" s="60">
        <f t="shared" si="78"/>
        <v>193</v>
      </c>
      <c r="B197" s="67" t="s">
        <v>613</v>
      </c>
      <c r="C197" s="61" t="s">
        <v>614</v>
      </c>
      <c r="D197" s="61" t="s">
        <v>612</v>
      </c>
      <c r="E197" s="62">
        <v>1575000</v>
      </c>
      <c r="F197" s="63">
        <v>100000</v>
      </c>
      <c r="G197" s="63">
        <v>0</v>
      </c>
      <c r="H197" s="63">
        <f t="shared" si="96"/>
        <v>100000</v>
      </c>
      <c r="I197" s="63">
        <v>100000</v>
      </c>
      <c r="J197" s="63">
        <v>0</v>
      </c>
      <c r="K197" s="63">
        <v>0</v>
      </c>
      <c r="L197" s="63">
        <v>100000</v>
      </c>
      <c r="M197" s="63">
        <v>0</v>
      </c>
      <c r="N197" s="63">
        <f t="shared" si="97"/>
        <v>100000</v>
      </c>
      <c r="O197" s="63">
        <v>100000</v>
      </c>
      <c r="P197" s="63">
        <v>0</v>
      </c>
      <c r="Q197" s="63">
        <f t="shared" si="92"/>
        <v>100000</v>
      </c>
      <c r="R197" s="63">
        <v>100000</v>
      </c>
      <c r="S197" s="63">
        <v>0</v>
      </c>
      <c r="T197" s="63">
        <f t="shared" si="93"/>
        <v>100000</v>
      </c>
      <c r="U197" s="63">
        <v>100000</v>
      </c>
      <c r="V197" s="63">
        <v>0</v>
      </c>
      <c r="W197" s="63">
        <f t="shared" si="94"/>
        <v>100000</v>
      </c>
      <c r="X197" s="63">
        <v>100000</v>
      </c>
      <c r="Y197" s="63">
        <v>0</v>
      </c>
      <c r="Z197" s="63">
        <f t="shared" si="98"/>
        <v>100000</v>
      </c>
      <c r="AA197" s="63">
        <v>100000</v>
      </c>
      <c r="AB197" s="63">
        <v>0</v>
      </c>
      <c r="AC197" s="63">
        <f t="shared" si="99"/>
        <v>100000</v>
      </c>
      <c r="AD197" s="63">
        <v>100000</v>
      </c>
      <c r="AE197" s="63">
        <v>0</v>
      </c>
      <c r="AF197" s="63">
        <f t="shared" si="100"/>
        <v>100000</v>
      </c>
      <c r="AG197" s="63">
        <v>100000</v>
      </c>
      <c r="AH197" s="63">
        <v>0</v>
      </c>
      <c r="AI197" s="63">
        <f t="shared" si="95"/>
        <v>100000</v>
      </c>
      <c r="AJ197" s="63">
        <v>100000</v>
      </c>
      <c r="AK197" s="63">
        <v>0</v>
      </c>
      <c r="AL197" s="63">
        <f t="shared" ref="AL197:AL214" si="101">AJ197+AK197</f>
        <v>100000</v>
      </c>
      <c r="AM197" s="63">
        <v>100000</v>
      </c>
      <c r="AN197" s="63">
        <v>0</v>
      </c>
      <c r="AO197" s="63">
        <f t="shared" ref="AO197:AO214" si="102">AM197+AN197</f>
        <v>100000</v>
      </c>
      <c r="AP197" s="64">
        <f t="shared" ref="AP197:AP214" si="103">E197+F197+I197+L197+O197+R197+U197+X197+AA197+AD197+AG197+AJ197+AM197</f>
        <v>2775000</v>
      </c>
      <c r="AQ197" s="65">
        <f t="shared" si="79"/>
        <v>39316.648380731283</v>
      </c>
    </row>
    <row r="198" spans="1:43">
      <c r="A198" s="60">
        <f t="shared" ref="A198:A214" si="104">A197+1</f>
        <v>194</v>
      </c>
      <c r="B198" s="60">
        <v>99091617</v>
      </c>
      <c r="C198" s="61" t="s">
        <v>615</v>
      </c>
      <c r="D198" s="61" t="s">
        <v>612</v>
      </c>
      <c r="E198" s="62">
        <v>1575000</v>
      </c>
      <c r="F198" s="63">
        <v>100000</v>
      </c>
      <c r="G198" s="63">
        <v>542000</v>
      </c>
      <c r="H198" s="63">
        <f t="shared" si="96"/>
        <v>642000</v>
      </c>
      <c r="I198" s="63">
        <v>100000</v>
      </c>
      <c r="J198" s="63">
        <v>0</v>
      </c>
      <c r="K198" s="63">
        <v>0</v>
      </c>
      <c r="L198" s="63">
        <v>100000</v>
      </c>
      <c r="M198" s="63">
        <v>542000</v>
      </c>
      <c r="N198" s="63">
        <f t="shared" si="97"/>
        <v>642000</v>
      </c>
      <c r="O198" s="63">
        <v>100000</v>
      </c>
      <c r="P198" s="63">
        <f>542000+104500</f>
        <v>646500</v>
      </c>
      <c r="Q198" s="63">
        <f t="shared" si="92"/>
        <v>746500</v>
      </c>
      <c r="R198" s="63">
        <v>100000</v>
      </c>
      <c r="S198" s="63">
        <v>173500</v>
      </c>
      <c r="T198" s="63">
        <f t="shared" si="93"/>
        <v>273500</v>
      </c>
      <c r="U198" s="63">
        <v>100000</v>
      </c>
      <c r="V198" s="63">
        <v>68000</v>
      </c>
      <c r="W198" s="63">
        <f t="shared" si="94"/>
        <v>168000</v>
      </c>
      <c r="X198" s="63">
        <v>100000</v>
      </c>
      <c r="Y198" s="63">
        <f>265000+169000</f>
        <v>434000</v>
      </c>
      <c r="Z198" s="63">
        <f t="shared" si="98"/>
        <v>534000</v>
      </c>
      <c r="AA198" s="63">
        <v>100000</v>
      </c>
      <c r="AB198" s="63">
        <f>265000+156000</f>
        <v>421000</v>
      </c>
      <c r="AC198" s="63">
        <f t="shared" si="99"/>
        <v>521000</v>
      </c>
      <c r="AD198" s="63">
        <v>100000</v>
      </c>
      <c r="AE198" s="63">
        <v>265000</v>
      </c>
      <c r="AF198" s="63">
        <f t="shared" si="100"/>
        <v>365000</v>
      </c>
      <c r="AG198" s="63">
        <v>100000</v>
      </c>
      <c r="AH198" s="63">
        <f>73500+265000</f>
        <v>338500</v>
      </c>
      <c r="AI198" s="63">
        <f t="shared" si="95"/>
        <v>438500</v>
      </c>
      <c r="AJ198" s="63">
        <v>100000</v>
      </c>
      <c r="AK198" s="63">
        <v>530000</v>
      </c>
      <c r="AL198" s="63">
        <f t="shared" si="101"/>
        <v>630000</v>
      </c>
      <c r="AM198" s="63">
        <v>100000</v>
      </c>
      <c r="AN198" s="63">
        <f>530000+115000</f>
        <v>645000</v>
      </c>
      <c r="AO198" s="63">
        <f t="shared" si="102"/>
        <v>745000</v>
      </c>
      <c r="AP198" s="64">
        <f t="shared" si="103"/>
        <v>2775000</v>
      </c>
      <c r="AQ198" s="65">
        <f t="shared" ref="AQ198:AQ214" si="105">(AP198/$AP$215)*7323522.72</f>
        <v>39316.648380731283</v>
      </c>
    </row>
    <row r="199" spans="1:43">
      <c r="A199" s="60">
        <f t="shared" si="104"/>
        <v>195</v>
      </c>
      <c r="B199" s="67" t="s">
        <v>616</v>
      </c>
      <c r="C199" s="61" t="s">
        <v>617</v>
      </c>
      <c r="D199" s="61" t="s">
        <v>612</v>
      </c>
      <c r="E199" s="62">
        <v>1575000</v>
      </c>
      <c r="F199" s="63">
        <v>100000</v>
      </c>
      <c r="G199" s="63">
        <f>540000+476000</f>
        <v>1016000</v>
      </c>
      <c r="H199" s="63">
        <f t="shared" si="96"/>
        <v>1116000</v>
      </c>
      <c r="I199" s="63">
        <v>100000</v>
      </c>
      <c r="J199" s="63">
        <v>0</v>
      </c>
      <c r="K199" s="63">
        <v>0</v>
      </c>
      <c r="L199" s="63">
        <v>100000</v>
      </c>
      <c r="M199" s="63">
        <f>440000+127000</f>
        <v>567000</v>
      </c>
      <c r="N199" s="63">
        <f t="shared" si="97"/>
        <v>667000</v>
      </c>
      <c r="O199" s="63">
        <v>100000</v>
      </c>
      <c r="P199" s="63">
        <f>440000*3+148000</f>
        <v>1468000</v>
      </c>
      <c r="Q199" s="63">
        <f t="shared" si="92"/>
        <v>1568000</v>
      </c>
      <c r="R199" s="63">
        <v>100000</v>
      </c>
      <c r="S199" s="63">
        <f>540000+142000</f>
        <v>682000</v>
      </c>
      <c r="T199" s="63">
        <f t="shared" si="93"/>
        <v>782000</v>
      </c>
      <c r="U199" s="63">
        <v>100000</v>
      </c>
      <c r="V199" s="63">
        <f>540000+239000</f>
        <v>779000</v>
      </c>
      <c r="W199" s="63">
        <f t="shared" si="94"/>
        <v>879000</v>
      </c>
      <c r="X199" s="63">
        <v>100000</v>
      </c>
      <c r="Y199" s="63">
        <f>540000+264500+121500</f>
        <v>926000</v>
      </c>
      <c r="Z199" s="63">
        <f t="shared" si="98"/>
        <v>1026000</v>
      </c>
      <c r="AA199" s="63">
        <v>100000</v>
      </c>
      <c r="AB199" s="63">
        <f>540000+344000</f>
        <v>884000</v>
      </c>
      <c r="AC199" s="63">
        <f t="shared" si="99"/>
        <v>984000</v>
      </c>
      <c r="AD199" s="63">
        <v>100000</v>
      </c>
      <c r="AE199" s="63">
        <v>540000</v>
      </c>
      <c r="AF199" s="63">
        <f t="shared" si="100"/>
        <v>640000</v>
      </c>
      <c r="AG199" s="63">
        <v>100000</v>
      </c>
      <c r="AH199" s="63">
        <f>148500+540000+540000</f>
        <v>1228500</v>
      </c>
      <c r="AI199" s="63">
        <f t="shared" si="95"/>
        <v>1328500</v>
      </c>
      <c r="AJ199" s="63">
        <v>100000</v>
      </c>
      <c r="AK199" s="63">
        <v>540000</v>
      </c>
      <c r="AL199" s="63">
        <f t="shared" si="101"/>
        <v>640000</v>
      </c>
      <c r="AM199" s="63">
        <v>100000</v>
      </c>
      <c r="AN199" s="63">
        <f>540000+358000</f>
        <v>898000</v>
      </c>
      <c r="AO199" s="63">
        <f t="shared" si="102"/>
        <v>998000</v>
      </c>
      <c r="AP199" s="64">
        <f t="shared" si="103"/>
        <v>2775000</v>
      </c>
      <c r="AQ199" s="65">
        <f t="shared" si="105"/>
        <v>39316.648380731283</v>
      </c>
    </row>
    <row r="200" spans="1:43">
      <c r="A200" s="60">
        <f t="shared" si="104"/>
        <v>196</v>
      </c>
      <c r="B200" s="60">
        <v>99101737</v>
      </c>
      <c r="C200" s="61" t="s">
        <v>618</v>
      </c>
      <c r="D200" s="61" t="s">
        <v>612</v>
      </c>
      <c r="E200" s="62">
        <v>1575000</v>
      </c>
      <c r="F200" s="63">
        <v>100000</v>
      </c>
      <c r="G200" s="63">
        <v>270000</v>
      </c>
      <c r="H200" s="63">
        <f t="shared" si="96"/>
        <v>370000</v>
      </c>
      <c r="I200" s="63">
        <v>100000</v>
      </c>
      <c r="J200" s="63">
        <v>0</v>
      </c>
      <c r="K200" s="63">
        <v>0</v>
      </c>
      <c r="L200" s="63">
        <v>100000</v>
      </c>
      <c r="M200" s="63">
        <v>440000</v>
      </c>
      <c r="N200" s="63">
        <f t="shared" si="97"/>
        <v>540000</v>
      </c>
      <c r="O200" s="63">
        <v>100000</v>
      </c>
      <c r="P200" s="63">
        <v>440000</v>
      </c>
      <c r="Q200" s="63">
        <f t="shared" si="92"/>
        <v>540000</v>
      </c>
      <c r="R200" s="63">
        <v>100000</v>
      </c>
      <c r="S200" s="63">
        <v>440000</v>
      </c>
      <c r="T200" s="63">
        <f t="shared" si="93"/>
        <v>540000</v>
      </c>
      <c r="U200" s="63">
        <v>100000</v>
      </c>
      <c r="V200" s="63">
        <v>440000</v>
      </c>
      <c r="W200" s="63">
        <f t="shared" si="94"/>
        <v>540000</v>
      </c>
      <c r="X200" s="63">
        <v>100000</v>
      </c>
      <c r="Y200" s="63">
        <v>540000</v>
      </c>
      <c r="Z200" s="63">
        <f t="shared" si="98"/>
        <v>640000</v>
      </c>
      <c r="AA200" s="63">
        <v>100000</v>
      </c>
      <c r="AB200" s="63">
        <v>540000</v>
      </c>
      <c r="AC200" s="63">
        <f t="shared" si="99"/>
        <v>640000</v>
      </c>
      <c r="AD200" s="63">
        <v>100000</v>
      </c>
      <c r="AE200" s="63">
        <v>540000</v>
      </c>
      <c r="AF200" s="63">
        <f t="shared" si="100"/>
        <v>640000</v>
      </c>
      <c r="AG200" s="63">
        <v>100000</v>
      </c>
      <c r="AH200" s="63">
        <f>540000</f>
        <v>540000</v>
      </c>
      <c r="AI200" s="63">
        <f t="shared" si="95"/>
        <v>640000</v>
      </c>
      <c r="AJ200" s="63">
        <v>100000</v>
      </c>
      <c r="AK200" s="63">
        <v>540000</v>
      </c>
      <c r="AL200" s="63">
        <f t="shared" si="101"/>
        <v>640000</v>
      </c>
      <c r="AM200" s="63">
        <v>100000</v>
      </c>
      <c r="AN200" s="63">
        <f>540000</f>
        <v>540000</v>
      </c>
      <c r="AO200" s="63">
        <f t="shared" si="102"/>
        <v>640000</v>
      </c>
      <c r="AP200" s="64">
        <f t="shared" si="103"/>
        <v>2775000</v>
      </c>
      <c r="AQ200" s="65">
        <f t="shared" si="105"/>
        <v>39316.648380731283</v>
      </c>
    </row>
    <row r="201" spans="1:43">
      <c r="A201" s="60">
        <f t="shared" si="104"/>
        <v>197</v>
      </c>
      <c r="B201" s="67" t="s">
        <v>619</v>
      </c>
      <c r="C201" s="61" t="s">
        <v>620</v>
      </c>
      <c r="D201" s="61" t="s">
        <v>612</v>
      </c>
      <c r="E201" s="62">
        <v>1575000</v>
      </c>
      <c r="F201" s="63">
        <v>100000</v>
      </c>
      <c r="G201" s="63">
        <f>270000+800000</f>
        <v>1070000</v>
      </c>
      <c r="H201" s="63">
        <f t="shared" si="96"/>
        <v>1170000</v>
      </c>
      <c r="I201" s="63">
        <v>100000</v>
      </c>
      <c r="J201" s="63">
        <v>0</v>
      </c>
      <c r="K201" s="63">
        <v>0</v>
      </c>
      <c r="L201" s="63">
        <v>100000</v>
      </c>
      <c r="M201" s="63">
        <f>1650000+440000</f>
        <v>2090000</v>
      </c>
      <c r="N201" s="63">
        <f t="shared" si="97"/>
        <v>2190000</v>
      </c>
      <c r="O201" s="63">
        <v>100000</v>
      </c>
      <c r="P201" s="63">
        <f>270000+440000+540000+825000</f>
        <v>2075000</v>
      </c>
      <c r="Q201" s="63">
        <f t="shared" si="92"/>
        <v>2175000</v>
      </c>
      <c r="R201" s="63">
        <v>100000</v>
      </c>
      <c r="S201" s="63">
        <f>540000+495000</f>
        <v>1035000</v>
      </c>
      <c r="T201" s="63">
        <f t="shared" si="93"/>
        <v>1135000</v>
      </c>
      <c r="U201" s="63">
        <v>100000</v>
      </c>
      <c r="V201" s="63">
        <f>540000+507000</f>
        <v>1047000</v>
      </c>
      <c r="W201" s="63">
        <f t="shared" si="94"/>
        <v>1147000</v>
      </c>
      <c r="X201" s="63">
        <v>100000</v>
      </c>
      <c r="Y201" s="63">
        <f>540000+228000</f>
        <v>768000</v>
      </c>
      <c r="Z201" s="63">
        <f t="shared" si="98"/>
        <v>868000</v>
      </c>
      <c r="AA201" s="63">
        <v>100000</v>
      </c>
      <c r="AB201" s="63">
        <v>1080000</v>
      </c>
      <c r="AC201" s="63">
        <f t="shared" si="99"/>
        <v>1180000</v>
      </c>
      <c r="AD201" s="63">
        <v>100000</v>
      </c>
      <c r="AE201" s="63">
        <v>810000</v>
      </c>
      <c r="AF201" s="63">
        <f t="shared" si="100"/>
        <v>910000</v>
      </c>
      <c r="AG201" s="63">
        <v>100000</v>
      </c>
      <c r="AH201" s="63">
        <f>6000+810000</f>
        <v>816000</v>
      </c>
      <c r="AI201" s="63">
        <f t="shared" si="95"/>
        <v>916000</v>
      </c>
      <c r="AJ201" s="63">
        <v>100000</v>
      </c>
      <c r="AK201" s="63">
        <f>810000*2</f>
        <v>1620000</v>
      </c>
      <c r="AL201" s="63">
        <f t="shared" si="101"/>
        <v>1720000</v>
      </c>
      <c r="AM201" s="63">
        <v>100000</v>
      </c>
      <c r="AN201" s="63">
        <f>530000</f>
        <v>530000</v>
      </c>
      <c r="AO201" s="63">
        <f t="shared" si="102"/>
        <v>630000</v>
      </c>
      <c r="AP201" s="64">
        <f t="shared" si="103"/>
        <v>2775000</v>
      </c>
      <c r="AQ201" s="65">
        <f t="shared" si="105"/>
        <v>39316.648380731283</v>
      </c>
    </row>
    <row r="202" spans="1:43">
      <c r="A202" s="60">
        <f t="shared" si="104"/>
        <v>198</v>
      </c>
      <c r="B202" s="68">
        <v>14040817</v>
      </c>
      <c r="C202" s="61" t="s">
        <v>621</v>
      </c>
      <c r="D202" s="61" t="s">
        <v>612</v>
      </c>
      <c r="E202" s="62">
        <v>700000</v>
      </c>
      <c r="F202" s="63">
        <v>100000</v>
      </c>
      <c r="G202" s="63">
        <f>265000+1984000</f>
        <v>2249000</v>
      </c>
      <c r="H202" s="63">
        <f t="shared" si="96"/>
        <v>2349000</v>
      </c>
      <c r="I202" s="63">
        <v>100000</v>
      </c>
      <c r="J202" s="63">
        <v>0</v>
      </c>
      <c r="K202" s="63">
        <v>0</v>
      </c>
      <c r="L202" s="63">
        <v>100000</v>
      </c>
      <c r="M202" s="63">
        <f>265000+443500</f>
        <v>708500</v>
      </c>
      <c r="N202" s="63">
        <f t="shared" si="97"/>
        <v>808500</v>
      </c>
      <c r="O202" s="63">
        <v>100000</v>
      </c>
      <c r="P202" s="63">
        <f>265000+614000</f>
        <v>879000</v>
      </c>
      <c r="Q202" s="63">
        <f t="shared" si="92"/>
        <v>979000</v>
      </c>
      <c r="R202" s="63">
        <v>100000</v>
      </c>
      <c r="S202" s="63">
        <f>550000+1372000-AR202</f>
        <v>1922000</v>
      </c>
      <c r="T202" s="63">
        <f t="shared" si="93"/>
        <v>2022000</v>
      </c>
      <c r="U202" s="63">
        <v>100000</v>
      </c>
      <c r="V202" s="63">
        <f>270000+950000+946000-Y202</f>
        <v>1268000</v>
      </c>
      <c r="W202" s="69">
        <f t="shared" si="94"/>
        <v>1368000</v>
      </c>
      <c r="X202" s="63">
        <v>100000</v>
      </c>
      <c r="Y202" s="63">
        <f>270000+628000</f>
        <v>898000</v>
      </c>
      <c r="Z202" s="63">
        <f t="shared" si="98"/>
        <v>998000</v>
      </c>
      <c r="AA202" s="63">
        <v>100000</v>
      </c>
      <c r="AB202" s="63">
        <f>270000+575000</f>
        <v>845000</v>
      </c>
      <c r="AC202" s="63">
        <f t="shared" si="99"/>
        <v>945000</v>
      </c>
      <c r="AD202" s="63">
        <v>100000</v>
      </c>
      <c r="AE202" s="63">
        <f>619000+270000+270000</f>
        <v>1159000</v>
      </c>
      <c r="AF202" s="63">
        <f t="shared" si="100"/>
        <v>1259000</v>
      </c>
      <c r="AG202" s="63">
        <v>100000</v>
      </c>
      <c r="AH202" s="63">
        <f>629000+270000+270000</f>
        <v>1169000</v>
      </c>
      <c r="AI202" s="63">
        <f t="shared" si="95"/>
        <v>1269000</v>
      </c>
      <c r="AJ202" s="63">
        <v>100000</v>
      </c>
      <c r="AK202" s="63">
        <f>270000+732000</f>
        <v>1002000</v>
      </c>
      <c r="AL202" s="63">
        <f t="shared" si="101"/>
        <v>1102000</v>
      </c>
      <c r="AM202" s="63">
        <v>100000</v>
      </c>
      <c r="AN202" s="63">
        <f>636000+1059000</f>
        <v>1695000</v>
      </c>
      <c r="AO202" s="63">
        <f t="shared" si="102"/>
        <v>1795000</v>
      </c>
      <c r="AP202" s="64">
        <f t="shared" si="103"/>
        <v>1900000</v>
      </c>
      <c r="AQ202" s="65">
        <f t="shared" si="105"/>
        <v>26919.506999419616</v>
      </c>
    </row>
    <row r="203" spans="1:43">
      <c r="A203" s="60">
        <f t="shared" si="104"/>
        <v>199</v>
      </c>
      <c r="B203" s="67" t="s">
        <v>622</v>
      </c>
      <c r="C203" s="61" t="s">
        <v>623</v>
      </c>
      <c r="D203" s="61" t="s">
        <v>612</v>
      </c>
      <c r="E203" s="62">
        <v>1575000</v>
      </c>
      <c r="F203" s="63">
        <v>100000</v>
      </c>
      <c r="G203" s="63">
        <v>265000</v>
      </c>
      <c r="H203" s="63">
        <f t="shared" si="96"/>
        <v>365000</v>
      </c>
      <c r="I203" s="63">
        <v>100000</v>
      </c>
      <c r="J203" s="63">
        <v>0</v>
      </c>
      <c r="K203" s="63">
        <v>0</v>
      </c>
      <c r="L203" s="63">
        <v>100000</v>
      </c>
      <c r="M203" s="63">
        <v>265000</v>
      </c>
      <c r="N203" s="63">
        <f t="shared" si="97"/>
        <v>365000</v>
      </c>
      <c r="O203" s="63">
        <v>100000</v>
      </c>
      <c r="P203" s="63">
        <v>265000</v>
      </c>
      <c r="Q203" s="63">
        <f t="shared" ref="Q203:Q214" si="106">SUM(O203:P203)</f>
        <v>365000</v>
      </c>
      <c r="R203" s="63">
        <v>100000</v>
      </c>
      <c r="S203" s="63">
        <v>265000</v>
      </c>
      <c r="T203" s="63">
        <f t="shared" ref="T203:T214" si="107">R203+S203</f>
        <v>365000</v>
      </c>
      <c r="U203" s="63">
        <v>100000</v>
      </c>
      <c r="V203" s="63">
        <v>265000</v>
      </c>
      <c r="W203" s="63">
        <f t="shared" ref="W203:W214" si="108">U203+V203</f>
        <v>365000</v>
      </c>
      <c r="X203" s="63">
        <v>100000</v>
      </c>
      <c r="Y203" s="63">
        <v>0</v>
      </c>
      <c r="Z203" s="63">
        <f t="shared" si="98"/>
        <v>100000</v>
      </c>
      <c r="AA203" s="63">
        <v>100000</v>
      </c>
      <c r="AB203" s="63">
        <f>440000+440000</f>
        <v>880000</v>
      </c>
      <c r="AC203" s="63">
        <f t="shared" si="99"/>
        <v>980000</v>
      </c>
      <c r="AD203" s="63">
        <v>100000</v>
      </c>
      <c r="AE203" s="63">
        <v>440000</v>
      </c>
      <c r="AF203" s="63">
        <f t="shared" si="100"/>
        <v>540000</v>
      </c>
      <c r="AG203" s="63">
        <v>100000</v>
      </c>
      <c r="AH203" s="63">
        <f>440000</f>
        <v>440000</v>
      </c>
      <c r="AI203" s="63">
        <f t="shared" si="95"/>
        <v>540000</v>
      </c>
      <c r="AJ203" s="63">
        <v>100000</v>
      </c>
      <c r="AK203" s="63">
        <v>440000</v>
      </c>
      <c r="AL203" s="63">
        <f t="shared" si="101"/>
        <v>540000</v>
      </c>
      <c r="AM203" s="63">
        <v>100000</v>
      </c>
      <c r="AN203" s="63">
        <v>0</v>
      </c>
      <c r="AO203" s="63">
        <f t="shared" si="102"/>
        <v>100000</v>
      </c>
      <c r="AP203" s="64">
        <f t="shared" si="103"/>
        <v>2775000</v>
      </c>
      <c r="AQ203" s="65">
        <f t="shared" si="105"/>
        <v>39316.648380731283</v>
      </c>
    </row>
    <row r="204" spans="1:43">
      <c r="A204" s="60">
        <f t="shared" si="104"/>
        <v>200</v>
      </c>
      <c r="B204" s="67">
        <v>10027357</v>
      </c>
      <c r="C204" s="61" t="s">
        <v>624</v>
      </c>
      <c r="D204" s="61" t="s">
        <v>612</v>
      </c>
      <c r="E204" s="62">
        <v>1575000</v>
      </c>
      <c r="F204" s="63">
        <v>100000</v>
      </c>
      <c r="G204" s="63">
        <v>270000</v>
      </c>
      <c r="H204" s="63">
        <f t="shared" si="96"/>
        <v>370000</v>
      </c>
      <c r="I204" s="63">
        <v>100000</v>
      </c>
      <c r="J204" s="63">
        <v>0</v>
      </c>
      <c r="K204" s="63">
        <v>0</v>
      </c>
      <c r="L204" s="63">
        <v>100000</v>
      </c>
      <c r="M204" s="63">
        <f>270000+15000</f>
        <v>285000</v>
      </c>
      <c r="N204" s="63">
        <f t="shared" si="97"/>
        <v>385000</v>
      </c>
      <c r="O204" s="63">
        <v>100000</v>
      </c>
      <c r="P204" s="63">
        <f>270000+180000</f>
        <v>450000</v>
      </c>
      <c r="Q204" s="63">
        <f t="shared" si="106"/>
        <v>550000</v>
      </c>
      <c r="R204" s="63">
        <v>100000</v>
      </c>
      <c r="S204" s="63">
        <v>270000</v>
      </c>
      <c r="T204" s="63">
        <f t="shared" si="107"/>
        <v>370000</v>
      </c>
      <c r="U204" s="63">
        <v>100000</v>
      </c>
      <c r="V204" s="63">
        <v>170000</v>
      </c>
      <c r="W204" s="63">
        <f t="shared" si="108"/>
        <v>270000</v>
      </c>
      <c r="X204" s="63">
        <v>100000</v>
      </c>
      <c r="Y204" s="63">
        <f>73500+12000</f>
        <v>85500</v>
      </c>
      <c r="Z204" s="63">
        <f t="shared" si="98"/>
        <v>185500</v>
      </c>
      <c r="AA204" s="63">
        <v>100000</v>
      </c>
      <c r="AB204" s="63">
        <v>175000</v>
      </c>
      <c r="AC204" s="63">
        <f t="shared" si="99"/>
        <v>275000</v>
      </c>
      <c r="AD204" s="63">
        <v>100000</v>
      </c>
      <c r="AE204" s="63">
        <v>0</v>
      </c>
      <c r="AF204" s="63">
        <f t="shared" si="100"/>
        <v>100000</v>
      </c>
      <c r="AG204" s="63">
        <v>100000</v>
      </c>
      <c r="AH204" s="63">
        <f>177000</f>
        <v>177000</v>
      </c>
      <c r="AI204" s="63">
        <f t="shared" si="95"/>
        <v>277000</v>
      </c>
      <c r="AJ204" s="63">
        <v>100000</v>
      </c>
      <c r="AK204" s="63">
        <v>0</v>
      </c>
      <c r="AL204" s="63">
        <f t="shared" si="101"/>
        <v>100000</v>
      </c>
      <c r="AM204" s="63">
        <v>100000</v>
      </c>
      <c r="AN204" s="63">
        <f>265000+292000</f>
        <v>557000</v>
      </c>
      <c r="AO204" s="63">
        <f t="shared" si="102"/>
        <v>657000</v>
      </c>
      <c r="AP204" s="64">
        <f t="shared" si="103"/>
        <v>2775000</v>
      </c>
      <c r="AQ204" s="65">
        <f t="shared" si="105"/>
        <v>39316.648380731283</v>
      </c>
    </row>
    <row r="205" spans="1:43">
      <c r="A205" s="60">
        <f t="shared" si="104"/>
        <v>201</v>
      </c>
      <c r="B205" s="67" t="s">
        <v>625</v>
      </c>
      <c r="C205" s="61" t="s">
        <v>626</v>
      </c>
      <c r="D205" s="61" t="s">
        <v>612</v>
      </c>
      <c r="E205" s="62">
        <v>1575000</v>
      </c>
      <c r="F205" s="63">
        <v>100000</v>
      </c>
      <c r="G205" s="63">
        <v>440000</v>
      </c>
      <c r="H205" s="63">
        <f t="shared" si="96"/>
        <v>540000</v>
      </c>
      <c r="I205" s="63">
        <v>100000</v>
      </c>
      <c r="J205" s="63">
        <v>0</v>
      </c>
      <c r="K205" s="63">
        <v>0</v>
      </c>
      <c r="L205" s="63">
        <v>100000</v>
      </c>
      <c r="M205" s="63">
        <v>440000</v>
      </c>
      <c r="N205" s="63">
        <f t="shared" si="97"/>
        <v>540000</v>
      </c>
      <c r="O205" s="63">
        <v>100000</v>
      </c>
      <c r="P205" s="63">
        <f>440000+94000</f>
        <v>534000</v>
      </c>
      <c r="Q205" s="63">
        <f t="shared" si="106"/>
        <v>634000</v>
      </c>
      <c r="R205" s="63">
        <v>100000</v>
      </c>
      <c r="S205" s="63">
        <f>440000+99500</f>
        <v>539500</v>
      </c>
      <c r="T205" s="63">
        <f t="shared" si="107"/>
        <v>639500</v>
      </c>
      <c r="U205" s="63">
        <v>100000</v>
      </c>
      <c r="V205" s="63">
        <v>440000</v>
      </c>
      <c r="W205" s="63">
        <f t="shared" si="108"/>
        <v>540000</v>
      </c>
      <c r="X205" s="63">
        <v>100000</v>
      </c>
      <c r="Y205" s="63">
        <f>169000+103000</f>
        <v>272000</v>
      </c>
      <c r="Z205" s="63">
        <f t="shared" si="98"/>
        <v>372000</v>
      </c>
      <c r="AA205" s="63">
        <v>100000</v>
      </c>
      <c r="AB205" s="63">
        <v>440000</v>
      </c>
      <c r="AC205" s="63">
        <f t="shared" si="99"/>
        <v>540000</v>
      </c>
      <c r="AD205" s="63">
        <v>100000</v>
      </c>
      <c r="AE205" s="63">
        <f>51000+440000</f>
        <v>491000</v>
      </c>
      <c r="AF205" s="63">
        <f t="shared" si="100"/>
        <v>591000</v>
      </c>
      <c r="AG205" s="63">
        <v>100000</v>
      </c>
      <c r="AH205" s="63">
        <f>49000+440000</f>
        <v>489000</v>
      </c>
      <c r="AI205" s="63">
        <f t="shared" si="95"/>
        <v>589000</v>
      </c>
      <c r="AJ205" s="63">
        <v>100000</v>
      </c>
      <c r="AK205" s="63">
        <v>0</v>
      </c>
      <c r="AL205" s="63">
        <f t="shared" si="101"/>
        <v>100000</v>
      </c>
      <c r="AM205" s="63">
        <v>100000</v>
      </c>
      <c r="AN205" s="63">
        <f>530000</f>
        <v>530000</v>
      </c>
      <c r="AO205" s="63">
        <f t="shared" si="102"/>
        <v>630000</v>
      </c>
      <c r="AP205" s="64">
        <f t="shared" si="103"/>
        <v>2775000</v>
      </c>
      <c r="AQ205" s="65">
        <f t="shared" si="105"/>
        <v>39316.648380731283</v>
      </c>
    </row>
    <row r="206" spans="1:43">
      <c r="A206" s="60">
        <f t="shared" si="104"/>
        <v>202</v>
      </c>
      <c r="B206" s="60">
        <v>99081537</v>
      </c>
      <c r="C206" s="61" t="s">
        <v>627</v>
      </c>
      <c r="D206" s="61" t="s">
        <v>612</v>
      </c>
      <c r="E206" s="62">
        <v>1475000</v>
      </c>
      <c r="F206" s="63">
        <v>100000</v>
      </c>
      <c r="G206" s="63">
        <v>0</v>
      </c>
      <c r="H206" s="63">
        <f t="shared" si="96"/>
        <v>100000</v>
      </c>
      <c r="I206" s="63">
        <v>100000</v>
      </c>
      <c r="J206" s="63">
        <v>0</v>
      </c>
      <c r="K206" s="63">
        <v>0</v>
      </c>
      <c r="L206" s="63">
        <v>100000</v>
      </c>
      <c r="M206" s="63">
        <v>0</v>
      </c>
      <c r="N206" s="63">
        <f t="shared" si="97"/>
        <v>100000</v>
      </c>
      <c r="O206" s="63">
        <v>100000</v>
      </c>
      <c r="P206" s="63">
        <v>0</v>
      </c>
      <c r="Q206" s="63">
        <f t="shared" si="106"/>
        <v>100000</v>
      </c>
      <c r="R206" s="63">
        <v>100000</v>
      </c>
      <c r="S206" s="63">
        <v>260000</v>
      </c>
      <c r="T206" s="63">
        <f t="shared" si="107"/>
        <v>360000</v>
      </c>
      <c r="U206" s="63">
        <v>100000</v>
      </c>
      <c r="V206" s="63">
        <v>260000</v>
      </c>
      <c r="W206" s="63">
        <f t="shared" si="108"/>
        <v>360000</v>
      </c>
      <c r="X206" s="63">
        <v>100000</v>
      </c>
      <c r="Y206" s="63">
        <v>0</v>
      </c>
      <c r="Z206" s="63">
        <f t="shared" si="98"/>
        <v>100000</v>
      </c>
      <c r="AA206" s="63">
        <v>100000</v>
      </c>
      <c r="AB206" s="63">
        <v>0</v>
      </c>
      <c r="AC206" s="63">
        <f t="shared" si="99"/>
        <v>100000</v>
      </c>
      <c r="AD206" s="63">
        <v>100000</v>
      </c>
      <c r="AE206" s="63">
        <v>0</v>
      </c>
      <c r="AF206" s="63">
        <f t="shared" si="100"/>
        <v>100000</v>
      </c>
      <c r="AG206" s="63">
        <v>100000</v>
      </c>
      <c r="AH206" s="63">
        <v>0</v>
      </c>
      <c r="AI206" s="63">
        <f t="shared" ref="AI206:AI214" si="109">AG206+AH206</f>
        <v>100000</v>
      </c>
      <c r="AJ206" s="63">
        <v>100000</v>
      </c>
      <c r="AK206" s="63">
        <v>0</v>
      </c>
      <c r="AL206" s="63">
        <f t="shared" si="101"/>
        <v>100000</v>
      </c>
      <c r="AM206" s="63">
        <v>100000</v>
      </c>
      <c r="AN206" s="63">
        <v>0</v>
      </c>
      <c r="AO206" s="63">
        <f t="shared" si="102"/>
        <v>100000</v>
      </c>
      <c r="AP206" s="64">
        <f t="shared" si="103"/>
        <v>2675000</v>
      </c>
      <c r="AQ206" s="65">
        <f t="shared" si="105"/>
        <v>37899.832222867095</v>
      </c>
    </row>
    <row r="207" spans="1:43">
      <c r="A207" s="60">
        <f t="shared" si="104"/>
        <v>203</v>
      </c>
      <c r="B207" s="60">
        <v>96010967</v>
      </c>
      <c r="C207" s="61" t="s">
        <v>628</v>
      </c>
      <c r="D207" s="61" t="s">
        <v>612</v>
      </c>
      <c r="E207" s="62">
        <v>1575000</v>
      </c>
      <c r="F207" s="63">
        <v>100000</v>
      </c>
      <c r="G207" s="63">
        <v>270000</v>
      </c>
      <c r="H207" s="63">
        <f t="shared" si="96"/>
        <v>370000</v>
      </c>
      <c r="I207" s="63">
        <v>100000</v>
      </c>
      <c r="J207" s="63">
        <v>0</v>
      </c>
      <c r="K207" s="63">
        <v>0</v>
      </c>
      <c r="L207" s="63">
        <v>100000</v>
      </c>
      <c r="M207" s="63">
        <v>270000</v>
      </c>
      <c r="N207" s="63">
        <f t="shared" si="97"/>
        <v>370000</v>
      </c>
      <c r="O207" s="63">
        <v>100000</v>
      </c>
      <c r="P207" s="63">
        <v>270000</v>
      </c>
      <c r="Q207" s="63">
        <f t="shared" si="106"/>
        <v>370000</v>
      </c>
      <c r="R207" s="63">
        <v>100000</v>
      </c>
      <c r="S207" s="63">
        <v>270000</v>
      </c>
      <c r="T207" s="63">
        <f t="shared" si="107"/>
        <v>370000</v>
      </c>
      <c r="U207" s="63">
        <v>100000</v>
      </c>
      <c r="V207" s="63">
        <v>270000</v>
      </c>
      <c r="W207" s="63">
        <f t="shared" si="108"/>
        <v>370000</v>
      </c>
      <c r="X207" s="63">
        <v>100000</v>
      </c>
      <c r="Y207" s="63">
        <v>270000</v>
      </c>
      <c r="Z207" s="63">
        <f t="shared" si="98"/>
        <v>370000</v>
      </c>
      <c r="AA207" s="63">
        <v>100000</v>
      </c>
      <c r="AB207" s="63">
        <f>270000+84500</f>
        <v>354500</v>
      </c>
      <c r="AC207" s="63">
        <f t="shared" si="99"/>
        <v>454500</v>
      </c>
      <c r="AD207" s="63">
        <v>100000</v>
      </c>
      <c r="AE207" s="63">
        <f>270000</f>
        <v>270000</v>
      </c>
      <c r="AF207" s="63">
        <f t="shared" si="100"/>
        <v>370000</v>
      </c>
      <c r="AG207" s="63">
        <v>100000</v>
      </c>
      <c r="AH207" s="63">
        <f>40000+440000</f>
        <v>480000</v>
      </c>
      <c r="AI207" s="63">
        <f t="shared" si="109"/>
        <v>580000</v>
      </c>
      <c r="AJ207" s="63">
        <v>100000</v>
      </c>
      <c r="AK207" s="63">
        <f>440000+98500</f>
        <v>538500</v>
      </c>
      <c r="AL207" s="63">
        <f t="shared" si="101"/>
        <v>638500</v>
      </c>
      <c r="AM207" s="63">
        <v>100000</v>
      </c>
      <c r="AN207" s="63">
        <f>440000+72000</f>
        <v>512000</v>
      </c>
      <c r="AO207" s="63">
        <f t="shared" si="102"/>
        <v>612000</v>
      </c>
      <c r="AP207" s="64">
        <f t="shared" si="103"/>
        <v>2775000</v>
      </c>
      <c r="AQ207" s="65">
        <f t="shared" si="105"/>
        <v>39316.648380731283</v>
      </c>
    </row>
    <row r="208" spans="1:43">
      <c r="A208" s="60">
        <f t="shared" si="104"/>
        <v>204</v>
      </c>
      <c r="B208" s="67">
        <v>11108457</v>
      </c>
      <c r="C208" s="61" t="s">
        <v>629</v>
      </c>
      <c r="D208" s="61" t="s">
        <v>612</v>
      </c>
      <c r="E208" s="62">
        <v>1475000</v>
      </c>
      <c r="F208" s="63">
        <v>100000</v>
      </c>
      <c r="G208" s="63">
        <v>440000</v>
      </c>
      <c r="H208" s="63">
        <f t="shared" si="96"/>
        <v>540000</v>
      </c>
      <c r="I208" s="63">
        <v>100000</v>
      </c>
      <c r="J208" s="63">
        <v>0</v>
      </c>
      <c r="K208" s="63">
        <v>0</v>
      </c>
      <c r="L208" s="63">
        <v>100000</v>
      </c>
      <c r="M208" s="63">
        <v>440000</v>
      </c>
      <c r="N208" s="63">
        <f t="shared" si="97"/>
        <v>540000</v>
      </c>
      <c r="O208" s="63">
        <v>100000</v>
      </c>
      <c r="P208" s="63">
        <f>440000+198000</f>
        <v>638000</v>
      </c>
      <c r="Q208" s="63">
        <f t="shared" si="106"/>
        <v>738000</v>
      </c>
      <c r="R208" s="63">
        <v>100000</v>
      </c>
      <c r="S208" s="63">
        <f>440000+330000</f>
        <v>770000</v>
      </c>
      <c r="T208" s="63">
        <f t="shared" si="107"/>
        <v>870000</v>
      </c>
      <c r="U208" s="63">
        <v>100000</v>
      </c>
      <c r="V208" s="63">
        <f>440000+144000</f>
        <v>584000</v>
      </c>
      <c r="W208" s="63">
        <f t="shared" si="108"/>
        <v>684000</v>
      </c>
      <c r="X208" s="63">
        <v>100000</v>
      </c>
      <c r="Y208" s="63">
        <f>440000+105000</f>
        <v>545000</v>
      </c>
      <c r="Z208" s="63">
        <f t="shared" si="98"/>
        <v>645000</v>
      </c>
      <c r="AA208" s="63">
        <v>100000</v>
      </c>
      <c r="AB208" s="63">
        <v>175000</v>
      </c>
      <c r="AC208" s="63">
        <f t="shared" si="99"/>
        <v>275000</v>
      </c>
      <c r="AD208" s="63">
        <v>100000</v>
      </c>
      <c r="AE208" s="63">
        <f>90000+440000</f>
        <v>530000</v>
      </c>
      <c r="AF208" s="63">
        <f t="shared" si="100"/>
        <v>630000</v>
      </c>
      <c r="AG208" s="63">
        <v>100000</v>
      </c>
      <c r="AH208" s="63">
        <f>131000+440000</f>
        <v>571000</v>
      </c>
      <c r="AI208" s="63">
        <f t="shared" si="109"/>
        <v>671000</v>
      </c>
      <c r="AJ208" s="63">
        <v>100000</v>
      </c>
      <c r="AK208" s="63">
        <f>440000+139000</f>
        <v>579000</v>
      </c>
      <c r="AL208" s="63">
        <f t="shared" si="101"/>
        <v>679000</v>
      </c>
      <c r="AM208" s="63">
        <v>100000</v>
      </c>
      <c r="AN208" s="63">
        <f>530000+57000</f>
        <v>587000</v>
      </c>
      <c r="AO208" s="63">
        <f t="shared" si="102"/>
        <v>687000</v>
      </c>
      <c r="AP208" s="64">
        <f t="shared" si="103"/>
        <v>2675000</v>
      </c>
      <c r="AQ208" s="65">
        <f t="shared" si="105"/>
        <v>37899.832222867095</v>
      </c>
    </row>
    <row r="209" spans="1:43">
      <c r="A209" s="60">
        <f t="shared" si="104"/>
        <v>205</v>
      </c>
      <c r="B209" s="60">
        <v>99101747</v>
      </c>
      <c r="C209" s="61" t="s">
        <v>630</v>
      </c>
      <c r="D209" s="61" t="s">
        <v>612</v>
      </c>
      <c r="E209" s="62">
        <v>1575000</v>
      </c>
      <c r="F209" s="63">
        <v>100000</v>
      </c>
      <c r="G209" s="63">
        <v>0</v>
      </c>
      <c r="H209" s="63">
        <f t="shared" si="96"/>
        <v>100000</v>
      </c>
      <c r="I209" s="63">
        <v>100000</v>
      </c>
      <c r="J209" s="63">
        <v>0</v>
      </c>
      <c r="K209" s="63">
        <v>0</v>
      </c>
      <c r="L209" s="63">
        <v>100000</v>
      </c>
      <c r="M209" s="63">
        <f>440000+214000</f>
        <v>654000</v>
      </c>
      <c r="N209" s="63">
        <f t="shared" si="97"/>
        <v>754000</v>
      </c>
      <c r="O209" s="63">
        <v>100000</v>
      </c>
      <c r="P209" s="63">
        <f>440000+15000</f>
        <v>455000</v>
      </c>
      <c r="Q209" s="63">
        <f t="shared" si="106"/>
        <v>555000</v>
      </c>
      <c r="R209" s="63">
        <v>100000</v>
      </c>
      <c r="S209" s="63">
        <v>440000</v>
      </c>
      <c r="T209" s="63">
        <f t="shared" si="107"/>
        <v>540000</v>
      </c>
      <c r="U209" s="63">
        <v>100000</v>
      </c>
      <c r="V209" s="63">
        <f>440000+297000</f>
        <v>737000</v>
      </c>
      <c r="W209" s="63">
        <f t="shared" si="108"/>
        <v>837000</v>
      </c>
      <c r="X209" s="63">
        <v>100000</v>
      </c>
      <c r="Y209" s="63">
        <f>440000+185000</f>
        <v>625000</v>
      </c>
      <c r="Z209" s="63">
        <f t="shared" si="98"/>
        <v>725000</v>
      </c>
      <c r="AA209" s="63">
        <v>100000</v>
      </c>
      <c r="AB209" s="63">
        <v>185000</v>
      </c>
      <c r="AC209" s="63">
        <f t="shared" si="99"/>
        <v>285000</v>
      </c>
      <c r="AD209" s="63">
        <v>100000</v>
      </c>
      <c r="AE209" s="63">
        <v>540000</v>
      </c>
      <c r="AF209" s="63">
        <f t="shared" si="100"/>
        <v>640000</v>
      </c>
      <c r="AG209" s="63">
        <v>100000</v>
      </c>
      <c r="AH209" s="63">
        <f>479000+540000+287500</f>
        <v>1306500</v>
      </c>
      <c r="AI209" s="63">
        <f t="shared" si="109"/>
        <v>1406500</v>
      </c>
      <c r="AJ209" s="63">
        <v>100000</v>
      </c>
      <c r="AK209" s="63">
        <f>540000+287500</f>
        <v>827500</v>
      </c>
      <c r="AL209" s="63">
        <f t="shared" si="101"/>
        <v>927500</v>
      </c>
      <c r="AM209" s="63">
        <v>100000</v>
      </c>
      <c r="AN209" s="63">
        <f>540000+287500</f>
        <v>827500</v>
      </c>
      <c r="AO209" s="63">
        <f t="shared" si="102"/>
        <v>927500</v>
      </c>
      <c r="AP209" s="64">
        <f t="shared" si="103"/>
        <v>2775000</v>
      </c>
      <c r="AQ209" s="65">
        <f t="shared" si="105"/>
        <v>39316.648380731283</v>
      </c>
    </row>
    <row r="210" spans="1:43">
      <c r="A210" s="60">
        <f t="shared" si="104"/>
        <v>206</v>
      </c>
      <c r="B210" s="70" t="s">
        <v>631</v>
      </c>
      <c r="C210" s="71" t="s">
        <v>632</v>
      </c>
      <c r="D210" s="61" t="s">
        <v>612</v>
      </c>
      <c r="E210" s="62">
        <v>1575000</v>
      </c>
      <c r="F210" s="63">
        <v>100000</v>
      </c>
      <c r="G210" s="63">
        <v>270000</v>
      </c>
      <c r="H210" s="63">
        <f t="shared" si="96"/>
        <v>370000</v>
      </c>
      <c r="I210" s="63">
        <v>100000</v>
      </c>
      <c r="J210" s="63">
        <v>0</v>
      </c>
      <c r="K210" s="63">
        <v>0</v>
      </c>
      <c r="L210" s="63">
        <v>100000</v>
      </c>
      <c r="M210" s="63">
        <v>0</v>
      </c>
      <c r="N210" s="63">
        <f t="shared" si="97"/>
        <v>100000</v>
      </c>
      <c r="O210" s="63">
        <v>100000</v>
      </c>
      <c r="P210" s="63">
        <v>0</v>
      </c>
      <c r="Q210" s="63">
        <f t="shared" si="106"/>
        <v>100000</v>
      </c>
      <c r="R210" s="63">
        <v>100000</v>
      </c>
      <c r="S210" s="63">
        <v>440000</v>
      </c>
      <c r="T210" s="63">
        <f t="shared" si="107"/>
        <v>540000</v>
      </c>
      <c r="U210" s="63">
        <v>100000</v>
      </c>
      <c r="V210" s="63">
        <v>440000</v>
      </c>
      <c r="W210" s="63">
        <f t="shared" si="108"/>
        <v>540000</v>
      </c>
      <c r="X210" s="63">
        <v>100000</v>
      </c>
      <c r="Y210" s="63">
        <v>440000</v>
      </c>
      <c r="Z210" s="63">
        <f t="shared" si="98"/>
        <v>540000</v>
      </c>
      <c r="AA210" s="63">
        <v>100000</v>
      </c>
      <c r="AB210" s="63">
        <v>440000</v>
      </c>
      <c r="AC210" s="63">
        <f t="shared" si="99"/>
        <v>540000</v>
      </c>
      <c r="AD210" s="63">
        <v>100000</v>
      </c>
      <c r="AE210" s="63">
        <v>0</v>
      </c>
      <c r="AF210" s="63">
        <f t="shared" si="100"/>
        <v>100000</v>
      </c>
      <c r="AG210" s="63">
        <v>100000</v>
      </c>
      <c r="AH210" s="63">
        <v>0</v>
      </c>
      <c r="AI210" s="63">
        <f t="shared" si="109"/>
        <v>100000</v>
      </c>
      <c r="AJ210" s="63">
        <v>100000</v>
      </c>
      <c r="AK210" s="63">
        <v>540000</v>
      </c>
      <c r="AL210" s="63">
        <f t="shared" si="101"/>
        <v>640000</v>
      </c>
      <c r="AM210" s="63">
        <v>100000</v>
      </c>
      <c r="AN210" s="63">
        <f>540000</f>
        <v>540000</v>
      </c>
      <c r="AO210" s="63">
        <f t="shared" si="102"/>
        <v>640000</v>
      </c>
      <c r="AP210" s="64">
        <f t="shared" si="103"/>
        <v>2775000</v>
      </c>
      <c r="AQ210" s="65">
        <f t="shared" si="105"/>
        <v>39316.648380731283</v>
      </c>
    </row>
    <row r="211" spans="1:43">
      <c r="A211" s="60">
        <f t="shared" si="104"/>
        <v>207</v>
      </c>
      <c r="B211" s="67" t="s">
        <v>633</v>
      </c>
      <c r="C211" s="61" t="s">
        <v>634</v>
      </c>
      <c r="D211" s="61" t="s">
        <v>612</v>
      </c>
      <c r="E211" s="62">
        <v>1575000</v>
      </c>
      <c r="F211" s="63">
        <v>100000</v>
      </c>
      <c r="G211" s="63">
        <v>265000</v>
      </c>
      <c r="H211" s="63">
        <f t="shared" si="96"/>
        <v>365000</v>
      </c>
      <c r="I211" s="63">
        <v>100000</v>
      </c>
      <c r="J211" s="63">
        <v>0</v>
      </c>
      <c r="K211" s="63">
        <v>0</v>
      </c>
      <c r="L211" s="63">
        <v>100000</v>
      </c>
      <c r="M211" s="63">
        <f>265000+165000</f>
        <v>430000</v>
      </c>
      <c r="N211" s="63">
        <f t="shared" si="97"/>
        <v>530000</v>
      </c>
      <c r="O211" s="63">
        <v>100000</v>
      </c>
      <c r="P211" s="63">
        <v>265000</v>
      </c>
      <c r="Q211" s="63">
        <f t="shared" si="106"/>
        <v>365000</v>
      </c>
      <c r="R211" s="63">
        <v>100000</v>
      </c>
      <c r="S211" s="63">
        <v>265000</v>
      </c>
      <c r="T211" s="63">
        <f t="shared" si="107"/>
        <v>365000</v>
      </c>
      <c r="U211" s="63">
        <v>100000</v>
      </c>
      <c r="V211" s="63">
        <v>265000</v>
      </c>
      <c r="W211" s="63">
        <f t="shared" si="108"/>
        <v>365000</v>
      </c>
      <c r="X211" s="63">
        <v>100000</v>
      </c>
      <c r="Y211" s="63">
        <v>0</v>
      </c>
      <c r="Z211" s="63">
        <f t="shared" si="98"/>
        <v>100000</v>
      </c>
      <c r="AA211" s="63">
        <v>100000</v>
      </c>
      <c r="AB211" s="63">
        <v>0</v>
      </c>
      <c r="AC211" s="63">
        <f t="shared" si="99"/>
        <v>100000</v>
      </c>
      <c r="AD211" s="63">
        <v>100000</v>
      </c>
      <c r="AE211" s="63">
        <v>550000</v>
      </c>
      <c r="AF211" s="63">
        <f t="shared" si="100"/>
        <v>650000</v>
      </c>
      <c r="AG211" s="63">
        <v>100000</v>
      </c>
      <c r="AH211" s="63">
        <f>550000</f>
        <v>550000</v>
      </c>
      <c r="AI211" s="63">
        <f t="shared" si="109"/>
        <v>650000</v>
      </c>
      <c r="AJ211" s="63">
        <v>100000</v>
      </c>
      <c r="AK211" s="63">
        <v>550000</v>
      </c>
      <c r="AL211" s="63">
        <f t="shared" si="101"/>
        <v>650000</v>
      </c>
      <c r="AM211" s="63">
        <v>100000</v>
      </c>
      <c r="AN211" s="63">
        <f>440000</f>
        <v>440000</v>
      </c>
      <c r="AO211" s="63">
        <f t="shared" si="102"/>
        <v>540000</v>
      </c>
      <c r="AP211" s="64">
        <f t="shared" si="103"/>
        <v>2775000</v>
      </c>
      <c r="AQ211" s="65">
        <f t="shared" si="105"/>
        <v>39316.648380731283</v>
      </c>
    </row>
    <row r="212" spans="1:43">
      <c r="A212" s="60">
        <f t="shared" si="104"/>
        <v>208</v>
      </c>
      <c r="B212" s="67" t="s">
        <v>635</v>
      </c>
      <c r="C212" s="61" t="s">
        <v>563</v>
      </c>
      <c r="D212" s="61" t="s">
        <v>612</v>
      </c>
      <c r="E212" s="62">
        <v>1575000</v>
      </c>
      <c r="F212" s="63">
        <v>100000</v>
      </c>
      <c r="G212" s="63">
        <v>405000</v>
      </c>
      <c r="H212" s="63">
        <f t="shared" si="96"/>
        <v>505000</v>
      </c>
      <c r="I212" s="63">
        <v>100000</v>
      </c>
      <c r="J212" s="63">
        <v>0</v>
      </c>
      <c r="K212" s="63">
        <v>0</v>
      </c>
      <c r="L212" s="63">
        <v>100000</v>
      </c>
      <c r="M212" s="63">
        <v>405000</v>
      </c>
      <c r="N212" s="63">
        <f t="shared" si="97"/>
        <v>505000</v>
      </c>
      <c r="O212" s="63">
        <v>100000</v>
      </c>
      <c r="P212" s="63">
        <v>648000</v>
      </c>
      <c r="Q212" s="63">
        <f t="shared" si="106"/>
        <v>748000</v>
      </c>
      <c r="R212" s="63">
        <v>100000</v>
      </c>
      <c r="S212" s="63">
        <f>648000+162000</f>
        <v>810000</v>
      </c>
      <c r="T212" s="63">
        <f t="shared" si="107"/>
        <v>910000</v>
      </c>
      <c r="U212" s="63">
        <v>100000</v>
      </c>
      <c r="V212" s="63">
        <f>648000+187000</f>
        <v>835000</v>
      </c>
      <c r="W212" s="63">
        <f t="shared" si="108"/>
        <v>935000</v>
      </c>
      <c r="X212" s="63">
        <v>100000</v>
      </c>
      <c r="Y212" s="63">
        <f>648000+164000</f>
        <v>812000</v>
      </c>
      <c r="Z212" s="63">
        <f t="shared" si="98"/>
        <v>912000</v>
      </c>
      <c r="AA212" s="63">
        <v>100000</v>
      </c>
      <c r="AB212" s="63">
        <f>648000+162000</f>
        <v>810000</v>
      </c>
      <c r="AC212" s="63">
        <f t="shared" si="99"/>
        <v>910000</v>
      </c>
      <c r="AD212" s="63">
        <v>100000</v>
      </c>
      <c r="AE212" s="63">
        <v>648000</v>
      </c>
      <c r="AF212" s="63">
        <f t="shared" si="100"/>
        <v>748000</v>
      </c>
      <c r="AG212" s="63">
        <v>100000</v>
      </c>
      <c r="AH212" s="63">
        <f>648000</f>
        <v>648000</v>
      </c>
      <c r="AI212" s="63">
        <f t="shared" si="109"/>
        <v>748000</v>
      </c>
      <c r="AJ212" s="63">
        <v>100000</v>
      </c>
      <c r="AK212" s="63">
        <v>648000</v>
      </c>
      <c r="AL212" s="63">
        <f t="shared" si="101"/>
        <v>748000</v>
      </c>
      <c r="AM212" s="63">
        <v>100000</v>
      </c>
      <c r="AN212" s="63">
        <f>648000</f>
        <v>648000</v>
      </c>
      <c r="AO212" s="63">
        <f t="shared" si="102"/>
        <v>748000</v>
      </c>
      <c r="AP212" s="64">
        <f t="shared" si="103"/>
        <v>2775000</v>
      </c>
      <c r="AQ212" s="65">
        <f t="shared" si="105"/>
        <v>39316.648380731283</v>
      </c>
    </row>
    <row r="213" spans="1:43">
      <c r="A213" s="60">
        <f t="shared" si="104"/>
        <v>209</v>
      </c>
      <c r="B213" s="67" t="s">
        <v>636</v>
      </c>
      <c r="C213" s="61" t="s">
        <v>637</v>
      </c>
      <c r="D213" s="61" t="s">
        <v>612</v>
      </c>
      <c r="E213" s="62">
        <v>1575000</v>
      </c>
      <c r="F213" s="63">
        <v>100000</v>
      </c>
      <c r="G213" s="63">
        <v>265000</v>
      </c>
      <c r="H213" s="63">
        <f t="shared" si="96"/>
        <v>365000</v>
      </c>
      <c r="I213" s="63">
        <v>100000</v>
      </c>
      <c r="J213" s="63">
        <v>0</v>
      </c>
      <c r="K213" s="63">
        <v>0</v>
      </c>
      <c r="L213" s="63">
        <v>100000</v>
      </c>
      <c r="M213" s="63">
        <v>265000</v>
      </c>
      <c r="N213" s="63">
        <f t="shared" si="97"/>
        <v>365000</v>
      </c>
      <c r="O213" s="63">
        <v>100000</v>
      </c>
      <c r="P213" s="63">
        <v>265000</v>
      </c>
      <c r="Q213" s="63">
        <f t="shared" si="106"/>
        <v>365000</v>
      </c>
      <c r="R213" s="63">
        <v>100000</v>
      </c>
      <c r="S213" s="63">
        <v>440000</v>
      </c>
      <c r="T213" s="63">
        <f t="shared" si="107"/>
        <v>540000</v>
      </c>
      <c r="U213" s="63">
        <v>100000</v>
      </c>
      <c r="V213" s="63">
        <v>440000</v>
      </c>
      <c r="W213" s="63">
        <f t="shared" si="108"/>
        <v>540000</v>
      </c>
      <c r="X213" s="63">
        <v>100000</v>
      </c>
      <c r="Y213" s="63">
        <v>440000</v>
      </c>
      <c r="Z213" s="63">
        <f t="shared" si="98"/>
        <v>540000</v>
      </c>
      <c r="AA213" s="63">
        <v>100000</v>
      </c>
      <c r="AB213" s="63">
        <v>0</v>
      </c>
      <c r="AC213" s="63">
        <f t="shared" si="99"/>
        <v>100000</v>
      </c>
      <c r="AD213" s="63">
        <v>100000</v>
      </c>
      <c r="AE213" s="63">
        <v>440000</v>
      </c>
      <c r="AF213" s="63">
        <f t="shared" si="100"/>
        <v>540000</v>
      </c>
      <c r="AG213" s="63">
        <v>100000</v>
      </c>
      <c r="AH213" s="63">
        <v>0</v>
      </c>
      <c r="AI213" s="63">
        <f t="shared" si="109"/>
        <v>100000</v>
      </c>
      <c r="AJ213" s="63">
        <v>100000</v>
      </c>
      <c r="AK213" s="63">
        <f>550000+77000</f>
        <v>627000</v>
      </c>
      <c r="AL213" s="63">
        <f t="shared" si="101"/>
        <v>727000</v>
      </c>
      <c r="AM213" s="63">
        <v>100000</v>
      </c>
      <c r="AN213" s="63">
        <f>550000+80000</f>
        <v>630000</v>
      </c>
      <c r="AO213" s="63">
        <f t="shared" si="102"/>
        <v>730000</v>
      </c>
      <c r="AP213" s="64">
        <f t="shared" si="103"/>
        <v>2775000</v>
      </c>
      <c r="AQ213" s="65">
        <f t="shared" si="105"/>
        <v>39316.648380731283</v>
      </c>
    </row>
    <row r="214" spans="1:43">
      <c r="A214" s="60">
        <f t="shared" si="104"/>
        <v>210</v>
      </c>
      <c r="B214" s="66" t="s">
        <v>638</v>
      </c>
      <c r="C214" s="61" t="s">
        <v>639</v>
      </c>
      <c r="D214" s="61" t="s">
        <v>612</v>
      </c>
      <c r="E214" s="62">
        <v>1300000</v>
      </c>
      <c r="F214" s="63">
        <v>100000</v>
      </c>
      <c r="G214" s="63">
        <f>270000+283000</f>
        <v>553000</v>
      </c>
      <c r="H214" s="63">
        <f t="shared" si="96"/>
        <v>653000</v>
      </c>
      <c r="I214" s="63">
        <v>100000</v>
      </c>
      <c r="J214" s="63">
        <v>0</v>
      </c>
      <c r="K214" s="63">
        <v>0</v>
      </c>
      <c r="L214" s="63">
        <v>100000</v>
      </c>
      <c r="M214" s="63">
        <f>270000+54000</f>
        <v>324000</v>
      </c>
      <c r="N214" s="63">
        <f t="shared" si="97"/>
        <v>424000</v>
      </c>
      <c r="O214" s="63">
        <v>100000</v>
      </c>
      <c r="P214" s="63">
        <f>270000+44000</f>
        <v>314000</v>
      </c>
      <c r="Q214" s="63">
        <f t="shared" si="106"/>
        <v>414000</v>
      </c>
      <c r="R214" s="63">
        <v>100000</v>
      </c>
      <c r="S214" s="63">
        <f>270000+42000</f>
        <v>312000</v>
      </c>
      <c r="T214" s="63">
        <f t="shared" si="107"/>
        <v>412000</v>
      </c>
      <c r="U214" s="63">
        <v>100000</v>
      </c>
      <c r="V214" s="63">
        <v>0</v>
      </c>
      <c r="W214" s="63">
        <f t="shared" si="108"/>
        <v>100000</v>
      </c>
      <c r="X214" s="63">
        <v>100000</v>
      </c>
      <c r="Y214" s="63">
        <f>540000+54000+40000</f>
        <v>634000</v>
      </c>
      <c r="Z214" s="63">
        <f t="shared" si="98"/>
        <v>734000</v>
      </c>
      <c r="AA214" s="63">
        <v>100000</v>
      </c>
      <c r="AB214" s="63">
        <v>540000</v>
      </c>
      <c r="AC214" s="63">
        <f t="shared" si="99"/>
        <v>640000</v>
      </c>
      <c r="AD214" s="63">
        <v>100000</v>
      </c>
      <c r="AE214" s="63">
        <v>540000</v>
      </c>
      <c r="AF214" s="63">
        <f t="shared" si="100"/>
        <v>640000</v>
      </c>
      <c r="AG214" s="63">
        <v>100000</v>
      </c>
      <c r="AH214" s="63">
        <f>19000+540000</f>
        <v>559000</v>
      </c>
      <c r="AI214" s="63">
        <f t="shared" si="109"/>
        <v>659000</v>
      </c>
      <c r="AJ214" s="63">
        <v>100000</v>
      </c>
      <c r="AK214" s="63">
        <v>540000</v>
      </c>
      <c r="AL214" s="63">
        <f t="shared" si="101"/>
        <v>640000</v>
      </c>
      <c r="AM214" s="63">
        <v>100000</v>
      </c>
      <c r="AN214" s="63">
        <f>540000</f>
        <v>540000</v>
      </c>
      <c r="AO214" s="63">
        <f t="shared" si="102"/>
        <v>640000</v>
      </c>
      <c r="AP214" s="64">
        <f t="shared" si="103"/>
        <v>2500000</v>
      </c>
      <c r="AQ214" s="65">
        <f t="shared" si="105"/>
        <v>35420.403946604762</v>
      </c>
    </row>
    <row r="215" spans="1:43">
      <c r="D215" s="76" t="s">
        <v>640</v>
      </c>
      <c r="E215" s="77">
        <f>SUM(E5:E214)</f>
        <v>272500000</v>
      </c>
      <c r="F215" s="77">
        <f>SUM(F5:F214)</f>
        <v>19700000</v>
      </c>
      <c r="G215" s="77">
        <f>SUM(G5:G214)</f>
        <v>56417500</v>
      </c>
      <c r="H215" s="77">
        <f>SUM(H5:H214)</f>
        <v>76117500</v>
      </c>
      <c r="I215" s="77">
        <f t="shared" ref="I215:AO215" si="110">SUM(I5:I214)</f>
        <v>19800000</v>
      </c>
      <c r="J215" s="77">
        <f t="shared" si="110"/>
        <v>0</v>
      </c>
      <c r="K215" s="77">
        <f t="shared" si="110"/>
        <v>0</v>
      </c>
      <c r="L215" s="77">
        <f t="shared" si="110"/>
        <v>19900000</v>
      </c>
      <c r="M215" s="77">
        <f t="shared" si="110"/>
        <v>64192950</v>
      </c>
      <c r="N215" s="77">
        <f t="shared" si="110"/>
        <v>84092950</v>
      </c>
      <c r="O215" s="77">
        <f t="shared" si="110"/>
        <v>20200000</v>
      </c>
      <c r="P215" s="77">
        <f t="shared" si="110"/>
        <v>80243950</v>
      </c>
      <c r="Q215" s="77">
        <f t="shared" si="110"/>
        <v>100443950</v>
      </c>
      <c r="R215" s="77">
        <f t="shared" si="110"/>
        <v>20000000</v>
      </c>
      <c r="S215" s="77">
        <f t="shared" si="110"/>
        <v>81819400</v>
      </c>
      <c r="T215" s="77">
        <f t="shared" si="110"/>
        <v>101819400</v>
      </c>
      <c r="U215" s="77">
        <f t="shared" si="110"/>
        <v>20000000</v>
      </c>
      <c r="V215" s="77">
        <f t="shared" si="110"/>
        <v>74228000</v>
      </c>
      <c r="W215" s="77">
        <f t="shared" si="110"/>
        <v>94228000</v>
      </c>
      <c r="X215" s="77">
        <f t="shared" si="110"/>
        <v>20600000</v>
      </c>
      <c r="Y215" s="77">
        <f t="shared" si="110"/>
        <v>78611500</v>
      </c>
      <c r="Z215" s="77">
        <f t="shared" si="110"/>
        <v>99211500</v>
      </c>
      <c r="AA215" s="77">
        <f>SUM(AA5:AA214)</f>
        <v>20300000</v>
      </c>
      <c r="AB215" s="77">
        <f t="shared" si="110"/>
        <v>68245500</v>
      </c>
      <c r="AC215" s="77">
        <f t="shared" si="110"/>
        <v>88545500</v>
      </c>
      <c r="AD215" s="77">
        <f t="shared" si="110"/>
        <v>20500000</v>
      </c>
      <c r="AE215" s="77">
        <f t="shared" si="110"/>
        <v>67487500</v>
      </c>
      <c r="AF215" s="77">
        <f t="shared" si="110"/>
        <v>87987500</v>
      </c>
      <c r="AG215" s="77">
        <f t="shared" si="110"/>
        <v>21200000</v>
      </c>
      <c r="AH215" s="77">
        <f t="shared" si="110"/>
        <v>83213800</v>
      </c>
      <c r="AI215" s="77">
        <f t="shared" si="110"/>
        <v>104413800</v>
      </c>
      <c r="AJ215" s="77">
        <f>SUM(AJ5:AJ214)</f>
        <v>21200000</v>
      </c>
      <c r="AK215" s="77">
        <f>SUM(AK5:AK214)</f>
        <v>88230600</v>
      </c>
      <c r="AL215" s="77">
        <f>SUM(AL5:AL214)</f>
        <v>109430600</v>
      </c>
      <c r="AM215" s="77">
        <f t="shared" si="110"/>
        <v>21000000</v>
      </c>
      <c r="AN215" s="77">
        <f t="shared" si="110"/>
        <v>96153500</v>
      </c>
      <c r="AO215" s="77">
        <f t="shared" si="110"/>
        <v>117153500</v>
      </c>
      <c r="AP215" s="77">
        <f>SUM(AP5:AP214)</f>
        <v>516900000</v>
      </c>
      <c r="AQ215" s="77">
        <f>SUM(AQ5:AQ214)</f>
        <v>7323522.7199999932</v>
      </c>
    </row>
    <row r="216" spans="1:43">
      <c r="D216" s="78"/>
      <c r="E216" s="79"/>
      <c r="F216" s="80"/>
      <c r="G216" s="80"/>
      <c r="H216" s="81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57"/>
      <c r="AQ216" s="120"/>
    </row>
    <row r="217" spans="1:43">
      <c r="H217" s="57"/>
      <c r="J217" s="57"/>
      <c r="L217" s="55"/>
      <c r="M217" s="55"/>
      <c r="O217" s="55"/>
      <c r="P217" s="55"/>
      <c r="R217" s="55"/>
      <c r="S217" s="55"/>
      <c r="U217" s="55"/>
      <c r="V217" s="55"/>
      <c r="X217" s="55"/>
      <c r="Y217" s="57"/>
      <c r="AA217" s="55"/>
      <c r="AB217" s="55"/>
      <c r="AD217" s="55"/>
      <c r="AE217" s="55"/>
      <c r="AG217" s="55"/>
      <c r="AH217" s="55"/>
      <c r="AJ217" s="55"/>
      <c r="AK217" s="55"/>
      <c r="AM217" s="55"/>
      <c r="AN217" s="55"/>
      <c r="AP217" s="83"/>
    </row>
    <row r="218" spans="1:43">
      <c r="A218" s="84"/>
      <c r="B218" s="84"/>
      <c r="H218" s="57"/>
      <c r="J218" s="57"/>
      <c r="M218" s="55"/>
      <c r="T218" s="57">
        <f>3199000</f>
        <v>3199000</v>
      </c>
      <c r="V218" s="55"/>
      <c r="Y218" s="57"/>
      <c r="AB218" s="57"/>
      <c r="AE218" s="55"/>
      <c r="AH218" s="55"/>
      <c r="AK218" s="55"/>
      <c r="AN218" s="55"/>
      <c r="AP218" s="57"/>
    </row>
    <row r="219" spans="1:43">
      <c r="A219" s="84"/>
      <c r="B219" s="84"/>
      <c r="G219" s="57"/>
      <c r="H219" s="57"/>
      <c r="J219" s="57"/>
      <c r="S219" s="57"/>
      <c r="T219" s="55">
        <f>T218/2</f>
        <v>1599500</v>
      </c>
      <c r="Y219" s="57"/>
      <c r="AB219" s="57"/>
      <c r="AE219" s="55"/>
      <c r="AH219" s="55"/>
      <c r="AK219" s="55"/>
      <c r="AN219" s="55"/>
      <c r="AP219" s="55"/>
      <c r="AQ219" s="85"/>
    </row>
    <row r="220" spans="1:43">
      <c r="G220" s="57"/>
      <c r="H220" s="57"/>
      <c r="J220" s="57"/>
      <c r="S220" s="57"/>
      <c r="Y220" s="57"/>
      <c r="AB220" s="57"/>
      <c r="AN220" s="57"/>
    </row>
    <row r="221" spans="1:43">
      <c r="G221" s="57"/>
      <c r="H221" s="57"/>
      <c r="J221" s="57"/>
      <c r="S221" s="57"/>
      <c r="Y221" s="57"/>
      <c r="AB221" s="57"/>
      <c r="AN221" s="57"/>
      <c r="AP221" s="55"/>
    </row>
    <row r="222" spans="1:43">
      <c r="G222" s="57"/>
      <c r="H222" s="57"/>
      <c r="J222" s="57"/>
      <c r="S222" s="57"/>
      <c r="Y222" s="57"/>
      <c r="AB222" s="57"/>
      <c r="AN222" s="57"/>
      <c r="AP222" s="55"/>
      <c r="AQ222" s="85"/>
    </row>
    <row r="223" spans="1:43">
      <c r="G223" s="57"/>
      <c r="H223" s="57"/>
      <c r="J223" s="57"/>
      <c r="S223" s="57"/>
      <c r="Y223" s="57"/>
      <c r="AB223" s="57"/>
      <c r="AN223" s="57"/>
      <c r="AQ223" s="85"/>
    </row>
    <row r="224" spans="1:43">
      <c r="G224" s="57"/>
      <c r="H224" s="57"/>
      <c r="J224" s="57"/>
      <c r="S224" s="57"/>
      <c r="Y224" s="57"/>
      <c r="AB224" s="57"/>
      <c r="AN224" s="55"/>
    </row>
    <row r="225" spans="1:41">
      <c r="A225" s="86"/>
      <c r="B225" s="86"/>
      <c r="C225" s="87"/>
      <c r="D225" s="87"/>
      <c r="E225" s="88"/>
      <c r="F225" s="87"/>
      <c r="G225" s="89"/>
      <c r="H225" s="89"/>
      <c r="I225" s="87"/>
      <c r="J225" s="89"/>
      <c r="K225" s="87"/>
      <c r="L225" s="87"/>
      <c r="M225" s="87"/>
      <c r="N225" s="87"/>
      <c r="O225" s="87"/>
      <c r="P225" s="87"/>
      <c r="Q225" s="87"/>
      <c r="R225" s="87"/>
      <c r="S225" s="89"/>
      <c r="T225" s="87"/>
      <c r="U225" s="87"/>
      <c r="V225" s="87"/>
      <c r="W225" s="87"/>
      <c r="X225" s="87"/>
      <c r="Y225" s="89"/>
      <c r="Z225" s="87"/>
      <c r="AA225" s="87"/>
      <c r="AB225" s="89"/>
      <c r="AC225" s="87"/>
      <c r="AD225" s="87"/>
      <c r="AE225" s="87"/>
      <c r="AF225" s="87"/>
      <c r="AG225" s="87"/>
      <c r="AH225" s="87"/>
      <c r="AI225" s="87"/>
      <c r="AJ225" s="87"/>
      <c r="AK225" s="87"/>
      <c r="AL225" s="87"/>
      <c r="AM225" s="87"/>
      <c r="AN225" s="83"/>
      <c r="AO225" s="87"/>
    </row>
    <row r="226" spans="1:41">
      <c r="A226" s="84"/>
      <c r="B226" s="84"/>
      <c r="G226" s="57"/>
      <c r="H226" s="57"/>
      <c r="J226" s="57"/>
      <c r="S226" s="57"/>
      <c r="Y226" s="57"/>
      <c r="AB226" s="57"/>
    </row>
    <row r="227" spans="1:41">
      <c r="G227" s="57"/>
      <c r="H227" s="57"/>
      <c r="J227" s="57"/>
      <c r="S227" s="57"/>
      <c r="Y227" s="57"/>
      <c r="AB227" s="57"/>
    </row>
    <row r="228" spans="1:41">
      <c r="G228" s="57"/>
      <c r="H228" s="57"/>
      <c r="J228" s="57"/>
      <c r="S228" s="57"/>
      <c r="Y228" s="57"/>
      <c r="AB228" s="55"/>
    </row>
    <row r="229" spans="1:41">
      <c r="G229" s="57"/>
      <c r="H229" s="57"/>
      <c r="J229" s="57"/>
      <c r="S229" s="57"/>
      <c r="Y229" s="57"/>
    </row>
    <row r="230" spans="1:41">
      <c r="G230" s="57"/>
      <c r="J230" s="57"/>
      <c r="S230" s="57"/>
      <c r="Y230" s="57"/>
      <c r="AB230" s="55"/>
    </row>
    <row r="231" spans="1:41">
      <c r="G231" s="57"/>
      <c r="J231" s="57"/>
      <c r="S231" s="57"/>
      <c r="Y231" s="57"/>
    </row>
    <row r="232" spans="1:41">
      <c r="G232" s="57"/>
      <c r="J232" s="57"/>
      <c r="Y232" s="57"/>
    </row>
    <row r="233" spans="1:41">
      <c r="G233" s="57"/>
      <c r="J233" s="57"/>
      <c r="Y233" s="57"/>
    </row>
    <row r="234" spans="1:41">
      <c r="G234" s="57"/>
      <c r="J234" s="57"/>
      <c r="Y234" s="57"/>
    </row>
    <row r="235" spans="1:41">
      <c r="G235" s="57"/>
      <c r="Y235" s="57"/>
    </row>
    <row r="236" spans="1:41">
      <c r="G236" s="57"/>
      <c r="Y236" s="57"/>
    </row>
    <row r="237" spans="1:41">
      <c r="G237" s="57"/>
      <c r="Y237" s="57"/>
    </row>
    <row r="238" spans="1:41">
      <c r="G238" s="57"/>
      <c r="Y238" s="57"/>
    </row>
    <row r="239" spans="1:41">
      <c r="G239" s="57"/>
      <c r="Y239" s="57"/>
    </row>
    <row r="240" spans="1:41">
      <c r="G240" s="57"/>
      <c r="Y240" s="57"/>
    </row>
    <row r="241" spans="7:25">
      <c r="G241" s="57"/>
      <c r="Y241" s="57"/>
    </row>
    <row r="242" spans="7:25">
      <c r="G242" s="57"/>
      <c r="Y242" s="57"/>
    </row>
    <row r="243" spans="7:25">
      <c r="G243" s="57"/>
      <c r="Y243" s="57"/>
    </row>
    <row r="244" spans="7:25">
      <c r="G244" s="57"/>
      <c r="Y244" s="57"/>
    </row>
    <row r="245" spans="7:25">
      <c r="G245" s="57"/>
    </row>
    <row r="246" spans="7:25">
      <c r="G246" s="57"/>
    </row>
    <row r="247" spans="7:25">
      <c r="G247" s="57"/>
    </row>
    <row r="248" spans="7:25">
      <c r="G248" s="57"/>
    </row>
    <row r="249" spans="7:25">
      <c r="G249" s="57"/>
    </row>
    <row r="250" spans="7:25">
      <c r="G250" s="57"/>
    </row>
    <row r="251" spans="7:25">
      <c r="G251" s="57"/>
    </row>
    <row r="252" spans="7:25">
      <c r="G252" s="57"/>
    </row>
    <row r="253" spans="7:25">
      <c r="G253" s="57"/>
    </row>
    <row r="254" spans="7:25">
      <c r="G254" s="57"/>
    </row>
    <row r="255" spans="7:25">
      <c r="G255" s="57"/>
    </row>
    <row r="256" spans="7:25">
      <c r="G256" s="57"/>
    </row>
    <row r="257" spans="7:7">
      <c r="G257" s="57"/>
    </row>
    <row r="258" spans="7:7">
      <c r="G258" s="57"/>
    </row>
    <row r="259" spans="7:7">
      <c r="G259" s="57"/>
    </row>
    <row r="260" spans="7:7">
      <c r="G260" s="57"/>
    </row>
    <row r="261" spans="7:7">
      <c r="G261" s="57"/>
    </row>
    <row r="262" spans="7:7">
      <c r="G262" s="57"/>
    </row>
    <row r="263" spans="7:7">
      <c r="G263" s="57"/>
    </row>
    <row r="264" spans="7:7">
      <c r="G264" s="57"/>
    </row>
    <row r="265" spans="7:7">
      <c r="G265" s="57"/>
    </row>
    <row r="266" spans="7:7">
      <c r="G266" s="57"/>
    </row>
    <row r="267" spans="7:7">
      <c r="G267" s="57"/>
    </row>
  </sheetData>
  <sortState ref="B5:AQ214">
    <sortCondition ref="D5:D214"/>
    <sortCondition ref="C5:C214"/>
  </sortState>
  <mergeCells count="8">
    <mergeCell ref="AP3:AP4"/>
    <mergeCell ref="AQ3:AQ4"/>
    <mergeCell ref="A2:Q2"/>
    <mergeCell ref="A3:A4"/>
    <mergeCell ref="B3:B4"/>
    <mergeCell ref="C3:C4"/>
    <mergeCell ref="D3:D4"/>
    <mergeCell ref="E3:E4"/>
  </mergeCells>
  <printOptions horizontalCentered="1"/>
  <pageMargins left="0.25" right="0.25" top="0.25" bottom="0.2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2"/>
  <sheetViews>
    <sheetView showGridLines="0" workbookViewId="0">
      <selection activeCell="C8" sqref="C8"/>
    </sheetView>
  </sheetViews>
  <sheetFormatPr defaultRowHeight="15"/>
  <cols>
    <col min="1" max="1" width="4.42578125" customWidth="1"/>
    <col min="2" max="2" width="33.140625" customWidth="1"/>
    <col min="3" max="3" width="15.28515625" style="1" bestFit="1" customWidth="1"/>
    <col min="4" max="4" width="16.140625" customWidth="1"/>
    <col min="5" max="5" width="17.5703125" style="1" customWidth="1"/>
    <col min="6" max="6" width="15.28515625" bestFit="1" customWidth="1"/>
    <col min="9" max="9" width="14.28515625" style="1" bestFit="1" customWidth="1"/>
  </cols>
  <sheetData>
    <row r="1" spans="1:6">
      <c r="A1" s="95">
        <v>1</v>
      </c>
      <c r="B1" t="s">
        <v>664</v>
      </c>
      <c r="D1" s="14">
        <f>'Saldo Anggota'!AP215</f>
        <v>516900000</v>
      </c>
    </row>
    <row r="2" spans="1:6">
      <c r="A2" s="95">
        <v>2</v>
      </c>
      <c r="B2" t="s">
        <v>976</v>
      </c>
      <c r="D2" s="14">
        <f>Pendapatan!E219</f>
        <v>58409637.319999993</v>
      </c>
    </row>
    <row r="3" spans="1:6">
      <c r="A3" s="95">
        <v>3</v>
      </c>
      <c r="B3" t="s">
        <v>977</v>
      </c>
      <c r="C3" s="1">
        <v>158053976.75999999</v>
      </c>
      <c r="D3" s="1"/>
    </row>
    <row r="4" spans="1:6">
      <c r="A4" s="95">
        <v>4</v>
      </c>
      <c r="B4" t="s">
        <v>644</v>
      </c>
      <c r="C4" s="1">
        <v>117944725</v>
      </c>
    </row>
    <row r="5" spans="1:6">
      <c r="A5" s="95">
        <v>5</v>
      </c>
      <c r="B5" t="s">
        <v>978</v>
      </c>
      <c r="C5" s="1">
        <f>'Piutang Pinjaman'!O130</f>
        <v>224690725</v>
      </c>
      <c r="D5" s="1"/>
      <c r="F5" s="14"/>
    </row>
    <row r="6" spans="1:6">
      <c r="A6" s="95">
        <v>6</v>
      </c>
      <c r="B6" t="s">
        <v>980</v>
      </c>
      <c r="C6" s="1">
        <v>38627950</v>
      </c>
      <c r="D6" s="14"/>
    </row>
    <row r="7" spans="1:6">
      <c r="A7" s="95">
        <v>7</v>
      </c>
      <c r="B7" t="s">
        <v>643</v>
      </c>
      <c r="C7" s="1">
        <f>9832750+5144500</f>
        <v>14977250</v>
      </c>
      <c r="D7" s="14"/>
    </row>
    <row r="8" spans="1:6">
      <c r="A8" s="95">
        <v>8</v>
      </c>
      <c r="B8" t="s">
        <v>979</v>
      </c>
      <c r="C8" s="1">
        <v>0</v>
      </c>
    </row>
    <row r="9" spans="1:6">
      <c r="C9" s="93">
        <f>SUM(C1:C8)</f>
        <v>554294626.75999999</v>
      </c>
      <c r="D9" s="94">
        <f>SUM(D1:D8)</f>
        <v>575309637.31999993</v>
      </c>
      <c r="E9" s="93"/>
    </row>
    <row r="10" spans="1:6">
      <c r="D10" s="14">
        <f>D9-C9</f>
        <v>21015010.559999943</v>
      </c>
    </row>
    <row r="13" spans="1:6">
      <c r="D13" s="1"/>
    </row>
    <row r="14" spans="1:6">
      <c r="D14" s="1"/>
    </row>
    <row r="15" spans="1:6">
      <c r="D15" s="1"/>
    </row>
    <row r="16" spans="1:6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8"/>
  <sheetViews>
    <sheetView showGridLines="0" tabSelected="1" workbookViewId="0">
      <selection activeCell="G8" sqref="G8"/>
    </sheetView>
  </sheetViews>
  <sheetFormatPr defaultRowHeight="15"/>
  <cols>
    <col min="1" max="1" width="4.42578125" customWidth="1"/>
    <col min="2" max="2" width="41.140625" customWidth="1"/>
    <col min="3" max="3" width="15.85546875" style="1" customWidth="1"/>
    <col min="4" max="4" width="16.42578125" style="1" customWidth="1"/>
    <col min="5" max="5" width="13.28515625" bestFit="1" customWidth="1"/>
    <col min="6" max="6" width="31.85546875" bestFit="1" customWidth="1"/>
    <col min="7" max="7" width="11.5703125" bestFit="1" customWidth="1"/>
    <col min="8" max="8" width="11" customWidth="1"/>
    <col min="9" max="9" width="13.85546875" customWidth="1"/>
    <col min="10" max="10" width="11.140625" bestFit="1" customWidth="1"/>
  </cols>
  <sheetData>
    <row r="1" spans="1:10">
      <c r="A1" s="96" t="s">
        <v>645</v>
      </c>
      <c r="E1" s="1"/>
      <c r="F1" t="s">
        <v>992</v>
      </c>
      <c r="G1" t="s">
        <v>985</v>
      </c>
      <c r="H1" t="s">
        <v>986</v>
      </c>
      <c r="I1" s="1" t="s">
        <v>989</v>
      </c>
      <c r="J1" t="s">
        <v>998</v>
      </c>
    </row>
    <row r="2" spans="1:10">
      <c r="A2" s="95">
        <v>1</v>
      </c>
      <c r="B2" t="s">
        <v>707</v>
      </c>
      <c r="C2" s="1">
        <v>40686237.32</v>
      </c>
      <c r="D2" s="1">
        <f>C2*20/100</f>
        <v>8137247.4639999997</v>
      </c>
      <c r="E2" s="1"/>
      <c r="F2" t="s">
        <v>983</v>
      </c>
      <c r="G2">
        <v>10000</v>
      </c>
      <c r="H2">
        <v>10000</v>
      </c>
      <c r="I2" s="1">
        <v>100000</v>
      </c>
      <c r="J2" s="130">
        <f>SUM(Table1[[#This Row],[t.pinj]:[t.belanja]])</f>
        <v>20000</v>
      </c>
    </row>
    <row r="3" spans="1:10">
      <c r="A3" s="95">
        <f>A2+1</f>
        <v>2</v>
      </c>
      <c r="B3" t="s">
        <v>708</v>
      </c>
      <c r="C3" s="1">
        <v>40686237.32</v>
      </c>
      <c r="D3" s="1">
        <f>C3*60/100</f>
        <v>24411742.391999997</v>
      </c>
      <c r="E3" s="1"/>
      <c r="F3" t="s">
        <v>984</v>
      </c>
      <c r="G3">
        <v>20000</v>
      </c>
      <c r="H3">
        <v>10000</v>
      </c>
      <c r="I3" s="1">
        <v>50000</v>
      </c>
      <c r="J3" s="130">
        <f>SUM(Table1[[#This Row],[t.pinj]:[t.belanja]])</f>
        <v>30000</v>
      </c>
    </row>
    <row r="4" spans="1:10">
      <c r="A4" s="95">
        <f t="shared" ref="A4:A5" si="0">A3+1</f>
        <v>3</v>
      </c>
      <c r="B4" t="s">
        <v>709</v>
      </c>
      <c r="C4" s="1">
        <v>40686237.32</v>
      </c>
      <c r="D4" s="1">
        <f>C4*5/100</f>
        <v>2034311.8659999999</v>
      </c>
      <c r="E4" s="1"/>
      <c r="F4" s="128"/>
      <c r="G4" s="128"/>
      <c r="H4" s="128"/>
      <c r="I4" s="129"/>
      <c r="J4" s="128"/>
    </row>
    <row r="5" spans="1:10">
      <c r="A5" s="95">
        <f t="shared" si="0"/>
        <v>4</v>
      </c>
      <c r="B5" t="s">
        <v>710</v>
      </c>
      <c r="C5" s="1">
        <v>40686237.32</v>
      </c>
      <c r="D5" s="1">
        <f>C5*15/100</f>
        <v>6102935.5979999993</v>
      </c>
      <c r="E5" s="1"/>
      <c r="F5" s="14" t="s">
        <v>987</v>
      </c>
      <c r="G5">
        <f>SUM(G2:H3)</f>
        <v>50000</v>
      </c>
      <c r="I5" s="1"/>
    </row>
    <row r="6" spans="1:10">
      <c r="D6" s="93">
        <f>SUM(D2:D5)</f>
        <v>40686237.319999993</v>
      </c>
      <c r="E6" s="1"/>
      <c r="F6" s="14"/>
      <c r="G6" t="s">
        <v>988</v>
      </c>
      <c r="I6" s="1"/>
    </row>
    <row r="7" spans="1:10">
      <c r="G7" t="s">
        <v>988</v>
      </c>
    </row>
    <row r="8" spans="1:10">
      <c r="B8" t="s">
        <v>646</v>
      </c>
      <c r="C8" s="1">
        <f>D3</f>
        <v>24411742.391999997</v>
      </c>
      <c r="D8" s="1">
        <f>C8*70/100</f>
        <v>17088219.674399998</v>
      </c>
      <c r="F8" s="96" t="s">
        <v>993</v>
      </c>
      <c r="G8" s="96">
        <f>60/100*G5</f>
        <v>30000</v>
      </c>
    </row>
    <row r="9" spans="1:10">
      <c r="B9" t="s">
        <v>647</v>
      </c>
      <c r="C9" s="1">
        <f>D3</f>
        <v>24411742.391999997</v>
      </c>
      <c r="D9" s="1">
        <f>C9*30/100</f>
        <v>7323522.7175999992</v>
      </c>
      <c r="F9" t="s">
        <v>996</v>
      </c>
      <c r="G9">
        <f>70/100*G8</f>
        <v>21000</v>
      </c>
    </row>
    <row r="10" spans="1:10">
      <c r="D10" s="93">
        <f>SUM(D8:D9)</f>
        <v>24411742.391999997</v>
      </c>
      <c r="F10" t="s">
        <v>997</v>
      </c>
      <c r="G10">
        <f>30/100*G8</f>
        <v>9000</v>
      </c>
    </row>
    <row r="11" spans="1:10">
      <c r="B11" t="s">
        <v>651</v>
      </c>
      <c r="H11" s="14"/>
    </row>
    <row r="12" spans="1:10">
      <c r="B12" s="96" t="s">
        <v>648</v>
      </c>
      <c r="F12" t="s">
        <v>983</v>
      </c>
    </row>
    <row r="13" spans="1:10">
      <c r="B13" s="97" t="s">
        <v>650</v>
      </c>
      <c r="C13" s="1">
        <v>919170</v>
      </c>
      <c r="D13" s="1">
        <f>C13/'[1]2015'!$BL$252*D8</f>
        <v>173473.20899017469</v>
      </c>
      <c r="F13" t="s">
        <v>990</v>
      </c>
      <c r="G13">
        <f>SUM(G2:H2)</f>
        <v>20000</v>
      </c>
      <c r="H13">
        <f>G13/G5*G9</f>
        <v>8400</v>
      </c>
    </row>
    <row r="14" spans="1:10">
      <c r="B14" s="97" t="s">
        <v>649</v>
      </c>
      <c r="C14" s="1">
        <v>2775000</v>
      </c>
      <c r="D14" s="1">
        <f>C14/'Saldo Anggota'!AP215*D9</f>
        <v>39316.64836784677</v>
      </c>
      <c r="F14" t="s">
        <v>991</v>
      </c>
      <c r="G14" s="14">
        <v>100000</v>
      </c>
      <c r="H14" s="14">
        <f>G14/(I2+I3)*G10</f>
        <v>6000</v>
      </c>
    </row>
    <row r="15" spans="1:10">
      <c r="B15" s="97" t="s">
        <v>652</v>
      </c>
      <c r="D15" s="93">
        <f>SUM(D13:D14)</f>
        <v>212789.85735802146</v>
      </c>
    </row>
    <row r="16" spans="1:10">
      <c r="F16" t="s">
        <v>994</v>
      </c>
    </row>
    <row r="17" spans="3:8">
      <c r="C17" s="1" t="s">
        <v>995</v>
      </c>
      <c r="F17" t="s">
        <v>990</v>
      </c>
      <c r="G17">
        <v>30000</v>
      </c>
      <c r="H17">
        <f>G17/G5*G9</f>
        <v>12600</v>
      </c>
    </row>
    <row r="18" spans="3:8">
      <c r="F18" t="s">
        <v>991</v>
      </c>
      <c r="G18" s="14">
        <v>50000</v>
      </c>
      <c r="H18" s="14">
        <f>G18/(I2+I3)*G10</f>
        <v>3000</v>
      </c>
    </row>
  </sheetData>
  <pageMargins left="0.7" right="0.7" top="0.75" bottom="0.75" header="0.3" footer="0.3"/>
  <pageSetup paperSize="9" orientation="portrait" horizontalDpi="120" verticalDpi="72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130"/>
  <sheetViews>
    <sheetView showGridLines="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5"/>
  <cols>
    <col min="1" max="1" width="4.85546875" style="105" customWidth="1"/>
    <col min="2" max="2" width="27.42578125" style="103" customWidth="1"/>
    <col min="3" max="3" width="21.42578125" style="103" customWidth="1"/>
    <col min="4" max="14" width="17.7109375" style="103" customWidth="1"/>
    <col min="15" max="15" width="20.140625" style="103" customWidth="1"/>
    <col min="16" max="17" width="17.7109375" style="103" customWidth="1"/>
    <col min="18" max="16384" width="9.140625" style="103"/>
  </cols>
  <sheetData>
    <row r="1" spans="1:15" ht="26.25">
      <c r="A1" s="102" t="s">
        <v>706</v>
      </c>
      <c r="D1" s="104"/>
    </row>
    <row r="2" spans="1:15" ht="5.25" customHeight="1"/>
    <row r="3" spans="1:15" ht="15.75">
      <c r="A3" s="106" t="s">
        <v>1</v>
      </c>
      <c r="B3" s="106" t="s">
        <v>315</v>
      </c>
      <c r="C3" s="106" t="s">
        <v>667</v>
      </c>
      <c r="D3" s="112" t="s">
        <v>672</v>
      </c>
      <c r="E3" s="106" t="s">
        <v>675</v>
      </c>
      <c r="F3" s="106" t="s">
        <v>324</v>
      </c>
      <c r="G3" s="106" t="s">
        <v>325</v>
      </c>
      <c r="H3" s="106" t="s">
        <v>326</v>
      </c>
      <c r="I3" s="106" t="s">
        <v>327</v>
      </c>
      <c r="J3" s="106" t="s">
        <v>328</v>
      </c>
      <c r="K3" s="106" t="s">
        <v>329</v>
      </c>
      <c r="L3" s="106" t="s">
        <v>330</v>
      </c>
      <c r="M3" s="106" t="s">
        <v>331</v>
      </c>
      <c r="N3" s="106" t="s">
        <v>332</v>
      </c>
      <c r="O3" s="106" t="s">
        <v>319</v>
      </c>
    </row>
    <row r="4" spans="1:15">
      <c r="A4" s="107">
        <v>1</v>
      </c>
      <c r="B4" s="108" t="s">
        <v>648</v>
      </c>
      <c r="C4" s="108" t="s">
        <v>334</v>
      </c>
      <c r="D4" s="113">
        <v>440000</v>
      </c>
      <c r="E4" s="113">
        <v>440000</v>
      </c>
      <c r="F4" s="113">
        <v>440000</v>
      </c>
      <c r="G4" s="113">
        <v>440000</v>
      </c>
      <c r="H4" s="113">
        <v>440000</v>
      </c>
      <c r="I4" s="113">
        <v>440000</v>
      </c>
      <c r="J4" s="113">
        <v>440000</v>
      </c>
      <c r="K4" s="108"/>
      <c r="L4" s="108"/>
      <c r="M4" s="108"/>
      <c r="N4" s="108"/>
      <c r="O4" s="114">
        <f>SUM(D4:N4)</f>
        <v>3080000</v>
      </c>
    </row>
    <row r="5" spans="1:15">
      <c r="A5" s="107">
        <f>A4+1</f>
        <v>2</v>
      </c>
      <c r="B5" s="108" t="s">
        <v>336</v>
      </c>
      <c r="C5" s="108" t="s">
        <v>337</v>
      </c>
      <c r="D5" s="109">
        <v>530000</v>
      </c>
      <c r="E5" s="109">
        <v>530000</v>
      </c>
      <c r="F5" s="109">
        <v>530000</v>
      </c>
      <c r="G5" s="109">
        <v>530000</v>
      </c>
      <c r="H5" s="109">
        <v>530000</v>
      </c>
      <c r="I5" s="108"/>
      <c r="J5" s="108"/>
      <c r="K5" s="108"/>
      <c r="L5" s="108"/>
      <c r="M5" s="108"/>
      <c r="N5" s="108"/>
      <c r="O5" s="114">
        <f t="shared" ref="O5:O68" si="0">SUM(D5:N5)</f>
        <v>2650000</v>
      </c>
    </row>
    <row r="6" spans="1:15">
      <c r="A6" s="107">
        <f t="shared" ref="A6:A69" si="1">A5+1</f>
        <v>3</v>
      </c>
      <c r="B6" s="108" t="s">
        <v>341</v>
      </c>
      <c r="C6" s="108" t="s">
        <v>337</v>
      </c>
      <c r="D6" s="113">
        <v>530000</v>
      </c>
      <c r="E6" s="113">
        <v>530000</v>
      </c>
      <c r="F6" s="113">
        <v>530000</v>
      </c>
      <c r="G6" s="113">
        <v>530000</v>
      </c>
      <c r="H6" s="113">
        <v>530000</v>
      </c>
      <c r="I6" s="113"/>
      <c r="J6" s="113"/>
      <c r="K6" s="108"/>
      <c r="L6" s="108"/>
      <c r="M6" s="108"/>
      <c r="N6" s="108"/>
      <c r="O6" s="114">
        <f t="shared" si="0"/>
        <v>2650000</v>
      </c>
    </row>
    <row r="7" spans="1:15">
      <c r="A7" s="107">
        <f t="shared" si="1"/>
        <v>4</v>
      </c>
      <c r="B7" s="108" t="s">
        <v>345</v>
      </c>
      <c r="C7" s="108" t="s">
        <v>346</v>
      </c>
      <c r="D7" s="113">
        <v>636000</v>
      </c>
      <c r="E7" s="113">
        <v>636000</v>
      </c>
      <c r="F7" s="113">
        <v>636000</v>
      </c>
      <c r="G7" s="113">
        <v>636000</v>
      </c>
      <c r="H7" s="113"/>
      <c r="I7" s="113"/>
      <c r="J7" s="113"/>
      <c r="K7" s="108"/>
      <c r="L7" s="108"/>
      <c r="M7" s="108"/>
      <c r="N7" s="108"/>
      <c r="O7" s="114">
        <f t="shared" si="0"/>
        <v>2544000</v>
      </c>
    </row>
    <row r="8" spans="1:15">
      <c r="A8" s="107">
        <f t="shared" si="1"/>
        <v>5</v>
      </c>
      <c r="B8" s="108" t="s">
        <v>697</v>
      </c>
      <c r="C8" s="108" t="s">
        <v>346</v>
      </c>
      <c r="D8" s="113">
        <v>530000</v>
      </c>
      <c r="E8" s="113">
        <v>530000</v>
      </c>
      <c r="F8" s="113">
        <v>530000</v>
      </c>
      <c r="G8" s="113">
        <v>530000</v>
      </c>
      <c r="H8" s="108"/>
      <c r="I8" s="108"/>
      <c r="J8" s="108"/>
      <c r="K8" s="108"/>
      <c r="L8" s="108"/>
      <c r="M8" s="108"/>
      <c r="N8" s="108"/>
      <c r="O8" s="114">
        <f t="shared" si="0"/>
        <v>2120000</v>
      </c>
    </row>
    <row r="9" spans="1:15">
      <c r="A9" s="107">
        <f t="shared" si="1"/>
        <v>6</v>
      </c>
      <c r="B9" s="108" t="s">
        <v>352</v>
      </c>
      <c r="C9" s="108" t="s">
        <v>346</v>
      </c>
      <c r="D9" s="113">
        <v>530000</v>
      </c>
      <c r="E9" s="113">
        <v>530000</v>
      </c>
      <c r="F9" s="113">
        <v>530000</v>
      </c>
      <c r="G9" s="113">
        <v>530000</v>
      </c>
      <c r="H9" s="108"/>
      <c r="I9" s="108"/>
      <c r="J9" s="108"/>
      <c r="K9" s="108"/>
      <c r="L9" s="108"/>
      <c r="M9" s="108"/>
      <c r="N9" s="108"/>
      <c r="O9" s="114">
        <f t="shared" si="0"/>
        <v>2120000</v>
      </c>
    </row>
    <row r="10" spans="1:15">
      <c r="A10" s="107">
        <f t="shared" si="1"/>
        <v>7</v>
      </c>
      <c r="B10" s="108" t="s">
        <v>686</v>
      </c>
      <c r="C10" s="108" t="s">
        <v>346</v>
      </c>
      <c r="D10" s="113">
        <v>270000</v>
      </c>
      <c r="E10" s="113">
        <v>270000</v>
      </c>
      <c r="F10" s="113">
        <v>270000</v>
      </c>
      <c r="G10" s="114"/>
      <c r="H10" s="114"/>
      <c r="I10" s="114"/>
      <c r="J10" s="114"/>
      <c r="K10" s="108"/>
      <c r="L10" s="108"/>
      <c r="M10" s="108"/>
      <c r="N10" s="108"/>
      <c r="O10" s="114">
        <f t="shared" si="0"/>
        <v>810000</v>
      </c>
    </row>
    <row r="11" spans="1:15">
      <c r="A11" s="107">
        <f t="shared" si="1"/>
        <v>8</v>
      </c>
      <c r="B11" s="108" t="s">
        <v>356</v>
      </c>
      <c r="C11" s="108" t="s">
        <v>346</v>
      </c>
      <c r="D11" s="113">
        <v>636000</v>
      </c>
      <c r="E11" s="113">
        <v>636000</v>
      </c>
      <c r="F11" s="109"/>
      <c r="G11" s="108"/>
      <c r="H11" s="108"/>
      <c r="I11" s="108"/>
      <c r="J11" s="108"/>
      <c r="K11" s="108"/>
      <c r="L11" s="108"/>
      <c r="M11" s="108"/>
      <c r="N11" s="108"/>
      <c r="O11" s="114">
        <f t="shared" si="0"/>
        <v>1272000</v>
      </c>
    </row>
    <row r="12" spans="1:15">
      <c r="A12" s="107">
        <f t="shared" si="1"/>
        <v>9</v>
      </c>
      <c r="B12" s="108" t="s">
        <v>358</v>
      </c>
      <c r="C12" s="108" t="s">
        <v>346</v>
      </c>
      <c r="D12" s="109">
        <v>530000</v>
      </c>
      <c r="E12" s="109">
        <v>530000</v>
      </c>
      <c r="F12" s="109">
        <v>530000</v>
      </c>
      <c r="G12" s="109">
        <v>530000</v>
      </c>
      <c r="H12" s="109">
        <v>530000</v>
      </c>
      <c r="I12" s="108"/>
      <c r="J12" s="108"/>
      <c r="K12" s="108"/>
      <c r="L12" s="108"/>
      <c r="M12" s="108"/>
      <c r="N12" s="108"/>
      <c r="O12" s="114">
        <f t="shared" si="0"/>
        <v>2650000</v>
      </c>
    </row>
    <row r="13" spans="1:15">
      <c r="A13" s="107">
        <f t="shared" si="1"/>
        <v>10</v>
      </c>
      <c r="B13" s="108" t="s">
        <v>362</v>
      </c>
      <c r="C13" s="108" t="s">
        <v>346</v>
      </c>
      <c r="D13" s="113">
        <v>540000</v>
      </c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14">
        <f t="shared" si="0"/>
        <v>540000</v>
      </c>
    </row>
    <row r="14" spans="1:15">
      <c r="A14" s="107">
        <f t="shared" si="1"/>
        <v>11</v>
      </c>
      <c r="B14" s="108" t="s">
        <v>363</v>
      </c>
      <c r="C14" s="108" t="s">
        <v>346</v>
      </c>
      <c r="D14" s="109">
        <v>530000</v>
      </c>
      <c r="E14" s="109">
        <v>530000</v>
      </c>
      <c r="F14" s="109">
        <v>530000</v>
      </c>
      <c r="G14" s="109">
        <v>530000</v>
      </c>
      <c r="H14" s="108"/>
      <c r="I14" s="108"/>
      <c r="J14" s="108"/>
      <c r="K14" s="108"/>
      <c r="L14" s="108"/>
      <c r="M14" s="108"/>
      <c r="N14" s="108"/>
      <c r="O14" s="114">
        <f t="shared" si="0"/>
        <v>2120000</v>
      </c>
    </row>
    <row r="15" spans="1:15">
      <c r="A15" s="107">
        <f t="shared" si="1"/>
        <v>12</v>
      </c>
      <c r="B15" s="108" t="s">
        <v>366</v>
      </c>
      <c r="C15" s="108" t="s">
        <v>346</v>
      </c>
      <c r="D15" s="113">
        <v>530000</v>
      </c>
      <c r="E15" s="113">
        <v>530000</v>
      </c>
      <c r="F15" s="113">
        <v>530000</v>
      </c>
      <c r="G15" s="108"/>
      <c r="H15" s="108"/>
      <c r="I15" s="108"/>
      <c r="J15" s="108"/>
      <c r="K15" s="108"/>
      <c r="L15" s="108"/>
      <c r="M15" s="108"/>
      <c r="N15" s="108"/>
      <c r="O15" s="114">
        <f t="shared" si="0"/>
        <v>1590000</v>
      </c>
    </row>
    <row r="16" spans="1:15">
      <c r="A16" s="107">
        <f t="shared" si="1"/>
        <v>13</v>
      </c>
      <c r="B16" s="108" t="s">
        <v>369</v>
      </c>
      <c r="C16" s="108" t="s">
        <v>346</v>
      </c>
      <c r="D16" s="113">
        <v>795000</v>
      </c>
      <c r="E16" s="113">
        <v>795000</v>
      </c>
      <c r="F16" s="113"/>
      <c r="G16" s="113"/>
      <c r="H16" s="108"/>
      <c r="I16" s="108"/>
      <c r="J16" s="108"/>
      <c r="K16" s="108"/>
      <c r="L16" s="108"/>
      <c r="M16" s="108"/>
      <c r="N16" s="108"/>
      <c r="O16" s="114">
        <f t="shared" si="0"/>
        <v>1590000</v>
      </c>
    </row>
    <row r="17" spans="1:15">
      <c r="A17" s="107">
        <f t="shared" si="1"/>
        <v>14</v>
      </c>
      <c r="B17" s="108" t="s">
        <v>692</v>
      </c>
      <c r="C17" s="108" t="s">
        <v>346</v>
      </c>
      <c r="D17" s="109">
        <v>425000</v>
      </c>
      <c r="E17" s="109">
        <v>425000</v>
      </c>
      <c r="F17" s="109">
        <v>425000</v>
      </c>
      <c r="G17" s="109"/>
      <c r="H17" s="108"/>
      <c r="I17" s="108"/>
      <c r="J17" s="108"/>
      <c r="K17" s="108"/>
      <c r="L17" s="108"/>
      <c r="M17" s="108"/>
      <c r="N17" s="108"/>
      <c r="O17" s="114">
        <f t="shared" si="0"/>
        <v>1275000</v>
      </c>
    </row>
    <row r="18" spans="1:15">
      <c r="A18" s="107">
        <f t="shared" si="1"/>
        <v>15</v>
      </c>
      <c r="B18" s="108" t="s">
        <v>375</v>
      </c>
      <c r="C18" s="108" t="s">
        <v>372</v>
      </c>
      <c r="D18" s="113">
        <v>540000</v>
      </c>
      <c r="E18" s="113">
        <v>540000</v>
      </c>
      <c r="F18" s="108"/>
      <c r="G18" s="108"/>
      <c r="H18" s="108"/>
      <c r="I18" s="108"/>
      <c r="J18" s="108"/>
      <c r="K18" s="108"/>
      <c r="L18" s="108"/>
      <c r="M18" s="108"/>
      <c r="N18" s="108"/>
      <c r="O18" s="114">
        <f t="shared" si="0"/>
        <v>1080000</v>
      </c>
    </row>
    <row r="19" spans="1:15">
      <c r="A19" s="107">
        <f t="shared" si="1"/>
        <v>16</v>
      </c>
      <c r="B19" s="108" t="s">
        <v>385</v>
      </c>
      <c r="C19" s="108" t="s">
        <v>372</v>
      </c>
      <c r="D19" s="113">
        <v>540000</v>
      </c>
      <c r="E19" s="113">
        <v>540000</v>
      </c>
      <c r="F19" s="108"/>
      <c r="G19" s="108"/>
      <c r="H19" s="108"/>
      <c r="I19" s="108"/>
      <c r="J19" s="108"/>
      <c r="K19" s="108"/>
      <c r="L19" s="108"/>
      <c r="M19" s="108"/>
      <c r="N19" s="108"/>
      <c r="O19" s="114">
        <f t="shared" si="0"/>
        <v>1080000</v>
      </c>
    </row>
    <row r="20" spans="1:15">
      <c r="A20" s="107">
        <f t="shared" si="1"/>
        <v>17</v>
      </c>
      <c r="B20" s="108" t="s">
        <v>693</v>
      </c>
      <c r="C20" s="108" t="s">
        <v>372</v>
      </c>
      <c r="D20" s="109">
        <v>530000</v>
      </c>
      <c r="E20" s="109">
        <v>530000</v>
      </c>
      <c r="F20" s="109">
        <v>530000</v>
      </c>
      <c r="G20" s="109">
        <v>530000</v>
      </c>
      <c r="H20" s="108"/>
      <c r="I20" s="108"/>
      <c r="J20" s="108"/>
      <c r="K20" s="108"/>
      <c r="L20" s="108"/>
      <c r="M20" s="108"/>
      <c r="N20" s="108"/>
      <c r="O20" s="114">
        <f t="shared" si="0"/>
        <v>2120000</v>
      </c>
    </row>
    <row r="21" spans="1:15">
      <c r="A21" s="107">
        <f t="shared" si="1"/>
        <v>18</v>
      </c>
      <c r="B21" s="108" t="s">
        <v>679</v>
      </c>
      <c r="C21" s="108" t="s">
        <v>372</v>
      </c>
      <c r="D21" s="113">
        <v>440000</v>
      </c>
      <c r="E21" s="113"/>
      <c r="F21" s="113"/>
      <c r="G21" s="108"/>
      <c r="H21" s="108"/>
      <c r="I21" s="108"/>
      <c r="J21" s="108"/>
      <c r="K21" s="108"/>
      <c r="L21" s="108"/>
      <c r="M21" s="108"/>
      <c r="N21" s="108"/>
      <c r="O21" s="114">
        <f t="shared" si="0"/>
        <v>440000</v>
      </c>
    </row>
    <row r="22" spans="1:15">
      <c r="A22" s="107">
        <f t="shared" si="1"/>
        <v>19</v>
      </c>
      <c r="B22" s="108" t="s">
        <v>379</v>
      </c>
      <c r="C22" s="108" t="s">
        <v>372</v>
      </c>
      <c r="D22" s="113">
        <v>540000</v>
      </c>
      <c r="E22" s="113">
        <v>540000</v>
      </c>
      <c r="F22" s="113"/>
      <c r="G22" s="108"/>
      <c r="H22" s="108"/>
      <c r="I22" s="108"/>
      <c r="J22" s="108"/>
      <c r="K22" s="108"/>
      <c r="L22" s="108"/>
      <c r="M22" s="108"/>
      <c r="N22" s="108"/>
      <c r="O22" s="114">
        <f t="shared" si="0"/>
        <v>1080000</v>
      </c>
    </row>
    <row r="23" spans="1:15">
      <c r="A23" s="107">
        <f t="shared" si="1"/>
        <v>20</v>
      </c>
      <c r="B23" s="108" t="s">
        <v>382</v>
      </c>
      <c r="C23" s="108" t="s">
        <v>372</v>
      </c>
      <c r="D23" s="113">
        <v>540000</v>
      </c>
      <c r="E23" s="113">
        <v>540000</v>
      </c>
      <c r="F23" s="108"/>
      <c r="G23" s="108"/>
      <c r="H23" s="108"/>
      <c r="I23" s="108"/>
      <c r="J23" s="108"/>
      <c r="K23" s="108"/>
      <c r="L23" s="108"/>
      <c r="M23" s="108"/>
      <c r="N23" s="108"/>
      <c r="O23" s="114">
        <f t="shared" si="0"/>
        <v>1080000</v>
      </c>
    </row>
    <row r="24" spans="1:15">
      <c r="A24" s="107">
        <f t="shared" si="1"/>
        <v>21</v>
      </c>
      <c r="B24" s="108" t="s">
        <v>384</v>
      </c>
      <c r="C24" s="108" t="s">
        <v>680</v>
      </c>
      <c r="D24" s="113">
        <v>540000</v>
      </c>
      <c r="E24" s="113">
        <v>540000</v>
      </c>
      <c r="F24" s="113"/>
      <c r="G24" s="108"/>
      <c r="H24" s="108"/>
      <c r="I24" s="108"/>
      <c r="J24" s="108"/>
      <c r="K24" s="108"/>
      <c r="L24" s="108"/>
      <c r="M24" s="108"/>
      <c r="N24" s="108"/>
      <c r="O24" s="114">
        <f t="shared" si="0"/>
        <v>1080000</v>
      </c>
    </row>
    <row r="25" spans="1:15">
      <c r="A25" s="107">
        <f t="shared" si="1"/>
        <v>22</v>
      </c>
      <c r="B25" s="108" t="s">
        <v>395</v>
      </c>
      <c r="C25" s="108" t="s">
        <v>676</v>
      </c>
      <c r="D25" s="113">
        <v>440000</v>
      </c>
      <c r="E25" s="113"/>
      <c r="F25" s="108"/>
      <c r="G25" s="108"/>
      <c r="H25" s="108"/>
      <c r="I25" s="108"/>
      <c r="J25" s="108"/>
      <c r="K25" s="108"/>
      <c r="L25" s="108"/>
      <c r="M25" s="108"/>
      <c r="N25" s="108"/>
      <c r="O25" s="114">
        <f t="shared" si="0"/>
        <v>440000</v>
      </c>
    </row>
    <row r="26" spans="1:15">
      <c r="A26" s="107">
        <f t="shared" si="1"/>
        <v>23</v>
      </c>
      <c r="B26" s="108" t="s">
        <v>398</v>
      </c>
      <c r="C26" s="108" t="s">
        <v>676</v>
      </c>
      <c r="D26" s="113">
        <v>530000</v>
      </c>
      <c r="E26" s="113">
        <v>530000</v>
      </c>
      <c r="F26" s="113">
        <v>530000</v>
      </c>
      <c r="G26" s="108"/>
      <c r="H26" s="108"/>
      <c r="I26" s="108"/>
      <c r="J26" s="108"/>
      <c r="K26" s="108"/>
      <c r="L26" s="108"/>
      <c r="M26" s="108"/>
      <c r="N26" s="108"/>
      <c r="O26" s="114">
        <f t="shared" si="0"/>
        <v>1590000</v>
      </c>
    </row>
    <row r="27" spans="1:15">
      <c r="A27" s="107">
        <f t="shared" si="1"/>
        <v>24</v>
      </c>
      <c r="B27" s="108" t="s">
        <v>402</v>
      </c>
      <c r="C27" s="108" t="s">
        <v>401</v>
      </c>
      <c r="D27" s="109">
        <v>636000</v>
      </c>
      <c r="E27" s="109">
        <v>636000</v>
      </c>
      <c r="F27" s="109">
        <v>636000</v>
      </c>
      <c r="G27" s="109">
        <v>636000</v>
      </c>
      <c r="H27" s="109">
        <v>636000</v>
      </c>
      <c r="I27" s="109"/>
      <c r="J27" s="108"/>
      <c r="K27" s="108"/>
      <c r="L27" s="108"/>
      <c r="M27" s="108"/>
      <c r="N27" s="108"/>
      <c r="O27" s="114">
        <f t="shared" si="0"/>
        <v>3180000</v>
      </c>
    </row>
    <row r="28" spans="1:15">
      <c r="A28" s="107">
        <f t="shared" si="1"/>
        <v>25</v>
      </c>
      <c r="B28" s="108" t="s">
        <v>405</v>
      </c>
      <c r="C28" s="108" t="s">
        <v>404</v>
      </c>
      <c r="D28" s="113">
        <v>270000</v>
      </c>
      <c r="E28" s="113">
        <v>270000</v>
      </c>
      <c r="F28" s="113">
        <v>270000</v>
      </c>
      <c r="G28" s="108"/>
      <c r="H28" s="108"/>
      <c r="I28" s="108"/>
      <c r="J28" s="108"/>
      <c r="K28" s="108"/>
      <c r="L28" s="108"/>
      <c r="M28" s="108"/>
      <c r="N28" s="108"/>
      <c r="O28" s="114">
        <f t="shared" si="0"/>
        <v>810000</v>
      </c>
    </row>
    <row r="29" spans="1:15">
      <c r="A29" s="107">
        <f t="shared" si="1"/>
        <v>26</v>
      </c>
      <c r="B29" s="108" t="s">
        <v>683</v>
      </c>
      <c r="C29" s="108" t="s">
        <v>404</v>
      </c>
      <c r="D29" s="113">
        <v>540000</v>
      </c>
      <c r="E29" s="113">
        <v>540000</v>
      </c>
      <c r="F29" s="108"/>
      <c r="G29" s="108"/>
      <c r="H29" s="108"/>
      <c r="I29" s="108"/>
      <c r="J29" s="108"/>
      <c r="K29" s="108"/>
      <c r="L29" s="108"/>
      <c r="M29" s="108"/>
      <c r="N29" s="108"/>
      <c r="O29" s="114">
        <f t="shared" si="0"/>
        <v>1080000</v>
      </c>
    </row>
    <row r="30" spans="1:15">
      <c r="A30" s="107">
        <f t="shared" si="1"/>
        <v>27</v>
      </c>
      <c r="B30" s="108" t="s">
        <v>412</v>
      </c>
      <c r="C30" s="108" t="s">
        <v>404</v>
      </c>
      <c r="D30" s="113">
        <v>530000</v>
      </c>
      <c r="E30" s="113">
        <v>530000</v>
      </c>
      <c r="F30" s="113">
        <v>530000</v>
      </c>
      <c r="G30" s="113">
        <v>530000</v>
      </c>
      <c r="H30" s="113">
        <v>530000</v>
      </c>
      <c r="I30" s="113"/>
      <c r="J30" s="113"/>
      <c r="K30" s="108"/>
      <c r="L30" s="108"/>
      <c r="M30" s="108"/>
      <c r="N30" s="108"/>
      <c r="O30" s="114">
        <f t="shared" si="0"/>
        <v>2650000</v>
      </c>
    </row>
    <row r="31" spans="1:15">
      <c r="A31" s="107">
        <f t="shared" si="1"/>
        <v>28</v>
      </c>
      <c r="B31" s="108" t="s">
        <v>414</v>
      </c>
      <c r="C31" s="108" t="s">
        <v>684</v>
      </c>
      <c r="D31" s="113">
        <v>540000</v>
      </c>
      <c r="E31" s="113">
        <v>540000</v>
      </c>
      <c r="F31" s="108"/>
      <c r="G31" s="108"/>
      <c r="H31" s="108"/>
      <c r="I31" s="108"/>
      <c r="J31" s="108"/>
      <c r="K31" s="108"/>
      <c r="L31" s="108"/>
      <c r="M31" s="108"/>
      <c r="N31" s="108"/>
      <c r="O31" s="114">
        <f t="shared" si="0"/>
        <v>1080000</v>
      </c>
    </row>
    <row r="32" spans="1:15">
      <c r="A32" s="107">
        <f t="shared" si="1"/>
        <v>29</v>
      </c>
      <c r="B32" s="108" t="s">
        <v>388</v>
      </c>
      <c r="C32" s="108" t="s">
        <v>413</v>
      </c>
      <c r="D32" s="113">
        <v>540000</v>
      </c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14">
        <f t="shared" si="0"/>
        <v>540000</v>
      </c>
    </row>
    <row r="33" spans="1:15">
      <c r="A33" s="107">
        <f t="shared" si="1"/>
        <v>30</v>
      </c>
      <c r="B33" s="108" t="s">
        <v>391</v>
      </c>
      <c r="C33" s="108" t="s">
        <v>413</v>
      </c>
      <c r="D33" s="113">
        <v>425000</v>
      </c>
      <c r="E33" s="113">
        <v>425000</v>
      </c>
      <c r="F33" s="113">
        <v>425000</v>
      </c>
      <c r="G33" s="113">
        <v>425000</v>
      </c>
      <c r="H33" s="109"/>
      <c r="I33" s="113"/>
      <c r="J33" s="113"/>
      <c r="K33" s="108"/>
      <c r="L33" s="108"/>
      <c r="M33" s="108"/>
      <c r="N33" s="108"/>
      <c r="O33" s="114">
        <f t="shared" si="0"/>
        <v>1700000</v>
      </c>
    </row>
    <row r="34" spans="1:15">
      <c r="A34" s="107">
        <f t="shared" si="1"/>
        <v>31</v>
      </c>
      <c r="B34" s="108" t="s">
        <v>371</v>
      </c>
      <c r="C34" s="108" t="s">
        <v>673</v>
      </c>
      <c r="D34" s="109">
        <v>530000</v>
      </c>
      <c r="E34" s="109">
        <v>530000</v>
      </c>
      <c r="F34" s="109">
        <v>530000</v>
      </c>
      <c r="G34" s="109">
        <v>530000</v>
      </c>
      <c r="H34" s="109">
        <v>530000</v>
      </c>
      <c r="I34" s="108"/>
      <c r="J34" s="108"/>
      <c r="K34" s="108"/>
      <c r="L34" s="108"/>
      <c r="M34" s="108"/>
      <c r="N34" s="108"/>
      <c r="O34" s="114">
        <f t="shared" si="0"/>
        <v>2650000</v>
      </c>
    </row>
    <row r="35" spans="1:15">
      <c r="A35" s="107">
        <f t="shared" si="1"/>
        <v>32</v>
      </c>
      <c r="B35" s="108" t="s">
        <v>430</v>
      </c>
      <c r="C35" s="108" t="s">
        <v>422</v>
      </c>
      <c r="D35" s="109">
        <v>265000</v>
      </c>
      <c r="E35" s="109">
        <v>265000</v>
      </c>
      <c r="F35" s="109">
        <v>265000</v>
      </c>
      <c r="G35" s="109">
        <v>265000</v>
      </c>
      <c r="H35" s="109"/>
      <c r="I35" s="109"/>
      <c r="J35" s="108"/>
      <c r="K35" s="108"/>
      <c r="L35" s="108"/>
      <c r="M35" s="108"/>
      <c r="N35" s="108"/>
      <c r="O35" s="114">
        <f t="shared" si="0"/>
        <v>1060000</v>
      </c>
    </row>
    <row r="36" spans="1:15">
      <c r="A36" s="107">
        <f t="shared" si="1"/>
        <v>33</v>
      </c>
      <c r="B36" s="108" t="s">
        <v>700</v>
      </c>
      <c r="C36" s="108" t="s">
        <v>422</v>
      </c>
      <c r="D36" s="109">
        <v>530000</v>
      </c>
      <c r="E36" s="109">
        <v>530000</v>
      </c>
      <c r="F36" s="109">
        <v>530000</v>
      </c>
      <c r="G36" s="109">
        <v>530000</v>
      </c>
      <c r="H36" s="109">
        <v>530000</v>
      </c>
      <c r="I36" s="108"/>
      <c r="J36" s="108"/>
      <c r="K36" s="108"/>
      <c r="L36" s="108"/>
      <c r="M36" s="108"/>
      <c r="N36" s="108"/>
      <c r="O36" s="114">
        <f t="shared" si="0"/>
        <v>2650000</v>
      </c>
    </row>
    <row r="37" spans="1:15">
      <c r="A37" s="107">
        <f t="shared" si="1"/>
        <v>34</v>
      </c>
      <c r="B37" s="108" t="s">
        <v>694</v>
      </c>
      <c r="C37" s="108" t="s">
        <v>422</v>
      </c>
      <c r="D37" s="109">
        <v>530000</v>
      </c>
      <c r="E37" s="109">
        <v>530000</v>
      </c>
      <c r="F37" s="109">
        <v>530000</v>
      </c>
      <c r="G37" s="109">
        <v>530000</v>
      </c>
      <c r="H37" s="108"/>
      <c r="I37" s="108"/>
      <c r="J37" s="108"/>
      <c r="K37" s="108"/>
      <c r="L37" s="108"/>
      <c r="M37" s="108"/>
      <c r="N37" s="108"/>
      <c r="O37" s="114">
        <f t="shared" si="0"/>
        <v>2120000</v>
      </c>
    </row>
    <row r="38" spans="1:15">
      <c r="A38" s="107">
        <f t="shared" si="1"/>
        <v>35</v>
      </c>
      <c r="B38" s="108" t="s">
        <v>441</v>
      </c>
      <c r="C38" s="108" t="s">
        <v>440</v>
      </c>
      <c r="D38" s="109">
        <v>530000</v>
      </c>
      <c r="E38" s="109">
        <v>530000</v>
      </c>
      <c r="F38" s="109">
        <v>530000</v>
      </c>
      <c r="G38" s="109">
        <v>530000</v>
      </c>
      <c r="H38" s="109">
        <v>530000</v>
      </c>
      <c r="I38" s="108"/>
      <c r="J38" s="108"/>
      <c r="K38" s="108"/>
      <c r="L38" s="108"/>
      <c r="M38" s="108"/>
      <c r="N38" s="108"/>
      <c r="O38" s="114">
        <f t="shared" si="0"/>
        <v>2650000</v>
      </c>
    </row>
    <row r="39" spans="1:15">
      <c r="A39" s="107">
        <f t="shared" si="1"/>
        <v>36</v>
      </c>
      <c r="B39" s="108" t="s">
        <v>701</v>
      </c>
      <c r="C39" s="108" t="s">
        <v>440</v>
      </c>
      <c r="D39" s="109">
        <v>425000</v>
      </c>
      <c r="E39" s="109">
        <v>425000</v>
      </c>
      <c r="F39" s="109">
        <v>425000</v>
      </c>
      <c r="G39" s="109">
        <v>425000</v>
      </c>
      <c r="H39" s="109"/>
      <c r="I39" s="108"/>
      <c r="J39" s="108"/>
      <c r="K39" s="108"/>
      <c r="L39" s="108"/>
      <c r="M39" s="108"/>
      <c r="N39" s="108"/>
      <c r="O39" s="114">
        <f t="shared" si="0"/>
        <v>1700000</v>
      </c>
    </row>
    <row r="40" spans="1:15">
      <c r="A40" s="107">
        <f t="shared" si="1"/>
        <v>37</v>
      </c>
      <c r="B40" s="108" t="s">
        <v>444</v>
      </c>
      <c r="C40" s="108" t="s">
        <v>440</v>
      </c>
      <c r="D40" s="109">
        <v>265000</v>
      </c>
      <c r="E40" s="109">
        <v>265000</v>
      </c>
      <c r="F40" s="109">
        <v>265000</v>
      </c>
      <c r="G40" s="109"/>
      <c r="H40" s="109"/>
      <c r="I40" s="108"/>
      <c r="J40" s="108"/>
      <c r="K40" s="108"/>
      <c r="L40" s="108"/>
      <c r="M40" s="108"/>
      <c r="N40" s="108"/>
      <c r="O40" s="114">
        <f t="shared" si="0"/>
        <v>795000</v>
      </c>
    </row>
    <row r="41" spans="1:15">
      <c r="A41" s="107">
        <f t="shared" si="1"/>
        <v>38</v>
      </c>
      <c r="B41" s="108" t="s">
        <v>445</v>
      </c>
      <c r="C41" s="108" t="s">
        <v>440</v>
      </c>
      <c r="D41" s="113">
        <v>636000</v>
      </c>
      <c r="E41" s="113">
        <v>636000</v>
      </c>
      <c r="F41" s="109"/>
      <c r="G41" s="108"/>
      <c r="H41" s="108"/>
      <c r="I41" s="108"/>
      <c r="J41" s="108"/>
      <c r="K41" s="108"/>
      <c r="L41" s="108"/>
      <c r="M41" s="108"/>
      <c r="N41" s="108"/>
      <c r="O41" s="114">
        <f t="shared" si="0"/>
        <v>1272000</v>
      </c>
    </row>
    <row r="42" spans="1:15">
      <c r="A42" s="107">
        <f t="shared" si="1"/>
        <v>39</v>
      </c>
      <c r="B42" s="108" t="s">
        <v>448</v>
      </c>
      <c r="C42" s="108" t="s">
        <v>440</v>
      </c>
      <c r="D42" s="109">
        <v>1061000</v>
      </c>
      <c r="E42" s="109">
        <v>1061000</v>
      </c>
      <c r="F42" s="109">
        <v>1061000</v>
      </c>
      <c r="G42" s="109">
        <v>1061000</v>
      </c>
      <c r="H42" s="109">
        <v>1061000</v>
      </c>
      <c r="I42" s="108"/>
      <c r="J42" s="108"/>
      <c r="K42" s="108"/>
      <c r="L42" s="108"/>
      <c r="M42" s="108"/>
      <c r="N42" s="108"/>
      <c r="O42" s="114">
        <f t="shared" si="0"/>
        <v>5305000</v>
      </c>
    </row>
    <row r="43" spans="1:15">
      <c r="A43" s="107">
        <f t="shared" si="1"/>
        <v>40</v>
      </c>
      <c r="B43" s="108" t="s">
        <v>450</v>
      </c>
      <c r="C43" s="108" t="s">
        <v>440</v>
      </c>
      <c r="D43" s="113">
        <v>540000</v>
      </c>
      <c r="E43" s="113">
        <v>540000</v>
      </c>
      <c r="F43" s="113">
        <v>540000</v>
      </c>
      <c r="G43" s="114"/>
      <c r="H43" s="114"/>
      <c r="I43" s="114"/>
      <c r="J43" s="114"/>
      <c r="K43" s="108"/>
      <c r="L43" s="108"/>
      <c r="M43" s="108"/>
      <c r="N43" s="108"/>
      <c r="O43" s="114">
        <f t="shared" si="0"/>
        <v>1620000</v>
      </c>
    </row>
    <row r="44" spans="1:15">
      <c r="A44" s="107">
        <f t="shared" si="1"/>
        <v>41</v>
      </c>
      <c r="B44" s="108" t="s">
        <v>452</v>
      </c>
      <c r="C44" s="108" t="s">
        <v>440</v>
      </c>
      <c r="D44" s="113">
        <v>1061000</v>
      </c>
      <c r="E44" s="113">
        <v>1061000</v>
      </c>
      <c r="F44" s="113">
        <v>1061000</v>
      </c>
      <c r="G44" s="113"/>
      <c r="H44" s="108"/>
      <c r="I44" s="108"/>
      <c r="J44" s="108"/>
      <c r="K44" s="108"/>
      <c r="L44" s="108"/>
      <c r="M44" s="108"/>
      <c r="N44" s="108"/>
      <c r="O44" s="114">
        <f t="shared" si="0"/>
        <v>3183000</v>
      </c>
    </row>
    <row r="45" spans="1:15">
      <c r="A45" s="107">
        <f t="shared" si="1"/>
        <v>42</v>
      </c>
      <c r="B45" s="108" t="s">
        <v>704</v>
      </c>
      <c r="C45" s="108" t="s">
        <v>440</v>
      </c>
      <c r="D45" s="109">
        <v>530000</v>
      </c>
      <c r="E45" s="109">
        <v>530000</v>
      </c>
      <c r="F45" s="109">
        <v>530000</v>
      </c>
      <c r="G45" s="109">
        <v>530000</v>
      </c>
      <c r="H45" s="109">
        <v>530000</v>
      </c>
      <c r="I45" s="109">
        <v>530000</v>
      </c>
      <c r="J45" s="108"/>
      <c r="K45" s="108"/>
      <c r="L45" s="108"/>
      <c r="M45" s="108"/>
      <c r="N45" s="108"/>
      <c r="O45" s="114">
        <f t="shared" si="0"/>
        <v>3180000</v>
      </c>
    </row>
    <row r="46" spans="1:15">
      <c r="A46" s="107">
        <f t="shared" si="1"/>
        <v>43</v>
      </c>
      <c r="B46" s="108" t="s">
        <v>455</v>
      </c>
      <c r="C46" s="108" t="s">
        <v>440</v>
      </c>
      <c r="D46" s="113">
        <v>732600</v>
      </c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14">
        <f t="shared" si="0"/>
        <v>732600</v>
      </c>
    </row>
    <row r="47" spans="1:15">
      <c r="A47" s="107">
        <f t="shared" si="1"/>
        <v>44</v>
      </c>
      <c r="B47" s="108" t="s">
        <v>691</v>
      </c>
      <c r="C47" s="108" t="s">
        <v>440</v>
      </c>
      <c r="D47" s="113">
        <v>405000</v>
      </c>
      <c r="E47" s="109"/>
      <c r="F47" s="109"/>
      <c r="G47" s="108"/>
      <c r="H47" s="108"/>
      <c r="I47" s="108"/>
      <c r="J47" s="108"/>
      <c r="K47" s="108"/>
      <c r="L47" s="108"/>
      <c r="M47" s="108"/>
      <c r="N47" s="108"/>
      <c r="O47" s="114">
        <f t="shared" si="0"/>
        <v>405000</v>
      </c>
    </row>
    <row r="48" spans="1:15">
      <c r="A48" s="107">
        <f t="shared" si="1"/>
        <v>45</v>
      </c>
      <c r="B48" s="108" t="s">
        <v>424</v>
      </c>
      <c r="C48" s="108" t="s">
        <v>703</v>
      </c>
      <c r="D48" s="113">
        <v>425000</v>
      </c>
      <c r="E48" s="113">
        <v>425000</v>
      </c>
      <c r="F48" s="113">
        <v>425000</v>
      </c>
      <c r="G48" s="113">
        <v>425000</v>
      </c>
      <c r="H48" s="113"/>
      <c r="I48" s="113"/>
      <c r="J48" s="113"/>
      <c r="K48" s="108"/>
      <c r="L48" s="108"/>
      <c r="M48" s="108"/>
      <c r="N48" s="108"/>
      <c r="O48" s="114">
        <f t="shared" si="0"/>
        <v>1700000</v>
      </c>
    </row>
    <row r="49" spans="1:15">
      <c r="A49" s="107">
        <f t="shared" si="1"/>
        <v>46</v>
      </c>
      <c r="B49" s="108" t="s">
        <v>428</v>
      </c>
      <c r="C49" s="108" t="s">
        <v>677</v>
      </c>
      <c r="D49" s="109">
        <v>530000</v>
      </c>
      <c r="E49" s="109">
        <v>530000</v>
      </c>
      <c r="F49" s="109">
        <v>530000</v>
      </c>
      <c r="G49" s="109">
        <v>530000</v>
      </c>
      <c r="H49" s="108"/>
      <c r="I49" s="108"/>
      <c r="J49" s="108"/>
      <c r="K49" s="108"/>
      <c r="L49" s="108"/>
      <c r="M49" s="108"/>
      <c r="N49" s="108"/>
      <c r="O49" s="114">
        <f t="shared" si="0"/>
        <v>2120000</v>
      </c>
    </row>
    <row r="50" spans="1:15">
      <c r="A50" s="107">
        <f t="shared" si="1"/>
        <v>47</v>
      </c>
      <c r="B50" s="108" t="s">
        <v>431</v>
      </c>
      <c r="C50" s="108" t="s">
        <v>677</v>
      </c>
      <c r="D50" s="113">
        <v>531250</v>
      </c>
      <c r="E50" s="113">
        <v>531250</v>
      </c>
      <c r="F50" s="113">
        <v>531250</v>
      </c>
      <c r="G50" s="109"/>
      <c r="H50" s="109"/>
      <c r="I50" s="113"/>
      <c r="J50" s="109"/>
      <c r="K50" s="108"/>
      <c r="L50" s="108"/>
      <c r="M50" s="108"/>
      <c r="N50" s="108"/>
      <c r="O50" s="114">
        <f t="shared" si="0"/>
        <v>1593750</v>
      </c>
    </row>
    <row r="51" spans="1:15">
      <c r="A51" s="107">
        <f t="shared" si="1"/>
        <v>48</v>
      </c>
      <c r="B51" s="108" t="s">
        <v>438</v>
      </c>
      <c r="C51" s="108" t="s">
        <v>677</v>
      </c>
      <c r="D51" s="113">
        <v>270000</v>
      </c>
      <c r="E51" s="113">
        <v>270000</v>
      </c>
      <c r="F51" s="113">
        <v>270000</v>
      </c>
      <c r="G51" s="108"/>
      <c r="H51" s="108"/>
      <c r="I51" s="108"/>
      <c r="J51" s="108"/>
      <c r="K51" s="108"/>
      <c r="L51" s="108"/>
      <c r="M51" s="108"/>
      <c r="N51" s="108"/>
      <c r="O51" s="114">
        <f t="shared" si="0"/>
        <v>810000</v>
      </c>
    </row>
    <row r="52" spans="1:15">
      <c r="A52" s="107">
        <f t="shared" si="1"/>
        <v>49</v>
      </c>
      <c r="B52" s="108" t="s">
        <v>439</v>
      </c>
      <c r="C52" s="108" t="s">
        <v>677</v>
      </c>
      <c r="D52" s="109">
        <v>425000</v>
      </c>
      <c r="E52" s="109">
        <v>425000</v>
      </c>
      <c r="F52" s="109">
        <v>425000</v>
      </c>
      <c r="G52" s="109"/>
      <c r="H52" s="108"/>
      <c r="I52" s="108"/>
      <c r="J52" s="108"/>
      <c r="K52" s="108"/>
      <c r="L52" s="108"/>
      <c r="M52" s="108"/>
      <c r="N52" s="108"/>
      <c r="O52" s="114">
        <f t="shared" si="0"/>
        <v>1275000</v>
      </c>
    </row>
    <row r="53" spans="1:15">
      <c r="A53" s="107">
        <f t="shared" si="1"/>
        <v>50</v>
      </c>
      <c r="B53" s="108" t="s">
        <v>459</v>
      </c>
      <c r="C53" s="108" t="s">
        <v>460</v>
      </c>
      <c r="D53" s="113">
        <v>425000</v>
      </c>
      <c r="E53" s="113">
        <v>425000</v>
      </c>
      <c r="F53" s="113">
        <v>425000</v>
      </c>
      <c r="G53" s="113">
        <v>425000</v>
      </c>
      <c r="H53" s="113"/>
      <c r="I53" s="113"/>
      <c r="J53" s="113"/>
      <c r="K53" s="108"/>
      <c r="L53" s="108"/>
      <c r="M53" s="108"/>
      <c r="N53" s="108"/>
      <c r="O53" s="114">
        <f t="shared" si="0"/>
        <v>1700000</v>
      </c>
    </row>
    <row r="54" spans="1:15">
      <c r="A54" s="107">
        <f t="shared" si="1"/>
        <v>51</v>
      </c>
      <c r="B54" s="108" t="s">
        <v>451</v>
      </c>
      <c r="C54" s="108" t="s">
        <v>460</v>
      </c>
      <c r="D54" s="109">
        <v>425000</v>
      </c>
      <c r="E54" s="109">
        <v>425000</v>
      </c>
      <c r="F54" s="109">
        <v>425000</v>
      </c>
      <c r="G54" s="109">
        <v>425000</v>
      </c>
      <c r="H54" s="109">
        <v>425000</v>
      </c>
      <c r="I54" s="109"/>
      <c r="J54" s="108"/>
      <c r="K54" s="108"/>
      <c r="L54" s="108"/>
      <c r="M54" s="108"/>
      <c r="N54" s="108"/>
      <c r="O54" s="114">
        <f t="shared" si="0"/>
        <v>2125000</v>
      </c>
    </row>
    <row r="55" spans="1:15">
      <c r="A55" s="107">
        <f t="shared" si="1"/>
        <v>52</v>
      </c>
      <c r="B55" s="108" t="s">
        <v>466</v>
      </c>
      <c r="C55" s="108" t="s">
        <v>467</v>
      </c>
      <c r="D55" s="109">
        <v>265000</v>
      </c>
      <c r="E55" s="109">
        <v>265000</v>
      </c>
      <c r="F55" s="109">
        <v>265000</v>
      </c>
      <c r="G55" s="109"/>
      <c r="H55" s="109"/>
      <c r="I55" s="108"/>
      <c r="J55" s="108"/>
      <c r="K55" s="108"/>
      <c r="L55" s="108"/>
      <c r="M55" s="108"/>
      <c r="N55" s="108"/>
      <c r="O55" s="114">
        <f t="shared" si="0"/>
        <v>795000</v>
      </c>
    </row>
    <row r="56" spans="1:15">
      <c r="A56" s="107">
        <f t="shared" si="1"/>
        <v>53</v>
      </c>
      <c r="B56" s="108" t="s">
        <v>674</v>
      </c>
      <c r="C56" s="108" t="s">
        <v>467</v>
      </c>
      <c r="D56" s="113">
        <v>270000</v>
      </c>
      <c r="E56" s="108"/>
      <c r="F56" s="108"/>
      <c r="G56" s="109"/>
      <c r="H56" s="114"/>
      <c r="I56" s="108"/>
      <c r="J56" s="108"/>
      <c r="K56" s="108"/>
      <c r="L56" s="108"/>
      <c r="M56" s="108"/>
      <c r="N56" s="108"/>
      <c r="O56" s="114">
        <f t="shared" si="0"/>
        <v>270000</v>
      </c>
    </row>
    <row r="57" spans="1:15">
      <c r="A57" s="107">
        <f t="shared" si="1"/>
        <v>54</v>
      </c>
      <c r="B57" s="108" t="s">
        <v>685</v>
      </c>
      <c r="C57" s="108" t="s">
        <v>467</v>
      </c>
      <c r="D57" s="113">
        <v>648000</v>
      </c>
      <c r="E57" s="113"/>
      <c r="F57" s="108"/>
      <c r="G57" s="108"/>
      <c r="H57" s="108"/>
      <c r="I57" s="108"/>
      <c r="J57" s="108"/>
      <c r="K57" s="108"/>
      <c r="L57" s="108"/>
      <c r="M57" s="108"/>
      <c r="N57" s="108"/>
      <c r="O57" s="114">
        <f t="shared" si="0"/>
        <v>648000</v>
      </c>
    </row>
    <row r="58" spans="1:15">
      <c r="A58" s="107">
        <f t="shared" si="1"/>
        <v>55</v>
      </c>
      <c r="B58" s="108" t="s">
        <v>496</v>
      </c>
      <c r="C58" s="108" t="s">
        <v>467</v>
      </c>
      <c r="D58" s="113">
        <v>540000</v>
      </c>
      <c r="E58" s="113">
        <v>540000</v>
      </c>
      <c r="F58" s="113">
        <v>540000</v>
      </c>
      <c r="G58" s="114"/>
      <c r="H58" s="114"/>
      <c r="I58" s="114"/>
      <c r="J58" s="114"/>
      <c r="K58" s="108"/>
      <c r="L58" s="108"/>
      <c r="M58" s="108"/>
      <c r="N58" s="108"/>
      <c r="O58" s="114">
        <f t="shared" si="0"/>
        <v>1620000</v>
      </c>
    </row>
    <row r="59" spans="1:15">
      <c r="A59" s="107">
        <f t="shared" si="1"/>
        <v>56</v>
      </c>
      <c r="B59" s="108" t="s">
        <v>497</v>
      </c>
      <c r="C59" s="108" t="s">
        <v>467</v>
      </c>
      <c r="D59" s="109">
        <v>324000</v>
      </c>
      <c r="E59" s="109">
        <v>324000</v>
      </c>
      <c r="F59" s="109">
        <v>324000</v>
      </c>
      <c r="G59" s="109">
        <v>324000</v>
      </c>
      <c r="H59" s="109"/>
      <c r="I59" s="108"/>
      <c r="J59" s="108"/>
      <c r="K59" s="108"/>
      <c r="L59" s="108"/>
      <c r="M59" s="108"/>
      <c r="N59" s="108"/>
      <c r="O59" s="114">
        <f t="shared" si="0"/>
        <v>1296000</v>
      </c>
    </row>
    <row r="60" spans="1:15">
      <c r="A60" s="107">
        <f t="shared" si="1"/>
        <v>57</v>
      </c>
      <c r="B60" s="108" t="s">
        <v>501</v>
      </c>
      <c r="C60" s="108" t="s">
        <v>467</v>
      </c>
      <c r="D60" s="113">
        <v>270000</v>
      </c>
      <c r="E60" s="113">
        <v>270000</v>
      </c>
      <c r="F60" s="113">
        <v>270000</v>
      </c>
      <c r="G60" s="114"/>
      <c r="H60" s="114"/>
      <c r="I60" s="114"/>
      <c r="J60" s="114"/>
      <c r="K60" s="108"/>
      <c r="L60" s="108"/>
      <c r="M60" s="108"/>
      <c r="N60" s="108"/>
      <c r="O60" s="114">
        <f t="shared" si="0"/>
        <v>810000</v>
      </c>
    </row>
    <row r="61" spans="1:15">
      <c r="A61" s="107">
        <f t="shared" si="1"/>
        <v>58</v>
      </c>
      <c r="B61" s="108" t="s">
        <v>687</v>
      </c>
      <c r="C61" s="108" t="s">
        <v>467</v>
      </c>
      <c r="D61" s="113">
        <v>540000</v>
      </c>
      <c r="E61" s="113">
        <v>540000</v>
      </c>
      <c r="F61" s="113">
        <v>540000</v>
      </c>
      <c r="G61" s="114"/>
      <c r="H61" s="114"/>
      <c r="I61" s="114"/>
      <c r="J61" s="114"/>
      <c r="K61" s="108"/>
      <c r="L61" s="108"/>
      <c r="M61" s="108"/>
      <c r="N61" s="108"/>
      <c r="O61" s="114">
        <f t="shared" si="0"/>
        <v>1620000</v>
      </c>
    </row>
    <row r="62" spans="1:15">
      <c r="A62" s="107">
        <f t="shared" si="1"/>
        <v>59</v>
      </c>
      <c r="B62" s="108" t="s">
        <v>508</v>
      </c>
      <c r="C62" s="108" t="s">
        <v>467</v>
      </c>
      <c r="D62" s="109">
        <v>530000</v>
      </c>
      <c r="E62" s="109">
        <v>530000</v>
      </c>
      <c r="F62" s="109">
        <v>530000</v>
      </c>
      <c r="G62" s="109">
        <v>530000</v>
      </c>
      <c r="H62" s="109">
        <v>530000</v>
      </c>
      <c r="I62" s="108"/>
      <c r="J62" s="108"/>
      <c r="K62" s="108"/>
      <c r="L62" s="108"/>
      <c r="M62" s="108"/>
      <c r="N62" s="108"/>
      <c r="O62" s="114">
        <f t="shared" si="0"/>
        <v>2650000</v>
      </c>
    </row>
    <row r="63" spans="1:15">
      <c r="A63" s="107">
        <f t="shared" si="1"/>
        <v>60</v>
      </c>
      <c r="B63" s="108" t="s">
        <v>510</v>
      </c>
      <c r="C63" s="108" t="s">
        <v>467</v>
      </c>
      <c r="D63" s="113">
        <v>540000</v>
      </c>
      <c r="E63" s="113">
        <v>540000</v>
      </c>
      <c r="F63" s="108"/>
      <c r="G63" s="108"/>
      <c r="H63" s="108"/>
      <c r="I63" s="108"/>
      <c r="J63" s="108"/>
      <c r="K63" s="108"/>
      <c r="L63" s="108"/>
      <c r="M63" s="108"/>
      <c r="N63" s="108"/>
      <c r="O63" s="114">
        <f t="shared" si="0"/>
        <v>1080000</v>
      </c>
    </row>
    <row r="64" spans="1:15">
      <c r="A64" s="107">
        <f t="shared" si="1"/>
        <v>61</v>
      </c>
      <c r="B64" s="108" t="s">
        <v>512</v>
      </c>
      <c r="C64" s="108" t="s">
        <v>467</v>
      </c>
      <c r="D64" s="113">
        <v>440000</v>
      </c>
      <c r="E64" s="113"/>
      <c r="F64" s="113"/>
      <c r="G64" s="108"/>
      <c r="H64" s="108"/>
      <c r="I64" s="108"/>
      <c r="J64" s="108"/>
      <c r="K64" s="108"/>
      <c r="L64" s="108"/>
      <c r="M64" s="108"/>
      <c r="N64" s="108"/>
      <c r="O64" s="114">
        <f t="shared" si="0"/>
        <v>440000</v>
      </c>
    </row>
    <row r="65" spans="1:15">
      <c r="A65" s="107">
        <f t="shared" si="1"/>
        <v>62</v>
      </c>
      <c r="B65" s="108" t="s">
        <v>483</v>
      </c>
      <c r="C65" s="108" t="s">
        <v>698</v>
      </c>
      <c r="D65" s="113">
        <v>636000</v>
      </c>
      <c r="E65" s="113">
        <v>636000</v>
      </c>
      <c r="F65" s="113">
        <v>636000</v>
      </c>
      <c r="G65" s="109">
        <v>636000</v>
      </c>
      <c r="H65" s="108"/>
      <c r="I65" s="108"/>
      <c r="J65" s="108"/>
      <c r="K65" s="108"/>
      <c r="L65" s="108"/>
      <c r="M65" s="108"/>
      <c r="N65" s="108"/>
      <c r="O65" s="114">
        <f t="shared" si="0"/>
        <v>2544000</v>
      </c>
    </row>
    <row r="66" spans="1:15">
      <c r="A66" s="107">
        <f t="shared" si="1"/>
        <v>63</v>
      </c>
      <c r="B66" s="108" t="s">
        <v>484</v>
      </c>
      <c r="C66" s="108" t="s">
        <v>698</v>
      </c>
      <c r="D66" s="113">
        <v>530000</v>
      </c>
      <c r="E66" s="113">
        <v>530000</v>
      </c>
      <c r="F66" s="113">
        <v>530000</v>
      </c>
      <c r="G66" s="113">
        <v>530000</v>
      </c>
      <c r="H66" s="113">
        <v>530000</v>
      </c>
      <c r="I66" s="113"/>
      <c r="J66" s="113"/>
      <c r="K66" s="108"/>
      <c r="L66" s="108"/>
      <c r="M66" s="108"/>
      <c r="N66" s="108"/>
      <c r="O66" s="114">
        <f t="shared" si="0"/>
        <v>2650000</v>
      </c>
    </row>
    <row r="67" spans="1:15">
      <c r="A67" s="107">
        <f t="shared" si="1"/>
        <v>64</v>
      </c>
      <c r="B67" s="108" t="s">
        <v>488</v>
      </c>
      <c r="C67" s="108" t="s">
        <v>698</v>
      </c>
      <c r="D67" s="113">
        <v>530000</v>
      </c>
      <c r="E67" s="113">
        <v>530000</v>
      </c>
      <c r="F67" s="113">
        <v>530000</v>
      </c>
      <c r="G67" s="113">
        <v>530000</v>
      </c>
      <c r="H67" s="108"/>
      <c r="I67" s="108"/>
      <c r="J67" s="108"/>
      <c r="K67" s="108"/>
      <c r="L67" s="108"/>
      <c r="M67" s="108"/>
      <c r="N67" s="108"/>
      <c r="O67" s="114">
        <f t="shared" si="0"/>
        <v>2120000</v>
      </c>
    </row>
    <row r="68" spans="1:15">
      <c r="A68" s="107">
        <f t="shared" si="1"/>
        <v>65</v>
      </c>
      <c r="B68" s="108" t="s">
        <v>498</v>
      </c>
      <c r="C68" s="108" t="s">
        <v>698</v>
      </c>
      <c r="D68" s="113">
        <v>265000</v>
      </c>
      <c r="E68" s="113">
        <v>265000</v>
      </c>
      <c r="F68" s="109"/>
      <c r="G68" s="109"/>
      <c r="H68" s="108"/>
      <c r="I68" s="108"/>
      <c r="J68" s="108"/>
      <c r="K68" s="108"/>
      <c r="L68" s="108"/>
      <c r="M68" s="108"/>
      <c r="N68" s="108"/>
      <c r="O68" s="114">
        <f t="shared" si="0"/>
        <v>530000</v>
      </c>
    </row>
    <row r="69" spans="1:15">
      <c r="A69" s="107">
        <f t="shared" si="1"/>
        <v>66</v>
      </c>
      <c r="B69" s="108" t="s">
        <v>511</v>
      </c>
      <c r="C69" s="108" t="s">
        <v>698</v>
      </c>
      <c r="D69" s="113">
        <v>530000</v>
      </c>
      <c r="E69" s="113">
        <v>530000</v>
      </c>
      <c r="F69" s="113">
        <v>530000</v>
      </c>
      <c r="G69" s="113">
        <v>530000</v>
      </c>
      <c r="H69" s="108"/>
      <c r="I69" s="108"/>
      <c r="J69" s="108"/>
      <c r="K69" s="108"/>
      <c r="L69" s="108"/>
      <c r="M69" s="108"/>
      <c r="N69" s="108"/>
      <c r="O69" s="114">
        <f t="shared" ref="O69:O129" si="2">SUM(D69:N69)</f>
        <v>2120000</v>
      </c>
    </row>
    <row r="70" spans="1:15">
      <c r="A70" s="107">
        <f t="shared" ref="A70:A129" si="3">A69+1</f>
        <v>67</v>
      </c>
      <c r="B70" s="108" t="s">
        <v>699</v>
      </c>
      <c r="C70" s="108" t="s">
        <v>518</v>
      </c>
      <c r="D70" s="113">
        <v>530000</v>
      </c>
      <c r="E70" s="113">
        <v>530000</v>
      </c>
      <c r="F70" s="113">
        <v>530000</v>
      </c>
      <c r="G70" s="113">
        <v>530000</v>
      </c>
      <c r="H70" s="108"/>
      <c r="I70" s="108"/>
      <c r="J70" s="108"/>
      <c r="K70" s="108"/>
      <c r="L70" s="108"/>
      <c r="M70" s="108"/>
      <c r="N70" s="108"/>
      <c r="O70" s="114">
        <f t="shared" si="2"/>
        <v>2120000</v>
      </c>
    </row>
    <row r="71" spans="1:15">
      <c r="A71" s="107">
        <f t="shared" si="3"/>
        <v>68</v>
      </c>
      <c r="B71" s="108" t="s">
        <v>519</v>
      </c>
      <c r="C71" s="108" t="s">
        <v>518</v>
      </c>
      <c r="D71" s="113">
        <v>440000</v>
      </c>
      <c r="E71" s="109">
        <v>531250</v>
      </c>
      <c r="F71" s="109">
        <v>531250</v>
      </c>
      <c r="G71" s="109">
        <v>531250</v>
      </c>
      <c r="H71" s="109">
        <v>531250</v>
      </c>
      <c r="I71" s="108"/>
      <c r="J71" s="108"/>
      <c r="K71" s="108"/>
      <c r="L71" s="108"/>
      <c r="M71" s="108"/>
      <c r="N71" s="108"/>
      <c r="O71" s="114">
        <f t="shared" si="2"/>
        <v>2565000</v>
      </c>
    </row>
    <row r="72" spans="1:15">
      <c r="A72" s="107">
        <f t="shared" si="3"/>
        <v>69</v>
      </c>
      <c r="B72" s="108" t="s">
        <v>525</v>
      </c>
      <c r="C72" s="108" t="s">
        <v>705</v>
      </c>
      <c r="D72" s="109">
        <v>530000</v>
      </c>
      <c r="E72" s="109">
        <v>530000</v>
      </c>
      <c r="F72" s="109">
        <v>530000</v>
      </c>
      <c r="G72" s="109">
        <v>530000</v>
      </c>
      <c r="H72" s="109">
        <v>530000</v>
      </c>
      <c r="I72" s="109">
        <v>530000</v>
      </c>
      <c r="J72" s="108"/>
      <c r="K72" s="108"/>
      <c r="L72" s="108"/>
      <c r="M72" s="108"/>
      <c r="N72" s="108"/>
      <c r="O72" s="114">
        <f t="shared" si="2"/>
        <v>3180000</v>
      </c>
    </row>
    <row r="73" spans="1:15">
      <c r="A73" s="107">
        <f t="shared" si="3"/>
        <v>70</v>
      </c>
      <c r="B73" s="108" t="s">
        <v>257</v>
      </c>
      <c r="C73" s="108" t="s">
        <v>524</v>
      </c>
      <c r="D73" s="113">
        <v>531250</v>
      </c>
      <c r="E73" s="113">
        <v>531250</v>
      </c>
      <c r="F73" s="113">
        <v>531250</v>
      </c>
      <c r="G73" s="108"/>
      <c r="H73" s="108"/>
      <c r="I73" s="108"/>
      <c r="J73" s="108"/>
      <c r="K73" s="108"/>
      <c r="L73" s="108"/>
      <c r="M73" s="108"/>
      <c r="N73" s="108"/>
      <c r="O73" s="114">
        <f t="shared" si="2"/>
        <v>1593750</v>
      </c>
    </row>
    <row r="74" spans="1:15">
      <c r="A74" s="107">
        <f t="shared" si="3"/>
        <v>71</v>
      </c>
      <c r="B74" s="108" t="s">
        <v>528</v>
      </c>
      <c r="C74" s="108" t="s">
        <v>527</v>
      </c>
      <c r="D74" s="109">
        <v>531250</v>
      </c>
      <c r="E74" s="109">
        <v>531250</v>
      </c>
      <c r="F74" s="109">
        <v>531250</v>
      </c>
      <c r="G74" s="109"/>
      <c r="H74" s="109"/>
      <c r="I74" s="108"/>
      <c r="J74" s="108"/>
      <c r="K74" s="108"/>
      <c r="L74" s="108"/>
      <c r="M74" s="108"/>
      <c r="N74" s="108"/>
      <c r="O74" s="114">
        <f t="shared" si="2"/>
        <v>1593750</v>
      </c>
    </row>
    <row r="75" spans="1:15">
      <c r="A75" s="107">
        <f t="shared" si="3"/>
        <v>72</v>
      </c>
      <c r="B75" s="108" t="s">
        <v>529</v>
      </c>
      <c r="C75" s="108" t="s">
        <v>527</v>
      </c>
      <c r="D75" s="113">
        <v>540000</v>
      </c>
      <c r="E75" s="108"/>
      <c r="F75" s="108"/>
      <c r="G75" s="109"/>
      <c r="H75" s="114"/>
      <c r="I75" s="108"/>
      <c r="J75" s="108"/>
      <c r="K75" s="108"/>
      <c r="L75" s="108"/>
      <c r="M75" s="108"/>
      <c r="N75" s="108"/>
      <c r="O75" s="114">
        <f t="shared" si="2"/>
        <v>540000</v>
      </c>
    </row>
    <row r="76" spans="1:15">
      <c r="A76" s="107">
        <f t="shared" si="3"/>
        <v>73</v>
      </c>
      <c r="B76" s="108" t="s">
        <v>530</v>
      </c>
      <c r="C76" s="108" t="s">
        <v>527</v>
      </c>
      <c r="D76" s="109">
        <v>425000</v>
      </c>
      <c r="E76" s="109">
        <v>425000</v>
      </c>
      <c r="F76" s="109">
        <v>425000</v>
      </c>
      <c r="G76" s="109"/>
      <c r="H76" s="108"/>
      <c r="I76" s="108"/>
      <c r="J76" s="108"/>
      <c r="K76" s="108"/>
      <c r="L76" s="108"/>
      <c r="M76" s="108"/>
      <c r="N76" s="108"/>
      <c r="O76" s="114">
        <f t="shared" si="2"/>
        <v>1275000</v>
      </c>
    </row>
    <row r="77" spans="1:15">
      <c r="A77" s="107">
        <f t="shared" si="3"/>
        <v>74</v>
      </c>
      <c r="B77" s="108" t="s">
        <v>532</v>
      </c>
      <c r="C77" s="108" t="s">
        <v>527</v>
      </c>
      <c r="D77" s="113">
        <v>530000</v>
      </c>
      <c r="E77" s="113">
        <v>530000</v>
      </c>
      <c r="F77" s="113">
        <v>530000</v>
      </c>
      <c r="G77" s="113">
        <v>530000</v>
      </c>
      <c r="H77" s="108"/>
      <c r="I77" s="108"/>
      <c r="J77" s="108"/>
      <c r="K77" s="108"/>
      <c r="L77" s="108"/>
      <c r="M77" s="108"/>
      <c r="N77" s="108"/>
      <c r="O77" s="114">
        <f t="shared" si="2"/>
        <v>2120000</v>
      </c>
    </row>
    <row r="78" spans="1:15">
      <c r="A78" s="107">
        <f t="shared" si="3"/>
        <v>75</v>
      </c>
      <c r="B78" s="108" t="s">
        <v>533</v>
      </c>
      <c r="C78" s="108" t="s">
        <v>534</v>
      </c>
      <c r="D78" s="113">
        <v>530000</v>
      </c>
      <c r="E78" s="113">
        <v>530000</v>
      </c>
      <c r="F78" s="113">
        <v>530000</v>
      </c>
      <c r="G78" s="113">
        <v>530000</v>
      </c>
      <c r="H78" s="108"/>
      <c r="I78" s="108"/>
      <c r="J78" s="108"/>
      <c r="K78" s="108"/>
      <c r="L78" s="108"/>
      <c r="M78" s="108"/>
      <c r="N78" s="108"/>
      <c r="O78" s="114">
        <f t="shared" si="2"/>
        <v>2120000</v>
      </c>
    </row>
    <row r="79" spans="1:15">
      <c r="A79" s="107">
        <f t="shared" si="3"/>
        <v>76</v>
      </c>
      <c r="B79" s="108" t="s">
        <v>535</v>
      </c>
      <c r="C79" s="108" t="s">
        <v>534</v>
      </c>
      <c r="D79" s="113">
        <v>425000</v>
      </c>
      <c r="E79" s="113">
        <v>425000</v>
      </c>
      <c r="F79" s="113">
        <v>425000</v>
      </c>
      <c r="G79" s="113">
        <v>425000</v>
      </c>
      <c r="H79" s="109"/>
      <c r="I79" s="109"/>
      <c r="J79" s="109"/>
      <c r="K79" s="108"/>
      <c r="L79" s="108"/>
      <c r="M79" s="108"/>
      <c r="N79" s="108"/>
      <c r="O79" s="114">
        <f t="shared" si="2"/>
        <v>1700000</v>
      </c>
    </row>
    <row r="80" spans="1:15">
      <c r="A80" s="107">
        <f t="shared" si="3"/>
        <v>77</v>
      </c>
      <c r="B80" s="108" t="s">
        <v>538</v>
      </c>
      <c r="C80" s="108" t="s">
        <v>539</v>
      </c>
      <c r="D80" s="113">
        <v>440000</v>
      </c>
      <c r="E80" s="113"/>
      <c r="F80" s="108"/>
      <c r="G80" s="108"/>
      <c r="H80" s="108"/>
      <c r="I80" s="108"/>
      <c r="J80" s="108"/>
      <c r="K80" s="108"/>
      <c r="L80" s="108"/>
      <c r="M80" s="108"/>
      <c r="N80" s="108"/>
      <c r="O80" s="114">
        <f t="shared" si="2"/>
        <v>440000</v>
      </c>
    </row>
    <row r="81" spans="1:15">
      <c r="A81" s="107">
        <f t="shared" si="3"/>
        <v>78</v>
      </c>
      <c r="B81" s="108" t="s">
        <v>540</v>
      </c>
      <c r="C81" s="108" t="s">
        <v>539</v>
      </c>
      <c r="D81" s="113">
        <v>663125</v>
      </c>
      <c r="E81" s="113">
        <v>663125</v>
      </c>
      <c r="F81" s="113">
        <v>663125</v>
      </c>
      <c r="G81" s="113">
        <v>663125</v>
      </c>
      <c r="H81" s="113">
        <v>663125</v>
      </c>
      <c r="I81" s="113">
        <v>663125</v>
      </c>
      <c r="J81" s="113">
        <v>663125</v>
      </c>
      <c r="K81" s="108"/>
      <c r="L81" s="108"/>
      <c r="M81" s="108"/>
      <c r="N81" s="108"/>
      <c r="O81" s="114">
        <f t="shared" si="2"/>
        <v>4641875</v>
      </c>
    </row>
    <row r="82" spans="1:15">
      <c r="A82" s="107">
        <f t="shared" si="3"/>
        <v>79</v>
      </c>
      <c r="B82" s="108" t="s">
        <v>542</v>
      </c>
      <c r="C82" s="108" t="s">
        <v>539</v>
      </c>
      <c r="D82" s="113">
        <v>531250</v>
      </c>
      <c r="E82" s="113">
        <v>531250</v>
      </c>
      <c r="F82" s="113">
        <v>531250</v>
      </c>
      <c r="G82" s="113"/>
      <c r="H82" s="113"/>
      <c r="I82" s="113"/>
      <c r="J82" s="113"/>
      <c r="K82" s="108"/>
      <c r="L82" s="108"/>
      <c r="M82" s="108"/>
      <c r="N82" s="108"/>
      <c r="O82" s="114">
        <f t="shared" si="2"/>
        <v>1593750</v>
      </c>
    </row>
    <row r="83" spans="1:15">
      <c r="A83" s="107">
        <f t="shared" si="3"/>
        <v>80</v>
      </c>
      <c r="B83" s="108" t="s">
        <v>543</v>
      </c>
      <c r="C83" s="108" t="s">
        <v>539</v>
      </c>
      <c r="D83" s="113">
        <f>265000*2</f>
        <v>530000</v>
      </c>
      <c r="E83" s="113">
        <f>265000*2</f>
        <v>530000</v>
      </c>
      <c r="F83" s="109">
        <v>265000</v>
      </c>
      <c r="G83" s="109">
        <v>265000</v>
      </c>
      <c r="H83" s="108"/>
      <c r="I83" s="108"/>
      <c r="J83" s="108"/>
      <c r="K83" s="108"/>
      <c r="L83" s="108"/>
      <c r="M83" s="108"/>
      <c r="N83" s="108"/>
      <c r="O83" s="114">
        <f t="shared" si="2"/>
        <v>1590000</v>
      </c>
    </row>
    <row r="84" spans="1:15">
      <c r="A84" s="107">
        <f t="shared" si="3"/>
        <v>81</v>
      </c>
      <c r="B84" s="108" t="s">
        <v>545</v>
      </c>
      <c r="C84" s="108" t="s">
        <v>539</v>
      </c>
      <c r="D84" s="109">
        <v>530000</v>
      </c>
      <c r="E84" s="109">
        <v>530000</v>
      </c>
      <c r="F84" s="109">
        <v>530000</v>
      </c>
      <c r="G84" s="109">
        <v>530000</v>
      </c>
      <c r="H84" s="109">
        <v>530000</v>
      </c>
      <c r="I84" s="109">
        <v>530000</v>
      </c>
      <c r="J84" s="108"/>
      <c r="K84" s="108"/>
      <c r="L84" s="108"/>
      <c r="M84" s="108"/>
      <c r="N84" s="108"/>
      <c r="O84" s="114">
        <f t="shared" si="2"/>
        <v>3180000</v>
      </c>
    </row>
    <row r="85" spans="1:15">
      <c r="A85" s="107">
        <f t="shared" si="3"/>
        <v>82</v>
      </c>
      <c r="B85" s="108" t="s">
        <v>669</v>
      </c>
      <c r="C85" s="108" t="s">
        <v>539</v>
      </c>
      <c r="D85" s="109">
        <v>265000</v>
      </c>
      <c r="E85" s="109">
        <v>265000</v>
      </c>
      <c r="F85" s="109">
        <v>265000</v>
      </c>
      <c r="G85" s="109">
        <v>265000</v>
      </c>
      <c r="H85" s="109"/>
      <c r="I85" s="109"/>
      <c r="J85" s="108"/>
      <c r="K85" s="108"/>
      <c r="L85" s="108"/>
      <c r="M85" s="108"/>
      <c r="N85" s="108"/>
      <c r="O85" s="114">
        <f t="shared" si="2"/>
        <v>1060000</v>
      </c>
    </row>
    <row r="86" spans="1:15">
      <c r="A86" s="107">
        <f t="shared" si="3"/>
        <v>83</v>
      </c>
      <c r="B86" s="108" t="s">
        <v>555</v>
      </c>
      <c r="C86" s="108" t="s">
        <v>670</v>
      </c>
      <c r="D86" s="113">
        <v>540000</v>
      </c>
      <c r="E86" s="113">
        <v>540000</v>
      </c>
      <c r="F86" s="113">
        <v>540000</v>
      </c>
      <c r="G86" s="114"/>
      <c r="H86" s="114"/>
      <c r="I86" s="114"/>
      <c r="J86" s="114"/>
      <c r="K86" s="108"/>
      <c r="L86" s="108"/>
      <c r="M86" s="108"/>
      <c r="N86" s="108"/>
      <c r="O86" s="114">
        <f t="shared" si="2"/>
        <v>1620000</v>
      </c>
    </row>
    <row r="87" spans="1:15">
      <c r="A87" s="107">
        <f t="shared" si="3"/>
        <v>84</v>
      </c>
      <c r="B87" s="108" t="s">
        <v>556</v>
      </c>
      <c r="C87" s="108" t="s">
        <v>670</v>
      </c>
      <c r="D87" s="109">
        <v>425000</v>
      </c>
      <c r="E87" s="109">
        <v>425000</v>
      </c>
      <c r="F87" s="109">
        <v>425000</v>
      </c>
      <c r="G87" s="109">
        <v>425000</v>
      </c>
      <c r="H87" s="109">
        <v>425000</v>
      </c>
      <c r="I87" s="109"/>
      <c r="J87" s="108"/>
      <c r="K87" s="108"/>
      <c r="L87" s="108"/>
      <c r="M87" s="108"/>
      <c r="N87" s="108"/>
      <c r="O87" s="114">
        <f t="shared" si="2"/>
        <v>2125000</v>
      </c>
    </row>
    <row r="88" spans="1:15">
      <c r="A88" s="107">
        <f t="shared" si="3"/>
        <v>85</v>
      </c>
      <c r="B88" s="108" t="s">
        <v>695</v>
      </c>
      <c r="C88" s="108" t="s">
        <v>670</v>
      </c>
      <c r="D88" s="109">
        <f>530000+850000</f>
        <v>1380000</v>
      </c>
      <c r="E88" s="109">
        <f>530000+850000</f>
        <v>1380000</v>
      </c>
      <c r="F88" s="109">
        <f>530000+850000</f>
        <v>1380000</v>
      </c>
      <c r="G88" s="109">
        <f>530000+850000</f>
        <v>1380000</v>
      </c>
      <c r="H88" s="108"/>
      <c r="I88" s="108"/>
      <c r="J88" s="108"/>
      <c r="K88" s="108"/>
      <c r="L88" s="108"/>
      <c r="M88" s="108"/>
      <c r="N88" s="108"/>
      <c r="O88" s="114">
        <f t="shared" si="2"/>
        <v>5520000</v>
      </c>
    </row>
    <row r="89" spans="1:15">
      <c r="A89" s="107">
        <f t="shared" si="3"/>
        <v>86</v>
      </c>
      <c r="B89" s="108" t="s">
        <v>559</v>
      </c>
      <c r="C89" s="108" t="s">
        <v>670</v>
      </c>
      <c r="D89" s="109">
        <v>530000</v>
      </c>
      <c r="E89" s="109">
        <v>530000</v>
      </c>
      <c r="F89" s="109">
        <v>530000</v>
      </c>
      <c r="G89" s="109">
        <v>530000</v>
      </c>
      <c r="H89" s="108"/>
      <c r="I89" s="108"/>
      <c r="J89" s="108"/>
      <c r="K89" s="108"/>
      <c r="L89" s="108"/>
      <c r="M89" s="108"/>
      <c r="N89" s="108"/>
      <c r="O89" s="114">
        <f t="shared" si="2"/>
        <v>2120000</v>
      </c>
    </row>
    <row r="90" spans="1:15">
      <c r="A90" s="107">
        <f t="shared" si="3"/>
        <v>87</v>
      </c>
      <c r="B90" s="108" t="s">
        <v>688</v>
      </c>
      <c r="C90" s="108" t="s">
        <v>670</v>
      </c>
      <c r="D90" s="113">
        <v>648000</v>
      </c>
      <c r="E90" s="113">
        <v>648000</v>
      </c>
      <c r="F90" s="109"/>
      <c r="G90" s="114"/>
      <c r="H90" s="114"/>
      <c r="I90" s="114"/>
      <c r="J90" s="114"/>
      <c r="K90" s="108"/>
      <c r="L90" s="108"/>
      <c r="M90" s="108"/>
      <c r="N90" s="108"/>
      <c r="O90" s="114">
        <f t="shared" si="2"/>
        <v>1296000</v>
      </c>
    </row>
    <row r="91" spans="1:15">
      <c r="A91" s="107">
        <f t="shared" si="3"/>
        <v>88</v>
      </c>
      <c r="B91" s="108" t="s">
        <v>562</v>
      </c>
      <c r="C91" s="108" t="s">
        <v>670</v>
      </c>
      <c r="D91" s="113">
        <v>530000</v>
      </c>
      <c r="E91" s="113">
        <v>530000</v>
      </c>
      <c r="F91" s="113">
        <v>530000</v>
      </c>
      <c r="G91" s="108"/>
      <c r="H91" s="108"/>
      <c r="I91" s="108"/>
      <c r="J91" s="108"/>
      <c r="K91" s="108"/>
      <c r="L91" s="108"/>
      <c r="M91" s="108"/>
      <c r="N91" s="108"/>
      <c r="O91" s="114">
        <f t="shared" si="2"/>
        <v>1590000</v>
      </c>
    </row>
    <row r="92" spans="1:15">
      <c r="A92" s="107">
        <f t="shared" si="3"/>
        <v>89</v>
      </c>
      <c r="B92" s="108" t="s">
        <v>563</v>
      </c>
      <c r="C92" s="108" t="s">
        <v>670</v>
      </c>
      <c r="D92" s="109">
        <v>540000</v>
      </c>
      <c r="E92" s="109">
        <v>540000</v>
      </c>
      <c r="F92" s="109"/>
      <c r="G92" s="109"/>
      <c r="H92" s="109"/>
      <c r="I92" s="108"/>
      <c r="J92" s="108"/>
      <c r="K92" s="108"/>
      <c r="L92" s="108"/>
      <c r="M92" s="108"/>
      <c r="N92" s="108"/>
      <c r="O92" s="114">
        <f t="shared" si="2"/>
        <v>1080000</v>
      </c>
    </row>
    <row r="93" spans="1:15">
      <c r="A93" s="107">
        <f t="shared" si="3"/>
        <v>90</v>
      </c>
      <c r="B93" s="108" t="s">
        <v>564</v>
      </c>
      <c r="C93" s="108" t="s">
        <v>670</v>
      </c>
      <c r="D93" s="113">
        <v>540000</v>
      </c>
      <c r="E93" s="108"/>
      <c r="F93" s="114"/>
      <c r="G93" s="109"/>
      <c r="H93" s="114"/>
      <c r="I93" s="108"/>
      <c r="J93" s="108"/>
      <c r="K93" s="108"/>
      <c r="L93" s="108"/>
      <c r="M93" s="108"/>
      <c r="N93" s="108"/>
      <c r="O93" s="114">
        <f t="shared" si="2"/>
        <v>540000</v>
      </c>
    </row>
    <row r="94" spans="1:15">
      <c r="A94" s="107">
        <f t="shared" si="3"/>
        <v>91</v>
      </c>
      <c r="B94" s="108" t="s">
        <v>671</v>
      </c>
      <c r="C94" s="108" t="s">
        <v>670</v>
      </c>
      <c r="D94" s="109">
        <v>530000</v>
      </c>
      <c r="E94" s="109">
        <v>530000</v>
      </c>
      <c r="F94" s="109">
        <v>530000</v>
      </c>
      <c r="G94" s="109">
        <v>530000</v>
      </c>
      <c r="H94" s="109">
        <v>530000</v>
      </c>
      <c r="I94" s="109">
        <v>530000</v>
      </c>
      <c r="J94" s="108"/>
      <c r="K94" s="108"/>
      <c r="L94" s="108"/>
      <c r="M94" s="108"/>
      <c r="N94" s="108"/>
      <c r="O94" s="114">
        <f t="shared" si="2"/>
        <v>3180000</v>
      </c>
    </row>
    <row r="95" spans="1:15">
      <c r="A95" s="107">
        <f t="shared" si="3"/>
        <v>92</v>
      </c>
      <c r="B95" s="108" t="s">
        <v>568</v>
      </c>
      <c r="C95" s="108" t="s">
        <v>569</v>
      </c>
      <c r="D95" s="113">
        <v>530000</v>
      </c>
      <c r="E95" s="113">
        <v>530000</v>
      </c>
      <c r="F95" s="113">
        <v>530000</v>
      </c>
      <c r="G95" s="113">
        <v>530000</v>
      </c>
      <c r="H95" s="108"/>
      <c r="I95" s="108"/>
      <c r="J95" s="108"/>
      <c r="K95" s="108"/>
      <c r="L95" s="108"/>
      <c r="M95" s="108"/>
      <c r="N95" s="108"/>
      <c r="O95" s="114">
        <f t="shared" si="2"/>
        <v>2120000</v>
      </c>
    </row>
    <row r="96" spans="1:15">
      <c r="A96" s="107">
        <f t="shared" si="3"/>
        <v>93</v>
      </c>
      <c r="B96" s="108" t="s">
        <v>570</v>
      </c>
      <c r="C96" s="108" t="s">
        <v>569</v>
      </c>
      <c r="D96" s="109">
        <v>530000</v>
      </c>
      <c r="E96" s="109">
        <v>530000</v>
      </c>
      <c r="F96" s="109">
        <v>530000</v>
      </c>
      <c r="G96" s="109">
        <v>530000</v>
      </c>
      <c r="H96" s="108"/>
      <c r="I96" s="108"/>
      <c r="J96" s="108"/>
      <c r="K96" s="108"/>
      <c r="L96" s="108"/>
      <c r="M96" s="108"/>
      <c r="N96" s="108"/>
      <c r="O96" s="114">
        <f t="shared" si="2"/>
        <v>2120000</v>
      </c>
    </row>
    <row r="97" spans="1:15">
      <c r="A97" s="107">
        <f t="shared" si="3"/>
        <v>94</v>
      </c>
      <c r="B97" s="108" t="s">
        <v>571</v>
      </c>
      <c r="C97" s="108" t="s">
        <v>569</v>
      </c>
      <c r="D97" s="113">
        <v>530000</v>
      </c>
      <c r="E97" s="113">
        <v>530000</v>
      </c>
      <c r="F97" s="113">
        <v>530000</v>
      </c>
      <c r="G97" s="113">
        <v>530000</v>
      </c>
      <c r="H97" s="113">
        <v>530000</v>
      </c>
      <c r="I97" s="113"/>
      <c r="J97" s="109"/>
      <c r="K97" s="108"/>
      <c r="L97" s="108"/>
      <c r="M97" s="108"/>
      <c r="N97" s="108"/>
      <c r="O97" s="114">
        <f t="shared" si="2"/>
        <v>2650000</v>
      </c>
    </row>
    <row r="98" spans="1:15">
      <c r="A98" s="107">
        <f t="shared" si="3"/>
        <v>95</v>
      </c>
      <c r="B98" s="108" t="s">
        <v>577</v>
      </c>
      <c r="C98" s="108" t="s">
        <v>572</v>
      </c>
      <c r="D98" s="113">
        <v>636000</v>
      </c>
      <c r="E98" s="113">
        <v>636000</v>
      </c>
      <c r="F98" s="109"/>
      <c r="G98" s="108"/>
      <c r="H98" s="108"/>
      <c r="I98" s="108"/>
      <c r="J98" s="108"/>
      <c r="K98" s="108"/>
      <c r="L98" s="108"/>
      <c r="M98" s="108"/>
      <c r="N98" s="108"/>
      <c r="O98" s="114">
        <f t="shared" si="2"/>
        <v>1272000</v>
      </c>
    </row>
    <row r="99" spans="1:15">
      <c r="A99" s="107">
        <f t="shared" si="3"/>
        <v>96</v>
      </c>
      <c r="B99" s="108" t="s">
        <v>578</v>
      </c>
      <c r="C99" s="108" t="s">
        <v>572</v>
      </c>
      <c r="D99" s="113">
        <v>540000</v>
      </c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14">
        <f t="shared" si="2"/>
        <v>540000</v>
      </c>
    </row>
    <row r="100" spans="1:15">
      <c r="A100" s="107">
        <f t="shared" si="3"/>
        <v>97</v>
      </c>
      <c r="B100" s="108" t="s">
        <v>579</v>
      </c>
      <c r="C100" s="108" t="s">
        <v>572</v>
      </c>
      <c r="D100" s="113">
        <v>546000</v>
      </c>
      <c r="E100" s="113">
        <v>546000</v>
      </c>
      <c r="F100" s="113">
        <v>546000</v>
      </c>
      <c r="G100" s="113">
        <v>546000</v>
      </c>
      <c r="H100" s="113">
        <v>546000</v>
      </c>
      <c r="I100" s="113">
        <v>546000</v>
      </c>
      <c r="J100" s="113">
        <v>546000</v>
      </c>
      <c r="K100" s="108"/>
      <c r="L100" s="108"/>
      <c r="M100" s="108"/>
      <c r="N100" s="108"/>
      <c r="O100" s="114">
        <f t="shared" si="2"/>
        <v>3822000</v>
      </c>
    </row>
    <row r="101" spans="1:15">
      <c r="A101" s="107">
        <f t="shared" si="3"/>
        <v>98</v>
      </c>
      <c r="B101" s="108" t="s">
        <v>580</v>
      </c>
      <c r="C101" s="108" t="s">
        <v>572</v>
      </c>
      <c r="D101" s="113">
        <v>530000</v>
      </c>
      <c r="E101" s="113">
        <v>530000</v>
      </c>
      <c r="F101" s="113">
        <v>530000</v>
      </c>
      <c r="G101" s="113">
        <v>530000</v>
      </c>
      <c r="H101" s="113">
        <v>530000</v>
      </c>
      <c r="I101" s="113">
        <v>530000</v>
      </c>
      <c r="J101" s="113"/>
      <c r="K101" s="108"/>
      <c r="L101" s="108"/>
      <c r="M101" s="108"/>
      <c r="N101" s="108"/>
      <c r="O101" s="114">
        <f t="shared" si="2"/>
        <v>3180000</v>
      </c>
    </row>
    <row r="102" spans="1:15">
      <c r="A102" s="107">
        <f t="shared" si="3"/>
        <v>99</v>
      </c>
      <c r="B102" s="108" t="s">
        <v>581</v>
      </c>
      <c r="C102" s="108" t="s">
        <v>572</v>
      </c>
      <c r="D102" s="109">
        <v>530000</v>
      </c>
      <c r="E102" s="109">
        <v>530000</v>
      </c>
      <c r="F102" s="109">
        <v>530000</v>
      </c>
      <c r="G102" s="109">
        <v>530000</v>
      </c>
      <c r="H102" s="109">
        <v>530000</v>
      </c>
      <c r="I102" s="109">
        <v>530000</v>
      </c>
      <c r="J102" s="108"/>
      <c r="K102" s="108"/>
      <c r="L102" s="108"/>
      <c r="M102" s="108"/>
      <c r="N102" s="108"/>
      <c r="O102" s="114">
        <f t="shared" si="2"/>
        <v>3180000</v>
      </c>
    </row>
    <row r="103" spans="1:15">
      <c r="A103" s="107">
        <f t="shared" si="3"/>
        <v>100</v>
      </c>
      <c r="B103" s="108" t="s">
        <v>583</v>
      </c>
      <c r="C103" s="108" t="s">
        <v>572</v>
      </c>
      <c r="D103" s="109">
        <v>530000</v>
      </c>
      <c r="E103" s="109">
        <v>530000</v>
      </c>
      <c r="F103" s="109">
        <v>530000</v>
      </c>
      <c r="G103" s="109">
        <v>530000</v>
      </c>
      <c r="H103" s="108"/>
      <c r="I103" s="108"/>
      <c r="J103" s="108"/>
      <c r="K103" s="108"/>
      <c r="L103" s="108"/>
      <c r="M103" s="108"/>
      <c r="N103" s="108"/>
      <c r="O103" s="114">
        <f t="shared" si="2"/>
        <v>2120000</v>
      </c>
    </row>
    <row r="104" spans="1:15">
      <c r="A104" s="107">
        <f t="shared" si="3"/>
        <v>101</v>
      </c>
      <c r="B104" s="108" t="s">
        <v>585</v>
      </c>
      <c r="C104" s="108" t="s">
        <v>572</v>
      </c>
      <c r="D104" s="113">
        <v>531250</v>
      </c>
      <c r="E104" s="109"/>
      <c r="F104" s="109"/>
      <c r="G104" s="108"/>
      <c r="H104" s="108"/>
      <c r="I104" s="108"/>
      <c r="J104" s="108"/>
      <c r="K104" s="108"/>
      <c r="L104" s="108"/>
      <c r="M104" s="108"/>
      <c r="N104" s="108"/>
      <c r="O104" s="114">
        <f t="shared" si="2"/>
        <v>531250</v>
      </c>
    </row>
    <row r="105" spans="1:15">
      <c r="A105" s="107">
        <f t="shared" si="3"/>
        <v>102</v>
      </c>
      <c r="B105" s="108" t="s">
        <v>587</v>
      </c>
      <c r="C105" s="108" t="s">
        <v>588</v>
      </c>
      <c r="D105" s="113">
        <v>530000</v>
      </c>
      <c r="E105" s="113">
        <v>530000</v>
      </c>
      <c r="F105" s="113">
        <v>530000</v>
      </c>
      <c r="G105" s="113">
        <v>530000</v>
      </c>
      <c r="H105" s="113">
        <v>530000</v>
      </c>
      <c r="I105" s="109"/>
      <c r="J105" s="109"/>
      <c r="K105" s="108"/>
      <c r="L105" s="108"/>
      <c r="M105" s="108"/>
      <c r="N105" s="108"/>
      <c r="O105" s="114">
        <f t="shared" si="2"/>
        <v>2650000</v>
      </c>
    </row>
    <row r="106" spans="1:15">
      <c r="A106" s="107">
        <f t="shared" si="3"/>
        <v>103</v>
      </c>
      <c r="B106" s="108" t="s">
        <v>702</v>
      </c>
      <c r="C106" s="108" t="s">
        <v>588</v>
      </c>
      <c r="D106" s="109">
        <v>530000</v>
      </c>
      <c r="E106" s="109">
        <v>530000</v>
      </c>
      <c r="F106" s="109">
        <v>530000</v>
      </c>
      <c r="G106" s="109">
        <v>530000</v>
      </c>
      <c r="H106" s="109">
        <v>530000</v>
      </c>
      <c r="I106" s="108"/>
      <c r="J106" s="108"/>
      <c r="K106" s="108"/>
      <c r="L106" s="108"/>
      <c r="M106" s="108"/>
      <c r="N106" s="108"/>
      <c r="O106" s="114">
        <f t="shared" si="2"/>
        <v>2650000</v>
      </c>
    </row>
    <row r="107" spans="1:15">
      <c r="A107" s="107">
        <f t="shared" si="3"/>
        <v>104</v>
      </c>
      <c r="B107" s="108" t="s">
        <v>594</v>
      </c>
      <c r="C107" s="108" t="s">
        <v>588</v>
      </c>
      <c r="D107" s="113">
        <v>270000</v>
      </c>
      <c r="E107" s="113">
        <v>270000</v>
      </c>
      <c r="F107" s="113"/>
      <c r="G107" s="108"/>
      <c r="H107" s="108"/>
      <c r="I107" s="108"/>
      <c r="J107" s="108"/>
      <c r="K107" s="108"/>
      <c r="L107" s="108"/>
      <c r="M107" s="108"/>
      <c r="N107" s="108"/>
      <c r="O107" s="114">
        <f t="shared" si="2"/>
        <v>540000</v>
      </c>
    </row>
    <row r="108" spans="1:15">
      <c r="A108" s="107">
        <f t="shared" si="3"/>
        <v>105</v>
      </c>
      <c r="B108" s="108" t="s">
        <v>595</v>
      </c>
      <c r="C108" s="108" t="s">
        <v>588</v>
      </c>
      <c r="D108" s="113">
        <v>425000</v>
      </c>
      <c r="E108" s="113">
        <v>425000</v>
      </c>
      <c r="F108" s="113">
        <v>425000</v>
      </c>
      <c r="G108" s="113"/>
      <c r="H108" s="108"/>
      <c r="I108" s="108"/>
      <c r="J108" s="108"/>
      <c r="K108" s="108"/>
      <c r="L108" s="108"/>
      <c r="M108" s="108"/>
      <c r="N108" s="108"/>
      <c r="O108" s="114">
        <f t="shared" si="2"/>
        <v>1275000</v>
      </c>
    </row>
    <row r="109" spans="1:15">
      <c r="A109" s="107">
        <f t="shared" si="3"/>
        <v>106</v>
      </c>
      <c r="B109" s="108" t="s">
        <v>598</v>
      </c>
      <c r="C109" s="108" t="s">
        <v>588</v>
      </c>
      <c r="D109" s="109">
        <v>530000</v>
      </c>
      <c r="E109" s="109">
        <v>530000</v>
      </c>
      <c r="F109" s="109">
        <v>530000</v>
      </c>
      <c r="G109" s="109">
        <v>530000</v>
      </c>
      <c r="H109" s="109">
        <v>530000</v>
      </c>
      <c r="I109" s="108"/>
      <c r="J109" s="108"/>
      <c r="K109" s="108"/>
      <c r="L109" s="108"/>
      <c r="M109" s="108"/>
      <c r="N109" s="108"/>
      <c r="O109" s="114">
        <f t="shared" si="2"/>
        <v>2650000</v>
      </c>
    </row>
    <row r="110" spans="1:15">
      <c r="A110" s="107">
        <f t="shared" si="3"/>
        <v>107</v>
      </c>
      <c r="B110" s="108" t="s">
        <v>600</v>
      </c>
      <c r="C110" s="108" t="s">
        <v>588</v>
      </c>
      <c r="D110" s="113">
        <v>530000</v>
      </c>
      <c r="E110" s="113">
        <v>530000</v>
      </c>
      <c r="F110" s="113">
        <v>530000</v>
      </c>
      <c r="G110" s="113">
        <v>530000</v>
      </c>
      <c r="H110" s="113">
        <v>530000</v>
      </c>
      <c r="I110" s="113"/>
      <c r="J110" s="113"/>
      <c r="K110" s="108"/>
      <c r="L110" s="108"/>
      <c r="M110" s="108"/>
      <c r="N110" s="108"/>
      <c r="O110" s="114">
        <f t="shared" si="2"/>
        <v>2650000</v>
      </c>
    </row>
    <row r="111" spans="1:15">
      <c r="A111" s="107">
        <f t="shared" si="3"/>
        <v>108</v>
      </c>
      <c r="B111" s="108" t="s">
        <v>602</v>
      </c>
      <c r="C111" s="108" t="s">
        <v>588</v>
      </c>
      <c r="D111" s="113">
        <v>530000</v>
      </c>
      <c r="E111" s="113">
        <v>530000</v>
      </c>
      <c r="F111" s="113">
        <v>530000</v>
      </c>
      <c r="G111" s="113">
        <v>530000</v>
      </c>
      <c r="H111" s="113">
        <v>530000</v>
      </c>
      <c r="I111" s="113"/>
      <c r="J111" s="113"/>
      <c r="K111" s="108"/>
      <c r="L111" s="108"/>
      <c r="M111" s="108"/>
      <c r="N111" s="108"/>
      <c r="O111" s="114">
        <f t="shared" si="2"/>
        <v>2650000</v>
      </c>
    </row>
    <row r="112" spans="1:15">
      <c r="A112" s="107">
        <f t="shared" si="3"/>
        <v>109</v>
      </c>
      <c r="B112" s="108" t="s">
        <v>603</v>
      </c>
      <c r="C112" s="108" t="s">
        <v>588</v>
      </c>
      <c r="D112" s="109">
        <v>530000</v>
      </c>
      <c r="E112" s="109">
        <v>530000</v>
      </c>
      <c r="F112" s="109">
        <v>530000</v>
      </c>
      <c r="G112" s="109">
        <v>530000</v>
      </c>
      <c r="H112" s="109">
        <v>530000</v>
      </c>
      <c r="I112" s="108"/>
      <c r="J112" s="108"/>
      <c r="K112" s="108"/>
      <c r="L112" s="108"/>
      <c r="M112" s="108"/>
      <c r="N112" s="108"/>
      <c r="O112" s="114">
        <f t="shared" si="2"/>
        <v>2650000</v>
      </c>
    </row>
    <row r="113" spans="1:15">
      <c r="A113" s="107">
        <f t="shared" si="3"/>
        <v>110</v>
      </c>
      <c r="B113" s="108" t="s">
        <v>681</v>
      </c>
      <c r="C113" s="108" t="s">
        <v>608</v>
      </c>
      <c r="D113" s="113">
        <v>540000</v>
      </c>
      <c r="E113" s="113">
        <v>540000</v>
      </c>
      <c r="F113" s="113"/>
      <c r="G113" s="108"/>
      <c r="H113" s="108"/>
      <c r="I113" s="108"/>
      <c r="J113" s="108"/>
      <c r="K113" s="108"/>
      <c r="L113" s="108"/>
      <c r="M113" s="108"/>
      <c r="N113" s="108"/>
      <c r="O113" s="114">
        <f t="shared" si="2"/>
        <v>1080000</v>
      </c>
    </row>
    <row r="114" spans="1:15">
      <c r="A114" s="107">
        <f t="shared" si="3"/>
        <v>111</v>
      </c>
      <c r="B114" s="108" t="s">
        <v>370</v>
      </c>
      <c r="C114" s="108" t="s">
        <v>608</v>
      </c>
      <c r="D114" s="113">
        <v>1508000</v>
      </c>
      <c r="E114" s="113"/>
      <c r="F114" s="113"/>
      <c r="G114" s="108"/>
      <c r="H114" s="108"/>
      <c r="I114" s="108"/>
      <c r="J114" s="108"/>
      <c r="K114" s="108"/>
      <c r="L114" s="108"/>
      <c r="M114" s="108"/>
      <c r="N114" s="108"/>
      <c r="O114" s="114">
        <f t="shared" si="2"/>
        <v>1508000</v>
      </c>
    </row>
    <row r="115" spans="1:15">
      <c r="A115" s="107">
        <f t="shared" si="3"/>
        <v>112</v>
      </c>
      <c r="B115" s="108" t="s">
        <v>614</v>
      </c>
      <c r="C115" s="108" t="s">
        <v>612</v>
      </c>
      <c r="D115" s="113">
        <v>540000</v>
      </c>
      <c r="E115" s="113">
        <v>540000</v>
      </c>
      <c r="F115" s="113"/>
      <c r="G115" s="113"/>
      <c r="H115" s="113"/>
      <c r="I115" s="113"/>
      <c r="J115" s="113"/>
      <c r="K115" s="108"/>
      <c r="L115" s="108"/>
      <c r="M115" s="108"/>
      <c r="N115" s="108"/>
      <c r="O115" s="114">
        <f t="shared" si="2"/>
        <v>1080000</v>
      </c>
    </row>
    <row r="116" spans="1:15">
      <c r="A116" s="107">
        <f t="shared" si="3"/>
        <v>113</v>
      </c>
      <c r="B116" s="108" t="s">
        <v>615</v>
      </c>
      <c r="C116" s="108" t="s">
        <v>612</v>
      </c>
      <c r="D116" s="113">
        <v>530000</v>
      </c>
      <c r="E116" s="113">
        <v>530000</v>
      </c>
      <c r="F116" s="113">
        <v>530000</v>
      </c>
      <c r="G116" s="108"/>
      <c r="H116" s="108"/>
      <c r="I116" s="108"/>
      <c r="J116" s="108"/>
      <c r="K116" s="108"/>
      <c r="L116" s="108"/>
      <c r="M116" s="108"/>
      <c r="N116" s="108"/>
      <c r="O116" s="114">
        <f t="shared" si="2"/>
        <v>1590000</v>
      </c>
    </row>
    <row r="117" spans="1:15">
      <c r="A117" s="107">
        <f t="shared" si="3"/>
        <v>114</v>
      </c>
      <c r="B117" s="108" t="s">
        <v>617</v>
      </c>
      <c r="C117" s="108" t="s">
        <v>612</v>
      </c>
      <c r="D117" s="113">
        <v>540000</v>
      </c>
      <c r="E117" s="113">
        <v>540000</v>
      </c>
      <c r="F117" s="113"/>
      <c r="G117" s="108"/>
      <c r="H117" s="108"/>
      <c r="I117" s="108"/>
      <c r="J117" s="108"/>
      <c r="K117" s="108"/>
      <c r="L117" s="108"/>
      <c r="M117" s="108"/>
      <c r="N117" s="108"/>
      <c r="O117" s="114">
        <f t="shared" si="2"/>
        <v>1080000</v>
      </c>
    </row>
    <row r="118" spans="1:15">
      <c r="A118" s="107">
        <f t="shared" si="3"/>
        <v>115</v>
      </c>
      <c r="B118" s="108" t="s">
        <v>668</v>
      </c>
      <c r="C118" s="108" t="s">
        <v>612</v>
      </c>
      <c r="D118" s="109">
        <v>530000</v>
      </c>
      <c r="E118" s="109">
        <v>530000</v>
      </c>
      <c r="F118" s="109">
        <v>530000</v>
      </c>
      <c r="G118" s="109">
        <v>530000</v>
      </c>
      <c r="H118" s="109">
        <v>530000</v>
      </c>
      <c r="I118" s="108"/>
      <c r="J118" s="108"/>
      <c r="K118" s="108"/>
      <c r="L118" s="108"/>
      <c r="M118" s="108"/>
      <c r="N118" s="108"/>
      <c r="O118" s="114">
        <f t="shared" si="2"/>
        <v>2650000</v>
      </c>
    </row>
    <row r="119" spans="1:15">
      <c r="A119" s="107">
        <f t="shared" si="3"/>
        <v>116</v>
      </c>
      <c r="B119" s="108" t="s">
        <v>620</v>
      </c>
      <c r="C119" s="108" t="s">
        <v>612</v>
      </c>
      <c r="D119" s="109">
        <v>530000</v>
      </c>
      <c r="E119" s="109">
        <v>530000</v>
      </c>
      <c r="F119" s="109">
        <v>530000</v>
      </c>
      <c r="G119" s="109">
        <v>530000</v>
      </c>
      <c r="H119" s="108"/>
      <c r="I119" s="108"/>
      <c r="J119" s="108"/>
      <c r="K119" s="108"/>
      <c r="L119" s="108"/>
      <c r="M119" s="108"/>
      <c r="N119" s="108"/>
      <c r="O119" s="114">
        <f t="shared" si="2"/>
        <v>2120000</v>
      </c>
    </row>
    <row r="120" spans="1:15">
      <c r="A120" s="107">
        <f t="shared" si="3"/>
        <v>117</v>
      </c>
      <c r="B120" s="108" t="s">
        <v>621</v>
      </c>
      <c r="C120" s="108" t="s">
        <v>612</v>
      </c>
      <c r="D120" s="113">
        <v>636000</v>
      </c>
      <c r="E120" s="113">
        <v>636000</v>
      </c>
      <c r="F120" s="113">
        <v>636000</v>
      </c>
      <c r="G120" s="113"/>
      <c r="H120" s="108"/>
      <c r="I120" s="108"/>
      <c r="J120" s="108"/>
      <c r="K120" s="108"/>
      <c r="L120" s="108"/>
      <c r="M120" s="108"/>
      <c r="N120" s="108"/>
      <c r="O120" s="114">
        <f t="shared" si="2"/>
        <v>1908000</v>
      </c>
    </row>
    <row r="121" spans="1:15">
      <c r="A121" s="107">
        <f t="shared" si="3"/>
        <v>118</v>
      </c>
      <c r="B121" s="108" t="s">
        <v>623</v>
      </c>
      <c r="C121" s="108" t="s">
        <v>612</v>
      </c>
      <c r="D121" s="109">
        <v>265000</v>
      </c>
      <c r="E121" s="109">
        <v>265000</v>
      </c>
      <c r="F121" s="109">
        <v>265000</v>
      </c>
      <c r="G121" s="109">
        <v>265000</v>
      </c>
      <c r="H121" s="109"/>
      <c r="I121" s="109"/>
      <c r="J121" s="108"/>
      <c r="K121" s="108"/>
      <c r="L121" s="108"/>
      <c r="M121" s="108"/>
      <c r="N121" s="108"/>
      <c r="O121" s="114">
        <f t="shared" si="2"/>
        <v>1060000</v>
      </c>
    </row>
    <row r="122" spans="1:15">
      <c r="A122" s="107">
        <f t="shared" si="3"/>
        <v>119</v>
      </c>
      <c r="B122" s="108" t="s">
        <v>624</v>
      </c>
      <c r="C122" s="108" t="s">
        <v>612</v>
      </c>
      <c r="D122" s="109">
        <v>265000</v>
      </c>
      <c r="E122" s="109">
        <v>265000</v>
      </c>
      <c r="F122" s="109"/>
      <c r="G122" s="109"/>
      <c r="H122" s="108"/>
      <c r="I122" s="108"/>
      <c r="J122" s="108"/>
      <c r="K122" s="108"/>
      <c r="L122" s="108"/>
      <c r="M122" s="108"/>
      <c r="N122" s="108"/>
      <c r="O122" s="114">
        <f t="shared" si="2"/>
        <v>530000</v>
      </c>
    </row>
    <row r="123" spans="1:15">
      <c r="A123" s="107">
        <f t="shared" si="3"/>
        <v>120</v>
      </c>
      <c r="B123" s="108" t="s">
        <v>696</v>
      </c>
      <c r="C123" s="108" t="s">
        <v>612</v>
      </c>
      <c r="D123" s="109">
        <v>530000</v>
      </c>
      <c r="E123" s="109">
        <v>530000</v>
      </c>
      <c r="F123" s="109">
        <v>530000</v>
      </c>
      <c r="G123" s="109">
        <v>530000</v>
      </c>
      <c r="H123" s="108"/>
      <c r="I123" s="108"/>
      <c r="J123" s="108"/>
      <c r="K123" s="108"/>
      <c r="L123" s="108"/>
      <c r="M123" s="108"/>
      <c r="N123" s="108"/>
      <c r="O123" s="114">
        <f t="shared" si="2"/>
        <v>2120000</v>
      </c>
    </row>
    <row r="124" spans="1:15">
      <c r="A124" s="107">
        <f t="shared" si="3"/>
        <v>121</v>
      </c>
      <c r="B124" s="108" t="s">
        <v>682</v>
      </c>
      <c r="C124" s="108" t="s">
        <v>612</v>
      </c>
      <c r="D124" s="113">
        <v>440000</v>
      </c>
      <c r="E124" s="113"/>
      <c r="F124" s="113"/>
      <c r="G124" s="108"/>
      <c r="H124" s="108"/>
      <c r="I124" s="108"/>
      <c r="J124" s="108"/>
      <c r="K124" s="108"/>
      <c r="L124" s="108"/>
      <c r="M124" s="108"/>
      <c r="N124" s="108"/>
      <c r="O124" s="114">
        <f t="shared" si="2"/>
        <v>440000</v>
      </c>
    </row>
    <row r="125" spans="1:15">
      <c r="A125" s="107">
        <f t="shared" si="3"/>
        <v>122</v>
      </c>
      <c r="B125" s="108" t="s">
        <v>629</v>
      </c>
      <c r="C125" s="108" t="s">
        <v>612</v>
      </c>
      <c r="D125" s="109">
        <v>530000</v>
      </c>
      <c r="E125" s="109">
        <v>530000</v>
      </c>
      <c r="F125" s="109">
        <v>530000</v>
      </c>
      <c r="G125" s="109">
        <v>530000</v>
      </c>
      <c r="H125" s="108"/>
      <c r="I125" s="108"/>
      <c r="J125" s="108"/>
      <c r="K125" s="108"/>
      <c r="L125" s="108"/>
      <c r="M125" s="108"/>
      <c r="N125" s="108"/>
      <c r="O125" s="114">
        <f t="shared" si="2"/>
        <v>2120000</v>
      </c>
    </row>
    <row r="126" spans="1:15">
      <c r="A126" s="107">
        <f t="shared" si="3"/>
        <v>123</v>
      </c>
      <c r="B126" s="108" t="s">
        <v>678</v>
      </c>
      <c r="C126" s="108" t="s">
        <v>612</v>
      </c>
      <c r="D126" s="113">
        <v>540000</v>
      </c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14">
        <f t="shared" si="2"/>
        <v>540000</v>
      </c>
    </row>
    <row r="127" spans="1:15">
      <c r="A127" s="107">
        <f t="shared" si="3"/>
        <v>124</v>
      </c>
      <c r="B127" s="108" t="s">
        <v>563</v>
      </c>
      <c r="C127" s="108" t="s">
        <v>612</v>
      </c>
      <c r="D127" s="109">
        <v>636000</v>
      </c>
      <c r="E127" s="109">
        <v>636000</v>
      </c>
      <c r="F127" s="109">
        <v>636000</v>
      </c>
      <c r="G127" s="109">
        <v>636000</v>
      </c>
      <c r="H127" s="109">
        <v>636000</v>
      </c>
      <c r="I127" s="109"/>
      <c r="J127" s="108"/>
      <c r="K127" s="108"/>
      <c r="L127" s="108"/>
      <c r="M127" s="108"/>
      <c r="N127" s="108"/>
      <c r="O127" s="114">
        <f t="shared" si="2"/>
        <v>3180000</v>
      </c>
    </row>
    <row r="128" spans="1:15">
      <c r="A128" s="107">
        <f t="shared" si="3"/>
        <v>125</v>
      </c>
      <c r="B128" s="108" t="s">
        <v>689</v>
      </c>
      <c r="C128" s="108" t="s">
        <v>690</v>
      </c>
      <c r="D128" s="113">
        <v>540000</v>
      </c>
      <c r="E128" s="113">
        <v>540000</v>
      </c>
      <c r="F128" s="113">
        <v>540000</v>
      </c>
      <c r="G128" s="114"/>
      <c r="H128" s="114"/>
      <c r="I128" s="114"/>
      <c r="J128" s="114"/>
      <c r="K128" s="108"/>
      <c r="L128" s="108"/>
      <c r="M128" s="108"/>
      <c r="N128" s="108"/>
      <c r="O128" s="114">
        <f t="shared" si="2"/>
        <v>1620000</v>
      </c>
    </row>
    <row r="129" spans="1:15">
      <c r="A129" s="107">
        <f t="shared" si="3"/>
        <v>126</v>
      </c>
      <c r="B129" s="108" t="s">
        <v>637</v>
      </c>
      <c r="C129" s="108" t="s">
        <v>690</v>
      </c>
      <c r="D129" s="113">
        <v>550000</v>
      </c>
      <c r="E129" s="109"/>
      <c r="F129" s="109"/>
      <c r="G129" s="114"/>
      <c r="H129" s="114"/>
      <c r="I129" s="114"/>
      <c r="J129" s="114"/>
      <c r="K129" s="108"/>
      <c r="L129" s="108"/>
      <c r="M129" s="108"/>
      <c r="N129" s="108"/>
      <c r="O129" s="114">
        <f t="shared" si="2"/>
        <v>550000</v>
      </c>
    </row>
    <row r="130" spans="1:15" ht="15.75">
      <c r="C130" s="110" t="s">
        <v>640</v>
      </c>
      <c r="D130" s="111">
        <f>SUM(D4:D129)</f>
        <v>66095975</v>
      </c>
      <c r="E130" s="111">
        <f t="shared" ref="E130:O130" si="4">SUM(E4:E129)</f>
        <v>56102375</v>
      </c>
      <c r="F130" s="111">
        <f t="shared" si="4"/>
        <v>45206375</v>
      </c>
      <c r="G130" s="111">
        <f t="shared" si="4"/>
        <v>33254375</v>
      </c>
      <c r="H130" s="111">
        <f t="shared" si="4"/>
        <v>17553375</v>
      </c>
      <c r="I130" s="111">
        <f t="shared" si="4"/>
        <v>4829125</v>
      </c>
      <c r="J130" s="111">
        <f t="shared" si="4"/>
        <v>1649125</v>
      </c>
      <c r="K130" s="111">
        <f t="shared" si="4"/>
        <v>0</v>
      </c>
      <c r="L130" s="111">
        <f t="shared" si="4"/>
        <v>0</v>
      </c>
      <c r="M130" s="111">
        <f t="shared" si="4"/>
        <v>0</v>
      </c>
      <c r="N130" s="111">
        <f t="shared" si="4"/>
        <v>0</v>
      </c>
      <c r="O130" s="111">
        <f t="shared" si="4"/>
        <v>224690725</v>
      </c>
    </row>
  </sheetData>
  <sortState ref="B4:N129">
    <sortCondition ref="C4:C129"/>
    <sortCondition ref="B4:B12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Neraca 2015</vt:lpstr>
      <vt:lpstr>Pendapatan</vt:lpstr>
      <vt:lpstr>Saldo Anggota</vt:lpstr>
      <vt:lpstr>Posisi Keuangan</vt:lpstr>
      <vt:lpstr>Hitung SHU</vt:lpstr>
      <vt:lpstr>Piutang Pinjaman</vt:lpstr>
      <vt:lpstr>Piutang Belanja</vt:lpstr>
      <vt:lpstr>'Neraca 2015'!Print_Area</vt:lpstr>
      <vt:lpstr>Pendapatan!Print_Area</vt:lpstr>
      <vt:lpstr>'Saldo Anggota'!Print_Area</vt:lpstr>
      <vt:lpstr>Pendapatan!Print_Titles</vt:lpstr>
    </vt:vector>
  </TitlesOfParts>
  <Company>Redtop Hotel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</dc:creator>
  <cp:lastModifiedBy>benny</cp:lastModifiedBy>
  <cp:lastPrinted>2016-02-04T03:14:35Z</cp:lastPrinted>
  <dcterms:created xsi:type="dcterms:W3CDTF">2015-10-02T10:24:09Z</dcterms:created>
  <dcterms:modified xsi:type="dcterms:W3CDTF">2016-02-23T07:30:13Z</dcterms:modified>
</cp:coreProperties>
</file>