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ksh\Downloads\"/>
    </mc:Choice>
  </mc:AlternateContent>
  <xr:revisionPtr revIDLastSave="0" documentId="13_ncr:1_{A648D01D-E896-4789-907E-C722247F492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sothermal calorimetry" sheetId="1" r:id="rId1"/>
    <sheet name="SAI" sheetId="2" r:id="rId2"/>
    <sheet name="SAI (%)" sheetId="3" r:id="rId3"/>
    <sheet name="Modified R3 test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2" l="1"/>
  <c r="E58" i="2"/>
  <c r="G57" i="2"/>
  <c r="F57" i="2"/>
  <c r="E57" i="2"/>
  <c r="G56" i="2"/>
  <c r="E56" i="2"/>
  <c r="G55" i="2"/>
  <c r="E55" i="2"/>
  <c r="G54" i="2"/>
  <c r="E54" i="2"/>
  <c r="G53" i="2"/>
  <c r="E53" i="2"/>
  <c r="E52" i="2"/>
  <c r="E48" i="2"/>
  <c r="E47" i="2"/>
  <c r="F45" i="2"/>
  <c r="D45" i="2"/>
  <c r="D44" i="2"/>
  <c r="D43" i="2"/>
  <c r="D42" i="2"/>
  <c r="G41" i="2"/>
  <c r="D41" i="2"/>
  <c r="F40" i="2"/>
  <c r="D40" i="2"/>
  <c r="D39" i="2"/>
  <c r="G38" i="2"/>
  <c r="D38" i="2"/>
  <c r="F37" i="2"/>
  <c r="E37" i="2"/>
  <c r="D37" i="2"/>
  <c r="F36" i="2"/>
  <c r="D36" i="2"/>
  <c r="E35" i="2"/>
  <c r="D35" i="2"/>
  <c r="E34" i="2"/>
  <c r="D34" i="2"/>
  <c r="G33" i="2"/>
  <c r="E33" i="2"/>
  <c r="D33" i="2"/>
  <c r="E32" i="2"/>
  <c r="D32" i="2"/>
  <c r="G31" i="2"/>
  <c r="E31" i="2"/>
  <c r="D31" i="2"/>
  <c r="G30" i="2"/>
  <c r="E30" i="2"/>
  <c r="D30" i="2"/>
  <c r="E29" i="2"/>
  <c r="D29" i="2"/>
  <c r="G28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D20" i="2"/>
  <c r="G19" i="2"/>
  <c r="E19" i="2"/>
  <c r="D19" i="2"/>
  <c r="F18" i="2"/>
  <c r="E18" i="2"/>
  <c r="D18" i="2"/>
  <c r="F17" i="2"/>
  <c r="E17" i="2"/>
  <c r="D17" i="2"/>
  <c r="G16" i="2"/>
  <c r="F16" i="2"/>
  <c r="E16" i="2"/>
  <c r="F15" i="2"/>
  <c r="E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E9" i="2"/>
  <c r="G8" i="2"/>
  <c r="F8" i="2"/>
  <c r="E8" i="2"/>
  <c r="D8" i="2"/>
  <c r="G7" i="2"/>
  <c r="F7" i="2"/>
  <c r="E7" i="2"/>
  <c r="D7" i="2"/>
  <c r="G6" i="2"/>
  <c r="E6" i="2"/>
  <c r="D6" i="2"/>
  <c r="G5" i="2"/>
  <c r="E5" i="2"/>
  <c r="D5" i="2"/>
  <c r="G4" i="2"/>
  <c r="E4" i="2"/>
  <c r="D4" i="2"/>
  <c r="G3" i="2"/>
  <c r="D3" i="2"/>
</calcChain>
</file>

<file path=xl/sharedStrings.xml><?xml version="1.0" encoding="utf-8"?>
<sst xmlns="http://schemas.openxmlformats.org/spreadsheetml/2006/main" count="294" uniqueCount="256">
  <si>
    <t>Blend Type</t>
  </si>
  <si>
    <t>100% PC</t>
  </si>
  <si>
    <t>80% PC + 20% GPP</t>
  </si>
  <si>
    <t>70% PC + 30% GPP</t>
  </si>
  <si>
    <t>60% PC + 40% GPP</t>
  </si>
  <si>
    <t>50% PC + 50% GPP</t>
  </si>
  <si>
    <t>40% PC + 60% GPP</t>
  </si>
  <si>
    <t>30% PC + 70% GPP</t>
  </si>
  <si>
    <t>40% GPP + 60% SC</t>
  </si>
  <si>
    <t>10% PC + 40% GPP + 50% SC</t>
  </si>
  <si>
    <t>20% PC + 40% GPP + 40% SC</t>
  </si>
  <si>
    <t>30% PC + 40% GPP + 30% SC</t>
  </si>
  <si>
    <t>40% PC + 40% GPP + 20% SC</t>
  </si>
  <si>
    <t>50% PC + 40% GPP + 10% SC</t>
  </si>
  <si>
    <t>30% PC + 60% GPP + 10% SC</t>
  </si>
  <si>
    <t>30% PC + 50% GPP + 20% SC</t>
  </si>
  <si>
    <t>30% PC + 30% GPP + 40% SC</t>
  </si>
  <si>
    <t>30% PC + 20% GPP + 50% SC</t>
  </si>
  <si>
    <t>30% PC + 10% GPP + 60% SC</t>
  </si>
  <si>
    <t>30% PC + 30% GPP + 40% CC</t>
  </si>
  <si>
    <t>30% PC + 50% GPP + 20% CC</t>
  </si>
  <si>
    <t>30% PC + 40% GPP + 30% CC</t>
  </si>
  <si>
    <t>30% PC + 60% GPP + 10% CC</t>
  </si>
  <si>
    <t>30% PC + 50% GPP + 20% FA</t>
  </si>
  <si>
    <t>30% PC + 40% GPP + 30% FA</t>
  </si>
  <si>
    <t>50% PC + 40% GPP + 10% VA</t>
  </si>
  <si>
    <t>40% PC + 40% GPP + 20% VA</t>
  </si>
  <si>
    <t>30% PC + 10% GPP + 60% VA</t>
  </si>
  <si>
    <t>30% PC + 20% GPP + 50% VA</t>
  </si>
  <si>
    <t>30% PC + 30% GPP + 40% VA</t>
  </si>
  <si>
    <t>30% PC + 50% GPP + 20% VA</t>
  </si>
  <si>
    <t>50% PC + 40% GPP + 10% GBA</t>
  </si>
  <si>
    <t>40% PC + 40% GPP + 20% GBA</t>
  </si>
  <si>
    <t>30% PC + 10% GPP + 60% GBA</t>
  </si>
  <si>
    <t>30% PC + 20% GPP + 50% GBA</t>
  </si>
  <si>
    <t>30% PC + 30% GPP + 40% GBA</t>
  </si>
  <si>
    <t>30% PC + 50% GPP + 20% GBA</t>
  </si>
  <si>
    <t>50% PC + 40% GPP + 10% FBC</t>
  </si>
  <si>
    <t>40% PC + 40% GPP + 20% FBC</t>
  </si>
  <si>
    <t>30% PC + 10% GPP + 60% FBC</t>
  </si>
  <si>
    <t>30% PC + 20% GPP + 50% FBC</t>
  </si>
  <si>
    <t>30% PC + 30% GPP + 40% FBC</t>
  </si>
  <si>
    <t>30% PC + 50% GPP + 20% FBC</t>
  </si>
  <si>
    <t>80% PC + 20% QUARTZ</t>
  </si>
  <si>
    <t>70% PC + 30% QUARTZ</t>
  </si>
  <si>
    <t>60% PC + 40% QUARTZ</t>
  </si>
  <si>
    <t>50% PC + 50% QUARTZ</t>
  </si>
  <si>
    <t>40% PC + 60% QUARTZ</t>
  </si>
  <si>
    <t>30% PC + 70% QUARTZ</t>
  </si>
  <si>
    <t>100% PLC</t>
  </si>
  <si>
    <t>90% PLC + 10% GPP</t>
  </si>
  <si>
    <t>80% PLC + 20% GPP</t>
  </si>
  <si>
    <t>70% PLC + 30% GPP</t>
  </si>
  <si>
    <t>60% PLC + 40% GPP</t>
  </si>
  <si>
    <t>50% PLC + 50% GPP</t>
  </si>
  <si>
    <t>40% PLC + 40% GPP + 20% SC</t>
  </si>
  <si>
    <t>50% PLC + 40% GPP + 10% SC</t>
  </si>
  <si>
    <t>30% PLC + 50% GPP + 20% SC</t>
  </si>
  <si>
    <t>30% PLC + 30% GPP + 40% SC</t>
  </si>
  <si>
    <t>30% PLC + 20% GPP + 50% SC</t>
  </si>
  <si>
    <t>30% PLC + 10% GPP + 60% SC</t>
  </si>
  <si>
    <t>30% PLC + 20% GPP + 50% FA</t>
  </si>
  <si>
    <t>30% PLC + 50% GPP + 20% FA</t>
  </si>
  <si>
    <t>30% PLC + 40% GPP + 30% FA</t>
  </si>
  <si>
    <t>30% PLC + 30% GPP + 40% FA</t>
  </si>
  <si>
    <t>50% PLC + 40% GPP + 10% VA</t>
  </si>
  <si>
    <t>40% PLC + 40% GPP + 20% VA</t>
  </si>
  <si>
    <t>30% PLC + 10% GPP + 60% VA</t>
  </si>
  <si>
    <t>30% PLC + 20% GPP + 50% VA</t>
  </si>
  <si>
    <t>30% PLC + 30% GPP + 40% VA</t>
  </si>
  <si>
    <t>30% PLC + 50% GPP + 20% VA</t>
  </si>
  <si>
    <t>50% PLC + 40% GPP + 10% GBA</t>
  </si>
  <si>
    <t>40% PLC + 40% GPP + 20% GBA</t>
  </si>
  <si>
    <t>30% PLC + 10% GPP + 60% GBA</t>
  </si>
  <si>
    <t>30% PLC + 20% GPP + 50% GBA</t>
  </si>
  <si>
    <t>30% PLC + 30% GPP + 40% GBA</t>
  </si>
  <si>
    <t>30% PLC + 50% GPP + 20% GBA</t>
  </si>
  <si>
    <t>50% PLC + 40% GPP + 10% FBC</t>
  </si>
  <si>
    <t>40% PLC + 40% GPP + 20% FBC</t>
  </si>
  <si>
    <t>30% PLC + 10% GPP + 60% FBC</t>
  </si>
  <si>
    <t>30% PLC + 20% GPP + 50% FBC</t>
  </si>
  <si>
    <t>30% PLC + 30% GPP + 40% FBC</t>
  </si>
  <si>
    <t>30% PLC + 50% GPP + 20% FBC</t>
  </si>
  <si>
    <t>30% PLC + 50% GPP + 20% CC</t>
  </si>
  <si>
    <t>30% PLC + 40% GPP + 30% CC</t>
  </si>
  <si>
    <t>30% PLC + 30% GPP + 40% CC</t>
  </si>
  <si>
    <t>90% PLC + 10% QUARTZ</t>
  </si>
  <si>
    <t>80% PLC + 20% QUARTZ</t>
  </si>
  <si>
    <t>70% PLC + 30% QUARTZ</t>
  </si>
  <si>
    <t>60% PLC + 40% QUARTZ</t>
  </si>
  <si>
    <t>50% PLC + 50% QUARTZ</t>
  </si>
  <si>
    <t>Sl. No</t>
  </si>
  <si>
    <t>w/c ratio</t>
  </si>
  <si>
    <t>Compressive strength (psi)</t>
  </si>
  <si>
    <t>7 days</t>
  </si>
  <si>
    <t>28 days</t>
  </si>
  <si>
    <t>56 days</t>
  </si>
  <si>
    <t>90 days</t>
  </si>
  <si>
    <t>20% GP + 80% OPC</t>
  </si>
  <si>
    <t>30% GP + 70% OPC</t>
  </si>
  <si>
    <t>40% GP + 60% OPC</t>
  </si>
  <si>
    <t>50% GP + 50% OPC</t>
  </si>
  <si>
    <t>60% GP + 40% OPC</t>
  </si>
  <si>
    <t>70% GP + 30% OPC</t>
  </si>
  <si>
    <t>100% OPC</t>
  </si>
  <si>
    <t>OPC Type 1 40% + 40% GP + 20% Slag</t>
  </si>
  <si>
    <t>OPC Type 1 50% + 40% GP + 10% Slag</t>
  </si>
  <si>
    <t>OPC Type 1 30% + 50% GP + 20% Slag</t>
  </si>
  <si>
    <t>OPC Type 1 30% + 30% GP + 40% Slag</t>
  </si>
  <si>
    <t>OPC Type 1 30% + 10% GP + 60% Slag</t>
  </si>
  <si>
    <t>OPC Type 1 30 % + 30% GP + 40% CC2</t>
  </si>
  <si>
    <t>OPC Type 1 30 % + 40% GP + 30% CC2</t>
  </si>
  <si>
    <t>OPC Type 1 30% + 40% GP + 30% Class C Fly ash</t>
  </si>
  <si>
    <t>Repeated 16</t>
  </si>
  <si>
    <t>OPC Type 1 30% + 30% GP + 40% Class C Fly ash</t>
  </si>
  <si>
    <t>Type 1L Cement 30% + 40% GP + 30% Class C Fly ash</t>
  </si>
  <si>
    <t>Type 1L Cement 30% + 30% GP + 40% Class C Fly ash</t>
  </si>
  <si>
    <t>Type 1L Cement 100%</t>
  </si>
  <si>
    <t>Type 1L Cement + 10% GP</t>
  </si>
  <si>
    <t>Repeated</t>
  </si>
  <si>
    <t>Type 1L Cement + 20% GP</t>
  </si>
  <si>
    <t>Type 1L Cement + 30% GP</t>
  </si>
  <si>
    <t>Type 1L Cement + 40% GP</t>
  </si>
  <si>
    <t>Type 1L Cement + 50% GP</t>
  </si>
  <si>
    <t>Type 1L Cement 50% + 40% GP + 10% Slag</t>
  </si>
  <si>
    <t>Type 1L Cement 40% + 40% GP + 20% Slag</t>
  </si>
  <si>
    <t>Type 1L Cement 30% + 30% GP + 40% Slag</t>
  </si>
  <si>
    <t>Type 1L Cement 30% + 20% GP + 50% Slag</t>
  </si>
  <si>
    <t>Type 1L Cement 30% + 10% GP + 60% Slag</t>
  </si>
  <si>
    <t>OPC Cement 50% + 40% GP + 10% VA2</t>
  </si>
  <si>
    <t>OPC Cement 40% + 40% GP + 20% VA2</t>
  </si>
  <si>
    <t>OPC Cement 50% + 40% GP + 10% GBA</t>
  </si>
  <si>
    <t>OPC Cement 40% + 40% GP + 20% GBA</t>
  </si>
  <si>
    <t>OPC Cement 50% + 40% GP + 10% FBC</t>
  </si>
  <si>
    <t>OPC Cement 40% + 40% GP + 20% FBC</t>
  </si>
  <si>
    <t>Type 1L 50% + 40% GP + 10% VA2</t>
  </si>
  <si>
    <t>Type 1L 40% + 40% GP + 20% VA2</t>
  </si>
  <si>
    <t>Type 1L 50% + 40% GP + 10% FBC1</t>
  </si>
  <si>
    <t>Type 1L 40% + 40% GP + 20% FBC1</t>
  </si>
  <si>
    <t>Type 1L 50% + 40% GP + 10% GBA</t>
  </si>
  <si>
    <t>Type 1L 40% + 40% GP + 20% GBA</t>
  </si>
  <si>
    <t>PLC 90% + 10% QUARTZ</t>
  </si>
  <si>
    <t>PLC 80% + 20% QUARTZ</t>
  </si>
  <si>
    <t>PLC 70% + 30% QUARTZ</t>
  </si>
  <si>
    <t>PLC 60% + 40% QUARTZ</t>
  </si>
  <si>
    <t>PLC 50% + 50% QUARTZ</t>
  </si>
  <si>
    <t>OPC 80% + 20% QUARTZ</t>
  </si>
  <si>
    <t>OPC 70% + 30% QUARTZ</t>
  </si>
  <si>
    <t>OPC 60% + 40% QUARTZ</t>
  </si>
  <si>
    <t>OPC 50% + 50% QUARTZ</t>
  </si>
  <si>
    <t>OPC 40% + 60% QUARTZ</t>
  </si>
  <si>
    <t>OPC 30% + 70% QUARTZ</t>
  </si>
  <si>
    <t>OPC 30% + 50% GP + 20% CC</t>
  </si>
  <si>
    <t>PLC 30% + 50% GP + 20% CC</t>
  </si>
  <si>
    <t>PLC 30% + 40% GP + 30% CC</t>
  </si>
  <si>
    <t>PLC 30% + 30% GP + 40% CC</t>
  </si>
  <si>
    <t>Flow (mm)</t>
  </si>
  <si>
    <t>Water-binder ratio</t>
  </si>
  <si>
    <t>7 days SAI</t>
  </si>
  <si>
    <t>28 days SAI</t>
  </si>
  <si>
    <t>56 days SAI</t>
  </si>
  <si>
    <t>90 days SAI</t>
  </si>
  <si>
    <t>173 ± 5</t>
  </si>
  <si>
    <t>-</t>
  </si>
  <si>
    <t>20% GPP + 80% PC</t>
  </si>
  <si>
    <t>30% GPP + 70% PC</t>
  </si>
  <si>
    <t>40% GPP + 60% PC</t>
  </si>
  <si>
    <t>50% GPP + 50% PC</t>
  </si>
  <si>
    <t>60% GPP + 40% PC</t>
  </si>
  <si>
    <t>70% GPP + 30% PC</t>
  </si>
  <si>
    <t>PC 40% + 40% GPP + 20% SC</t>
  </si>
  <si>
    <t>PC 50% + 40% GPP + 10% SC</t>
  </si>
  <si>
    <t>PC 30% + 50% GPP + 20% SC</t>
  </si>
  <si>
    <t>PC 30% + 30% GPP + 40% SC</t>
  </si>
  <si>
    <t>PC 30% + 10% GPP + 60% SC</t>
  </si>
  <si>
    <t>PC 30 % + 30% GPP + 40% CC</t>
  </si>
  <si>
    <t>PC 30 % + 40% GPP + 30% CC</t>
  </si>
  <si>
    <t>PC 30% + 50% GPP + 20% CC</t>
  </si>
  <si>
    <t>PC 30% + 40% GPP + 30% FA</t>
  </si>
  <si>
    <t>PC 30% + 30% GPP + 40% FA</t>
  </si>
  <si>
    <t>PC 50% + 40% GPP + 10% VA</t>
  </si>
  <si>
    <t>PC 40% + 40% GPP + 20% VA</t>
  </si>
  <si>
    <t>PC 50% + 40% GPP + 10% GBA</t>
  </si>
  <si>
    <t>PC 40% + 40% GPP + 20% GBA</t>
  </si>
  <si>
    <t>PC 50% + 40% GPP + 10% FBC</t>
  </si>
  <si>
    <t>PC 40% + 40% GPP + 20% FBC</t>
  </si>
  <si>
    <t>PC 80% + 20% QUARTZ</t>
  </si>
  <si>
    <t>PC 70% + 30% QUARTZ</t>
  </si>
  <si>
    <t>PC 60% + 40% QUARTZ</t>
  </si>
  <si>
    <t>PC 50% + 50% QUARTZ</t>
  </si>
  <si>
    <t>PC 40% + 60% QUARTZ</t>
  </si>
  <si>
    <t>PC 30% + 70% QUARTZ</t>
  </si>
  <si>
    <t>PLC 90% + 10% GPP</t>
  </si>
  <si>
    <t>PLC 80% + 20% GPP</t>
  </si>
  <si>
    <t>PLC 70% + 30% GPP</t>
  </si>
  <si>
    <t>PLC 60% + 40% GPP</t>
  </si>
  <si>
    <t>PLC 50% + 50% GPP</t>
  </si>
  <si>
    <t>164±5</t>
  </si>
  <si>
    <t>PLC 30% + 30% GPP + 40% FA</t>
  </si>
  <si>
    <t>PLC 30% + 40% GPP + 30% FA</t>
  </si>
  <si>
    <t>PLC 50% + 40% GPP + 10% SC</t>
  </si>
  <si>
    <t>PLC 40% + 40% GPP + 20% SC</t>
  </si>
  <si>
    <t>PLC 30% + 30% GPP + 40% SC</t>
  </si>
  <si>
    <t>PLC 30% + 20% GPP + 50% SC</t>
  </si>
  <si>
    <t>PLC 30% + 10% GPP + 60% SC</t>
  </si>
  <si>
    <t>PLC 50% + 40% GPP + 10% VA</t>
  </si>
  <si>
    <t>PLC 40% + 40% GPP + 20% VA</t>
  </si>
  <si>
    <t>PLC 50% + 40% GPP + 10% FBC</t>
  </si>
  <si>
    <t>PLC 40% + 40% GPP + 20% FBC</t>
  </si>
  <si>
    <t>PLC 50% + 40% GPP + 10% GBA</t>
  </si>
  <si>
    <t>PLC 40% + 40% GPP + 20% GBA</t>
  </si>
  <si>
    <t>PLC 30% + 50% GPP + 20% CC</t>
  </si>
  <si>
    <t>PLC 30% + 40% GPP + 30% CC</t>
  </si>
  <si>
    <t>PLC 30% + 30% GPP + 40% CC</t>
  </si>
  <si>
    <t>Sample title</t>
  </si>
  <si>
    <t>Bound water (g H2O/100g paste)</t>
  </si>
  <si>
    <t>CH consumption (g CH/100g SCM)</t>
  </si>
  <si>
    <t>GP</t>
  </si>
  <si>
    <t>CFA</t>
  </si>
  <si>
    <t>CC</t>
  </si>
  <si>
    <t>SLAG</t>
  </si>
  <si>
    <t>GBA</t>
  </si>
  <si>
    <t>FBC</t>
  </si>
  <si>
    <t>VA</t>
  </si>
  <si>
    <t>QP</t>
  </si>
  <si>
    <t>CC BINARY</t>
  </si>
  <si>
    <t>5GP 2CC</t>
  </si>
  <si>
    <t>4GP 3CC</t>
  </si>
  <si>
    <t>3GP 4CC</t>
  </si>
  <si>
    <t>SC BINARY</t>
  </si>
  <si>
    <t>4GP 2SC</t>
  </si>
  <si>
    <t>4GP 1SC</t>
  </si>
  <si>
    <t>3GP 4SC</t>
  </si>
  <si>
    <t>1GP 6SC</t>
  </si>
  <si>
    <t>5GP 2SC</t>
  </si>
  <si>
    <t>2GP 5SC</t>
  </si>
  <si>
    <t>FA BINARY</t>
  </si>
  <si>
    <t>4GP 3FA</t>
  </si>
  <si>
    <t>3GP 4FA</t>
  </si>
  <si>
    <t>VA BINARY</t>
  </si>
  <si>
    <t>4GP 1VA</t>
  </si>
  <si>
    <t>4GP 2VA</t>
  </si>
  <si>
    <t>GBA BINARY</t>
  </si>
  <si>
    <t>4GP 1GBA</t>
  </si>
  <si>
    <t>4GP 2GBA</t>
  </si>
  <si>
    <t>FBC BINARY</t>
  </si>
  <si>
    <t xml:space="preserve">4GP 1FBC </t>
  </si>
  <si>
    <t>4GP 2FBC</t>
  </si>
  <si>
    <t>Heat release (J/g SCM) 10 days 50 C</t>
  </si>
  <si>
    <t>Cumulative Heat (J/g) 7 days 25 C</t>
  </si>
  <si>
    <t>col</t>
  </si>
  <si>
    <t>D10</t>
  </si>
  <si>
    <t>D50</t>
  </si>
  <si>
    <t>D90</t>
  </si>
  <si>
    <t>PC</t>
  </si>
  <si>
    <t xml:space="preserve">Prediction of Reacytivity and sttength acticity based on physical properties and chemical compostitons using ststistcial analysis in glass powder based cementiouus blends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</si>
</sst>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D0D0D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workbookViewId="0">
      <selection activeCell="B2" sqref="B2"/>
    </sheetView>
  </sheetViews>
  <sheetFormatPr defaultRowHeight="14.4" x14ac:dyDescent="0.3"/>
  <cols>
    <col min="1" max="1" width="51.109375" customWidth="1"/>
    <col min="2" max="2" width="24.44140625" customWidth="1"/>
  </cols>
  <sheetData>
    <row r="1" spans="1:2" ht="15.6" x14ac:dyDescent="0.3">
      <c r="A1" s="1" t="s">
        <v>0</v>
      </c>
      <c r="B1" s="1" t="s">
        <v>249</v>
      </c>
    </row>
    <row r="2" spans="1:2" ht="15.6" x14ac:dyDescent="0.3">
      <c r="A2" s="2" t="s">
        <v>1</v>
      </c>
      <c r="B2" s="3">
        <v>323.16000000000003</v>
      </c>
    </row>
    <row r="3" spans="1:2" ht="15.6" x14ac:dyDescent="0.3">
      <c r="A3" s="2" t="s">
        <v>2</v>
      </c>
      <c r="B3" s="3">
        <v>297.77</v>
      </c>
    </row>
    <row r="4" spans="1:2" ht="15.6" x14ac:dyDescent="0.3">
      <c r="A4" s="2" t="s">
        <v>3</v>
      </c>
      <c r="B4" s="3">
        <v>311.39999999999998</v>
      </c>
    </row>
    <row r="5" spans="1:2" ht="15.6" x14ac:dyDescent="0.3">
      <c r="A5" s="2" t="s">
        <v>4</v>
      </c>
      <c r="B5" s="3">
        <v>265.35000000000002</v>
      </c>
    </row>
    <row r="6" spans="1:2" ht="15.6" x14ac:dyDescent="0.3">
      <c r="A6" s="2" t="s">
        <v>5</v>
      </c>
      <c r="B6" s="3">
        <v>225.05</v>
      </c>
    </row>
    <row r="7" spans="1:2" ht="15.6" x14ac:dyDescent="0.3">
      <c r="A7" s="2" t="s">
        <v>6</v>
      </c>
      <c r="B7" s="3">
        <v>216.62</v>
      </c>
    </row>
    <row r="8" spans="1:2" ht="15.6" x14ac:dyDescent="0.3">
      <c r="A8" s="2" t="s">
        <v>7</v>
      </c>
      <c r="B8" s="3">
        <v>160.63999999999999</v>
      </c>
    </row>
    <row r="9" spans="1:2" ht="15.6" x14ac:dyDescent="0.3">
      <c r="A9" s="2" t="s">
        <v>8</v>
      </c>
      <c r="B9" s="3">
        <v>11.24</v>
      </c>
    </row>
    <row r="10" spans="1:2" ht="15.6" x14ac:dyDescent="0.3">
      <c r="A10" s="2" t="s">
        <v>9</v>
      </c>
      <c r="B10" s="3">
        <v>115.7</v>
      </c>
    </row>
    <row r="11" spans="1:2" ht="15.6" x14ac:dyDescent="0.3">
      <c r="A11" s="2" t="s">
        <v>10</v>
      </c>
      <c r="B11" s="3">
        <v>149.97999999999999</v>
      </c>
    </row>
    <row r="12" spans="1:2" ht="15.6" x14ac:dyDescent="0.3">
      <c r="A12" s="2" t="s">
        <v>11</v>
      </c>
      <c r="B12" s="3">
        <v>180.43</v>
      </c>
    </row>
    <row r="13" spans="1:2" ht="15.6" x14ac:dyDescent="0.3">
      <c r="A13" s="2" t="s">
        <v>12</v>
      </c>
      <c r="B13" s="3">
        <v>210.39</v>
      </c>
    </row>
    <row r="14" spans="1:2" ht="15.6" x14ac:dyDescent="0.3">
      <c r="A14" s="2" t="s">
        <v>13</v>
      </c>
      <c r="B14" s="3">
        <v>231.67</v>
      </c>
    </row>
    <row r="15" spans="1:2" ht="15.6" x14ac:dyDescent="0.3">
      <c r="A15" s="2" t="s">
        <v>14</v>
      </c>
      <c r="B15" s="3">
        <v>183.33</v>
      </c>
    </row>
    <row r="16" spans="1:2" ht="15.6" x14ac:dyDescent="0.3">
      <c r="A16" s="2" t="s">
        <v>15</v>
      </c>
      <c r="B16" s="3">
        <v>202.64</v>
      </c>
    </row>
    <row r="17" spans="1:2" ht="15.6" x14ac:dyDescent="0.3">
      <c r="A17" s="2" t="s">
        <v>16</v>
      </c>
      <c r="B17" s="3">
        <v>217.65</v>
      </c>
    </row>
    <row r="18" spans="1:2" ht="15.6" x14ac:dyDescent="0.3">
      <c r="A18" s="2" t="s">
        <v>17</v>
      </c>
      <c r="B18" s="3">
        <v>194.64</v>
      </c>
    </row>
    <row r="19" spans="1:2" ht="15.6" x14ac:dyDescent="0.3">
      <c r="A19" s="2" t="s">
        <v>18</v>
      </c>
      <c r="B19" s="3">
        <v>222.55</v>
      </c>
    </row>
    <row r="20" spans="1:2" ht="15.6" x14ac:dyDescent="0.3">
      <c r="A20" s="2" t="s">
        <v>19</v>
      </c>
      <c r="B20" s="3">
        <v>179.39</v>
      </c>
    </row>
    <row r="21" spans="1:2" ht="15.6" x14ac:dyDescent="0.3">
      <c r="A21" s="2" t="s">
        <v>20</v>
      </c>
      <c r="B21" s="3">
        <v>184.9</v>
      </c>
    </row>
    <row r="22" spans="1:2" ht="15.6" x14ac:dyDescent="0.3">
      <c r="A22" s="2" t="s">
        <v>21</v>
      </c>
      <c r="B22" s="3">
        <v>188.98</v>
      </c>
    </row>
    <row r="23" spans="1:2" ht="15.6" x14ac:dyDescent="0.3">
      <c r="A23" s="2" t="s">
        <v>22</v>
      </c>
      <c r="B23" s="3">
        <v>168.53</v>
      </c>
    </row>
    <row r="24" spans="1:2" ht="15.6" x14ac:dyDescent="0.3">
      <c r="A24" s="2" t="s">
        <v>20</v>
      </c>
      <c r="B24" s="3">
        <v>174.9</v>
      </c>
    </row>
    <row r="25" spans="1:2" ht="15.6" x14ac:dyDescent="0.3">
      <c r="A25" s="2" t="s">
        <v>21</v>
      </c>
      <c r="B25" s="3">
        <v>176.09</v>
      </c>
    </row>
    <row r="26" spans="1:2" ht="15.6" x14ac:dyDescent="0.3">
      <c r="A26" s="2" t="s">
        <v>23</v>
      </c>
      <c r="B26" s="3">
        <v>192.39</v>
      </c>
    </row>
    <row r="27" spans="1:2" ht="15.6" x14ac:dyDescent="0.3">
      <c r="A27" s="2" t="s">
        <v>24</v>
      </c>
      <c r="B27" s="3">
        <v>198.8</v>
      </c>
    </row>
    <row r="28" spans="1:2" ht="15.6" x14ac:dyDescent="0.3">
      <c r="A28" s="2" t="s">
        <v>25</v>
      </c>
      <c r="B28" s="3">
        <v>214.68</v>
      </c>
    </row>
    <row r="29" spans="1:2" ht="15.6" x14ac:dyDescent="0.3">
      <c r="A29" s="2" t="s">
        <v>26</v>
      </c>
      <c r="B29" s="3">
        <v>186.85</v>
      </c>
    </row>
    <row r="30" spans="1:2" ht="15.6" x14ac:dyDescent="0.3">
      <c r="A30" s="2" t="s">
        <v>27</v>
      </c>
      <c r="B30" s="3">
        <v>154.31</v>
      </c>
    </row>
    <row r="31" spans="1:2" ht="15.6" x14ac:dyDescent="0.3">
      <c r="A31" s="2" t="s">
        <v>28</v>
      </c>
      <c r="B31" s="3">
        <v>154.12</v>
      </c>
    </row>
    <row r="32" spans="1:2" ht="15.6" x14ac:dyDescent="0.3">
      <c r="A32" s="2" t="s">
        <v>29</v>
      </c>
      <c r="B32" s="3">
        <v>143.78</v>
      </c>
    </row>
    <row r="33" spans="1:2" ht="15.6" x14ac:dyDescent="0.3">
      <c r="A33" s="2" t="s">
        <v>30</v>
      </c>
      <c r="B33" s="3">
        <v>157.66999999999999</v>
      </c>
    </row>
    <row r="34" spans="1:2" ht="15.6" x14ac:dyDescent="0.3">
      <c r="A34" s="2" t="s">
        <v>31</v>
      </c>
      <c r="B34" s="3">
        <v>229.1</v>
      </c>
    </row>
    <row r="35" spans="1:2" ht="15.6" x14ac:dyDescent="0.3">
      <c r="A35" s="2" t="s">
        <v>32</v>
      </c>
      <c r="B35" s="3">
        <v>196.69</v>
      </c>
    </row>
    <row r="36" spans="1:2" ht="15.6" x14ac:dyDescent="0.3">
      <c r="A36" s="2" t="s">
        <v>33</v>
      </c>
      <c r="B36" s="3">
        <v>164.78</v>
      </c>
    </row>
    <row r="37" spans="1:2" ht="15.6" x14ac:dyDescent="0.3">
      <c r="A37" s="2" t="s">
        <v>34</v>
      </c>
      <c r="B37" s="3">
        <v>162.18</v>
      </c>
    </row>
    <row r="38" spans="1:2" ht="15.6" x14ac:dyDescent="0.3">
      <c r="A38" s="2" t="s">
        <v>35</v>
      </c>
      <c r="B38" s="3">
        <v>153.84</v>
      </c>
    </row>
    <row r="39" spans="1:2" ht="15.6" x14ac:dyDescent="0.3">
      <c r="A39" s="2" t="s">
        <v>36</v>
      </c>
      <c r="B39" s="3">
        <v>160.08000000000001</v>
      </c>
    </row>
    <row r="40" spans="1:2" ht="15.6" x14ac:dyDescent="0.3">
      <c r="A40" s="2" t="s">
        <v>37</v>
      </c>
      <c r="B40" s="3">
        <v>230.78</v>
      </c>
    </row>
    <row r="41" spans="1:2" ht="15.6" x14ac:dyDescent="0.3">
      <c r="A41" s="2" t="s">
        <v>38</v>
      </c>
      <c r="B41" s="3">
        <v>198.62</v>
      </c>
    </row>
    <row r="42" spans="1:2" ht="15.6" x14ac:dyDescent="0.3">
      <c r="A42" s="2" t="s">
        <v>39</v>
      </c>
      <c r="B42" s="3">
        <v>173.4</v>
      </c>
    </row>
    <row r="43" spans="1:2" ht="15.6" x14ac:dyDescent="0.3">
      <c r="A43" s="2" t="s">
        <v>40</v>
      </c>
      <c r="B43" s="3">
        <v>170.58</v>
      </c>
    </row>
    <row r="44" spans="1:2" ht="15.6" x14ac:dyDescent="0.3">
      <c r="A44" s="2" t="s">
        <v>41</v>
      </c>
      <c r="B44" s="3">
        <v>160.54</v>
      </c>
    </row>
    <row r="45" spans="1:2" ht="15.6" x14ac:dyDescent="0.3">
      <c r="A45" s="2" t="s">
        <v>42</v>
      </c>
      <c r="B45" s="3">
        <v>167.01</v>
      </c>
    </row>
    <row r="46" spans="1:2" ht="15.6" x14ac:dyDescent="0.3">
      <c r="A46" s="2" t="s">
        <v>43</v>
      </c>
      <c r="B46" s="3">
        <v>295.44</v>
      </c>
    </row>
    <row r="47" spans="1:2" ht="15.6" x14ac:dyDescent="0.3">
      <c r="A47" s="2" t="s">
        <v>44</v>
      </c>
      <c r="B47" s="3">
        <v>275.55</v>
      </c>
    </row>
    <row r="48" spans="1:2" ht="15.6" x14ac:dyDescent="0.3">
      <c r="A48" s="2" t="s">
        <v>45</v>
      </c>
      <c r="B48" s="3">
        <v>256.01</v>
      </c>
    </row>
    <row r="49" spans="1:2" ht="15.6" x14ac:dyDescent="0.3">
      <c r="A49" s="2" t="s">
        <v>46</v>
      </c>
      <c r="B49" s="3">
        <v>224.65</v>
      </c>
    </row>
    <row r="50" spans="1:2" ht="15.6" x14ac:dyDescent="0.3">
      <c r="A50" s="2" t="s">
        <v>47</v>
      </c>
      <c r="B50" s="3">
        <v>180.19</v>
      </c>
    </row>
    <row r="51" spans="1:2" ht="15.6" x14ac:dyDescent="0.3">
      <c r="A51" s="2" t="s">
        <v>48</v>
      </c>
      <c r="B51" s="3">
        <v>145.38999999999999</v>
      </c>
    </row>
    <row r="52" spans="1:2" ht="15.6" x14ac:dyDescent="0.3">
      <c r="A52" s="2" t="s">
        <v>49</v>
      </c>
      <c r="B52" s="3">
        <v>303.14999999999998</v>
      </c>
    </row>
    <row r="53" spans="1:2" ht="15.6" x14ac:dyDescent="0.3">
      <c r="A53" s="2" t="s">
        <v>50</v>
      </c>
      <c r="B53" s="3">
        <v>277.08999999999997</v>
      </c>
    </row>
    <row r="54" spans="1:2" ht="15.6" x14ac:dyDescent="0.3">
      <c r="A54" s="2" t="s">
        <v>51</v>
      </c>
      <c r="B54" s="3">
        <v>279.7</v>
      </c>
    </row>
    <row r="55" spans="1:2" ht="15.6" x14ac:dyDescent="0.3">
      <c r="A55" s="2" t="s">
        <v>52</v>
      </c>
      <c r="B55" s="3">
        <v>251.61</v>
      </c>
    </row>
    <row r="56" spans="1:2" ht="15.6" x14ac:dyDescent="0.3">
      <c r="A56" s="2" t="s">
        <v>53</v>
      </c>
      <c r="B56" s="3">
        <v>217.47</v>
      </c>
    </row>
    <row r="57" spans="1:2" ht="15.6" x14ac:dyDescent="0.3">
      <c r="A57" s="2" t="s">
        <v>54</v>
      </c>
      <c r="B57" s="3">
        <v>205.29</v>
      </c>
    </row>
    <row r="58" spans="1:2" ht="15.6" x14ac:dyDescent="0.3">
      <c r="A58" s="2" t="s">
        <v>55</v>
      </c>
      <c r="B58" s="3">
        <v>213.76</v>
      </c>
    </row>
    <row r="59" spans="1:2" ht="15.6" x14ac:dyDescent="0.3">
      <c r="A59" s="2" t="s">
        <v>56</v>
      </c>
      <c r="B59" s="3">
        <v>226.73</v>
      </c>
    </row>
    <row r="60" spans="1:2" ht="15.6" x14ac:dyDescent="0.3">
      <c r="A60" s="2" t="s">
        <v>57</v>
      </c>
      <c r="B60" s="3">
        <v>172.69</v>
      </c>
    </row>
    <row r="61" spans="1:2" ht="15.6" x14ac:dyDescent="0.3">
      <c r="A61" s="2" t="s">
        <v>58</v>
      </c>
      <c r="B61" s="3">
        <v>208.62</v>
      </c>
    </row>
    <row r="62" spans="1:2" ht="15.6" x14ac:dyDescent="0.3">
      <c r="A62" s="2" t="s">
        <v>59</v>
      </c>
      <c r="B62" s="3">
        <v>209.87</v>
      </c>
    </row>
    <row r="63" spans="1:2" ht="15.6" x14ac:dyDescent="0.3">
      <c r="A63" s="2" t="s">
        <v>60</v>
      </c>
      <c r="B63" s="3">
        <v>214.36</v>
      </c>
    </row>
    <row r="64" spans="1:2" ht="15.6" x14ac:dyDescent="0.3">
      <c r="A64" s="2" t="s">
        <v>61</v>
      </c>
      <c r="B64" s="3">
        <v>200.71</v>
      </c>
    </row>
    <row r="65" spans="1:2" ht="15.6" x14ac:dyDescent="0.3">
      <c r="A65" s="2" t="s">
        <v>62</v>
      </c>
      <c r="B65" s="3">
        <v>171.45</v>
      </c>
    </row>
    <row r="66" spans="1:2" ht="15.6" x14ac:dyDescent="0.3">
      <c r="A66" s="2" t="s">
        <v>63</v>
      </c>
      <c r="B66" s="3">
        <v>171.81</v>
      </c>
    </row>
    <row r="67" spans="1:2" ht="15.6" x14ac:dyDescent="0.3">
      <c r="A67" s="2" t="s">
        <v>64</v>
      </c>
      <c r="B67" s="3">
        <v>183.75</v>
      </c>
    </row>
    <row r="68" spans="1:2" ht="15.6" x14ac:dyDescent="0.3">
      <c r="A68" s="2" t="s">
        <v>65</v>
      </c>
      <c r="B68" s="3">
        <v>218.85</v>
      </c>
    </row>
    <row r="69" spans="1:2" ht="15.6" x14ac:dyDescent="0.3">
      <c r="A69" s="2" t="s">
        <v>66</v>
      </c>
      <c r="B69" s="3">
        <v>192.98</v>
      </c>
    </row>
    <row r="70" spans="1:2" ht="15.6" x14ac:dyDescent="0.3">
      <c r="A70" s="2" t="s">
        <v>67</v>
      </c>
      <c r="B70" s="3">
        <v>159.34</v>
      </c>
    </row>
    <row r="71" spans="1:2" ht="15.6" x14ac:dyDescent="0.3">
      <c r="A71" s="2" t="s">
        <v>68</v>
      </c>
      <c r="B71" s="3">
        <v>156.32</v>
      </c>
    </row>
    <row r="72" spans="1:2" ht="15.6" x14ac:dyDescent="0.3">
      <c r="A72" s="2" t="s">
        <v>69</v>
      </c>
      <c r="B72" s="3">
        <v>146.46</v>
      </c>
    </row>
    <row r="73" spans="1:2" ht="15.6" x14ac:dyDescent="0.3">
      <c r="A73" s="2" t="s">
        <v>70</v>
      </c>
      <c r="B73" s="3">
        <v>155.75</v>
      </c>
    </row>
    <row r="74" spans="1:2" ht="15.6" x14ac:dyDescent="0.3">
      <c r="A74" s="2" t="s">
        <v>71</v>
      </c>
      <c r="B74" s="3">
        <v>223.43</v>
      </c>
    </row>
    <row r="75" spans="1:2" ht="15.6" x14ac:dyDescent="0.3">
      <c r="A75" s="2" t="s">
        <v>72</v>
      </c>
      <c r="B75" s="3">
        <v>189.47</v>
      </c>
    </row>
    <row r="76" spans="1:2" ht="15.6" x14ac:dyDescent="0.3">
      <c r="A76" s="2" t="s">
        <v>73</v>
      </c>
      <c r="B76" s="3">
        <v>159.32</v>
      </c>
    </row>
    <row r="77" spans="1:2" ht="15.6" x14ac:dyDescent="0.3">
      <c r="A77" s="2" t="s">
        <v>74</v>
      </c>
      <c r="B77" s="3">
        <v>153.43</v>
      </c>
    </row>
    <row r="78" spans="1:2" ht="15.6" x14ac:dyDescent="0.3">
      <c r="A78" s="2" t="s">
        <v>75</v>
      </c>
      <c r="B78" s="3">
        <v>147.33000000000001</v>
      </c>
    </row>
    <row r="79" spans="1:2" ht="15.6" x14ac:dyDescent="0.3">
      <c r="A79" s="2" t="s">
        <v>76</v>
      </c>
      <c r="B79" s="3">
        <v>156.75</v>
      </c>
    </row>
    <row r="80" spans="1:2" ht="15.6" x14ac:dyDescent="0.3">
      <c r="A80" s="2" t="s">
        <v>77</v>
      </c>
      <c r="B80" s="3">
        <v>219.27</v>
      </c>
    </row>
    <row r="81" spans="1:2" ht="15.6" x14ac:dyDescent="0.3">
      <c r="A81" s="2" t="s">
        <v>78</v>
      </c>
      <c r="B81" s="3">
        <v>188.79</v>
      </c>
    </row>
    <row r="82" spans="1:2" ht="15.6" x14ac:dyDescent="0.3">
      <c r="A82" s="2" t="s">
        <v>79</v>
      </c>
      <c r="B82" s="3">
        <v>162.91999999999999</v>
      </c>
    </row>
    <row r="83" spans="1:2" ht="15.6" x14ac:dyDescent="0.3">
      <c r="A83" s="2" t="s">
        <v>80</v>
      </c>
      <c r="B83" s="3">
        <v>154.77000000000001</v>
      </c>
    </row>
    <row r="84" spans="1:2" ht="15.6" x14ac:dyDescent="0.3">
      <c r="A84" s="2" t="s">
        <v>81</v>
      </c>
      <c r="B84" s="3">
        <v>150.44</v>
      </c>
    </row>
    <row r="85" spans="1:2" ht="15.6" x14ac:dyDescent="0.3">
      <c r="A85" s="2" t="s">
        <v>82</v>
      </c>
      <c r="B85" s="3">
        <v>157.05000000000001</v>
      </c>
    </row>
    <row r="86" spans="1:2" ht="15.6" x14ac:dyDescent="0.3">
      <c r="A86" s="2" t="s">
        <v>83</v>
      </c>
      <c r="B86" s="3">
        <v>159.07</v>
      </c>
    </row>
    <row r="87" spans="1:2" ht="15.6" x14ac:dyDescent="0.3">
      <c r="A87" s="2" t="s">
        <v>84</v>
      </c>
      <c r="B87" s="3">
        <v>163.78</v>
      </c>
    </row>
    <row r="88" spans="1:2" ht="15.6" x14ac:dyDescent="0.3">
      <c r="A88" s="2" t="s">
        <v>85</v>
      </c>
      <c r="B88" s="3">
        <v>164.96</v>
      </c>
    </row>
    <row r="89" spans="1:2" ht="15.6" x14ac:dyDescent="0.3">
      <c r="A89" s="2" t="s">
        <v>86</v>
      </c>
      <c r="B89" s="3">
        <v>297.95</v>
      </c>
    </row>
    <row r="90" spans="1:2" ht="15.6" x14ac:dyDescent="0.3">
      <c r="A90" s="2" t="s">
        <v>87</v>
      </c>
      <c r="B90" s="3">
        <v>281.86</v>
      </c>
    </row>
    <row r="91" spans="1:2" ht="15.6" x14ac:dyDescent="0.3">
      <c r="A91" s="2" t="s">
        <v>88</v>
      </c>
      <c r="B91" s="3">
        <v>264.26</v>
      </c>
    </row>
    <row r="92" spans="1:2" ht="15.6" x14ac:dyDescent="0.3">
      <c r="A92" s="2" t="s">
        <v>89</v>
      </c>
      <c r="B92" s="3">
        <v>237.75</v>
      </c>
    </row>
    <row r="93" spans="1:2" ht="15.6" x14ac:dyDescent="0.3">
      <c r="A93" s="2" t="s">
        <v>90</v>
      </c>
      <c r="B93" s="3">
        <v>200.71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B73C-CAF9-4590-9E24-9EC5C2EBA768}">
  <dimension ref="A1:G58"/>
  <sheetViews>
    <sheetView topLeftCell="A9" workbookViewId="0">
      <selection activeCell="B3" sqref="B3"/>
    </sheetView>
  </sheetViews>
  <sheetFormatPr defaultRowHeight="14.4" x14ac:dyDescent="0.3"/>
  <cols>
    <col min="1" max="1" width="12.6640625" customWidth="1"/>
    <col min="2" max="2" width="51" customWidth="1"/>
    <col min="3" max="3" width="11" customWidth="1"/>
  </cols>
  <sheetData>
    <row r="1" spans="1:7" ht="15.6" x14ac:dyDescent="0.3">
      <c r="A1" s="4" t="s">
        <v>91</v>
      </c>
      <c r="B1" s="1" t="s">
        <v>0</v>
      </c>
      <c r="C1" s="1" t="s">
        <v>92</v>
      </c>
      <c r="D1" s="28" t="s">
        <v>93</v>
      </c>
      <c r="E1" s="28"/>
      <c r="F1" s="28"/>
      <c r="G1" s="28"/>
    </row>
    <row r="2" spans="1:7" x14ac:dyDescent="0.3">
      <c r="D2" s="6" t="s">
        <v>94</v>
      </c>
      <c r="E2" s="6" t="s">
        <v>95</v>
      </c>
      <c r="F2" s="6" t="s">
        <v>96</v>
      </c>
      <c r="G2" s="6" t="s">
        <v>97</v>
      </c>
    </row>
    <row r="3" spans="1:7" ht="15.6" x14ac:dyDescent="0.3">
      <c r="A3">
        <v>1</v>
      </c>
      <c r="B3" s="2" t="s">
        <v>98</v>
      </c>
      <c r="C3" s="3">
        <v>0.47</v>
      </c>
      <c r="D3" s="7">
        <f>(3859+3558+3677)/3</f>
        <v>3698</v>
      </c>
      <c r="E3" s="8">
        <v>4103</v>
      </c>
      <c r="F3" s="8">
        <v>4492</v>
      </c>
      <c r="G3" s="3">
        <f>(6050+4563+5474)/3</f>
        <v>5362.333333333333</v>
      </c>
    </row>
    <row r="4" spans="1:7" ht="15.6" x14ac:dyDescent="0.3">
      <c r="A4">
        <v>2</v>
      </c>
      <c r="B4" s="2" t="s">
        <v>99</v>
      </c>
      <c r="C4" s="3">
        <v>0.47</v>
      </c>
      <c r="D4" s="7">
        <f>(2995+3140+2979)/3</f>
        <v>3038</v>
      </c>
      <c r="E4" s="8">
        <f>(3851+3827+4381)/3</f>
        <v>4019.6666666666665</v>
      </c>
      <c r="F4" s="8">
        <v>4743</v>
      </c>
      <c r="G4" s="3">
        <f>(4881+5356)/2</f>
        <v>5118.5</v>
      </c>
    </row>
    <row r="5" spans="1:7" ht="15.6" x14ac:dyDescent="0.3">
      <c r="A5">
        <v>3</v>
      </c>
      <c r="B5" s="2" t="s">
        <v>100</v>
      </c>
      <c r="C5" s="3">
        <v>0.46800000000000003</v>
      </c>
      <c r="D5" s="7">
        <f>(2785+2711+2426)/3</f>
        <v>2640.6666666666665</v>
      </c>
      <c r="E5" s="3">
        <f>(3684+3341+3273)/3</f>
        <v>3432.6666666666665</v>
      </c>
      <c r="F5" s="8">
        <v>4873</v>
      </c>
      <c r="G5" s="3">
        <f>(5124+5261+4911+4977)/4</f>
        <v>5068.25</v>
      </c>
    </row>
    <row r="6" spans="1:7" ht="15.6" x14ac:dyDescent="0.3">
      <c r="A6">
        <v>4</v>
      </c>
      <c r="B6" s="2" t="s">
        <v>101</v>
      </c>
      <c r="C6" s="3">
        <v>0.48399999999999999</v>
      </c>
      <c r="D6" s="7">
        <f>(1910+1985+1681)/3</f>
        <v>1858.6666666666667</v>
      </c>
      <c r="E6" s="3">
        <f>(3882+4164+3385)/3</f>
        <v>3810.3333333333335</v>
      </c>
      <c r="F6" s="8">
        <v>4675</v>
      </c>
      <c r="G6" s="3">
        <f>(5227+4951+5264+5112)/4</f>
        <v>5138.5</v>
      </c>
    </row>
    <row r="7" spans="1:7" ht="15.6" x14ac:dyDescent="0.3">
      <c r="A7">
        <v>5</v>
      </c>
      <c r="B7" s="2" t="s">
        <v>102</v>
      </c>
      <c r="C7" s="3">
        <v>0.5</v>
      </c>
      <c r="D7" s="3">
        <f>(1587+1644+1618)/3</f>
        <v>1616.3333333333333</v>
      </c>
      <c r="E7" s="3">
        <f>(2993+3731+2829)/3</f>
        <v>3184.3333333333335</v>
      </c>
      <c r="F7" s="8">
        <f>(4534+3809+4335)/3</f>
        <v>4226</v>
      </c>
      <c r="G7" s="3">
        <f>(4753+4018+4164+4685+4815)/5</f>
        <v>4487</v>
      </c>
    </row>
    <row r="8" spans="1:7" ht="15.6" x14ac:dyDescent="0.3">
      <c r="A8">
        <v>6</v>
      </c>
      <c r="B8" s="2" t="s">
        <v>103</v>
      </c>
      <c r="C8" s="3">
        <v>0.52</v>
      </c>
      <c r="D8" s="3">
        <f>(930+920.5+1009)/3</f>
        <v>953.16666666666663</v>
      </c>
      <c r="E8" s="3">
        <f>(2352+2250+2564)/3</f>
        <v>2388.6666666666665</v>
      </c>
      <c r="F8" s="8">
        <f>(3489+2947+3394)/3</f>
        <v>3276.6666666666665</v>
      </c>
      <c r="G8" s="3">
        <f>(3645+3772+3471+3195+3541)/5</f>
        <v>3524.8</v>
      </c>
    </row>
    <row r="9" spans="1:7" ht="15.6" x14ac:dyDescent="0.3">
      <c r="A9">
        <v>7</v>
      </c>
      <c r="B9" s="2" t="s">
        <v>104</v>
      </c>
      <c r="C9" s="3">
        <v>0.48399999999999999</v>
      </c>
      <c r="D9" s="7">
        <v>4296.67</v>
      </c>
      <c r="E9" s="3">
        <f>(4828+4618+4408)/3</f>
        <v>4618</v>
      </c>
      <c r="F9" s="8">
        <v>5048</v>
      </c>
      <c r="G9" s="3">
        <f>(5452+5603+4854+5314+4077+5815)/6</f>
        <v>5185.833333333333</v>
      </c>
    </row>
    <row r="10" spans="1:7" ht="15.6" x14ac:dyDescent="0.3">
      <c r="A10">
        <v>8</v>
      </c>
      <c r="B10" s="2" t="s">
        <v>105</v>
      </c>
      <c r="C10" s="3">
        <v>0.48399999999999999</v>
      </c>
      <c r="D10" s="3">
        <f>(1917+2009+1792)/3</f>
        <v>1906</v>
      </c>
      <c r="E10" s="3">
        <f>(3629+3869+3612)/3</f>
        <v>3703.3333333333335</v>
      </c>
      <c r="F10" s="8">
        <f>(4118+4280+4053)/3</f>
        <v>4150.333333333333</v>
      </c>
      <c r="G10" s="3">
        <f>(5150+4567+4537)/3</f>
        <v>4751.333333333333</v>
      </c>
    </row>
    <row r="11" spans="1:7" ht="15.6" x14ac:dyDescent="0.3">
      <c r="A11">
        <v>9</v>
      </c>
      <c r="B11" s="2" t="s">
        <v>106</v>
      </c>
      <c r="C11" s="3">
        <v>0.49399999999999999</v>
      </c>
      <c r="D11" s="3">
        <f>(1860+2194+2243)/3</f>
        <v>2099</v>
      </c>
      <c r="E11" s="3">
        <f>(3120+3317+3989)/3</f>
        <v>3475.3333333333335</v>
      </c>
      <c r="F11" s="8">
        <f>(4252+4696+4646)/3</f>
        <v>4531.333333333333</v>
      </c>
      <c r="G11" s="3">
        <f>(5198+4329)/2</f>
        <v>4763.5</v>
      </c>
    </row>
    <row r="12" spans="1:7" ht="15.6" x14ac:dyDescent="0.3">
      <c r="A12">
        <v>10</v>
      </c>
      <c r="B12" s="2" t="s">
        <v>107</v>
      </c>
      <c r="C12" s="3">
        <v>0.5</v>
      </c>
      <c r="D12" s="3">
        <f>(1475+1610+1446)/3</f>
        <v>1510.3333333333333</v>
      </c>
      <c r="E12" s="3">
        <f>(2834+3307+3454)/3</f>
        <v>3198.3333333333335</v>
      </c>
      <c r="F12" s="8">
        <f>(3958+3798+3465)/3</f>
        <v>3740.3333333333335</v>
      </c>
      <c r="G12" s="3">
        <f>(5032+4328+4353)/3</f>
        <v>4571</v>
      </c>
    </row>
    <row r="13" spans="1:7" ht="15.6" x14ac:dyDescent="0.3">
      <c r="A13">
        <v>11</v>
      </c>
      <c r="B13" s="2" t="s">
        <v>108</v>
      </c>
      <c r="C13" s="3">
        <v>0.5</v>
      </c>
      <c r="D13" s="3">
        <f>(2094+1941+1771)/3</f>
        <v>1935.3333333333333</v>
      </c>
      <c r="E13" s="3">
        <f>(3908+3517+4208)/3</f>
        <v>3877.6666666666665</v>
      </c>
      <c r="F13" s="8">
        <f>(4565+4532+4351)/3</f>
        <v>4482.666666666667</v>
      </c>
      <c r="G13" s="3">
        <f>(5454+5715+4460)/3</f>
        <v>5209.666666666667</v>
      </c>
    </row>
    <row r="14" spans="1:7" ht="15.6" x14ac:dyDescent="0.3">
      <c r="A14">
        <v>12</v>
      </c>
      <c r="B14" s="2" t="s">
        <v>109</v>
      </c>
      <c r="C14" s="3">
        <v>0.5</v>
      </c>
      <c r="D14" s="3">
        <f>(3526+3242+3339)/3</f>
        <v>3369</v>
      </c>
      <c r="E14" s="8">
        <f>(4407+3634+3722)/3</f>
        <v>3921</v>
      </c>
      <c r="F14" s="3">
        <f>(4471+4237+4315)/3</f>
        <v>4341</v>
      </c>
      <c r="G14" s="8">
        <f>(5816+4635+5360)/3</f>
        <v>5270.333333333333</v>
      </c>
    </row>
    <row r="15" spans="1:7" ht="15.6" x14ac:dyDescent="0.3">
      <c r="A15">
        <v>13</v>
      </c>
      <c r="B15" s="2" t="s">
        <v>110</v>
      </c>
      <c r="C15" s="3">
        <v>0.52</v>
      </c>
      <c r="D15" s="8">
        <v>1110</v>
      </c>
      <c r="E15" s="3">
        <f>(2098+2396+1960)/3</f>
        <v>2151.3333333333335</v>
      </c>
      <c r="F15" s="3">
        <f>(2747+2996+2884)/3</f>
        <v>2875.6666666666665</v>
      </c>
      <c r="G15" s="8">
        <v>3014</v>
      </c>
    </row>
    <row r="16" spans="1:7" ht="15.6" x14ac:dyDescent="0.3">
      <c r="A16">
        <v>14</v>
      </c>
      <c r="B16" s="2" t="s">
        <v>111</v>
      </c>
      <c r="C16" s="3">
        <v>0.52</v>
      </c>
      <c r="D16" s="8">
        <v>732</v>
      </c>
      <c r="E16" s="3">
        <f>(1736+1698+1794)/3</f>
        <v>1742.6666666666667</v>
      </c>
      <c r="F16" s="3">
        <f>(2756+2365+2691)/3</f>
        <v>2604</v>
      </c>
      <c r="G16" s="8">
        <f>(3136+2987+2727)/3</f>
        <v>2950</v>
      </c>
    </row>
    <row r="17" spans="1:7" ht="15.6" x14ac:dyDescent="0.3">
      <c r="A17">
        <v>15</v>
      </c>
      <c r="B17" s="9" t="s">
        <v>112</v>
      </c>
      <c r="C17" s="8">
        <v>0.46400000000000002</v>
      </c>
      <c r="D17" s="8">
        <f>(986+1319+1662)/3</f>
        <v>1322.3333333333333</v>
      </c>
      <c r="E17" s="3">
        <f>(1977+2081+2189)/3</f>
        <v>2082.3333333333335</v>
      </c>
      <c r="F17" s="8">
        <f>(2249+2025+2470)/3</f>
        <v>2248</v>
      </c>
      <c r="G17" s="8">
        <v>2924</v>
      </c>
    </row>
    <row r="18" spans="1:7" ht="15.6" x14ac:dyDescent="0.3">
      <c r="A18" s="10" t="s">
        <v>113</v>
      </c>
      <c r="B18" s="2" t="s">
        <v>114</v>
      </c>
      <c r="C18" s="8">
        <v>0.44</v>
      </c>
      <c r="D18" s="8">
        <f>(1971+1492+1644)/3</f>
        <v>1702.3333333333333</v>
      </c>
      <c r="E18" s="3">
        <f>(2457+2261+2404)/3</f>
        <v>2374</v>
      </c>
      <c r="F18" s="8">
        <f>(2528+2376+2762)/3</f>
        <v>2555.3333333333335</v>
      </c>
      <c r="G18" s="8">
        <v>3090</v>
      </c>
    </row>
    <row r="19" spans="1:7" ht="15.6" x14ac:dyDescent="0.3">
      <c r="A19">
        <v>17</v>
      </c>
      <c r="B19" s="2" t="s">
        <v>115</v>
      </c>
      <c r="C19" s="3">
        <v>0.46</v>
      </c>
      <c r="D19" s="3">
        <f>(1403+1234+1230)/3</f>
        <v>1289</v>
      </c>
      <c r="E19" s="3">
        <f>(2070+1940+2236)/3</f>
        <v>2082</v>
      </c>
      <c r="F19" s="3">
        <v>2909</v>
      </c>
      <c r="G19" s="3">
        <f>(3256+3581+3478+3647)/4</f>
        <v>3490.5</v>
      </c>
    </row>
    <row r="20" spans="1:7" ht="15.6" x14ac:dyDescent="0.3">
      <c r="A20">
        <v>18</v>
      </c>
      <c r="B20" s="2" t="s">
        <v>116</v>
      </c>
      <c r="C20" s="3">
        <v>0.46</v>
      </c>
      <c r="D20" s="3">
        <f>(1223+1604+1667)/3</f>
        <v>1498</v>
      </c>
      <c r="E20" s="3">
        <v>2427</v>
      </c>
      <c r="F20" s="3">
        <v>3011</v>
      </c>
      <c r="G20" s="3">
        <v>3411</v>
      </c>
    </row>
    <row r="21" spans="1:7" ht="15.6" x14ac:dyDescent="0.3">
      <c r="A21">
        <v>19</v>
      </c>
      <c r="B21" s="2" t="s">
        <v>117</v>
      </c>
      <c r="C21" s="3">
        <v>0.48399999999999999</v>
      </c>
      <c r="D21" s="8">
        <f>(4374+4291+4370)/3</f>
        <v>4345</v>
      </c>
      <c r="E21" s="3">
        <f>(4061+4795+4990)/3</f>
        <v>4615.333333333333</v>
      </c>
      <c r="F21" s="3">
        <v>5086</v>
      </c>
      <c r="G21" s="8">
        <v>5113</v>
      </c>
    </row>
    <row r="22" spans="1:7" ht="15.6" x14ac:dyDescent="0.3">
      <c r="A22">
        <v>20</v>
      </c>
      <c r="B22" s="2" t="s">
        <v>118</v>
      </c>
      <c r="C22" s="3">
        <v>0.48399999999999999</v>
      </c>
      <c r="D22" s="3">
        <f>(3519+3913)/2</f>
        <v>3716</v>
      </c>
      <c r="E22" s="3">
        <f>(4718+4537+3926)/3</f>
        <v>4393.666666666667</v>
      </c>
      <c r="F22" s="3">
        <v>4882</v>
      </c>
      <c r="G22" s="3">
        <v>5119</v>
      </c>
    </row>
    <row r="23" spans="1:7" ht="15.6" x14ac:dyDescent="0.3">
      <c r="A23" t="s">
        <v>119</v>
      </c>
      <c r="B23" s="2" t="s">
        <v>120</v>
      </c>
      <c r="C23" s="3">
        <v>0.47</v>
      </c>
      <c r="D23" s="8">
        <f>(3173+3753+3875)/3</f>
        <v>3600.3333333333335</v>
      </c>
      <c r="E23" s="3">
        <f>(3930+4591+4140)/3</f>
        <v>4220.333333333333</v>
      </c>
      <c r="F23" s="3">
        <v>4735</v>
      </c>
      <c r="G23" s="8">
        <v>5193</v>
      </c>
    </row>
    <row r="24" spans="1:7" ht="15.6" x14ac:dyDescent="0.3">
      <c r="A24">
        <v>21</v>
      </c>
      <c r="B24" s="2" t="s">
        <v>121</v>
      </c>
      <c r="C24" s="3">
        <v>0.47</v>
      </c>
      <c r="D24" s="8">
        <f>(3296+3095+2826)/3</f>
        <v>3072.3333333333335</v>
      </c>
      <c r="E24" s="3">
        <f>(3947+3906)/2</f>
        <v>3926.5</v>
      </c>
      <c r="F24" s="3">
        <v>4640</v>
      </c>
      <c r="G24" s="8">
        <v>5314</v>
      </c>
    </row>
    <row r="25" spans="1:7" ht="15.6" x14ac:dyDescent="0.3">
      <c r="A25">
        <v>22</v>
      </c>
      <c r="B25" s="2" t="s">
        <v>122</v>
      </c>
      <c r="C25" s="3">
        <v>0.48399999999999999</v>
      </c>
      <c r="D25" s="3">
        <f>(2654+2545)/2</f>
        <v>2599.5</v>
      </c>
      <c r="E25" s="3">
        <f>(4361+3765+3291)/3</f>
        <v>3805.6666666666665</v>
      </c>
      <c r="F25" s="3">
        <v>4749</v>
      </c>
      <c r="G25" s="3">
        <v>4977</v>
      </c>
    </row>
    <row r="26" spans="1:7" ht="15.6" x14ac:dyDescent="0.3">
      <c r="A26">
        <v>23</v>
      </c>
      <c r="B26" s="2" t="s">
        <v>123</v>
      </c>
      <c r="C26" s="3">
        <v>0.48399999999999999</v>
      </c>
      <c r="D26" s="3">
        <f>(1986+2041+1604)/3</f>
        <v>1877</v>
      </c>
      <c r="E26" s="3">
        <f>(3486+3877+3993)/3</f>
        <v>3785.3333333333335</v>
      </c>
      <c r="F26" s="3">
        <v>4741</v>
      </c>
      <c r="G26" s="3">
        <v>5116</v>
      </c>
    </row>
    <row r="27" spans="1:7" ht="15.6" x14ac:dyDescent="0.3">
      <c r="A27">
        <v>24</v>
      </c>
      <c r="B27" s="2" t="s">
        <v>124</v>
      </c>
      <c r="C27" s="3">
        <v>0.5</v>
      </c>
      <c r="D27" s="3">
        <f>(2295+2329)/2</f>
        <v>2312</v>
      </c>
      <c r="E27" s="3">
        <f>(2865+2918+3636)/3</f>
        <v>3139.6666666666665</v>
      </c>
      <c r="F27" s="3">
        <v>4177</v>
      </c>
      <c r="G27" s="8">
        <v>4422</v>
      </c>
    </row>
    <row r="28" spans="1:7" ht="15.6" x14ac:dyDescent="0.3">
      <c r="A28">
        <v>25</v>
      </c>
      <c r="B28" s="2" t="s">
        <v>125</v>
      </c>
      <c r="C28" s="3">
        <v>0.5</v>
      </c>
      <c r="D28" s="3">
        <f>(2016+2009+1915)/3</f>
        <v>1980</v>
      </c>
      <c r="E28" s="3">
        <f>(3297+3436+3232)/3</f>
        <v>3321.6666666666665</v>
      </c>
      <c r="F28" s="3">
        <v>3895</v>
      </c>
      <c r="G28" s="8">
        <f>(4223+4153)/2</f>
        <v>4188</v>
      </c>
    </row>
    <row r="29" spans="1:7" ht="15.6" x14ac:dyDescent="0.3">
      <c r="A29">
        <v>26</v>
      </c>
      <c r="B29" s="2" t="s">
        <v>126</v>
      </c>
      <c r="C29" s="3">
        <v>0.5</v>
      </c>
      <c r="D29" s="3">
        <f>(2507+2072)/2</f>
        <v>2289.5</v>
      </c>
      <c r="E29" s="3">
        <f>(3614+3552+4044+3383)/4</f>
        <v>3648.25</v>
      </c>
      <c r="F29" s="3">
        <v>3894</v>
      </c>
      <c r="G29" s="8">
        <v>4223</v>
      </c>
    </row>
    <row r="30" spans="1:7" ht="15.6" x14ac:dyDescent="0.3">
      <c r="A30">
        <v>27</v>
      </c>
      <c r="B30" s="2" t="s">
        <v>127</v>
      </c>
      <c r="C30" s="3">
        <v>0.5</v>
      </c>
      <c r="D30" s="3">
        <f>(2206+2255+2323)/3</f>
        <v>2261.3333333333335</v>
      </c>
      <c r="E30" s="3">
        <f>(3796+4493+4622)/3</f>
        <v>4303.666666666667</v>
      </c>
      <c r="F30" s="3">
        <v>4374</v>
      </c>
      <c r="G30" s="8">
        <f>(4718+5007+5248)/3</f>
        <v>4991</v>
      </c>
    </row>
    <row r="31" spans="1:7" ht="15.6" x14ac:dyDescent="0.3">
      <c r="A31">
        <v>28</v>
      </c>
      <c r="B31" s="2" t="s">
        <v>128</v>
      </c>
      <c r="C31" s="3">
        <v>0.5</v>
      </c>
      <c r="D31" s="3">
        <f>(2797+2761+2573)/3</f>
        <v>2710.3333333333335</v>
      </c>
      <c r="E31" s="3">
        <f>(3947+4777+3814)/3</f>
        <v>4179.333333333333</v>
      </c>
      <c r="F31" s="3">
        <v>4119</v>
      </c>
      <c r="G31" s="8">
        <f>(4444+4374+4692)/3</f>
        <v>4503.333333333333</v>
      </c>
    </row>
    <row r="32" spans="1:7" ht="15.6" x14ac:dyDescent="0.3">
      <c r="A32">
        <v>29</v>
      </c>
      <c r="B32" s="2" t="s">
        <v>129</v>
      </c>
      <c r="C32" s="3">
        <v>0.52</v>
      </c>
      <c r="D32" s="3">
        <f>(2038+1687+1754)/3</f>
        <v>1826.3333333333333</v>
      </c>
      <c r="E32" s="3">
        <f>(3154+3335+3423)/3</f>
        <v>3304</v>
      </c>
      <c r="F32" s="3">
        <v>3894</v>
      </c>
      <c r="G32" s="8">
        <v>4269</v>
      </c>
    </row>
    <row r="33" spans="1:7" ht="15.6" x14ac:dyDescent="0.3">
      <c r="A33">
        <v>30</v>
      </c>
      <c r="B33" s="2" t="s">
        <v>130</v>
      </c>
      <c r="C33" s="3">
        <v>0.53</v>
      </c>
      <c r="D33" s="3">
        <f>(1367+1449+1480)/3</f>
        <v>1432</v>
      </c>
      <c r="E33" s="3">
        <f>(3172+2729+3309)/3</f>
        <v>3070</v>
      </c>
      <c r="F33" s="3">
        <v>3361</v>
      </c>
      <c r="G33" s="8">
        <f>(4190+4124)/2</f>
        <v>4157</v>
      </c>
    </row>
    <row r="34" spans="1:7" ht="15.6" x14ac:dyDescent="0.3">
      <c r="A34">
        <v>31</v>
      </c>
      <c r="B34" s="2" t="s">
        <v>131</v>
      </c>
      <c r="C34" s="3">
        <v>0.52</v>
      </c>
      <c r="D34" s="8">
        <f>(1963+1782+1960)/3</f>
        <v>1901.6666666666667</v>
      </c>
      <c r="E34" s="3">
        <f>(2885+3032+3316)/3</f>
        <v>3077.6666666666665</v>
      </c>
      <c r="F34" s="3">
        <v>4348</v>
      </c>
      <c r="G34" s="8">
        <v>4565</v>
      </c>
    </row>
    <row r="35" spans="1:7" ht="15.6" x14ac:dyDescent="0.3">
      <c r="A35">
        <v>32</v>
      </c>
      <c r="B35" s="2" t="s">
        <v>132</v>
      </c>
      <c r="C35" s="3">
        <v>0.52</v>
      </c>
      <c r="D35" s="8">
        <f>(1400+1434+1533)/3</f>
        <v>1455.6666666666667</v>
      </c>
      <c r="E35" s="3">
        <f>(2693+3040+3026)/3</f>
        <v>2919.6666666666665</v>
      </c>
      <c r="F35" s="3">
        <v>3468</v>
      </c>
      <c r="G35" s="8">
        <v>3776</v>
      </c>
    </row>
    <row r="36" spans="1:7" ht="15.6" x14ac:dyDescent="0.3">
      <c r="A36">
        <v>33</v>
      </c>
      <c r="B36" s="2" t="s">
        <v>133</v>
      </c>
      <c r="C36" s="3">
        <v>0.54</v>
      </c>
      <c r="D36" s="3">
        <f>(2330+2002+1943)/3</f>
        <v>2091.6666666666665</v>
      </c>
      <c r="E36" s="8">
        <v>2161</v>
      </c>
      <c r="F36" s="8">
        <f>(3998+3528)/2</f>
        <v>3763</v>
      </c>
      <c r="G36" s="8">
        <v>4556</v>
      </c>
    </row>
    <row r="37" spans="1:7" ht="15.6" x14ac:dyDescent="0.3">
      <c r="A37">
        <v>34</v>
      </c>
      <c r="B37" s="2" t="s">
        <v>134</v>
      </c>
      <c r="C37" s="3">
        <v>0.56000000000000005</v>
      </c>
      <c r="D37" s="3">
        <f>(1759+1702+1544)/3</f>
        <v>1668.3333333333333</v>
      </c>
      <c r="E37" s="8">
        <f>(2859+3010)/2</f>
        <v>2934.5</v>
      </c>
      <c r="F37" s="8">
        <f>(3570+3783+4052)/3</f>
        <v>3801.6666666666665</v>
      </c>
      <c r="G37" s="8">
        <v>4541</v>
      </c>
    </row>
    <row r="38" spans="1:7" ht="15.6" x14ac:dyDescent="0.3">
      <c r="A38">
        <v>35</v>
      </c>
      <c r="B38" s="2" t="s">
        <v>135</v>
      </c>
      <c r="C38" s="3">
        <v>0.5</v>
      </c>
      <c r="D38" s="3">
        <f>(1648+1781+1716)/3</f>
        <v>1715</v>
      </c>
      <c r="E38" s="3">
        <v>3003</v>
      </c>
      <c r="F38" s="8">
        <v>3888</v>
      </c>
      <c r="G38" s="3">
        <f>(4460+4164)/2</f>
        <v>4312</v>
      </c>
    </row>
    <row r="39" spans="1:7" ht="15.6" x14ac:dyDescent="0.3">
      <c r="A39">
        <v>36</v>
      </c>
      <c r="B39" s="2" t="s">
        <v>136</v>
      </c>
      <c r="C39" s="3">
        <v>0.5</v>
      </c>
      <c r="D39" s="3">
        <f>(1332+1516+1526)/3</f>
        <v>1458</v>
      </c>
      <c r="E39" s="3">
        <v>2821</v>
      </c>
      <c r="F39" s="8">
        <v>3648</v>
      </c>
      <c r="G39" s="3">
        <v>4380</v>
      </c>
    </row>
    <row r="40" spans="1:7" ht="15.6" x14ac:dyDescent="0.3">
      <c r="A40">
        <v>37</v>
      </c>
      <c r="B40" s="2" t="s">
        <v>137</v>
      </c>
      <c r="C40" s="3">
        <v>0.54</v>
      </c>
      <c r="D40" s="3">
        <f>(2026+1837+1968)/3</f>
        <v>1943.6666666666667</v>
      </c>
      <c r="E40" s="3">
        <v>2853</v>
      </c>
      <c r="F40" s="3">
        <f>(4405+4133+4455)/3</f>
        <v>4331</v>
      </c>
      <c r="G40" s="3">
        <v>4758</v>
      </c>
    </row>
    <row r="41" spans="1:7" ht="15.6" x14ac:dyDescent="0.3">
      <c r="A41">
        <v>38</v>
      </c>
      <c r="B41" s="2" t="s">
        <v>138</v>
      </c>
      <c r="C41" s="3">
        <v>0.55000000000000004</v>
      </c>
      <c r="D41" s="3">
        <f>(1678+1759+1707)/3</f>
        <v>1714.6666666666667</v>
      </c>
      <c r="E41" s="3">
        <v>2730</v>
      </c>
      <c r="F41" s="3">
        <v>3418</v>
      </c>
      <c r="G41" s="3">
        <f>(3770+3956)/2</f>
        <v>3863</v>
      </c>
    </row>
    <row r="42" spans="1:7" ht="15.6" x14ac:dyDescent="0.3">
      <c r="A42">
        <v>39</v>
      </c>
      <c r="B42" s="2" t="s">
        <v>139</v>
      </c>
      <c r="C42" s="3">
        <v>0.52</v>
      </c>
      <c r="D42" s="8">
        <f>(1635+1558+1729)/3</f>
        <v>1640.6666666666667</v>
      </c>
      <c r="E42" s="3">
        <v>2686</v>
      </c>
      <c r="F42" s="8">
        <v>3354</v>
      </c>
      <c r="G42" s="3">
        <v>4006</v>
      </c>
    </row>
    <row r="43" spans="1:7" ht="15.6" x14ac:dyDescent="0.3">
      <c r="A43">
        <v>40</v>
      </c>
      <c r="B43" s="2" t="s">
        <v>140</v>
      </c>
      <c r="C43" s="3">
        <v>0.5</v>
      </c>
      <c r="D43" s="8">
        <f>(1201+1216+1414)/3</f>
        <v>1277</v>
      </c>
      <c r="E43" s="3">
        <v>2511</v>
      </c>
      <c r="F43" s="8">
        <v>3873</v>
      </c>
      <c r="G43" s="3">
        <v>3984</v>
      </c>
    </row>
    <row r="44" spans="1:7" ht="15.6" x14ac:dyDescent="0.3">
      <c r="A44">
        <v>41</v>
      </c>
      <c r="B44" s="2" t="s">
        <v>141</v>
      </c>
      <c r="C44" s="3">
        <v>0.48399999999999999</v>
      </c>
      <c r="D44" s="8">
        <f>(3601+3969+3566)/3</f>
        <v>3712</v>
      </c>
      <c r="E44" s="3">
        <v>4481</v>
      </c>
      <c r="F44" s="8">
        <v>4616</v>
      </c>
      <c r="G44" s="3">
        <v>4681</v>
      </c>
    </row>
    <row r="45" spans="1:7" ht="15.6" x14ac:dyDescent="0.3">
      <c r="A45">
        <v>42</v>
      </c>
      <c r="B45" s="2" t="s">
        <v>142</v>
      </c>
      <c r="C45" s="3">
        <v>0.49</v>
      </c>
      <c r="D45" s="8">
        <f>(3625+3368+3250)/3</f>
        <v>3414.3333333333335</v>
      </c>
      <c r="E45" s="3">
        <v>4025</v>
      </c>
      <c r="F45" s="8">
        <f>(4471+4667)/2</f>
        <v>4569</v>
      </c>
      <c r="G45" s="3">
        <v>4603</v>
      </c>
    </row>
    <row r="46" spans="1:7" ht="15.6" x14ac:dyDescent="0.3">
      <c r="A46">
        <v>43</v>
      </c>
      <c r="B46" s="2" t="s">
        <v>143</v>
      </c>
      <c r="C46" s="3">
        <v>0.49</v>
      </c>
      <c r="D46" s="3">
        <v>2743</v>
      </c>
      <c r="E46" s="8">
        <v>3059</v>
      </c>
      <c r="F46" s="8">
        <v>3317</v>
      </c>
      <c r="G46" s="3">
        <v>3479</v>
      </c>
    </row>
    <row r="47" spans="1:7" ht="15.6" x14ac:dyDescent="0.3">
      <c r="A47">
        <v>44</v>
      </c>
      <c r="B47" s="2" t="s">
        <v>144</v>
      </c>
      <c r="C47" s="3">
        <v>0.5</v>
      </c>
      <c r="D47" s="3">
        <v>2150</v>
      </c>
      <c r="E47" s="8">
        <f>(2787+2709)/2</f>
        <v>2748</v>
      </c>
      <c r="F47" s="8">
        <v>3013</v>
      </c>
      <c r="G47" s="3">
        <v>3212</v>
      </c>
    </row>
    <row r="48" spans="1:7" ht="15.6" x14ac:dyDescent="0.3">
      <c r="A48">
        <v>45</v>
      </c>
      <c r="B48" s="2" t="s">
        <v>145</v>
      </c>
      <c r="C48" s="3">
        <v>0.51</v>
      </c>
      <c r="D48" s="3">
        <v>1474</v>
      </c>
      <c r="E48" s="8">
        <f>(1847+1993)/2</f>
        <v>1920</v>
      </c>
      <c r="F48" s="8">
        <v>2318</v>
      </c>
      <c r="G48" s="3">
        <v>2431</v>
      </c>
    </row>
    <row r="49" spans="1:7" ht="15.6" x14ac:dyDescent="0.3">
      <c r="A49">
        <v>46</v>
      </c>
      <c r="B49" s="2" t="s">
        <v>146</v>
      </c>
      <c r="C49" s="3">
        <v>0.5</v>
      </c>
      <c r="D49" s="3">
        <v>2916</v>
      </c>
      <c r="E49" s="8">
        <v>3278</v>
      </c>
      <c r="F49" s="8">
        <v>3721</v>
      </c>
      <c r="G49" s="3">
        <v>3869</v>
      </c>
    </row>
    <row r="50" spans="1:7" ht="15.6" x14ac:dyDescent="0.3">
      <c r="A50">
        <v>47</v>
      </c>
      <c r="B50" s="2" t="s">
        <v>147</v>
      </c>
      <c r="C50" s="3">
        <v>0.51</v>
      </c>
      <c r="D50" s="3">
        <v>2840</v>
      </c>
      <c r="E50" s="8">
        <v>3096</v>
      </c>
      <c r="F50" s="8">
        <v>3351</v>
      </c>
      <c r="G50" s="3">
        <v>3487</v>
      </c>
    </row>
    <row r="51" spans="1:7" ht="15.6" x14ac:dyDescent="0.3">
      <c r="A51">
        <v>48</v>
      </c>
      <c r="B51" s="2" t="s">
        <v>148</v>
      </c>
      <c r="C51" s="3">
        <v>0.51</v>
      </c>
      <c r="D51" s="3">
        <v>2496</v>
      </c>
      <c r="E51" s="8">
        <v>3005</v>
      </c>
      <c r="F51" s="8">
        <v>3116</v>
      </c>
      <c r="G51" s="3">
        <v>3197</v>
      </c>
    </row>
    <row r="52" spans="1:7" ht="15.6" x14ac:dyDescent="0.3">
      <c r="A52">
        <v>49</v>
      </c>
      <c r="B52" s="2" t="s">
        <v>149</v>
      </c>
      <c r="C52" s="3">
        <v>0.51</v>
      </c>
      <c r="D52" s="3">
        <v>1863</v>
      </c>
      <c r="E52" s="8">
        <f>(2349+2455+2426)/3</f>
        <v>2410</v>
      </c>
      <c r="F52" s="3">
        <v>2477</v>
      </c>
      <c r="G52" s="3">
        <v>2814</v>
      </c>
    </row>
    <row r="53" spans="1:7" ht="15.6" x14ac:dyDescent="0.3">
      <c r="A53">
        <v>50</v>
      </c>
      <c r="B53" s="2" t="s">
        <v>150</v>
      </c>
      <c r="C53" s="3">
        <v>0.51</v>
      </c>
      <c r="D53" s="3">
        <v>1338</v>
      </c>
      <c r="E53" s="8">
        <f>(1900+2028+1963)/3</f>
        <v>1963.6666666666667</v>
      </c>
      <c r="F53" s="3">
        <v>1922</v>
      </c>
      <c r="G53" s="3">
        <f>(2122+2240+2196)/3</f>
        <v>2186</v>
      </c>
    </row>
    <row r="54" spans="1:7" ht="15.6" x14ac:dyDescent="0.3">
      <c r="A54">
        <v>51</v>
      </c>
      <c r="B54" s="2" t="s">
        <v>151</v>
      </c>
      <c r="C54" s="3">
        <v>0.51</v>
      </c>
      <c r="D54" s="3">
        <v>723</v>
      </c>
      <c r="E54" s="8">
        <f>(1211+1156+1105)/3</f>
        <v>1157.3333333333333</v>
      </c>
      <c r="F54" s="3">
        <v>1137</v>
      </c>
      <c r="G54" s="3">
        <f>(1248+1315+1350+1203)/4</f>
        <v>1279</v>
      </c>
    </row>
    <row r="55" spans="1:7" ht="15.6" x14ac:dyDescent="0.3">
      <c r="A55">
        <v>52</v>
      </c>
      <c r="B55" s="2" t="s">
        <v>152</v>
      </c>
      <c r="C55" s="3">
        <v>0.52</v>
      </c>
      <c r="D55" s="8">
        <v>787</v>
      </c>
      <c r="E55" s="8">
        <f>(1616+1341+2258)/3</f>
        <v>1738.3333333333333</v>
      </c>
      <c r="F55" s="3">
        <v>2211</v>
      </c>
      <c r="G55" s="3">
        <f>(2761+3871+3054+2541+2366+2301)/6</f>
        <v>2815.6666666666665</v>
      </c>
    </row>
    <row r="56" spans="1:7" ht="15.6" x14ac:dyDescent="0.3">
      <c r="A56">
        <v>53</v>
      </c>
      <c r="B56" s="2" t="s">
        <v>153</v>
      </c>
      <c r="C56" s="3">
        <v>0.52</v>
      </c>
      <c r="D56" s="8">
        <v>550</v>
      </c>
      <c r="E56" s="8">
        <f>(2109+1642+1672)/3</f>
        <v>1807.6666666666667</v>
      </c>
      <c r="F56" s="3">
        <v>2450</v>
      </c>
      <c r="G56" s="3">
        <f>(2892+2583+3182)/3</f>
        <v>2885.6666666666665</v>
      </c>
    </row>
    <row r="57" spans="1:7" ht="15.6" x14ac:dyDescent="0.3">
      <c r="A57">
        <v>54</v>
      </c>
      <c r="B57" s="2" t="s">
        <v>154</v>
      </c>
      <c r="C57" s="3">
        <v>0.52</v>
      </c>
      <c r="D57" s="8">
        <v>721</v>
      </c>
      <c r="E57" s="8">
        <f>(2189+1758+2073)/3</f>
        <v>2006.6666666666667</v>
      </c>
      <c r="F57" s="3">
        <f>(2348+2437+2586)/3</f>
        <v>2457</v>
      </c>
      <c r="G57" s="3">
        <f>(2949+3025+3016)/3</f>
        <v>2996.6666666666665</v>
      </c>
    </row>
    <row r="58" spans="1:7" ht="15.6" x14ac:dyDescent="0.3">
      <c r="A58">
        <v>55</v>
      </c>
      <c r="B58" s="2" t="s">
        <v>155</v>
      </c>
      <c r="C58" s="3">
        <v>0.52</v>
      </c>
      <c r="D58" s="8">
        <v>752</v>
      </c>
      <c r="E58" s="8">
        <f>(1629+1496+1241)/3</f>
        <v>1455.3333333333333</v>
      </c>
      <c r="F58" s="3">
        <v>2230</v>
      </c>
      <c r="G58" s="3">
        <f>(2703+2653)/2</f>
        <v>2678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DB56-7169-43F7-9927-F3D3B04DEBC0}">
  <dimension ref="A1:O59"/>
  <sheetViews>
    <sheetView topLeftCell="A14" workbookViewId="0">
      <selection activeCell="J6" sqref="J6"/>
    </sheetView>
  </sheetViews>
  <sheetFormatPr defaultRowHeight="14.4" x14ac:dyDescent="0.3"/>
  <cols>
    <col min="2" max="2" width="37.88671875" customWidth="1"/>
    <col min="11" max="11" width="29.88671875" customWidth="1"/>
    <col min="12" max="12" width="13.33203125" customWidth="1"/>
    <col min="13" max="13" width="14.33203125" customWidth="1"/>
    <col min="14" max="14" width="16" customWidth="1"/>
    <col min="15" max="15" width="15.109375" customWidth="1"/>
  </cols>
  <sheetData>
    <row r="1" spans="1:15" ht="40.200000000000003" thickBot="1" x14ac:dyDescent="0.35">
      <c r="A1" s="11" t="s">
        <v>91</v>
      </c>
      <c r="B1" s="12" t="s">
        <v>0</v>
      </c>
      <c r="C1" s="12" t="s">
        <v>156</v>
      </c>
      <c r="D1" s="12" t="s">
        <v>157</v>
      </c>
      <c r="E1" s="12" t="s">
        <v>158</v>
      </c>
      <c r="F1" s="12" t="s">
        <v>159</v>
      </c>
      <c r="G1" s="12" t="s">
        <v>160</v>
      </c>
      <c r="H1" s="12" t="s">
        <v>161</v>
      </c>
      <c r="K1" s="5"/>
      <c r="L1" s="5"/>
      <c r="M1" s="5"/>
      <c r="N1" s="5"/>
      <c r="O1" s="5"/>
    </row>
    <row r="2" spans="1:15" ht="15" thickBot="1" x14ac:dyDescent="0.35">
      <c r="A2" s="13">
        <v>1</v>
      </c>
      <c r="B2" s="14" t="s">
        <v>1</v>
      </c>
      <c r="C2" s="15" t="s">
        <v>162</v>
      </c>
      <c r="D2" s="15">
        <v>0.48399999999999999</v>
      </c>
      <c r="E2" s="16" t="s">
        <v>163</v>
      </c>
      <c r="F2" s="15" t="s">
        <v>163</v>
      </c>
      <c r="G2" s="17" t="s">
        <v>163</v>
      </c>
      <c r="H2" s="17" t="s">
        <v>163</v>
      </c>
      <c r="K2" s="23"/>
      <c r="L2" s="24"/>
      <c r="M2" s="25"/>
      <c r="N2" s="25"/>
      <c r="O2" s="25"/>
    </row>
    <row r="3" spans="1:15" ht="15" thickBot="1" x14ac:dyDescent="0.35">
      <c r="A3" s="18">
        <v>2</v>
      </c>
      <c r="B3" s="19" t="s">
        <v>164</v>
      </c>
      <c r="C3" s="20">
        <v>173</v>
      </c>
      <c r="D3" s="20">
        <v>0.47</v>
      </c>
      <c r="E3" s="21">
        <v>87</v>
      </c>
      <c r="F3" s="22">
        <v>89</v>
      </c>
      <c r="G3" s="22">
        <v>89</v>
      </c>
      <c r="H3" s="22">
        <v>103</v>
      </c>
      <c r="K3" s="23"/>
      <c r="L3" s="25"/>
      <c r="M3" s="25"/>
      <c r="N3" s="25"/>
      <c r="O3" s="25"/>
    </row>
    <row r="4" spans="1:15" ht="15" thickBot="1" x14ac:dyDescent="0.35">
      <c r="A4" s="18">
        <v>3</v>
      </c>
      <c r="B4" s="19" t="s">
        <v>165</v>
      </c>
      <c r="C4" s="20">
        <v>173</v>
      </c>
      <c r="D4" s="20">
        <v>0.47</v>
      </c>
      <c r="E4" s="22">
        <v>71</v>
      </c>
      <c r="F4" s="22">
        <v>88</v>
      </c>
      <c r="G4" s="22">
        <v>94</v>
      </c>
      <c r="H4" s="22">
        <v>99</v>
      </c>
      <c r="K4" s="23"/>
      <c r="L4" s="25"/>
      <c r="M4" s="25"/>
      <c r="N4" s="25"/>
      <c r="O4" s="25"/>
    </row>
    <row r="5" spans="1:15" ht="15" thickBot="1" x14ac:dyDescent="0.35">
      <c r="A5" s="18">
        <v>4</v>
      </c>
      <c r="B5" s="19" t="s">
        <v>166</v>
      </c>
      <c r="C5" s="20">
        <v>177</v>
      </c>
      <c r="D5" s="20">
        <v>0.46800000000000003</v>
      </c>
      <c r="E5" s="22">
        <v>62</v>
      </c>
      <c r="F5" s="22">
        <v>75</v>
      </c>
      <c r="G5" s="22">
        <v>97</v>
      </c>
      <c r="H5" s="22">
        <v>98</v>
      </c>
      <c r="K5" s="23"/>
      <c r="L5" s="25"/>
      <c r="M5" s="25"/>
      <c r="N5" s="25"/>
      <c r="O5" s="25"/>
    </row>
    <row r="6" spans="1:15" ht="15" thickBot="1" x14ac:dyDescent="0.35">
      <c r="A6" s="18">
        <v>5</v>
      </c>
      <c r="B6" s="19" t="s">
        <v>167</v>
      </c>
      <c r="C6" s="20">
        <v>176</v>
      </c>
      <c r="D6" s="20">
        <v>0.48399999999999999</v>
      </c>
      <c r="E6" s="22">
        <v>44</v>
      </c>
      <c r="F6" s="22">
        <v>83</v>
      </c>
      <c r="G6" s="22">
        <v>93</v>
      </c>
      <c r="H6" s="22">
        <v>99</v>
      </c>
      <c r="K6" s="23"/>
      <c r="L6" s="25"/>
      <c r="M6" s="25"/>
      <c r="N6" s="25"/>
      <c r="O6" s="25"/>
    </row>
    <row r="7" spans="1:15" ht="15" thickBot="1" x14ac:dyDescent="0.35">
      <c r="A7" s="18">
        <v>6</v>
      </c>
      <c r="B7" s="19" t="s">
        <v>168</v>
      </c>
      <c r="C7" s="20">
        <v>173</v>
      </c>
      <c r="D7" s="20">
        <v>0.5</v>
      </c>
      <c r="E7" s="22">
        <v>38</v>
      </c>
      <c r="F7" s="22">
        <v>69</v>
      </c>
      <c r="G7" s="22">
        <v>84</v>
      </c>
      <c r="H7" s="22">
        <v>87</v>
      </c>
      <c r="K7" s="23"/>
      <c r="L7" s="25"/>
      <c r="M7" s="25"/>
      <c r="N7" s="25"/>
      <c r="O7" s="25"/>
    </row>
    <row r="8" spans="1:15" ht="15" thickBot="1" x14ac:dyDescent="0.35">
      <c r="A8" s="18">
        <v>7</v>
      </c>
      <c r="B8" s="19" t="s">
        <v>169</v>
      </c>
      <c r="C8" s="20">
        <v>173</v>
      </c>
      <c r="D8" s="20">
        <v>0.52</v>
      </c>
      <c r="E8" s="22">
        <v>23</v>
      </c>
      <c r="F8" s="22">
        <v>52</v>
      </c>
      <c r="G8" s="22">
        <v>65</v>
      </c>
      <c r="H8" s="22">
        <v>68</v>
      </c>
    </row>
    <row r="9" spans="1:15" ht="15" thickBot="1" x14ac:dyDescent="0.35">
      <c r="A9" s="18">
        <v>8</v>
      </c>
      <c r="B9" s="19" t="s">
        <v>170</v>
      </c>
      <c r="C9" s="20">
        <v>170</v>
      </c>
      <c r="D9" s="20">
        <v>0.48399999999999999</v>
      </c>
      <c r="E9" s="22">
        <v>45</v>
      </c>
      <c r="F9" s="22">
        <v>81</v>
      </c>
      <c r="G9" s="22">
        <v>83</v>
      </c>
      <c r="H9" s="22">
        <v>92</v>
      </c>
    </row>
    <row r="10" spans="1:15" ht="15" thickBot="1" x14ac:dyDescent="0.35">
      <c r="A10" s="13">
        <v>9</v>
      </c>
      <c r="B10" s="19" t="s">
        <v>171</v>
      </c>
      <c r="C10" s="20">
        <v>173</v>
      </c>
      <c r="D10" s="20">
        <v>0.49399999999999999</v>
      </c>
      <c r="E10" s="22">
        <v>49</v>
      </c>
      <c r="F10" s="22">
        <v>76</v>
      </c>
      <c r="G10" s="22">
        <v>90</v>
      </c>
      <c r="H10" s="22">
        <v>92</v>
      </c>
      <c r="K10" s="5"/>
      <c r="L10" s="5"/>
      <c r="M10" s="5"/>
      <c r="N10" s="5"/>
      <c r="O10" s="5"/>
    </row>
    <row r="11" spans="1:15" ht="15" thickBot="1" x14ac:dyDescent="0.35">
      <c r="A11" s="18">
        <v>10</v>
      </c>
      <c r="B11" s="19" t="s">
        <v>172</v>
      </c>
      <c r="C11" s="20">
        <v>168</v>
      </c>
      <c r="D11" s="20">
        <v>0.5</v>
      </c>
      <c r="E11" s="22">
        <v>36</v>
      </c>
      <c r="F11" s="22">
        <v>70</v>
      </c>
      <c r="G11" s="22">
        <v>75</v>
      </c>
      <c r="H11" s="22">
        <v>88</v>
      </c>
      <c r="K11" s="23"/>
      <c r="L11" s="26"/>
      <c r="M11" s="25"/>
      <c r="N11" s="25"/>
      <c r="O11" s="25"/>
    </row>
    <row r="12" spans="1:15" ht="15" thickBot="1" x14ac:dyDescent="0.35">
      <c r="A12" s="13">
        <v>11</v>
      </c>
      <c r="B12" s="19" t="s">
        <v>173</v>
      </c>
      <c r="C12" s="20">
        <v>169</v>
      </c>
      <c r="D12" s="20">
        <v>0.5</v>
      </c>
      <c r="E12" s="22">
        <v>46</v>
      </c>
      <c r="F12" s="22">
        <v>84</v>
      </c>
      <c r="G12" s="22">
        <v>89</v>
      </c>
      <c r="H12" s="22">
        <v>100</v>
      </c>
      <c r="K12" s="23"/>
      <c r="L12" s="25"/>
      <c r="M12" s="25"/>
      <c r="N12" s="25"/>
      <c r="O12" s="26"/>
    </row>
    <row r="13" spans="1:15" ht="15" thickBot="1" x14ac:dyDescent="0.35">
      <c r="A13" s="18">
        <v>12</v>
      </c>
      <c r="B13" s="19" t="s">
        <v>174</v>
      </c>
      <c r="C13" s="20">
        <v>168</v>
      </c>
      <c r="D13" s="20">
        <v>0.5</v>
      </c>
      <c r="E13" s="22">
        <v>79</v>
      </c>
      <c r="F13" s="22">
        <v>85</v>
      </c>
      <c r="G13" s="20">
        <v>86</v>
      </c>
      <c r="H13" s="20">
        <v>102</v>
      </c>
      <c r="K13" s="23"/>
      <c r="L13" s="25"/>
      <c r="M13" s="25"/>
      <c r="N13" s="25"/>
      <c r="O13" s="26"/>
    </row>
    <row r="14" spans="1:15" ht="15" thickBot="1" x14ac:dyDescent="0.35">
      <c r="A14" s="18">
        <v>13</v>
      </c>
      <c r="B14" s="19" t="s">
        <v>175</v>
      </c>
      <c r="C14" s="20">
        <v>168</v>
      </c>
      <c r="D14" s="20">
        <v>0.52</v>
      </c>
      <c r="E14" s="22">
        <v>26</v>
      </c>
      <c r="F14" s="22">
        <v>47</v>
      </c>
      <c r="G14" s="20">
        <v>57</v>
      </c>
      <c r="H14" s="22">
        <v>58</v>
      </c>
      <c r="K14" s="23"/>
      <c r="L14" s="26"/>
      <c r="M14" s="25"/>
      <c r="N14" s="25"/>
      <c r="O14" s="26"/>
    </row>
    <row r="15" spans="1:15" ht="15" thickBot="1" x14ac:dyDescent="0.35">
      <c r="A15" s="13">
        <v>14</v>
      </c>
      <c r="B15" s="19" t="s">
        <v>176</v>
      </c>
      <c r="C15" s="20">
        <v>168</v>
      </c>
      <c r="D15" s="20">
        <v>0.52</v>
      </c>
      <c r="E15" s="22">
        <v>18</v>
      </c>
      <c r="F15" s="22">
        <v>38</v>
      </c>
      <c r="G15" s="20">
        <v>52</v>
      </c>
      <c r="H15" s="22">
        <v>57</v>
      </c>
      <c r="K15" s="23"/>
      <c r="L15" s="26"/>
      <c r="M15" s="25"/>
      <c r="N15" s="25"/>
      <c r="O15" s="26"/>
    </row>
    <row r="16" spans="1:15" ht="15" thickBot="1" x14ac:dyDescent="0.35">
      <c r="A16" s="13">
        <v>15</v>
      </c>
      <c r="B16" s="19" t="s">
        <v>177</v>
      </c>
      <c r="C16" s="20">
        <v>168</v>
      </c>
      <c r="D16" s="20">
        <v>0.52</v>
      </c>
      <c r="E16" s="22">
        <v>18</v>
      </c>
      <c r="F16" s="22">
        <v>38</v>
      </c>
      <c r="G16" s="22">
        <v>44</v>
      </c>
      <c r="H16" s="22">
        <v>54</v>
      </c>
    </row>
    <row r="17" spans="1:15" ht="15" thickBot="1" x14ac:dyDescent="0.35">
      <c r="A17" s="18">
        <v>16</v>
      </c>
      <c r="B17" s="19" t="s">
        <v>178</v>
      </c>
      <c r="C17" s="20">
        <v>172</v>
      </c>
      <c r="D17" s="20">
        <v>0.46400000000000002</v>
      </c>
      <c r="E17" s="22">
        <v>31</v>
      </c>
      <c r="F17" s="20">
        <v>45</v>
      </c>
      <c r="G17" s="20">
        <v>45</v>
      </c>
      <c r="H17" s="22">
        <v>56</v>
      </c>
      <c r="K17" s="5"/>
      <c r="L17" s="5"/>
      <c r="M17" s="5"/>
      <c r="N17" s="5"/>
      <c r="O17" s="5"/>
    </row>
    <row r="18" spans="1:15" ht="15" thickBot="1" x14ac:dyDescent="0.35">
      <c r="A18" s="13">
        <v>17</v>
      </c>
      <c r="B18" s="19" t="s">
        <v>179</v>
      </c>
      <c r="C18" s="20">
        <v>178</v>
      </c>
      <c r="D18" s="20">
        <v>0.44</v>
      </c>
      <c r="E18" s="22">
        <v>40</v>
      </c>
      <c r="F18" s="20">
        <v>52</v>
      </c>
      <c r="G18" s="20">
        <v>51</v>
      </c>
      <c r="H18" s="22">
        <v>60</v>
      </c>
      <c r="K18" s="23"/>
      <c r="L18" s="25"/>
      <c r="M18" s="25"/>
      <c r="N18" s="25"/>
      <c r="O18" s="25"/>
    </row>
    <row r="19" spans="1:15" ht="15" thickBot="1" x14ac:dyDescent="0.35">
      <c r="A19" s="13">
        <v>18</v>
      </c>
      <c r="B19" s="19" t="s">
        <v>180</v>
      </c>
      <c r="C19" s="20">
        <v>174</v>
      </c>
      <c r="D19" s="20">
        <v>0.52</v>
      </c>
      <c r="E19" s="22">
        <v>43</v>
      </c>
      <c r="F19" s="22">
        <v>72</v>
      </c>
      <c r="G19" s="22">
        <v>77</v>
      </c>
      <c r="H19" s="22">
        <v>82</v>
      </c>
      <c r="K19" s="23"/>
      <c r="L19" s="25"/>
      <c r="M19" s="25"/>
      <c r="N19" s="25"/>
      <c r="O19" s="25"/>
    </row>
    <row r="20" spans="1:15" ht="15" thickBot="1" x14ac:dyDescent="0.35">
      <c r="A20" s="13">
        <v>19</v>
      </c>
      <c r="B20" s="19" t="s">
        <v>181</v>
      </c>
      <c r="C20" s="20">
        <v>169</v>
      </c>
      <c r="D20" s="20">
        <v>0.53</v>
      </c>
      <c r="E20" s="22">
        <v>33</v>
      </c>
      <c r="F20" s="22">
        <v>66</v>
      </c>
      <c r="G20" s="22">
        <v>67</v>
      </c>
      <c r="H20" s="22">
        <v>80</v>
      </c>
      <c r="K20" s="23"/>
      <c r="L20" s="25"/>
      <c r="M20" s="25"/>
      <c r="N20" s="25"/>
      <c r="O20" s="25"/>
    </row>
    <row r="21" spans="1:15" ht="15" thickBot="1" x14ac:dyDescent="0.35">
      <c r="A21" s="13">
        <v>20</v>
      </c>
      <c r="B21" s="19" t="s">
        <v>182</v>
      </c>
      <c r="C21" s="20">
        <v>178</v>
      </c>
      <c r="D21" s="20">
        <v>0.52</v>
      </c>
      <c r="E21" s="22">
        <v>44</v>
      </c>
      <c r="F21" s="22">
        <v>67</v>
      </c>
      <c r="G21" s="22">
        <v>86</v>
      </c>
      <c r="H21" s="22">
        <v>88</v>
      </c>
      <c r="K21" s="23"/>
      <c r="L21" s="25"/>
      <c r="M21" s="25"/>
      <c r="N21" s="25"/>
      <c r="O21" s="25"/>
    </row>
    <row r="22" spans="1:15" ht="15" thickBot="1" x14ac:dyDescent="0.35">
      <c r="A22" s="13">
        <v>21</v>
      </c>
      <c r="B22" s="19" t="s">
        <v>183</v>
      </c>
      <c r="C22" s="20">
        <v>175</v>
      </c>
      <c r="D22" s="20">
        <v>0.52</v>
      </c>
      <c r="E22" s="22">
        <v>34</v>
      </c>
      <c r="F22" s="22">
        <v>63</v>
      </c>
      <c r="G22" s="22">
        <v>69</v>
      </c>
      <c r="H22" s="22">
        <v>73</v>
      </c>
      <c r="K22" s="23"/>
      <c r="L22" s="25"/>
      <c r="M22" s="25"/>
      <c r="N22" s="26"/>
      <c r="O22" s="26"/>
    </row>
    <row r="23" spans="1:15" ht="15" thickBot="1" x14ac:dyDescent="0.35">
      <c r="A23" s="13">
        <v>22</v>
      </c>
      <c r="B23" s="19" t="s">
        <v>184</v>
      </c>
      <c r="C23" s="20">
        <v>169</v>
      </c>
      <c r="D23" s="20">
        <v>0.54</v>
      </c>
      <c r="E23" s="22">
        <v>49</v>
      </c>
      <c r="F23" s="22">
        <v>47</v>
      </c>
      <c r="G23" s="22">
        <v>75</v>
      </c>
      <c r="H23" s="22">
        <v>88</v>
      </c>
      <c r="K23" s="23"/>
      <c r="L23" s="25"/>
      <c r="M23" s="25"/>
      <c r="N23" s="26"/>
      <c r="O23" s="25"/>
    </row>
    <row r="24" spans="1:15" ht="15" thickBot="1" x14ac:dyDescent="0.35">
      <c r="A24" s="13">
        <v>23</v>
      </c>
      <c r="B24" s="19" t="s">
        <v>185</v>
      </c>
      <c r="C24" s="20">
        <v>169</v>
      </c>
      <c r="D24" s="20">
        <v>0.56000000000000005</v>
      </c>
      <c r="E24" s="22">
        <v>39</v>
      </c>
      <c r="F24" s="22">
        <v>64</v>
      </c>
      <c r="G24" s="22">
        <v>75</v>
      </c>
      <c r="H24" s="22">
        <v>87</v>
      </c>
      <c r="K24" s="23"/>
      <c r="L24" s="25"/>
      <c r="M24" s="25"/>
      <c r="N24" s="26"/>
      <c r="O24" s="25"/>
    </row>
    <row r="25" spans="1:15" ht="15" thickBot="1" x14ac:dyDescent="0.35">
      <c r="A25" s="13">
        <v>24</v>
      </c>
      <c r="B25" s="19" t="s">
        <v>186</v>
      </c>
      <c r="C25" s="20">
        <v>170</v>
      </c>
      <c r="D25" s="20">
        <v>0.5</v>
      </c>
      <c r="E25" s="22">
        <v>68</v>
      </c>
      <c r="F25" s="22">
        <v>71</v>
      </c>
      <c r="G25" s="22">
        <v>74</v>
      </c>
      <c r="H25" s="22">
        <v>75</v>
      </c>
      <c r="K25" s="23"/>
      <c r="L25" s="25"/>
      <c r="M25" s="25"/>
      <c r="N25" s="25"/>
      <c r="O25" s="25"/>
    </row>
    <row r="26" spans="1:15" ht="15" thickBot="1" x14ac:dyDescent="0.35">
      <c r="A26" s="13">
        <v>25</v>
      </c>
      <c r="B26" s="19" t="s">
        <v>187</v>
      </c>
      <c r="C26" s="20">
        <v>178</v>
      </c>
      <c r="D26" s="20">
        <v>0.51</v>
      </c>
      <c r="E26" s="22">
        <v>66</v>
      </c>
      <c r="F26" s="22">
        <v>67</v>
      </c>
      <c r="G26" s="22">
        <v>66</v>
      </c>
      <c r="H26" s="22">
        <v>67</v>
      </c>
      <c r="K26" s="23"/>
      <c r="L26" s="25"/>
      <c r="M26" s="26"/>
      <c r="N26" s="26"/>
      <c r="O26" s="25"/>
    </row>
    <row r="27" spans="1:15" ht="15" thickBot="1" x14ac:dyDescent="0.35">
      <c r="A27" s="13">
        <v>26</v>
      </c>
      <c r="B27" s="19" t="s">
        <v>188</v>
      </c>
      <c r="C27" s="20">
        <v>173</v>
      </c>
      <c r="D27" s="20">
        <v>0.51</v>
      </c>
      <c r="E27" s="22">
        <v>58</v>
      </c>
      <c r="F27" s="22">
        <v>65</v>
      </c>
      <c r="G27" s="22">
        <v>62</v>
      </c>
      <c r="H27" s="22">
        <v>62</v>
      </c>
      <c r="K27" s="23"/>
      <c r="L27" s="25"/>
      <c r="M27" s="26"/>
      <c r="N27" s="26"/>
      <c r="O27" s="25"/>
    </row>
    <row r="28" spans="1:15" ht="15" thickBot="1" x14ac:dyDescent="0.35">
      <c r="A28" s="13">
        <v>27</v>
      </c>
      <c r="B28" s="19" t="s">
        <v>189</v>
      </c>
      <c r="C28" s="20">
        <v>172</v>
      </c>
      <c r="D28" s="20">
        <v>0.51</v>
      </c>
      <c r="E28" s="22">
        <v>43</v>
      </c>
      <c r="F28" s="22">
        <v>52</v>
      </c>
      <c r="G28" s="22">
        <v>49</v>
      </c>
      <c r="H28" s="22">
        <v>54</v>
      </c>
      <c r="K28" s="23"/>
      <c r="L28" s="25"/>
      <c r="M28" s="25"/>
      <c r="N28" s="25"/>
      <c r="O28" s="25"/>
    </row>
    <row r="29" spans="1:15" ht="15" thickBot="1" x14ac:dyDescent="0.35">
      <c r="A29" s="13">
        <v>28</v>
      </c>
      <c r="B29" s="19" t="s">
        <v>190</v>
      </c>
      <c r="C29" s="20">
        <v>176</v>
      </c>
      <c r="D29" s="20">
        <v>0.51</v>
      </c>
      <c r="E29" s="22">
        <v>31</v>
      </c>
      <c r="F29" s="22">
        <v>43</v>
      </c>
      <c r="G29" s="22">
        <v>38</v>
      </c>
      <c r="H29" s="22">
        <v>42</v>
      </c>
      <c r="K29" s="23"/>
      <c r="L29" s="25"/>
      <c r="M29" s="25"/>
      <c r="N29" s="25"/>
      <c r="O29" s="25"/>
    </row>
    <row r="30" spans="1:15" ht="15" thickBot="1" x14ac:dyDescent="0.35">
      <c r="A30" s="13">
        <v>29</v>
      </c>
      <c r="B30" s="19" t="s">
        <v>191</v>
      </c>
      <c r="C30" s="20">
        <v>173</v>
      </c>
      <c r="D30" s="20">
        <v>0.51</v>
      </c>
      <c r="E30" s="22">
        <v>17</v>
      </c>
      <c r="F30" s="22">
        <v>25</v>
      </c>
      <c r="G30" s="22">
        <v>23</v>
      </c>
      <c r="H30" s="22">
        <v>25</v>
      </c>
      <c r="K30" s="23"/>
      <c r="L30" s="25"/>
      <c r="M30" s="25"/>
      <c r="N30" s="25"/>
      <c r="O30" s="25"/>
    </row>
    <row r="31" spans="1:15" ht="15" thickBot="1" x14ac:dyDescent="0.35">
      <c r="K31" s="23"/>
      <c r="L31" s="25"/>
      <c r="M31" s="25"/>
      <c r="N31" s="25"/>
      <c r="O31" s="25"/>
    </row>
    <row r="32" spans="1:15" ht="40.200000000000003" thickBot="1" x14ac:dyDescent="0.35">
      <c r="A32" s="11" t="s">
        <v>91</v>
      </c>
      <c r="B32" s="12" t="s">
        <v>0</v>
      </c>
      <c r="C32" s="12" t="s">
        <v>156</v>
      </c>
      <c r="D32" s="12" t="s">
        <v>157</v>
      </c>
      <c r="E32" s="12" t="s">
        <v>158</v>
      </c>
      <c r="F32" s="12" t="s">
        <v>159</v>
      </c>
      <c r="G32" s="12" t="s">
        <v>160</v>
      </c>
      <c r="H32" s="12" t="s">
        <v>161</v>
      </c>
      <c r="K32" s="23"/>
      <c r="L32" s="25"/>
      <c r="M32" s="25"/>
      <c r="N32" s="25"/>
      <c r="O32" s="25"/>
    </row>
    <row r="33" spans="1:15" ht="15" thickBot="1" x14ac:dyDescent="0.35">
      <c r="A33" s="13">
        <v>30</v>
      </c>
      <c r="B33" s="14" t="s">
        <v>49</v>
      </c>
      <c r="C33" s="15" t="s">
        <v>197</v>
      </c>
      <c r="D33" s="15">
        <v>0.48399999999999999</v>
      </c>
      <c r="E33" s="15" t="s">
        <v>163</v>
      </c>
      <c r="F33" s="15" t="s">
        <v>163</v>
      </c>
      <c r="G33" s="15" t="s">
        <v>163</v>
      </c>
      <c r="H33" s="15" t="s">
        <v>163</v>
      </c>
      <c r="K33" s="23"/>
      <c r="L33" s="25"/>
      <c r="M33" s="25"/>
      <c r="N33" s="25"/>
      <c r="O33" s="25"/>
    </row>
    <row r="34" spans="1:15" ht="15" thickBot="1" x14ac:dyDescent="0.35">
      <c r="A34" s="13">
        <v>31</v>
      </c>
      <c r="B34" s="19" t="s">
        <v>192</v>
      </c>
      <c r="C34" s="20">
        <v>160</v>
      </c>
      <c r="D34" s="20">
        <v>0.48399999999999999</v>
      </c>
      <c r="E34" s="20">
        <v>86</v>
      </c>
      <c r="F34" s="22">
        <v>95</v>
      </c>
      <c r="G34" s="22">
        <v>96</v>
      </c>
      <c r="H34" s="22">
        <v>100</v>
      </c>
    </row>
    <row r="35" spans="1:15" ht="15" thickBot="1" x14ac:dyDescent="0.35">
      <c r="A35" s="13">
        <v>32</v>
      </c>
      <c r="B35" s="19" t="s">
        <v>193</v>
      </c>
      <c r="C35" s="20">
        <v>165</v>
      </c>
      <c r="D35" s="20">
        <v>0.47</v>
      </c>
      <c r="E35" s="22">
        <v>83</v>
      </c>
      <c r="F35" s="22">
        <v>91</v>
      </c>
      <c r="G35" s="22">
        <v>93</v>
      </c>
      <c r="H35" s="20">
        <v>102</v>
      </c>
    </row>
    <row r="36" spans="1:15" ht="15" thickBot="1" x14ac:dyDescent="0.35">
      <c r="A36" s="13">
        <v>33</v>
      </c>
      <c r="B36" s="19" t="s">
        <v>194</v>
      </c>
      <c r="C36" s="20">
        <v>161</v>
      </c>
      <c r="D36" s="20">
        <v>0.47</v>
      </c>
      <c r="E36" s="22">
        <v>71</v>
      </c>
      <c r="F36" s="22">
        <v>85</v>
      </c>
      <c r="G36" s="22">
        <v>91</v>
      </c>
      <c r="H36" s="20">
        <v>104</v>
      </c>
    </row>
    <row r="37" spans="1:15" ht="15" thickBot="1" x14ac:dyDescent="0.35">
      <c r="A37" s="13">
        <v>34</v>
      </c>
      <c r="B37" s="19" t="s">
        <v>195</v>
      </c>
      <c r="C37" s="20">
        <v>161</v>
      </c>
      <c r="D37" s="20">
        <v>0.48399999999999999</v>
      </c>
      <c r="E37" s="20">
        <v>60</v>
      </c>
      <c r="F37" s="22">
        <v>82</v>
      </c>
      <c r="G37" s="22">
        <v>93</v>
      </c>
      <c r="H37" s="20">
        <v>97</v>
      </c>
    </row>
    <row r="38" spans="1:15" ht="15" thickBot="1" x14ac:dyDescent="0.35">
      <c r="A38" s="13">
        <v>35</v>
      </c>
      <c r="B38" s="19" t="s">
        <v>196</v>
      </c>
      <c r="C38" s="20">
        <v>162</v>
      </c>
      <c r="D38" s="20">
        <v>0.48399999999999999</v>
      </c>
      <c r="E38" s="20">
        <v>44</v>
      </c>
      <c r="F38" s="22">
        <v>82</v>
      </c>
      <c r="G38" s="22">
        <v>93</v>
      </c>
      <c r="H38" s="20">
        <v>100</v>
      </c>
    </row>
    <row r="39" spans="1:15" ht="15" thickBot="1" x14ac:dyDescent="0.35">
      <c r="A39" s="13">
        <v>36</v>
      </c>
      <c r="B39" s="19" t="s">
        <v>198</v>
      </c>
      <c r="C39" s="20">
        <v>168</v>
      </c>
      <c r="D39" s="20">
        <v>0.46</v>
      </c>
      <c r="E39" s="20">
        <v>35</v>
      </c>
      <c r="F39" s="22">
        <v>53</v>
      </c>
      <c r="G39" s="22">
        <v>59</v>
      </c>
      <c r="H39" s="20">
        <v>67</v>
      </c>
    </row>
    <row r="40" spans="1:15" ht="15" thickBot="1" x14ac:dyDescent="0.35">
      <c r="A40" s="13">
        <v>37</v>
      </c>
      <c r="B40" s="19" t="s">
        <v>199</v>
      </c>
      <c r="C40" s="20">
        <v>168</v>
      </c>
      <c r="D40" s="20">
        <v>0.46</v>
      </c>
      <c r="E40" s="20">
        <v>30</v>
      </c>
      <c r="F40" s="22">
        <v>45</v>
      </c>
      <c r="G40" s="22">
        <v>57</v>
      </c>
      <c r="H40" s="20">
        <v>68</v>
      </c>
    </row>
    <row r="41" spans="1:15" ht="15" thickBot="1" x14ac:dyDescent="0.35">
      <c r="A41" s="13">
        <v>38</v>
      </c>
      <c r="B41" s="19" t="s">
        <v>200</v>
      </c>
      <c r="C41" s="20">
        <v>169</v>
      </c>
      <c r="D41" s="20">
        <v>0.5</v>
      </c>
      <c r="E41" s="20">
        <v>54</v>
      </c>
      <c r="F41" s="22">
        <v>68</v>
      </c>
      <c r="G41" s="22">
        <v>82</v>
      </c>
      <c r="H41" s="20">
        <v>87</v>
      </c>
    </row>
    <row r="42" spans="1:15" ht="15" thickBot="1" x14ac:dyDescent="0.35">
      <c r="A42" s="13">
        <v>39</v>
      </c>
      <c r="B42" s="19" t="s">
        <v>201</v>
      </c>
      <c r="C42" s="20">
        <v>168</v>
      </c>
      <c r="D42" s="20">
        <v>0.5</v>
      </c>
      <c r="E42" s="20">
        <v>46</v>
      </c>
      <c r="F42" s="22">
        <v>72</v>
      </c>
      <c r="G42" s="22">
        <v>77</v>
      </c>
      <c r="H42" s="20">
        <v>82</v>
      </c>
    </row>
    <row r="43" spans="1:15" ht="15" thickBot="1" x14ac:dyDescent="0.35">
      <c r="A43" s="13">
        <v>40</v>
      </c>
      <c r="B43" s="19" t="s">
        <v>202</v>
      </c>
      <c r="C43" s="20">
        <v>162</v>
      </c>
      <c r="D43" s="20">
        <v>0.5</v>
      </c>
      <c r="E43" s="20">
        <v>53</v>
      </c>
      <c r="F43" s="22">
        <v>79</v>
      </c>
      <c r="G43" s="22">
        <v>77</v>
      </c>
      <c r="H43" s="20">
        <v>83</v>
      </c>
    </row>
    <row r="44" spans="1:15" ht="15" thickBot="1" x14ac:dyDescent="0.35">
      <c r="A44" s="13">
        <v>41</v>
      </c>
      <c r="B44" s="19" t="s">
        <v>203</v>
      </c>
      <c r="C44" s="20">
        <v>165</v>
      </c>
      <c r="D44" s="20">
        <v>0.5</v>
      </c>
      <c r="E44" s="22">
        <v>52</v>
      </c>
      <c r="F44" s="22">
        <v>93</v>
      </c>
      <c r="G44" s="22">
        <v>86</v>
      </c>
      <c r="H44" s="20">
        <v>98</v>
      </c>
    </row>
    <row r="45" spans="1:15" ht="15" thickBot="1" x14ac:dyDescent="0.35">
      <c r="A45" s="18">
        <v>42</v>
      </c>
      <c r="B45" s="19" t="s">
        <v>204</v>
      </c>
      <c r="C45" s="20">
        <v>168</v>
      </c>
      <c r="D45" s="20">
        <v>0.5</v>
      </c>
      <c r="E45" s="20">
        <v>63</v>
      </c>
      <c r="F45" s="20">
        <v>91</v>
      </c>
      <c r="G45" s="20">
        <v>84</v>
      </c>
      <c r="H45" s="20">
        <v>88</v>
      </c>
    </row>
    <row r="46" spans="1:15" ht="15" thickBot="1" x14ac:dyDescent="0.35">
      <c r="A46" s="18">
        <v>43</v>
      </c>
      <c r="B46" s="19" t="s">
        <v>205</v>
      </c>
      <c r="C46" s="20">
        <v>163</v>
      </c>
      <c r="D46" s="20">
        <v>0.5</v>
      </c>
      <c r="E46" s="20">
        <v>39</v>
      </c>
      <c r="F46" s="20">
        <v>65</v>
      </c>
      <c r="G46" s="20">
        <v>76</v>
      </c>
      <c r="H46" s="20">
        <v>84</v>
      </c>
    </row>
    <row r="47" spans="1:15" ht="15" thickBot="1" x14ac:dyDescent="0.35">
      <c r="A47" s="18">
        <v>44</v>
      </c>
      <c r="B47" s="19" t="s">
        <v>206</v>
      </c>
      <c r="C47" s="20">
        <v>165</v>
      </c>
      <c r="D47" s="20">
        <v>0.5</v>
      </c>
      <c r="E47" s="20">
        <v>34</v>
      </c>
      <c r="F47" s="20">
        <v>61</v>
      </c>
      <c r="G47" s="20">
        <v>72</v>
      </c>
      <c r="H47" s="20">
        <v>86</v>
      </c>
    </row>
    <row r="48" spans="1:15" ht="15" thickBot="1" x14ac:dyDescent="0.35">
      <c r="A48" s="18">
        <v>45</v>
      </c>
      <c r="B48" s="19" t="s">
        <v>207</v>
      </c>
      <c r="C48" s="20">
        <v>169</v>
      </c>
      <c r="D48" s="20">
        <v>0.54</v>
      </c>
      <c r="E48" s="20">
        <v>45</v>
      </c>
      <c r="F48" s="20">
        <v>62</v>
      </c>
      <c r="G48" s="20">
        <v>85</v>
      </c>
      <c r="H48" s="20">
        <v>93</v>
      </c>
    </row>
    <row r="49" spans="1:8" ht="15" thickBot="1" x14ac:dyDescent="0.35">
      <c r="A49" s="18">
        <v>46</v>
      </c>
      <c r="B49" s="19" t="s">
        <v>208</v>
      </c>
      <c r="C49" s="20">
        <v>159</v>
      </c>
      <c r="D49" s="20">
        <v>0.55000000000000004</v>
      </c>
      <c r="E49" s="20">
        <v>40</v>
      </c>
      <c r="F49" s="20">
        <v>59</v>
      </c>
      <c r="G49" s="20">
        <v>67</v>
      </c>
      <c r="H49" s="20">
        <v>76</v>
      </c>
    </row>
    <row r="50" spans="1:8" ht="15" thickBot="1" x14ac:dyDescent="0.35">
      <c r="A50" s="18">
        <v>47</v>
      </c>
      <c r="B50" s="19" t="s">
        <v>209</v>
      </c>
      <c r="C50" s="20">
        <v>169</v>
      </c>
      <c r="D50" s="20">
        <v>0.52</v>
      </c>
      <c r="E50" s="20">
        <v>38</v>
      </c>
      <c r="F50" s="20">
        <v>58</v>
      </c>
      <c r="G50" s="20">
        <v>66</v>
      </c>
      <c r="H50" s="20">
        <v>78</v>
      </c>
    </row>
    <row r="51" spans="1:8" ht="15" thickBot="1" x14ac:dyDescent="0.35">
      <c r="A51" s="13">
        <v>48</v>
      </c>
      <c r="B51" s="19" t="s">
        <v>210</v>
      </c>
      <c r="C51" s="20">
        <v>159</v>
      </c>
      <c r="D51" s="20">
        <v>0.5</v>
      </c>
      <c r="E51" s="20">
        <v>29</v>
      </c>
      <c r="F51" s="20">
        <v>54</v>
      </c>
      <c r="G51" s="20">
        <v>76</v>
      </c>
      <c r="H51" s="20">
        <v>78</v>
      </c>
    </row>
    <row r="52" spans="1:8" ht="15" thickBot="1" x14ac:dyDescent="0.35">
      <c r="A52" s="13">
        <v>49</v>
      </c>
      <c r="B52" s="19" t="s">
        <v>211</v>
      </c>
      <c r="C52" s="20">
        <v>168</v>
      </c>
      <c r="D52" s="20">
        <v>0.52</v>
      </c>
      <c r="E52" s="20">
        <v>13</v>
      </c>
      <c r="F52" s="20">
        <v>39</v>
      </c>
      <c r="G52" s="20">
        <v>48</v>
      </c>
      <c r="H52" s="20">
        <v>56</v>
      </c>
    </row>
    <row r="53" spans="1:8" ht="15" thickBot="1" x14ac:dyDescent="0.35">
      <c r="A53" s="18">
        <v>50</v>
      </c>
      <c r="B53" s="19" t="s">
        <v>212</v>
      </c>
      <c r="C53" s="20">
        <v>166</v>
      </c>
      <c r="D53" s="20">
        <v>0.52</v>
      </c>
      <c r="E53" s="20">
        <v>16</v>
      </c>
      <c r="F53" s="20">
        <v>44</v>
      </c>
      <c r="G53" s="20">
        <v>48</v>
      </c>
      <c r="H53" s="20">
        <v>59</v>
      </c>
    </row>
    <row r="54" spans="1:8" ht="15" thickBot="1" x14ac:dyDescent="0.35">
      <c r="A54" s="18">
        <v>51</v>
      </c>
      <c r="B54" s="19" t="s">
        <v>213</v>
      </c>
      <c r="C54" s="20">
        <v>161</v>
      </c>
      <c r="D54" s="20">
        <v>0.52</v>
      </c>
      <c r="E54" s="20">
        <v>17</v>
      </c>
      <c r="F54" s="20">
        <v>32</v>
      </c>
      <c r="G54" s="20">
        <v>44</v>
      </c>
      <c r="H54" s="20">
        <v>52</v>
      </c>
    </row>
    <row r="55" spans="1:8" ht="15" thickBot="1" x14ac:dyDescent="0.35">
      <c r="A55" s="18">
        <v>52</v>
      </c>
      <c r="B55" s="19" t="s">
        <v>141</v>
      </c>
      <c r="C55" s="20">
        <v>159</v>
      </c>
      <c r="D55" s="20">
        <v>0.48399999999999999</v>
      </c>
      <c r="E55" s="20">
        <v>85</v>
      </c>
      <c r="F55" s="20">
        <v>97</v>
      </c>
      <c r="G55" s="20">
        <v>91</v>
      </c>
      <c r="H55" s="20">
        <v>92</v>
      </c>
    </row>
    <row r="56" spans="1:8" ht="15" thickBot="1" x14ac:dyDescent="0.35">
      <c r="A56" s="18">
        <v>53</v>
      </c>
      <c r="B56" s="19" t="s">
        <v>142</v>
      </c>
      <c r="C56" s="20">
        <v>162</v>
      </c>
      <c r="D56" s="20">
        <v>0.49</v>
      </c>
      <c r="E56" s="20">
        <v>79</v>
      </c>
      <c r="F56" s="20">
        <v>87</v>
      </c>
      <c r="G56" s="20">
        <v>89</v>
      </c>
      <c r="H56" s="20">
        <v>90</v>
      </c>
    </row>
    <row r="57" spans="1:8" ht="15" thickBot="1" x14ac:dyDescent="0.35">
      <c r="A57" s="18">
        <v>54</v>
      </c>
      <c r="B57" s="19" t="s">
        <v>143</v>
      </c>
      <c r="C57" s="20">
        <v>164</v>
      </c>
      <c r="D57" s="20">
        <v>0.49</v>
      </c>
      <c r="E57" s="20">
        <v>63</v>
      </c>
      <c r="F57" s="20">
        <v>66</v>
      </c>
      <c r="G57" s="20">
        <v>78</v>
      </c>
      <c r="H57" s="20">
        <v>68</v>
      </c>
    </row>
    <row r="58" spans="1:8" ht="15" thickBot="1" x14ac:dyDescent="0.35">
      <c r="A58" s="18">
        <v>55</v>
      </c>
      <c r="B58" s="19" t="s">
        <v>144</v>
      </c>
      <c r="C58" s="20">
        <v>162</v>
      </c>
      <c r="D58" s="20">
        <v>0.5</v>
      </c>
      <c r="E58" s="20">
        <v>50</v>
      </c>
      <c r="F58" s="20">
        <v>60</v>
      </c>
      <c r="G58" s="20">
        <v>59</v>
      </c>
      <c r="H58" s="20">
        <v>63</v>
      </c>
    </row>
    <row r="59" spans="1:8" ht="15" thickBot="1" x14ac:dyDescent="0.35">
      <c r="A59" s="18">
        <v>56</v>
      </c>
      <c r="B59" s="19" t="s">
        <v>145</v>
      </c>
      <c r="C59" s="20">
        <v>164</v>
      </c>
      <c r="D59" s="20">
        <v>0.51</v>
      </c>
      <c r="E59" s="20">
        <v>34</v>
      </c>
      <c r="F59" s="20">
        <v>42</v>
      </c>
      <c r="G59" s="20">
        <v>46</v>
      </c>
      <c r="H59" s="20">
        <v>48</v>
      </c>
    </row>
  </sheetData>
  <conditionalFormatting sqref="L18:O3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273F-0B88-49AD-8434-E75256361432}">
  <dimension ref="A1:E26"/>
  <sheetViews>
    <sheetView workbookViewId="0">
      <selection activeCell="B15" sqref="B15"/>
    </sheetView>
  </sheetViews>
  <sheetFormatPr defaultRowHeight="14.4" x14ac:dyDescent="0.3"/>
  <cols>
    <col min="1" max="1" width="17.33203125" customWidth="1"/>
    <col min="2" max="2" width="21.88671875" customWidth="1"/>
    <col min="3" max="3" width="30.6640625" customWidth="1"/>
    <col min="4" max="4" width="31.109375" customWidth="1"/>
    <col min="5" max="5" width="11.109375" customWidth="1"/>
  </cols>
  <sheetData>
    <row r="1" spans="1:5" x14ac:dyDescent="0.3">
      <c r="A1" t="s">
        <v>214</v>
      </c>
      <c r="B1" s="27" t="s">
        <v>248</v>
      </c>
      <c r="C1" s="27" t="s">
        <v>215</v>
      </c>
      <c r="D1" s="27" t="s">
        <v>216</v>
      </c>
      <c r="E1" s="27"/>
    </row>
    <row r="2" spans="1:5" x14ac:dyDescent="0.3">
      <c r="A2" t="s">
        <v>217</v>
      </c>
      <c r="B2" s="27">
        <v>344.25799999999998</v>
      </c>
      <c r="C2" s="27">
        <v>8.0220000000000002</v>
      </c>
      <c r="D2" s="27">
        <v>49.484999999999999</v>
      </c>
      <c r="E2" s="27"/>
    </row>
    <row r="3" spans="1:5" x14ac:dyDescent="0.3">
      <c r="A3" t="s">
        <v>218</v>
      </c>
      <c r="B3" s="27">
        <v>385.745</v>
      </c>
      <c r="C3" s="27">
        <v>7.79</v>
      </c>
      <c r="D3" s="27">
        <v>53.634999999999998</v>
      </c>
      <c r="E3" s="27"/>
    </row>
    <row r="4" spans="1:5" x14ac:dyDescent="0.3">
      <c r="A4" t="s">
        <v>219</v>
      </c>
      <c r="B4" s="27">
        <v>450.4</v>
      </c>
      <c r="C4" s="27">
        <v>8.5280000000000005</v>
      </c>
      <c r="D4" s="27">
        <v>46.73</v>
      </c>
      <c r="E4" s="27"/>
    </row>
    <row r="5" spans="1:5" x14ac:dyDescent="0.3">
      <c r="A5" t="s">
        <v>220</v>
      </c>
      <c r="B5" s="27">
        <v>439.4</v>
      </c>
      <c r="C5" s="27">
        <v>5.4945798936000001</v>
      </c>
      <c r="D5" s="27">
        <v>25.05</v>
      </c>
      <c r="E5" s="27"/>
    </row>
    <row r="6" spans="1:5" x14ac:dyDescent="0.3">
      <c r="A6" t="s">
        <v>221</v>
      </c>
      <c r="B6" s="27">
        <v>266.63</v>
      </c>
      <c r="C6" s="27">
        <v>4.2166060939999994</v>
      </c>
      <c r="D6" s="27">
        <v>59.45</v>
      </c>
      <c r="E6" s="27"/>
    </row>
    <row r="7" spans="1:5" x14ac:dyDescent="0.3">
      <c r="A7" t="s">
        <v>222</v>
      </c>
      <c r="B7" s="27">
        <v>229.61</v>
      </c>
      <c r="C7" s="27">
        <v>3.2953688936000001</v>
      </c>
      <c r="D7" s="27">
        <v>30.36</v>
      </c>
      <c r="E7" s="27"/>
    </row>
    <row r="8" spans="1:5" x14ac:dyDescent="0.3">
      <c r="A8" t="s">
        <v>223</v>
      </c>
      <c r="B8" s="27">
        <v>272.08999999999997</v>
      </c>
      <c r="C8" s="27">
        <v>6.3860000000000001</v>
      </c>
      <c r="D8" s="27">
        <v>44.73</v>
      </c>
      <c r="E8" s="27"/>
    </row>
    <row r="9" spans="1:5" x14ac:dyDescent="0.3">
      <c r="A9" t="s">
        <v>224</v>
      </c>
      <c r="B9" s="27">
        <v>65.58</v>
      </c>
      <c r="C9" s="27">
        <v>2.6560000000000001</v>
      </c>
      <c r="D9" s="27">
        <v>62.034999999999997</v>
      </c>
      <c r="E9" s="27"/>
    </row>
    <row r="10" spans="1:5" x14ac:dyDescent="0.3">
      <c r="A10" t="s">
        <v>225</v>
      </c>
      <c r="B10" s="27">
        <v>377.15</v>
      </c>
      <c r="C10" s="27">
        <v>9.0756585019999996</v>
      </c>
      <c r="D10" s="27">
        <v>49.36</v>
      </c>
      <c r="E10" t="s">
        <v>226</v>
      </c>
    </row>
    <row r="11" spans="1:5" x14ac:dyDescent="0.3">
      <c r="A11" t="s">
        <v>225</v>
      </c>
      <c r="B11" s="27">
        <v>397.98</v>
      </c>
      <c r="C11" s="27">
        <v>8.5486847960000016</v>
      </c>
      <c r="D11" s="27">
        <v>49.02</v>
      </c>
      <c r="E11" t="s">
        <v>227</v>
      </c>
    </row>
    <row r="12" spans="1:5" x14ac:dyDescent="0.3">
      <c r="A12" t="s">
        <v>225</v>
      </c>
      <c r="B12" s="27">
        <v>400.33</v>
      </c>
      <c r="C12" s="27">
        <v>7.8034216759999993</v>
      </c>
      <c r="D12" s="27">
        <v>57.38</v>
      </c>
      <c r="E12" t="s">
        <v>228</v>
      </c>
    </row>
    <row r="13" spans="1:5" x14ac:dyDescent="0.3">
      <c r="A13" t="s">
        <v>229</v>
      </c>
      <c r="B13" s="27">
        <v>389.33</v>
      </c>
      <c r="C13" s="27">
        <v>25.666842559999999</v>
      </c>
      <c r="D13" s="27">
        <v>46.72</v>
      </c>
      <c r="E13" t="s">
        <v>230</v>
      </c>
    </row>
    <row r="14" spans="1:5" x14ac:dyDescent="0.3">
      <c r="A14" t="s">
        <v>229</v>
      </c>
      <c r="B14" s="27">
        <v>388.95</v>
      </c>
      <c r="C14" s="27">
        <v>24.692105680000001</v>
      </c>
      <c r="D14" s="27">
        <v>48.52</v>
      </c>
      <c r="E14" t="s">
        <v>231</v>
      </c>
    </row>
    <row r="15" spans="1:5" x14ac:dyDescent="0.3">
      <c r="A15" t="s">
        <v>229</v>
      </c>
      <c r="B15" s="27">
        <v>384.77</v>
      </c>
      <c r="C15" s="27">
        <v>23.918947879999997</v>
      </c>
      <c r="D15" s="27">
        <v>54.64</v>
      </c>
      <c r="E15" t="s">
        <v>232</v>
      </c>
    </row>
    <row r="16" spans="1:5" x14ac:dyDescent="0.3">
      <c r="A16" t="s">
        <v>229</v>
      </c>
      <c r="B16" s="27">
        <v>425.04</v>
      </c>
      <c r="C16" s="27">
        <v>27.403158519999998</v>
      </c>
      <c r="D16" s="27">
        <v>57.16</v>
      </c>
      <c r="E16" t="s">
        <v>233</v>
      </c>
    </row>
    <row r="17" spans="1:5" x14ac:dyDescent="0.3">
      <c r="A17" t="s">
        <v>229</v>
      </c>
      <c r="B17" s="27">
        <v>386.19</v>
      </c>
      <c r="C17" s="27">
        <v>15.61157944</v>
      </c>
      <c r="D17" s="27">
        <v>49.14</v>
      </c>
      <c r="E17" t="s">
        <v>234</v>
      </c>
    </row>
    <row r="18" spans="1:5" x14ac:dyDescent="0.3">
      <c r="A18" t="s">
        <v>229</v>
      </c>
      <c r="B18" s="27">
        <v>412.69</v>
      </c>
      <c r="C18" s="27">
        <v>31.487895399999999</v>
      </c>
      <c r="D18" s="27">
        <v>55.04</v>
      </c>
      <c r="E18" t="s">
        <v>235</v>
      </c>
    </row>
    <row r="19" spans="1:5" x14ac:dyDescent="0.3">
      <c r="A19" t="s">
        <v>236</v>
      </c>
      <c r="B19" s="27">
        <v>376.17</v>
      </c>
      <c r="C19" s="27">
        <v>7.1043465829399999</v>
      </c>
      <c r="D19" s="27">
        <v>38.68</v>
      </c>
      <c r="E19" t="s">
        <v>237</v>
      </c>
    </row>
    <row r="20" spans="1:5" x14ac:dyDescent="0.3">
      <c r="A20" t="s">
        <v>236</v>
      </c>
      <c r="B20" s="27">
        <v>375.1</v>
      </c>
      <c r="C20" s="27">
        <v>8.1559478800000011</v>
      </c>
      <c r="D20" s="27">
        <v>42.73</v>
      </c>
      <c r="E20" t="s">
        <v>238</v>
      </c>
    </row>
    <row r="21" spans="1:5" x14ac:dyDescent="0.3">
      <c r="A21" t="s">
        <v>239</v>
      </c>
      <c r="B21" s="27">
        <v>364.28</v>
      </c>
      <c r="C21" s="27">
        <v>12.38842236</v>
      </c>
      <c r="D21" s="27">
        <v>45.4</v>
      </c>
      <c r="E21" t="s">
        <v>240</v>
      </c>
    </row>
    <row r="22" spans="1:5" x14ac:dyDescent="0.3">
      <c r="A22" t="s">
        <v>239</v>
      </c>
      <c r="B22" s="27">
        <v>356.97</v>
      </c>
      <c r="C22" s="27">
        <v>18.990528040000001</v>
      </c>
      <c r="D22" s="27">
        <v>48.54</v>
      </c>
      <c r="E22" t="s">
        <v>241</v>
      </c>
    </row>
    <row r="23" spans="1:5" x14ac:dyDescent="0.3">
      <c r="A23" t="s">
        <v>242</v>
      </c>
      <c r="B23" s="27">
        <v>341.27</v>
      </c>
      <c r="C23" s="27">
        <v>27.857369160000001</v>
      </c>
      <c r="D23" s="27">
        <v>51.03</v>
      </c>
      <c r="E23" t="s">
        <v>243</v>
      </c>
    </row>
    <row r="24" spans="1:5" x14ac:dyDescent="0.3">
      <c r="A24" t="s">
        <v>242</v>
      </c>
      <c r="B24" s="27">
        <v>330.36</v>
      </c>
      <c r="C24" s="27">
        <v>24.496842919999999</v>
      </c>
      <c r="D24" s="27">
        <v>34.68</v>
      </c>
      <c r="E24" t="s">
        <v>244</v>
      </c>
    </row>
    <row r="25" spans="1:5" x14ac:dyDescent="0.3">
      <c r="A25" t="s">
        <v>245</v>
      </c>
      <c r="B25" s="27">
        <v>354.36</v>
      </c>
      <c r="C25" s="27">
        <v>28.28052696</v>
      </c>
      <c r="D25" s="27">
        <v>37.799999999999997</v>
      </c>
      <c r="E25" t="s">
        <v>246</v>
      </c>
    </row>
    <row r="26" spans="1:5" x14ac:dyDescent="0.3">
      <c r="A26" t="s">
        <v>245</v>
      </c>
      <c r="B26" s="27">
        <v>325.08</v>
      </c>
      <c r="C26" s="27">
        <v>24.423184835600001</v>
      </c>
      <c r="D26" s="27">
        <v>38.46</v>
      </c>
      <c r="E26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E7A7-3EB8-4818-B1CE-D583BE4719ED}">
  <dimension ref="A1:D3"/>
  <sheetViews>
    <sheetView tabSelected="1" workbookViewId="0">
      <selection activeCell="A3" sqref="A3"/>
    </sheetView>
  </sheetViews>
  <sheetFormatPr defaultRowHeight="14.4" x14ac:dyDescent="0.3"/>
  <sheetData>
    <row r="1" spans="1:4" x14ac:dyDescent="0.3">
      <c r="A1" t="s">
        <v>250</v>
      </c>
      <c r="B1" t="s">
        <v>251</v>
      </c>
      <c r="C1" t="s">
        <v>252</v>
      </c>
      <c r="D1" t="s">
        <v>253</v>
      </c>
    </row>
    <row r="2" spans="1:4" x14ac:dyDescent="0.3">
      <c r="A2" t="s">
        <v>254</v>
      </c>
      <c r="B2">
        <v>2.11</v>
      </c>
      <c r="C2">
        <v>15</v>
      </c>
      <c r="D2">
        <v>52</v>
      </c>
    </row>
    <row r="3" spans="1:4" x14ac:dyDescent="0.3">
      <c r="A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Isothermal calorimetry</vt:lpstr>
      <vt:lpstr>SAI</vt:lpstr>
      <vt:lpstr>SAI (%)</vt:lpstr>
      <vt:lpstr>Modified R3 test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Balegar Mohan - balegar</dc:creator>
  <cp:lastModifiedBy>Rakshith Srinath</cp:lastModifiedBy>
  <dcterms:created xsi:type="dcterms:W3CDTF">2015-06-05T18:17:20Z</dcterms:created>
  <dcterms:modified xsi:type="dcterms:W3CDTF">2025-03-05T18:33:26Z</dcterms:modified>
</cp:coreProperties>
</file>