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ey.Home-PC\LoadTestForIBS\Documents\"/>
    </mc:Choice>
  </mc:AlternateContent>
  <xr:revisionPtr revIDLastSave="0" documentId="13_ncr:1_{CD29F676-7DA7-4AE6-B8A2-E3E8A919E10E}" xr6:coauthVersionLast="47" xr6:coauthVersionMax="47" xr10:uidLastSave="{00000000-0000-0000-0000-000000000000}"/>
  <bookViews>
    <workbookView xWindow="28680" yWindow="-2820" windowWidth="29040" windowHeight="1599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E22" i="3"/>
  <c r="F22" i="3" s="1"/>
  <c r="G22" i="3"/>
  <c r="D23" i="3"/>
  <c r="E23" i="3"/>
  <c r="F23" i="3" s="1"/>
  <c r="G23" i="3"/>
  <c r="D24" i="3"/>
  <c r="E24" i="3"/>
  <c r="F24" i="3" s="1"/>
  <c r="H24" i="3" s="1"/>
  <c r="G24" i="3"/>
  <c r="D25" i="3"/>
  <c r="E25" i="3"/>
  <c r="F25" i="3" s="1"/>
  <c r="G25" i="3"/>
  <c r="D26" i="3"/>
  <c r="H26" i="3" s="1"/>
  <c r="E26" i="3"/>
  <c r="F26" i="3"/>
  <c r="G26" i="3"/>
  <c r="D27" i="3"/>
  <c r="E27" i="3"/>
  <c r="F27" i="3" s="1"/>
  <c r="H27" i="3" s="1"/>
  <c r="G27" i="3"/>
  <c r="H23" i="3" l="1"/>
  <c r="H25" i="3"/>
  <c r="H22" i="3"/>
  <c r="L36" i="3" l="1"/>
  <c r="L37" i="3"/>
  <c r="L38" i="3"/>
  <c r="L39" i="3"/>
  <c r="L40" i="3"/>
  <c r="L41" i="3"/>
  <c r="L42" i="3"/>
  <c r="L43" i="3"/>
  <c r="L44" i="3"/>
  <c r="L45" i="3"/>
  <c r="L46" i="3"/>
  <c r="L35" i="3"/>
  <c r="K35" i="3"/>
  <c r="K36" i="3"/>
  <c r="K37" i="3"/>
  <c r="K38" i="3"/>
  <c r="K39" i="3"/>
  <c r="K40" i="3"/>
  <c r="K41" i="3"/>
  <c r="K42" i="3"/>
  <c r="K43" i="3"/>
  <c r="K44" i="3"/>
  <c r="K45" i="3"/>
  <c r="K46" i="3"/>
  <c r="H47" i="3"/>
  <c r="E39" i="2" l="1"/>
  <c r="E38" i="2"/>
  <c r="E37" i="2"/>
  <c r="E36" i="2"/>
  <c r="E35" i="2"/>
  <c r="E34" i="2"/>
  <c r="E33" i="2"/>
  <c r="E32" i="2"/>
  <c r="E31" i="2"/>
  <c r="E30" i="2"/>
  <c r="E29" i="2"/>
  <c r="E28" i="2"/>
  <c r="D28" i="2"/>
  <c r="E40" i="2"/>
  <c r="D29" i="2"/>
  <c r="D30" i="2"/>
  <c r="D31" i="2"/>
  <c r="D32" i="2"/>
  <c r="D33" i="2"/>
  <c r="D34" i="2"/>
  <c r="D35" i="2"/>
  <c r="D36" i="2"/>
  <c r="D37" i="2"/>
  <c r="D38" i="2"/>
  <c r="D39" i="2"/>
  <c r="C47" i="3"/>
  <c r="E17" i="2"/>
  <c r="E16" i="2"/>
  <c r="E20" i="2"/>
  <c r="E22" i="2"/>
  <c r="E21" i="2"/>
  <c r="E19" i="2"/>
  <c r="E18" i="2"/>
  <c r="E15" i="2"/>
  <c r="E14" i="2"/>
  <c r="E13" i="2"/>
  <c r="E12" i="2"/>
  <c r="E11" i="2"/>
  <c r="B47" i="3"/>
  <c r="H46" i="3"/>
  <c r="D7" i="3"/>
  <c r="E7" i="3"/>
  <c r="F7" i="3" s="1"/>
  <c r="G7" i="3"/>
  <c r="H41" i="3"/>
  <c r="H40" i="3"/>
  <c r="D8" i="3"/>
  <c r="H6" i="5"/>
  <c r="H44" i="3"/>
  <c r="D28" i="3"/>
  <c r="E28" i="3"/>
  <c r="F28" i="3" s="1"/>
  <c r="G28" i="3"/>
  <c r="D29" i="3"/>
  <c r="E29" i="3"/>
  <c r="F29" i="3" s="1"/>
  <c r="G29" i="3"/>
  <c r="P5" i="3"/>
  <c r="P3" i="3"/>
  <c r="P4" i="3"/>
  <c r="P6" i="3"/>
  <c r="C46" i="3"/>
  <c r="D46" i="3" l="1"/>
  <c r="G46" i="3"/>
  <c r="H7" i="3"/>
  <c r="H28" i="3"/>
  <c r="H29" i="3"/>
  <c r="H35" i="3"/>
  <c r="R8" i="3"/>
  <c r="H36" i="3"/>
  <c r="H37" i="3"/>
  <c r="H38" i="3"/>
  <c r="D21" i="3"/>
  <c r="E21" i="3"/>
  <c r="F21" i="3" s="1"/>
  <c r="G21" i="3"/>
  <c r="D14" i="3"/>
  <c r="E14" i="3"/>
  <c r="F14" i="3" s="1"/>
  <c r="G14" i="3"/>
  <c r="D9" i="3"/>
  <c r="E9" i="3"/>
  <c r="F9" i="3" s="1"/>
  <c r="G9" i="3"/>
  <c r="E8" i="3"/>
  <c r="F8" i="3" s="1"/>
  <c r="G8" i="3"/>
  <c r="E2" i="3"/>
  <c r="H30" i="5"/>
  <c r="C35" i="3"/>
  <c r="C44" i="3"/>
  <c r="I46" i="3" l="1"/>
  <c r="D22" i="2"/>
  <c r="G44" i="3"/>
  <c r="D20" i="2" s="1"/>
  <c r="G35" i="3"/>
  <c r="D44" i="3"/>
  <c r="H9" i="3"/>
  <c r="H21" i="3"/>
  <c r="H14" i="3"/>
  <c r="H46" i="5"/>
  <c r="H14" i="5"/>
  <c r="I35" i="3" l="1"/>
  <c r="D11" i="2"/>
  <c r="E23" i="2"/>
  <c r="D20" i="3" l="1"/>
  <c r="E20" i="3"/>
  <c r="F20" i="3" s="1"/>
  <c r="G20" i="3"/>
  <c r="H8" i="3" l="1"/>
  <c r="H20" i="3"/>
  <c r="G3" i="3"/>
  <c r="C37" i="3"/>
  <c r="G37" i="3" l="1"/>
  <c r="D37" i="3"/>
  <c r="G4" i="3"/>
  <c r="G5" i="3"/>
  <c r="G6" i="3"/>
  <c r="G10" i="3"/>
  <c r="G11" i="3"/>
  <c r="G12" i="3"/>
  <c r="G13" i="3"/>
  <c r="G15" i="3"/>
  <c r="G16" i="3"/>
  <c r="G17" i="3"/>
  <c r="G18" i="3"/>
  <c r="G19" i="3"/>
  <c r="G2" i="3"/>
  <c r="P7" i="3"/>
  <c r="P2" i="3"/>
  <c r="D5" i="3"/>
  <c r="E5" i="3"/>
  <c r="F5" i="3" s="1"/>
  <c r="I37" i="3" l="1"/>
  <c r="D13" i="2"/>
  <c r="D3" i="3"/>
  <c r="E3" i="3"/>
  <c r="F3" i="3" s="1"/>
  <c r="X2" i="3"/>
  <c r="F30" i="2" l="1"/>
  <c r="F13" i="2"/>
  <c r="H45" i="3" l="1"/>
  <c r="F39" i="3"/>
  <c r="H39" i="3" s="1"/>
  <c r="F43" i="3"/>
  <c r="H43" i="3" s="1"/>
  <c r="F42" i="3"/>
  <c r="H42" i="3" s="1"/>
  <c r="F2" i="3"/>
  <c r="D2" i="3"/>
  <c r="H2" i="3" s="1"/>
  <c r="T7" i="3"/>
  <c r="V7" i="3" s="1"/>
  <c r="D18" i="3"/>
  <c r="D19" i="3"/>
  <c r="C45" i="3"/>
  <c r="C41" i="3"/>
  <c r="C40" i="3"/>
  <c r="G40" i="3" l="1"/>
  <c r="G41" i="3"/>
  <c r="D17" i="2" s="1"/>
  <c r="G45" i="3"/>
  <c r="I41" i="3"/>
  <c r="I44" i="3"/>
  <c r="D41" i="3"/>
  <c r="D35" i="3"/>
  <c r="D40" i="3"/>
  <c r="D45" i="3"/>
  <c r="E18" i="3"/>
  <c r="F18" i="3" s="1"/>
  <c r="H18" i="3" s="1"/>
  <c r="E19" i="3"/>
  <c r="F19" i="3" s="1"/>
  <c r="C42" i="3"/>
  <c r="C43" i="3"/>
  <c r="C36" i="3"/>
  <c r="C39" i="3"/>
  <c r="C38" i="3"/>
  <c r="I45" i="3" l="1"/>
  <c r="D21" i="2"/>
  <c r="I40" i="3"/>
  <c r="D16" i="2"/>
  <c r="F16" i="2" s="1"/>
  <c r="G38" i="3"/>
  <c r="D14" i="2" s="1"/>
  <c r="G39" i="3"/>
  <c r="D15" i="2" s="1"/>
  <c r="G36" i="3"/>
  <c r="D12" i="2" s="1"/>
  <c r="G43" i="3"/>
  <c r="G42" i="3"/>
  <c r="D18" i="2" s="1"/>
  <c r="I38" i="3"/>
  <c r="I39" i="3"/>
  <c r="I36" i="3"/>
  <c r="I42" i="3"/>
  <c r="D47" i="3"/>
  <c r="D39" i="3"/>
  <c r="F32" i="2"/>
  <c r="D36" i="3"/>
  <c r="D43" i="3"/>
  <c r="D38" i="3"/>
  <c r="D42" i="3"/>
  <c r="F34" i="2"/>
  <c r="F17" i="2"/>
  <c r="F37" i="2"/>
  <c r="F20" i="2"/>
  <c r="F39" i="2"/>
  <c r="F22" i="2"/>
  <c r="F33" i="2"/>
  <c r="H19" i="3"/>
  <c r="D15" i="3"/>
  <c r="D16" i="3"/>
  <c r="D17" i="3"/>
  <c r="I43" i="3" l="1"/>
  <c r="D19" i="2"/>
  <c r="F29" i="2"/>
  <c r="F36" i="2"/>
  <c r="F18" i="2"/>
  <c r="F35" i="2"/>
  <c r="F15" i="2"/>
  <c r="F21" i="2"/>
  <c r="F38" i="2"/>
  <c r="F12" i="2"/>
  <c r="F14" i="2"/>
  <c r="F31" i="2"/>
  <c r="F19" i="2"/>
  <c r="F28" i="2"/>
  <c r="F11" i="2"/>
  <c r="S6" i="3"/>
  <c r="S5" i="3"/>
  <c r="S3" i="3"/>
  <c r="S7" i="3"/>
  <c r="S4" i="3"/>
  <c r="E11" i="3"/>
  <c r="S2" i="3"/>
  <c r="T2" i="3"/>
  <c r="T6" i="3"/>
  <c r="V6" i="3" s="1"/>
  <c r="T3" i="3"/>
  <c r="V3" i="3" s="1"/>
  <c r="D23" i="2" l="1"/>
  <c r="F23" i="2" s="1"/>
  <c r="D40" i="2"/>
  <c r="F40" i="2" s="1"/>
  <c r="D11" i="3"/>
  <c r="V2" i="3"/>
  <c r="H5" i="3"/>
  <c r="H3" i="3"/>
  <c r="S8" i="3"/>
  <c r="T5" i="3"/>
  <c r="T4" i="3"/>
  <c r="V4" i="3" s="1"/>
  <c r="D6" i="3"/>
  <c r="E17" i="3"/>
  <c r="F17" i="3" s="1"/>
  <c r="D4" i="3"/>
  <c r="D13" i="3"/>
  <c r="D10" i="3"/>
  <c r="D12" i="3"/>
  <c r="E13" i="3"/>
  <c r="F13" i="3" s="1"/>
  <c r="E16" i="3"/>
  <c r="F16" i="3" s="1"/>
  <c r="E12" i="3"/>
  <c r="F12" i="3" s="1"/>
  <c r="E6" i="3"/>
  <c r="F6" i="3" s="1"/>
  <c r="E15" i="3"/>
  <c r="F15" i="3" s="1"/>
  <c r="E10" i="3"/>
  <c r="F10" i="3" s="1"/>
  <c r="E4" i="3"/>
  <c r="F4" i="3" s="1"/>
  <c r="V5" i="3" l="1"/>
  <c r="H17" i="3"/>
  <c r="F11" i="3"/>
  <c r="H11" i="3" s="1"/>
  <c r="H4" i="3"/>
  <c r="H6" i="3"/>
  <c r="H13" i="3"/>
  <c r="H16" i="3"/>
  <c r="H12" i="3"/>
  <c r="H10" i="3"/>
  <c r="H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<sst xmlns="http://schemas.openxmlformats.org/spreadsheetml/2006/main" count="382" uniqueCount="146">
  <si>
    <t>Вход в систему</t>
  </si>
  <si>
    <t>Выход из системы</t>
  </si>
  <si>
    <t>Итого</t>
  </si>
  <si>
    <t>Покупка билета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</si>
  <si>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</si>
  <si>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</si>
  <si>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</si>
  <si>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</si>
  <si>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</si>
  <si>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Transaction Name</t>
  </si>
  <si>
    <t>Pass</t>
  </si>
  <si>
    <t>Fail</t>
  </si>
  <si>
    <t>Stop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</si>
  <si>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</si>
  <si>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</si>
  <si>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</si>
  <si>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</si>
  <si>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</si>
  <si>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</si>
  <si>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</si>
  <si>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</si>
  <si>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</si>
  <si>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</si>
  <si>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</si>
  <si>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</si>
  <si>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</si>
  <si>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</si>
  <si>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</si>
  <si>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</si>
  <si>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</si>
  <si>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</si>
  <si>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</si>
  <si>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</si>
  <si>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</si>
  <si>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</si>
  <si>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</si>
  <si>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</si>
  <si>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Регистрация новых пользователей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</si>
  <si>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</si>
  <si>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</si>
  <si>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</si>
  <si>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</si>
  <si>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</si>
  <si>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</si>
  <si>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</si>
  <si>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</si>
  <si>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</si>
  <si>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</si>
  <si>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</si>
  <si>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</si>
  <si>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</si>
  <si>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</si>
  <si>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</si>
  <si>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Профиль</t>
  </si>
  <si>
    <t>Jmeter, throughput per minute</t>
  </si>
  <si>
    <t>ConfirmMaxPerf</t>
  </si>
  <si>
    <t>DebugPerf</t>
  </si>
  <si>
    <t>SearchMaxPerf</t>
  </si>
  <si>
    <t xml:space="preserve">Просмотр без покупки </t>
  </si>
  <si>
    <t>Главная страница</t>
  </si>
  <si>
    <t>Выбор категории</t>
  </si>
  <si>
    <t>Выбор Продукта</t>
  </si>
  <si>
    <t>Добавление в корзину</t>
  </si>
  <si>
    <t>Переход к оплате</t>
  </si>
  <si>
    <t>Оплата</t>
  </si>
  <si>
    <t>Заполнение полей регистрации</t>
  </si>
  <si>
    <t>Удаление из корзины</t>
  </si>
  <si>
    <t>Удаление продукта</t>
  </si>
  <si>
    <t>Поиск</t>
  </si>
  <si>
    <t>Search</t>
  </si>
  <si>
    <t>HomePage</t>
  </si>
  <si>
    <t>LogIn</t>
  </si>
  <si>
    <t>ChooseCategory</t>
  </si>
  <si>
    <t>ChooseProduct</t>
  </si>
  <si>
    <t>AddToCart</t>
  </si>
  <si>
    <t>CheckOut</t>
  </si>
  <si>
    <t>DeleteFromCart</t>
  </si>
  <si>
    <t>Registration</t>
  </si>
  <si>
    <t>LogOut</t>
  </si>
  <si>
    <t>CheckCart</t>
  </si>
  <si>
    <t>SafePayment</t>
  </si>
  <si>
    <t>0,744</t>
  </si>
  <si>
    <t>1,325</t>
  </si>
  <si>
    <t>1,868</t>
  </si>
  <si>
    <t>0,313</t>
  </si>
  <si>
    <t>1,821</t>
  </si>
  <si>
    <t>1,937</t>
  </si>
  <si>
    <t>2,304</t>
  </si>
  <si>
    <t>3,726</t>
  </si>
  <si>
    <t>0,347</t>
  </si>
  <si>
    <t>2,33</t>
  </si>
  <si>
    <t>0,686</t>
  </si>
  <si>
    <t>1,219</t>
  </si>
  <si>
    <t>2,508</t>
  </si>
  <si>
    <t>0,371</t>
  </si>
  <si>
    <t>1,683</t>
  </si>
  <si>
    <t>1,467</t>
  </si>
  <si>
    <t>1,671</t>
  </si>
  <si>
    <t>5,17</t>
  </si>
  <si>
    <t>0,535</t>
  </si>
  <si>
    <t>1,656</t>
  </si>
  <si>
    <t>2,624</t>
  </si>
  <si>
    <t>3,183</t>
  </si>
  <si>
    <t>9,212</t>
  </si>
  <si>
    <t>0,831</t>
  </si>
  <si>
    <t>3,327</t>
  </si>
  <si>
    <t>0,392</t>
  </si>
  <si>
    <t>0,468</t>
  </si>
  <si>
    <t>0,862</t>
  </si>
  <si>
    <t>0,126</t>
  </si>
  <si>
    <t>0,687</t>
  </si>
  <si>
    <t>3,118</t>
  </si>
  <si>
    <t>5,552</t>
  </si>
  <si>
    <t>17,59</t>
  </si>
  <si>
    <t>4,007</t>
  </si>
  <si>
    <t>12,619</t>
  </si>
  <si>
    <t>0,623</t>
  </si>
  <si>
    <t>0,777</t>
  </si>
  <si>
    <t>1,455</t>
  </si>
  <si>
    <t>0,201</t>
  </si>
  <si>
    <t>1,158</t>
  </si>
  <si>
    <t>0,406</t>
  </si>
  <si>
    <t>0,443</t>
  </si>
  <si>
    <t>0,937</t>
  </si>
  <si>
    <t>0,074</t>
  </si>
  <si>
    <t>0,48</t>
  </si>
  <si>
    <t>1,374</t>
  </si>
  <si>
    <t>1,51</t>
  </si>
  <si>
    <t>2,213</t>
  </si>
  <si>
    <t>0,212</t>
  </si>
  <si>
    <t>1,805</t>
  </si>
  <si>
    <t>1,316</t>
  </si>
  <si>
    <t>1,708</t>
  </si>
  <si>
    <t>2,984</t>
  </si>
  <si>
    <t>0,335</t>
  </si>
  <si>
    <t>1,727</t>
  </si>
  <si>
    <t>1,695</t>
  </si>
  <si>
    <t>2,109</t>
  </si>
  <si>
    <t>6,889</t>
  </si>
  <si>
    <t>1,124</t>
  </si>
  <si>
    <t>2,372</t>
  </si>
  <si>
    <t>Переход в корзину</t>
  </si>
  <si>
    <t>ChechOut</t>
  </si>
  <si>
    <t>Поиск максимума 3 ступень</t>
  </si>
  <si>
    <t>60 на ошибку</t>
  </si>
  <si>
    <t>32 на ошибку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</si>
</sst>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77">
    <xf numFmtId="0" fontId="0" fillId="0" borderId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16" fillId="0" borderId="0"/>
    <xf numFmtId="0" fontId="26" fillId="0" borderId="0" applyNumberFormat="0" applyFill="0" applyBorder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0" fillId="6" borderId="5" applyNumberFormat="0" applyAlignment="0" applyProtection="0"/>
    <xf numFmtId="0" fontId="31" fillId="7" borderId="6" applyNumberFormat="0" applyAlignment="0" applyProtection="0"/>
    <xf numFmtId="0" fontId="32" fillId="7" borderId="5" applyNumberFormat="0" applyAlignment="0" applyProtection="0"/>
    <xf numFmtId="0" fontId="33" fillId="0" borderId="7" applyNumberFormat="0" applyFill="0" applyAlignment="0" applyProtection="0"/>
    <xf numFmtId="0" fontId="34" fillId="8" borderId="8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37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37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37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37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37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37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0" borderId="0"/>
    <xf numFmtId="0" fontId="15" fillId="9" borderId="9" applyNumberFormat="0" applyFont="0" applyAlignment="0" applyProtection="0"/>
    <xf numFmtId="9" fontId="38" fillId="0" borderId="0" applyFont="0" applyFill="0" applyBorder="0" applyAlignment="0" applyProtection="0"/>
    <xf numFmtId="0" fontId="14" fillId="0" borderId="0"/>
    <xf numFmtId="0" fontId="42" fillId="4" borderId="0" applyNumberFormat="0" applyBorder="0" applyAlignment="0" applyProtection="0"/>
    <xf numFmtId="0" fontId="14" fillId="9" borderId="9" applyNumberFormat="0" applyFont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37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37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37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37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37" fillId="29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37" fillId="33" borderId="0" applyNumberFormat="0" applyBorder="0" applyAlignment="0" applyProtection="0"/>
    <xf numFmtId="0" fontId="13" fillId="0" borderId="0"/>
    <xf numFmtId="0" fontId="13" fillId="9" borderId="9" applyNumberFormat="0" applyFont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2" fillId="0" borderId="0"/>
    <xf numFmtId="0" fontId="12" fillId="9" borderId="9" applyNumberFormat="0" applyFont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9" borderId="9" applyNumberFormat="0" applyFont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9" borderId="9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9" borderId="9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9" borderId="9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9" borderId="9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9" borderId="9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9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56">
    <xf numFmtId="0" fontId="0" fillId="0" borderId="0" xfId="0"/>
    <xf numFmtId="0" fontId="15" fillId="0" borderId="0" xfId="42"/>
    <xf numFmtId="1" fontId="0" fillId="0" borderId="0" xfId="0" applyNumberFormat="1"/>
    <xf numFmtId="9" fontId="0" fillId="0" borderId="1" xfId="44" applyFont="1" applyBorder="1"/>
    <xf numFmtId="0" fontId="19" fillId="0" borderId="1" xfId="0" applyFont="1" applyBorder="1" applyAlignment="1">
      <alignment vertical="center" wrapText="1"/>
    </xf>
    <xf numFmtId="1" fontId="0" fillId="35" borderId="1" xfId="0" applyNumberFormat="1" applyFill="1" applyBorder="1"/>
    <xf numFmtId="0" fontId="19" fillId="39" borderId="14" xfId="0" applyFont="1" applyFill="1" applyBorder="1" applyAlignment="1">
      <alignment vertical="center" wrapText="1"/>
    </xf>
    <xf numFmtId="0" fontId="18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0" xfId="44" applyFont="1" applyBorder="1"/>
    <xf numFmtId="0" fontId="19" fillId="0" borderId="0" xfId="0" applyFont="1" applyAlignment="1">
      <alignment vertical="center" wrapText="1"/>
    </xf>
    <xf numFmtId="0" fontId="0" fillId="39" borderId="1" xfId="0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7" borderId="11" xfId="0" applyNumberFormat="1" applyFill="1" applyBorder="1"/>
    <xf numFmtId="2" fontId="0" fillId="0" borderId="0" xfId="44" applyNumberFormat="1" applyFont="1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35" borderId="19" xfId="0" applyFill="1" applyBorder="1"/>
    <xf numFmtId="9" fontId="0" fillId="0" borderId="1" xfId="0" applyNumberFormat="1" applyBorder="1"/>
    <xf numFmtId="0" fontId="0" fillId="0" borderId="24" xfId="0" applyBorder="1"/>
    <xf numFmtId="0" fontId="39" fillId="0" borderId="21" xfId="0" applyFont="1" applyBorder="1"/>
    <xf numFmtId="9" fontId="0" fillId="0" borderId="25" xfId="0" applyNumberFormat="1" applyBorder="1"/>
    <xf numFmtId="0" fontId="19" fillId="39" borderId="19" xfId="0" applyFont="1" applyFill="1" applyBorder="1" applyAlignment="1">
      <alignment vertical="center" wrapText="1"/>
    </xf>
    <xf numFmtId="0" fontId="17" fillId="39" borderId="2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0" fillId="0" borderId="1" xfId="0" applyBorder="1"/>
    <xf numFmtId="0" fontId="13" fillId="0" borderId="0" xfId="66"/>
    <xf numFmtId="0" fontId="43" fillId="0" borderId="21" xfId="0" applyFont="1" applyBorder="1"/>
    <xf numFmtId="0" fontId="43" fillId="0" borderId="23" xfId="0" applyFont="1" applyBorder="1"/>
    <xf numFmtId="2" fontId="43" fillId="35" borderId="1" xfId="0" applyNumberFormat="1" applyFont="1" applyFill="1" applyBorder="1"/>
    <xf numFmtId="0" fontId="0" fillId="34" borderId="30" xfId="0" applyFill="1" applyBorder="1"/>
    <xf numFmtId="0" fontId="0" fillId="42" borderId="31" xfId="0" applyFill="1" applyBorder="1"/>
    <xf numFmtId="0" fontId="0" fillId="44" borderId="31" xfId="0" applyFill="1" applyBorder="1"/>
    <xf numFmtId="0" fontId="0" fillId="45" borderId="30" xfId="0" applyFill="1" applyBorder="1"/>
    <xf numFmtId="0" fontId="0" fillId="46" borderId="32" xfId="0" applyFill="1" applyBorder="1"/>
    <xf numFmtId="0" fontId="0" fillId="34" borderId="1" xfId="0" applyFill="1" applyBorder="1"/>
    <xf numFmtId="2" fontId="0" fillId="34" borderId="1" xfId="0" applyNumberFormat="1" applyFill="1" applyBorder="1"/>
    <xf numFmtId="0" fontId="0" fillId="42" borderId="1" xfId="0" applyFill="1" applyBorder="1"/>
    <xf numFmtId="1" fontId="0" fillId="42" borderId="1" xfId="0" applyNumberFormat="1" applyFill="1" applyBorder="1"/>
    <xf numFmtId="2" fontId="0" fillId="42" borderId="1" xfId="0" applyNumberFormat="1" applyFill="1" applyBorder="1"/>
    <xf numFmtId="0" fontId="0" fillId="44" borderId="1" xfId="0" applyFill="1" applyBorder="1"/>
    <xf numFmtId="1" fontId="0" fillId="44" borderId="1" xfId="0" applyNumberFormat="1" applyFill="1" applyBorder="1"/>
    <xf numFmtId="2" fontId="0" fillId="44" borderId="1" xfId="0" applyNumberFormat="1" applyFill="1" applyBorder="1"/>
    <xf numFmtId="0" fontId="0" fillId="43" borderId="1" xfId="0" applyFill="1" applyBorder="1"/>
    <xf numFmtId="2" fontId="0" fillId="43" borderId="1" xfId="0" applyNumberFormat="1" applyFill="1" applyBorder="1"/>
    <xf numFmtId="0" fontId="0" fillId="45" borderId="1" xfId="0" applyFill="1" applyBorder="1"/>
    <xf numFmtId="2" fontId="0" fillId="45" borderId="1" xfId="0" applyNumberFormat="1" applyFill="1" applyBorder="1"/>
    <xf numFmtId="0" fontId="0" fillId="46" borderId="1" xfId="0" applyFill="1" applyBorder="1"/>
    <xf numFmtId="2" fontId="0" fillId="46" borderId="1" xfId="0" applyNumberFormat="1" applyFill="1" applyBorder="1"/>
    <xf numFmtId="0" fontId="0" fillId="34" borderId="12" xfId="0" applyFill="1" applyBorder="1"/>
    <xf numFmtId="0" fontId="0" fillId="34" borderId="24" xfId="0" applyFill="1" applyBorder="1"/>
    <xf numFmtId="2" fontId="0" fillId="34" borderId="24" xfId="0" applyNumberFormat="1" applyFill="1" applyBorder="1"/>
    <xf numFmtId="1" fontId="0" fillId="34" borderId="13" xfId="0" applyNumberFormat="1" applyFill="1" applyBorder="1"/>
    <xf numFmtId="0" fontId="0" fillId="34" borderId="14" xfId="0" applyFill="1" applyBorder="1"/>
    <xf numFmtId="1" fontId="0" fillId="34" borderId="35" xfId="0" applyNumberFormat="1" applyFill="1" applyBorder="1"/>
    <xf numFmtId="0" fontId="0" fillId="42" borderId="14" xfId="0" applyFill="1" applyBorder="1"/>
    <xf numFmtId="1" fontId="0" fillId="42" borderId="35" xfId="0" applyNumberFormat="1" applyFill="1" applyBorder="1"/>
    <xf numFmtId="0" fontId="0" fillId="44" borderId="14" xfId="0" applyFill="1" applyBorder="1"/>
    <xf numFmtId="1" fontId="0" fillId="44" borderId="35" xfId="0" applyNumberFormat="1" applyFill="1" applyBorder="1"/>
    <xf numFmtId="0" fontId="0" fillId="43" borderId="14" xfId="0" applyFill="1" applyBorder="1"/>
    <xf numFmtId="1" fontId="0" fillId="43" borderId="35" xfId="0" applyNumberFormat="1" applyFill="1" applyBorder="1"/>
    <xf numFmtId="0" fontId="0" fillId="45" borderId="14" xfId="0" applyFill="1" applyBorder="1"/>
    <xf numFmtId="1" fontId="0" fillId="45" borderId="35" xfId="0" applyNumberFormat="1" applyFill="1" applyBorder="1"/>
    <xf numFmtId="0" fontId="0" fillId="46" borderId="14" xfId="0" applyFill="1" applyBorder="1"/>
    <xf numFmtId="1" fontId="0" fillId="46" borderId="35" xfId="0" applyNumberFormat="1" applyFill="1" applyBorder="1"/>
    <xf numFmtId="0" fontId="0" fillId="46" borderId="15" xfId="0" applyFill="1" applyBorder="1"/>
    <xf numFmtId="0" fontId="0" fillId="46" borderId="25" xfId="0" applyFill="1" applyBorder="1"/>
    <xf numFmtId="2" fontId="0" fillId="46" borderId="25" xfId="0" applyNumberFormat="1" applyFill="1" applyBorder="1"/>
    <xf numFmtId="1" fontId="0" fillId="46" borderId="36" xfId="0" applyNumberFormat="1" applyFill="1" applyBorder="1"/>
    <xf numFmtId="0" fontId="0" fillId="43" borderId="37" xfId="0" applyFill="1" applyBorder="1"/>
    <xf numFmtId="0" fontId="12" fillId="0" borderId="0" xfId="80"/>
    <xf numFmtId="0" fontId="11" fillId="0" borderId="0" xfId="80" applyFont="1"/>
    <xf numFmtId="0" fontId="11" fillId="0" borderId="0" xfId="100"/>
    <xf numFmtId="0" fontId="0" fillId="0" borderId="40" xfId="0" applyBorder="1"/>
    <xf numFmtId="0" fontId="23" fillId="36" borderId="0" xfId="80" applyFont="1" applyFill="1"/>
    <xf numFmtId="0" fontId="23" fillId="36" borderId="0" xfId="0" applyFont="1" applyFill="1"/>
    <xf numFmtId="0" fontId="10" fillId="0" borderId="0" xfId="120"/>
    <xf numFmtId="0" fontId="6" fillId="0" borderId="0" xfId="200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10" fontId="24" fillId="0" borderId="35" xfId="0" applyNumberFormat="1" applyFont="1" applyBorder="1" applyAlignment="1">
      <alignment horizontal="left" vertical="top"/>
    </xf>
    <xf numFmtId="10" fontId="25" fillId="0" borderId="35" xfId="0" applyNumberFormat="1" applyFont="1" applyBorder="1" applyAlignment="1">
      <alignment horizontal="left" vertical="top"/>
    </xf>
    <xf numFmtId="0" fontId="0" fillId="0" borderId="0" xfId="0" applyAlignment="1">
      <alignment wrapText="1"/>
    </xf>
    <xf numFmtId="10" fontId="24" fillId="0" borderId="39" xfId="0" applyNumberFormat="1" applyFont="1" applyBorder="1" applyAlignment="1">
      <alignment horizontal="left" vertical="top"/>
    </xf>
    <xf numFmtId="0" fontId="24" fillId="5" borderId="40" xfId="0" applyFont="1" applyFill="1" applyBorder="1" applyAlignment="1">
      <alignment horizontal="left" vertical="top"/>
    </xf>
    <xf numFmtId="1" fontId="23" fillId="0" borderId="29" xfId="0" applyNumberFormat="1" applyFont="1" applyBorder="1" applyAlignment="1">
      <alignment horizontal="center" vertical="center"/>
    </xf>
    <xf numFmtId="1" fontId="23" fillId="0" borderId="47" xfId="0" applyNumberFormat="1" applyFont="1" applyBorder="1" applyAlignment="1">
      <alignment horizontal="center" vertical="center"/>
    </xf>
    <xf numFmtId="10" fontId="24" fillId="0" borderId="48" xfId="0" applyNumberFormat="1" applyFont="1" applyBorder="1" applyAlignment="1">
      <alignment horizontal="left" vertical="top"/>
    </xf>
    <xf numFmtId="1" fontId="44" fillId="0" borderId="29" xfId="0" applyNumberFormat="1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4" fillId="5" borderId="41" xfId="0" applyFont="1" applyFill="1" applyBorder="1" applyAlignment="1">
      <alignment horizontal="left" vertical="top"/>
    </xf>
    <xf numFmtId="1" fontId="23" fillId="0" borderId="1" xfId="0" applyNumberFormat="1" applyFont="1" applyBorder="1" applyAlignment="1">
      <alignment horizontal="center" vertical="center"/>
    </xf>
    <xf numFmtId="0" fontId="0" fillId="37" borderId="45" xfId="0" applyFill="1" applyBorder="1"/>
    <xf numFmtId="0" fontId="39" fillId="0" borderId="0" xfId="0" applyFont="1"/>
    <xf numFmtId="1" fontId="39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38" borderId="1" xfId="44" applyFont="1" applyFill="1" applyBorder="1"/>
    <xf numFmtId="0" fontId="0" fillId="40" borderId="1" xfId="0" applyFill="1" applyBorder="1"/>
    <xf numFmtId="1" fontId="0" fillId="36" borderId="1" xfId="0" applyNumberFormat="1" applyFill="1" applyBorder="1"/>
    <xf numFmtId="0" fontId="0" fillId="39" borderId="50" xfId="0" applyFill="1" applyBorder="1"/>
    <xf numFmtId="0" fontId="0" fillId="39" borderId="49" xfId="0" applyFill="1" applyBorder="1"/>
    <xf numFmtId="1" fontId="44" fillId="0" borderId="24" xfId="0" applyNumberFormat="1" applyFont="1" applyBorder="1" applyAlignment="1">
      <alignment horizontal="center" vertical="center"/>
    </xf>
    <xf numFmtId="0" fontId="0" fillId="0" borderId="45" xfId="0" applyBorder="1"/>
    <xf numFmtId="0" fontId="0" fillId="0" borderId="54" xfId="0" applyBorder="1"/>
    <xf numFmtId="0" fontId="24" fillId="5" borderId="51" xfId="0" applyFont="1" applyFill="1" applyBorder="1" applyAlignment="1">
      <alignment horizontal="left" vertical="top"/>
    </xf>
    <xf numFmtId="1" fontId="23" fillId="0" borderId="24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55" xfId="0" applyBorder="1"/>
    <xf numFmtId="0" fontId="0" fillId="0" borderId="46" xfId="0" applyBorder="1"/>
    <xf numFmtId="0" fontId="24" fillId="5" borderId="53" xfId="0" applyFont="1" applyFill="1" applyBorder="1" applyAlignment="1">
      <alignment horizontal="left" vertical="top"/>
    </xf>
    <xf numFmtId="10" fontId="24" fillId="0" borderId="13" xfId="0" applyNumberFormat="1" applyFont="1" applyBorder="1" applyAlignment="1">
      <alignment horizontal="left" vertical="top"/>
    </xf>
    <xf numFmtId="0" fontId="24" fillId="5" borderId="52" xfId="0" applyFont="1" applyFill="1" applyBorder="1" applyAlignment="1">
      <alignment horizontal="left" vertical="top"/>
    </xf>
    <xf numFmtId="0" fontId="24" fillId="5" borderId="18" xfId="0" applyFont="1" applyFill="1" applyBorder="1" applyAlignment="1">
      <alignment horizontal="left" vertical="top"/>
    </xf>
    <xf numFmtId="10" fontId="24" fillId="0" borderId="40" xfId="0" applyNumberFormat="1" applyFont="1" applyBorder="1" applyAlignment="1">
      <alignment horizontal="left" vertical="top"/>
    </xf>
    <xf numFmtId="0" fontId="0" fillId="0" borderId="34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3" fillId="0" borderId="1" xfId="317" applyBorder="1"/>
    <xf numFmtId="0" fontId="3" fillId="0" borderId="35" xfId="317" applyBorder="1"/>
    <xf numFmtId="0" fontId="3" fillId="0" borderId="25" xfId="317" applyBorder="1"/>
    <xf numFmtId="0" fontId="3" fillId="0" borderId="36" xfId="317" applyBorder="1"/>
    <xf numFmtId="0" fontId="3" fillId="0" borderId="59" xfId="317" applyBorder="1"/>
    <xf numFmtId="0" fontId="3" fillId="0" borderId="29" xfId="317" applyBorder="1"/>
    <xf numFmtId="0" fontId="3" fillId="0" borderId="57" xfId="317" applyBorder="1"/>
    <xf numFmtId="0" fontId="3" fillId="0" borderId="58" xfId="317" applyBorder="1"/>
    <xf numFmtId="0" fontId="3" fillId="0" borderId="43" xfId="317" applyBorder="1"/>
    <xf numFmtId="0" fontId="3" fillId="0" borderId="44" xfId="317" applyBorder="1"/>
    <xf numFmtId="0" fontId="3" fillId="0" borderId="45" xfId="317" applyBorder="1"/>
    <xf numFmtId="0" fontId="3" fillId="0" borderId="46" xfId="317" applyBorder="1"/>
    <xf numFmtId="0" fontId="3" fillId="0" borderId="40" xfId="317" applyBorder="1"/>
    <xf numFmtId="0" fontId="3" fillId="0" borderId="38" xfId="317" applyBorder="1"/>
    <xf numFmtId="0" fontId="3" fillId="0" borderId="33" xfId="317" applyBorder="1"/>
    <xf numFmtId="0" fontId="3" fillId="0" borderId="34" xfId="317" applyBorder="1"/>
    <xf numFmtId="0" fontId="0" fillId="41" borderId="26" xfId="0" applyFill="1" applyBorder="1" applyAlignment="1">
      <alignment horizontal="center"/>
    </xf>
    <xf numFmtId="0" fontId="0" fillId="41" borderId="27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51" xfId="0" applyBorder="1"/>
    <xf numFmtId="0" fontId="0" fillId="0" borderId="60" xfId="0" applyBorder="1"/>
    <xf numFmtId="0" fontId="5" fillId="0" borderId="47" xfId="0" applyFont="1" applyBorder="1" applyAlignment="1">
      <alignment horizontal="center" vertical="center"/>
    </xf>
    <xf numFmtId="0" fontId="0" fillId="0" borderId="61" xfId="0" applyBorder="1"/>
    <xf numFmtId="10" fontId="24" fillId="0" borderId="60" xfId="0" applyNumberFormat="1" applyFont="1" applyBorder="1" applyAlignment="1">
      <alignment horizontal="left" vertical="top"/>
    </xf>
    <xf numFmtId="0" fontId="0" fillId="0" borderId="44" xfId="0" applyBorder="1"/>
    <xf numFmtId="0" fontId="0" fillId="0" borderId="38" xfId="0" applyBorder="1"/>
    <xf numFmtId="0" fontId="24" fillId="5" borderId="42" xfId="0" applyFont="1" applyFill="1" applyBorder="1" applyAlignment="1">
      <alignment horizontal="left" vertical="top"/>
    </xf>
    <xf numFmtId="177" fontId="0" fillId="0" borderId="0" xfId="0" applyNumberFormat="1"/>
    <xf numFmtId="0" fontId="1" fillId="0" borderId="0" xfId="357"/>
    <xf numFmtId="0" fontId="1" fillId="0" borderId="0" xfId="357"/>
  </cellXfs>
  <cellStyles count="377">
    <cellStyle name="20% — акцент1" xfId="19" builtinId="30" customBuiltin="1"/>
    <cellStyle name="20% — акцент1 10" xfId="202" xr:uid="{F7776260-1898-48DB-802E-9FEDD9D01718}"/>
    <cellStyle name="20% — акцент1 11" xfId="222" xr:uid="{4B0CDA34-DB37-41E2-923C-6E015416D492}"/>
    <cellStyle name="20% — акцент1 12" xfId="241" xr:uid="{E088DD81-C3C0-4E9D-9CE7-CBFAFF81ADFD}"/>
    <cellStyle name="20% — акцент1 13" xfId="319" xr:uid="{5DB56C36-3F1D-4F65-BA71-C465911E772D}"/>
    <cellStyle name="20% — акцент1 14" xfId="339" xr:uid="{040A756B-A4F2-4C14-8A30-97FB2385B8E1}"/>
    <cellStyle name="20% — акцент1 15" xfId="359" xr:uid="{27063629-82CA-476A-A294-90B68D4207F8}"/>
    <cellStyle name="20% — акцент1 2" xfId="48" xr:uid="{00000000-0005-0000-0000-000001000000}"/>
    <cellStyle name="20% — акцент1 2 2" xfId="263" xr:uid="{B1153007-1725-44E6-ADFA-4AE2E81B4426}"/>
    <cellStyle name="20% — акцент1 3" xfId="68" xr:uid="{00000000-0005-0000-0000-000002000000}"/>
    <cellStyle name="20% — акцент1 3 2" xfId="277" xr:uid="{229C24AA-95DA-4175-B0AA-51C46B81F538}"/>
    <cellStyle name="20% — акцент1 4" xfId="82" xr:uid="{41AA1822-D324-49C3-B855-FF8EB70AED6C}"/>
    <cellStyle name="20% — акцент1 4 2" xfId="291" xr:uid="{E6FD818B-49CC-4064-B118-8655BF8222C6}"/>
    <cellStyle name="20% — акцент1 5" xfId="102" xr:uid="{35127450-5DB7-4A0C-A559-FB47B2EFA395}"/>
    <cellStyle name="20% — акцент1 5 2" xfId="305" xr:uid="{AAA38749-1088-435A-8E19-D0AA31BE72FD}"/>
    <cellStyle name="20% — акцент1 6" xfId="122" xr:uid="{9473782A-5ADE-4FEE-BF26-7B55DE6EB938}"/>
    <cellStyle name="20% — акцент1 7" xfId="142" xr:uid="{F73A1432-22E8-4178-AD28-48BBEBBCBFB5}"/>
    <cellStyle name="20% — акцент1 8" xfId="162" xr:uid="{531F3ECC-AEEC-43A7-83C2-A88BEEB09AD7}"/>
    <cellStyle name="20% — акцент1 9" xfId="182" xr:uid="{E5F5934F-C853-4ADA-B22F-FB6FCF114392}"/>
    <cellStyle name="20% — акцент2" xfId="23" builtinId="34" customBuiltin="1"/>
    <cellStyle name="20% — акцент2 10" xfId="205" xr:uid="{9D89C596-6FEB-4852-8017-32FCF7F27D78}"/>
    <cellStyle name="20% — акцент2 11" xfId="225" xr:uid="{B379AFA2-CD5E-4EB4-8DE6-9D2F2E90C414}"/>
    <cellStyle name="20% — акцент2 12" xfId="244" xr:uid="{E80AF7A3-26F6-49A4-AD09-58D1D6FD8CBC}"/>
    <cellStyle name="20% — акцент2 13" xfId="322" xr:uid="{976A62CA-053D-4A0F-B84E-8D2B5D5CC8C0}"/>
    <cellStyle name="20% — акцент2 14" xfId="342" xr:uid="{3DDFD834-E339-4F7B-AD7A-91C65B97DA63}"/>
    <cellStyle name="20% — акцент2 15" xfId="362" xr:uid="{594098C4-F8FA-4C2D-A3CE-11BD85F1DB59}"/>
    <cellStyle name="20% — акцент2 2" xfId="51" xr:uid="{00000000-0005-0000-0000-000004000000}"/>
    <cellStyle name="20% — акцент2 2 2" xfId="265" xr:uid="{8E1DB4DB-A362-42E9-B55E-F9C23F014A0D}"/>
    <cellStyle name="20% — акцент2 3" xfId="70" xr:uid="{00000000-0005-0000-0000-000005000000}"/>
    <cellStyle name="20% — акцент2 3 2" xfId="279" xr:uid="{9D59EE38-B1DF-4CCE-ADF2-A1BE0314AEDB}"/>
    <cellStyle name="20% — акцент2 4" xfId="85" xr:uid="{0C221A5A-E1F1-4FCC-8B64-67E65C9F10D4}"/>
    <cellStyle name="20% — акцент2 4 2" xfId="293" xr:uid="{C842112D-E4E7-45FB-BBB1-3F8875A18AC2}"/>
    <cellStyle name="20% — акцент2 5" xfId="105" xr:uid="{379DB22D-E8B3-490E-A3D9-40839112C153}"/>
    <cellStyle name="20% — акцент2 5 2" xfId="307" xr:uid="{679F93DD-19BB-42B8-A5F4-92C021546316}"/>
    <cellStyle name="20% — акцент2 6" xfId="125" xr:uid="{5C3A3E5E-BDA8-46F5-A8C0-F26F72F63D14}"/>
    <cellStyle name="20% — акцент2 7" xfId="145" xr:uid="{583C09FC-1877-4D5B-B600-0C5932F56859}"/>
    <cellStyle name="20% — акцент2 8" xfId="165" xr:uid="{9AE9AE75-77C1-49DE-84C5-CE9DBD1E7F93}"/>
    <cellStyle name="20% — акцент2 9" xfId="185" xr:uid="{E6FE251E-2141-4682-8443-6A2D91DB6A44}"/>
    <cellStyle name="20% — акцент3" xfId="27" builtinId="38" customBuiltin="1"/>
    <cellStyle name="20% — акцент3 10" xfId="208" xr:uid="{AD699403-B664-4FBE-A6B6-468B2723E2E4}"/>
    <cellStyle name="20% — акцент3 11" xfId="228" xr:uid="{B13E6B53-4A75-4FF7-A108-9A3619C3A2AD}"/>
    <cellStyle name="20% — акцент3 12" xfId="247" xr:uid="{C9FC4A25-6134-4F37-9FA1-ABCF169D126B}"/>
    <cellStyle name="20% — акцент3 13" xfId="325" xr:uid="{06866638-8654-4860-A5E8-88E32BEF0C43}"/>
    <cellStyle name="20% — акцент3 14" xfId="345" xr:uid="{858A5341-9896-44F9-B397-967A86C5A30B}"/>
    <cellStyle name="20% — акцент3 15" xfId="365" xr:uid="{03B84718-2C26-4520-A59D-BA98AF7ABBF8}"/>
    <cellStyle name="20% — акцент3 2" xfId="54" xr:uid="{00000000-0005-0000-0000-000007000000}"/>
    <cellStyle name="20% — акцент3 2 2" xfId="267" xr:uid="{644EFD4A-1812-47A8-97E6-D7083B42C1B9}"/>
    <cellStyle name="20% — акцент3 3" xfId="72" xr:uid="{00000000-0005-0000-0000-000008000000}"/>
    <cellStyle name="20% — акцент3 3 2" xfId="281" xr:uid="{83B2D4B5-76D4-4696-B826-E7707E79A252}"/>
    <cellStyle name="20% — акцент3 4" xfId="88" xr:uid="{A642B30D-EAC6-4100-A9F2-BF7715B9F12A}"/>
    <cellStyle name="20% — акцент3 4 2" xfId="295" xr:uid="{645A005F-19E3-49F7-B38A-955E7421ADF9}"/>
    <cellStyle name="20% — акцент3 5" xfId="108" xr:uid="{A49047A3-C2F6-4E75-ABED-8C4BD378E688}"/>
    <cellStyle name="20% — акцент3 5 2" xfId="309" xr:uid="{294C9385-F852-43A8-950A-1FF684C668A0}"/>
    <cellStyle name="20% — акцент3 6" xfId="128" xr:uid="{58C5D03C-8790-46B3-8957-F164DE52D3DE}"/>
    <cellStyle name="20% — акцент3 7" xfId="148" xr:uid="{6D924771-7F35-450A-BC4F-D1F18FE2BBE5}"/>
    <cellStyle name="20% — акцент3 8" xfId="168" xr:uid="{6D52EAE3-C935-4835-A368-F68E97C507FE}"/>
    <cellStyle name="20% — акцент3 9" xfId="188" xr:uid="{B7848C41-2388-460E-8BF0-F1AB7B154950}"/>
    <cellStyle name="20% — акцент4" xfId="31" builtinId="42" customBuiltin="1"/>
    <cellStyle name="20% — акцент4 10" xfId="211" xr:uid="{1CCE22EA-123D-4054-889C-0DD2F4D6EDFF}"/>
    <cellStyle name="20% — акцент4 11" xfId="231" xr:uid="{44A50EDF-D1C1-42A9-9775-DB690B6BCC2F}"/>
    <cellStyle name="20% — акцент4 12" xfId="250" xr:uid="{29DC3CF5-8467-41D6-BC4E-A1AE42AA72FC}"/>
    <cellStyle name="20% — акцент4 13" xfId="328" xr:uid="{E31FC14F-FA19-442D-AC69-5D16FF180B6F}"/>
    <cellStyle name="20% — акцент4 14" xfId="348" xr:uid="{64E78568-5A02-4346-9FD4-DD3454F41920}"/>
    <cellStyle name="20% — акцент4 15" xfId="368" xr:uid="{33494C5C-4B01-4BC0-BD02-E6BCC2CAA730}"/>
    <cellStyle name="20% — акцент4 2" xfId="57" xr:uid="{00000000-0005-0000-0000-00000A000000}"/>
    <cellStyle name="20% — акцент4 2 2" xfId="269" xr:uid="{D861D06E-523A-4D9D-8F09-82137A2A002B}"/>
    <cellStyle name="20% — акцент4 3" xfId="74" xr:uid="{00000000-0005-0000-0000-00000B000000}"/>
    <cellStyle name="20% — акцент4 3 2" xfId="283" xr:uid="{0221D720-E9A1-41CD-8F9E-E94156DE2392}"/>
    <cellStyle name="20% — акцент4 4" xfId="91" xr:uid="{36EE2587-A985-49C8-90D7-FDB731A3C3FD}"/>
    <cellStyle name="20% — акцент4 4 2" xfId="297" xr:uid="{DBBC2E6C-E13F-44F7-AF98-38D6DBDC3707}"/>
    <cellStyle name="20% — акцент4 5" xfId="111" xr:uid="{6D9A0A25-D04E-4DD3-8FE5-0ED453BA5475}"/>
    <cellStyle name="20% — акцент4 5 2" xfId="311" xr:uid="{C3353A49-642D-4C76-8D8D-A4FD88A48BCF}"/>
    <cellStyle name="20% — акцент4 6" xfId="131" xr:uid="{A2528598-E7F1-4A70-B54C-77AD61CA2203}"/>
    <cellStyle name="20% — акцент4 7" xfId="151" xr:uid="{24163773-2D15-4CF1-B6CE-390351524950}"/>
    <cellStyle name="20% — акцент4 8" xfId="171" xr:uid="{D365EFAA-9BE6-4ACF-A70A-0A4B78050A8D}"/>
    <cellStyle name="20% — акцент4 9" xfId="191" xr:uid="{5D849E28-A0C0-4A2D-A3EA-B61D6C52C25E}"/>
    <cellStyle name="20% — акцент5" xfId="35" builtinId="46" customBuiltin="1"/>
    <cellStyle name="20% — акцент5 10" xfId="214" xr:uid="{CD288F46-5D60-484B-8EDA-A0AE743B9F3A}"/>
    <cellStyle name="20% — акцент5 11" xfId="234" xr:uid="{AE7EBB30-D681-474A-A4DC-4ACD4387486C}"/>
    <cellStyle name="20% — акцент5 12" xfId="253" xr:uid="{309B7BA3-71D0-4847-A56C-8AA409957AA4}"/>
    <cellStyle name="20% — акцент5 13" xfId="331" xr:uid="{DD0DE030-644D-4685-A01A-2E964DD1B60A}"/>
    <cellStyle name="20% — акцент5 14" xfId="351" xr:uid="{C3F1BA84-67AB-4D20-9DEB-1768CF9329CA}"/>
    <cellStyle name="20% — акцент5 15" xfId="371" xr:uid="{C9187EF1-5975-49A4-8C07-AC799CC4C28C}"/>
    <cellStyle name="20% — акцент5 2" xfId="60" xr:uid="{00000000-0005-0000-0000-00000D000000}"/>
    <cellStyle name="20% — акцент5 2 2" xfId="271" xr:uid="{0AA40D0C-23EB-42B3-8C52-7C7423F080B7}"/>
    <cellStyle name="20% — акцент5 3" xfId="76" xr:uid="{00000000-0005-0000-0000-00000E000000}"/>
    <cellStyle name="20% — акцент5 3 2" xfId="285" xr:uid="{F93CF924-32A1-497C-98E3-09F51C1C3E36}"/>
    <cellStyle name="20% — акцент5 4" xfId="94" xr:uid="{9E89038E-7879-474C-9145-CF59613A4166}"/>
    <cellStyle name="20% — акцент5 4 2" xfId="299" xr:uid="{9E38B0AC-7488-43F0-9B8F-302ABDBEAA3A}"/>
    <cellStyle name="20% — акцент5 5" xfId="114" xr:uid="{87C9F25B-6BB1-4E6D-9A16-8AB913A6D828}"/>
    <cellStyle name="20% — акцент5 5 2" xfId="313" xr:uid="{FBAD78B5-7B15-4ED0-B63E-1591B857F920}"/>
    <cellStyle name="20% — акцент5 6" xfId="134" xr:uid="{23D0B485-9120-4FC6-AF57-68186DE78206}"/>
    <cellStyle name="20% — акцент5 7" xfId="154" xr:uid="{87673121-3336-46B2-B5AD-73A7F9089FEB}"/>
    <cellStyle name="20% — акцент5 8" xfId="174" xr:uid="{B974FA3C-ABE3-4C0D-B275-11404AE3AAB4}"/>
    <cellStyle name="20% — акцент5 9" xfId="194" xr:uid="{C1EE0497-8F4B-459D-964C-2D3E7195A0FF}"/>
    <cellStyle name="20% — акцент6" xfId="39" builtinId="50" customBuiltin="1"/>
    <cellStyle name="20% — акцент6 10" xfId="217" xr:uid="{5068236F-5635-4DCE-B204-B7D3842261AA}"/>
    <cellStyle name="20% — акцент6 11" xfId="237" xr:uid="{2E8D7D88-3966-4153-92CB-BA5E4B525308}"/>
    <cellStyle name="20% — акцент6 12" xfId="256" xr:uid="{F4598116-8DE1-407A-AB49-39BA7B53647B}"/>
    <cellStyle name="20% — акцент6 13" xfId="334" xr:uid="{075A6126-FF36-4681-A57F-98CC54C0E1CC}"/>
    <cellStyle name="20% — акцент6 14" xfId="354" xr:uid="{17EE5773-D9DA-4D70-A5F2-57D4861FF643}"/>
    <cellStyle name="20% — акцент6 15" xfId="374" xr:uid="{42A1261C-1B3D-48F8-BAA5-E05183D7DFE4}"/>
    <cellStyle name="20% — акцент6 2" xfId="63" xr:uid="{00000000-0005-0000-0000-000010000000}"/>
    <cellStyle name="20% — акцент6 2 2" xfId="273" xr:uid="{391CAC92-CDD9-445E-9CBB-DCB471EFEE81}"/>
    <cellStyle name="20% — акцент6 3" xfId="78" xr:uid="{00000000-0005-0000-0000-000011000000}"/>
    <cellStyle name="20% — акцент6 3 2" xfId="287" xr:uid="{6814FFDD-B3D6-4B62-9FEF-E4254BE4CB66}"/>
    <cellStyle name="20% — акцент6 4" xfId="97" xr:uid="{46AAA499-83C8-4487-85B6-2926D9038AE8}"/>
    <cellStyle name="20% — акцент6 4 2" xfId="301" xr:uid="{FB3EFF6D-54B5-45D0-B0E8-4C8A33C26200}"/>
    <cellStyle name="20% — акцент6 5" xfId="117" xr:uid="{3FE275C9-C3D9-4E97-A63D-6EDFE8D7471D}"/>
    <cellStyle name="20% — акцент6 5 2" xfId="315" xr:uid="{C1E014AF-0EA2-4396-8A42-78A1E78C972B}"/>
    <cellStyle name="20% — акцент6 6" xfId="137" xr:uid="{D3B13CCD-FB4E-4D99-B1E5-352AB7D66358}"/>
    <cellStyle name="20% — акцент6 7" xfId="157" xr:uid="{7710FB1D-B78A-474D-BAB7-6A5EC20FA897}"/>
    <cellStyle name="20% — акцент6 8" xfId="177" xr:uid="{360C7C0A-F217-4E5E-B913-64C90DE866DD}"/>
    <cellStyle name="20% — акцент6 9" xfId="197" xr:uid="{AA8E63C6-1545-4870-B417-E7B09AF0AD0B}"/>
    <cellStyle name="40% — акцент1" xfId="20" builtinId="31" customBuiltin="1"/>
    <cellStyle name="40% — акцент1 10" xfId="203" xr:uid="{CB639D18-C7CE-42DD-BB8C-AB0DCA6B02F2}"/>
    <cellStyle name="40% — акцент1 11" xfId="223" xr:uid="{793A04A3-E305-4381-9EDD-4BA50EA4717B}"/>
    <cellStyle name="40% — акцент1 12" xfId="242" xr:uid="{8A5E4EEF-3400-47F0-801B-6F7DFA9B736A}"/>
    <cellStyle name="40% — акцент1 13" xfId="320" xr:uid="{DBB5B552-6542-4B57-8206-609BDAF1B429}"/>
    <cellStyle name="40% — акцент1 14" xfId="340" xr:uid="{E30D1CBB-EB19-47AE-A3E3-FB1166DA01DD}"/>
    <cellStyle name="40% — акцент1 15" xfId="360" xr:uid="{C02137C7-14F3-47A0-99D1-66BDE74D699C}"/>
    <cellStyle name="40% — акцент1 2" xfId="49" xr:uid="{00000000-0005-0000-0000-000013000000}"/>
    <cellStyle name="40% — акцент1 2 2" xfId="264" xr:uid="{E2C4DE4C-C70C-44E2-BFD9-CB2E4DECE7EB}"/>
    <cellStyle name="40% — акцент1 3" xfId="69" xr:uid="{00000000-0005-0000-0000-000014000000}"/>
    <cellStyle name="40% — акцент1 3 2" xfId="278" xr:uid="{5A0A3E60-9E84-4D15-8614-F8827247BEFC}"/>
    <cellStyle name="40% — акцент1 4" xfId="83" xr:uid="{1EBAB30D-6EDB-4EFE-A4F9-E2F96CBDC7CC}"/>
    <cellStyle name="40% — акцент1 4 2" xfId="292" xr:uid="{5971D206-75B5-448E-9FF0-29514BE618FD}"/>
    <cellStyle name="40% — акцент1 5" xfId="103" xr:uid="{794573D4-C4A9-40FE-9E29-71DE5B3EE90A}"/>
    <cellStyle name="40% — акцент1 5 2" xfId="306" xr:uid="{E7757C9A-C533-4F8F-A570-90A14B60CF91}"/>
    <cellStyle name="40% — акцент1 6" xfId="123" xr:uid="{8F1D4210-50C8-452E-9D40-65190494B376}"/>
    <cellStyle name="40% — акцент1 7" xfId="143" xr:uid="{702D5BA7-1A96-4A2C-87B3-BFD6AA9ADDB6}"/>
    <cellStyle name="40% — акцент1 8" xfId="163" xr:uid="{045B0C98-F971-4405-AF93-15E31541827D}"/>
    <cellStyle name="40% — акцент1 9" xfId="183" xr:uid="{96862EAE-BD92-4C13-9971-A9092B026D9E}"/>
    <cellStyle name="40% — акцент2" xfId="24" builtinId="35" customBuiltin="1"/>
    <cellStyle name="40% — акцент2 10" xfId="206" xr:uid="{50BF970A-8ABE-455B-864B-A4B5BBA1EBB0}"/>
    <cellStyle name="40% — акцент2 11" xfId="226" xr:uid="{C8B9BF99-7D96-473E-9381-3F3FFE5572CA}"/>
    <cellStyle name="40% — акцент2 12" xfId="245" xr:uid="{D6253F4C-7565-4000-B46E-5CD17AE1B44C}"/>
    <cellStyle name="40% — акцент2 13" xfId="323" xr:uid="{5A0DC4B2-CC51-4ECE-95A9-6E4D20DD3230}"/>
    <cellStyle name="40% — акцент2 14" xfId="343" xr:uid="{30D13EDC-1CA9-4718-9B8F-F860F6A28650}"/>
    <cellStyle name="40% — акцент2 15" xfId="363" xr:uid="{73BAC24C-AB61-4567-A062-DDC1624BC93F}"/>
    <cellStyle name="40% — акцент2 2" xfId="52" xr:uid="{00000000-0005-0000-0000-000016000000}"/>
    <cellStyle name="40% — акцент2 2 2" xfId="266" xr:uid="{7B9D68A6-2B6C-4F83-9448-F955FD0853EB}"/>
    <cellStyle name="40% — акцент2 3" xfId="71" xr:uid="{00000000-0005-0000-0000-000017000000}"/>
    <cellStyle name="40% — акцент2 3 2" xfId="280" xr:uid="{CE1FCA6C-DDA6-42C2-BA3E-178D7F8523CD}"/>
    <cellStyle name="40% — акцент2 4" xfId="86" xr:uid="{3449D548-5BBD-4E05-83E6-28240601D9B7}"/>
    <cellStyle name="40% — акцент2 4 2" xfId="294" xr:uid="{216793CC-8C16-447A-AD67-D1525240AF06}"/>
    <cellStyle name="40% — акцент2 5" xfId="106" xr:uid="{56CAC24D-B6B0-41AE-9179-98BF3AF9201B}"/>
    <cellStyle name="40% — акцент2 5 2" xfId="308" xr:uid="{EF3A0788-8F89-4222-9DF7-80422DF04B70}"/>
    <cellStyle name="40% — акцент2 6" xfId="126" xr:uid="{0310C9FB-F485-43F8-B4DE-58D737C27488}"/>
    <cellStyle name="40% — акцент2 7" xfId="146" xr:uid="{04BABF9C-0DAF-4E21-BF9A-03D10C7A3A2C}"/>
    <cellStyle name="40% — акцент2 8" xfId="166" xr:uid="{966E69E3-BE91-4938-BE07-B3C58A2193F8}"/>
    <cellStyle name="40% — акцент2 9" xfId="186" xr:uid="{70DAFA83-238C-4551-92C6-425A33C8ED4B}"/>
    <cellStyle name="40% — акцент3" xfId="28" builtinId="39" customBuiltin="1"/>
    <cellStyle name="40% — акцент3 10" xfId="209" xr:uid="{DA7D1B29-991A-42BE-AB04-D22299A3607A}"/>
    <cellStyle name="40% — акцент3 11" xfId="229" xr:uid="{16E40344-07CB-4DBE-8DB9-867A4B7B53EA}"/>
    <cellStyle name="40% — акцент3 12" xfId="248" xr:uid="{0ED2EC27-9CE5-464E-A468-8843B6A7DD25}"/>
    <cellStyle name="40% — акцент3 13" xfId="326" xr:uid="{6F326F1A-872F-4DF2-BD86-BF288A2FD35D}"/>
    <cellStyle name="40% — акцент3 14" xfId="346" xr:uid="{F0B8824E-B5C5-4ADF-A018-C6D9B91A1BF0}"/>
    <cellStyle name="40% — акцент3 15" xfId="366" xr:uid="{148ED784-58B9-4C0D-A232-0087877EA6D6}"/>
    <cellStyle name="40% — акцент3 2" xfId="55" xr:uid="{00000000-0005-0000-0000-000019000000}"/>
    <cellStyle name="40% — акцент3 2 2" xfId="268" xr:uid="{4409D8C4-3E9C-4069-B7A7-95B7273E25EE}"/>
    <cellStyle name="40% — акцент3 3" xfId="73" xr:uid="{00000000-0005-0000-0000-00001A000000}"/>
    <cellStyle name="40% — акцент3 3 2" xfId="282" xr:uid="{D3DF853B-E6A3-4B84-A3F0-6B2730887485}"/>
    <cellStyle name="40% — акцент3 4" xfId="89" xr:uid="{B1114D56-7B06-4B9C-A1CB-3A3FF7E35C53}"/>
    <cellStyle name="40% — акцент3 4 2" xfId="296" xr:uid="{54949F1E-67B8-4C15-9D04-DBAEA0CC0820}"/>
    <cellStyle name="40% — акцент3 5" xfId="109" xr:uid="{CDA30651-AE5B-4F03-AAF8-5593083AF4A5}"/>
    <cellStyle name="40% — акцент3 5 2" xfId="310" xr:uid="{AD822523-B820-4492-9BAB-24C0225F9B51}"/>
    <cellStyle name="40% — акцент3 6" xfId="129" xr:uid="{74FF778B-5A2B-46A8-976A-8F9373669F1F}"/>
    <cellStyle name="40% — акцент3 7" xfId="149" xr:uid="{65407718-50F2-42A1-9DF0-D540766AB786}"/>
    <cellStyle name="40% — акцент3 8" xfId="169" xr:uid="{249B0834-87B4-4702-8CC3-341A6B522029}"/>
    <cellStyle name="40% — акцент3 9" xfId="189" xr:uid="{AC6B0585-C986-435D-8139-11B934B3DDAE}"/>
    <cellStyle name="40% — акцент4" xfId="32" builtinId="43" customBuiltin="1"/>
    <cellStyle name="40% — акцент4 10" xfId="212" xr:uid="{5D153652-A21C-4F6F-8F70-3A13E7217538}"/>
    <cellStyle name="40% — акцент4 11" xfId="232" xr:uid="{45F2E801-E66D-44B2-AA68-0B3FAB0DC944}"/>
    <cellStyle name="40% — акцент4 12" xfId="251" xr:uid="{3492C477-39E4-4C6C-993A-862908EBA5DC}"/>
    <cellStyle name="40% — акцент4 13" xfId="329" xr:uid="{629D10CA-15C3-4C7A-9B1A-8DDB29580B26}"/>
    <cellStyle name="40% — акцент4 14" xfId="349" xr:uid="{8CB3760B-144D-44B2-9289-11A36B75E9AC}"/>
    <cellStyle name="40% — акцент4 15" xfId="369" xr:uid="{90A0473B-FE34-4EFB-8ECA-FD2C37491A24}"/>
    <cellStyle name="40% — акцент4 2" xfId="58" xr:uid="{00000000-0005-0000-0000-00001C000000}"/>
    <cellStyle name="40% — акцент4 2 2" xfId="270" xr:uid="{90B8B953-C48E-488A-8935-9AE9BB19EE64}"/>
    <cellStyle name="40% — акцент4 3" xfId="75" xr:uid="{00000000-0005-0000-0000-00001D000000}"/>
    <cellStyle name="40% — акцент4 3 2" xfId="284" xr:uid="{7BCA44C3-8B65-4F63-A252-53D45A12F7C8}"/>
    <cellStyle name="40% — акцент4 4" xfId="92" xr:uid="{9461EF89-35EA-4294-A430-61825C8E1D3C}"/>
    <cellStyle name="40% — акцент4 4 2" xfId="298" xr:uid="{6EF75ACC-83B6-45A0-A0E5-8F8D896B97D4}"/>
    <cellStyle name="40% — акцент4 5" xfId="112" xr:uid="{717733A8-483F-4AE9-B940-618A0AE161CB}"/>
    <cellStyle name="40% — акцент4 5 2" xfId="312" xr:uid="{595F3B83-95A1-4137-96BC-17BA6C3E5446}"/>
    <cellStyle name="40% — акцент4 6" xfId="132" xr:uid="{1B748F86-C340-4D80-BBDB-CF2F2964E643}"/>
    <cellStyle name="40% — акцент4 7" xfId="152" xr:uid="{36B38B69-D4D3-4B35-AB02-34793C280E3B}"/>
    <cellStyle name="40% — акцент4 8" xfId="172" xr:uid="{48804958-C0F7-4761-8EB4-88E81A66B2D5}"/>
    <cellStyle name="40% — акцент4 9" xfId="192" xr:uid="{17F42D4F-5853-4774-81C2-3C360656426A}"/>
    <cellStyle name="40% — акцент5" xfId="36" builtinId="47" customBuiltin="1"/>
    <cellStyle name="40% — акцент5 10" xfId="215" xr:uid="{68A66F63-76E1-43D6-BCB1-88D4DE1EB01A}"/>
    <cellStyle name="40% — акцент5 11" xfId="235" xr:uid="{4B80F67C-3A65-4826-A1A3-0EF421433EEF}"/>
    <cellStyle name="40% — акцент5 12" xfId="254" xr:uid="{96091AC2-F433-4CE5-9070-9F80F76DCB21}"/>
    <cellStyle name="40% — акцент5 13" xfId="332" xr:uid="{4560CAE9-45E6-4738-B25E-C209FE1C7F4C}"/>
    <cellStyle name="40% — акцент5 14" xfId="352" xr:uid="{A16E78BB-5854-4C69-B238-E960EC17072A}"/>
    <cellStyle name="40% — акцент5 15" xfId="372" xr:uid="{06A936D6-3590-49E7-8224-280FF56FF161}"/>
    <cellStyle name="40% — акцент5 2" xfId="61" xr:uid="{00000000-0005-0000-0000-00001F000000}"/>
    <cellStyle name="40% — акцент5 2 2" xfId="272" xr:uid="{3BD747EA-F00E-47C6-A5EC-D9AF1C2AE0CC}"/>
    <cellStyle name="40% — акцент5 3" xfId="77" xr:uid="{00000000-0005-0000-0000-000020000000}"/>
    <cellStyle name="40% — акцент5 3 2" xfId="286" xr:uid="{89BEFBDE-DAFE-4C33-BF16-9E9C93741F21}"/>
    <cellStyle name="40% — акцент5 4" xfId="95" xr:uid="{45AF0BA6-FDCC-42A1-9722-AB68561D2988}"/>
    <cellStyle name="40% — акцент5 4 2" xfId="300" xr:uid="{5589E769-82F9-4A29-B529-BC655294EA60}"/>
    <cellStyle name="40% — акцент5 5" xfId="115" xr:uid="{F6E8236F-3BA2-423C-ADDC-9B22E81FF1BC}"/>
    <cellStyle name="40% — акцент5 5 2" xfId="314" xr:uid="{E326EFAC-E7F0-4468-99C7-36C043E0E8F1}"/>
    <cellStyle name="40% — акцент5 6" xfId="135" xr:uid="{4C187E17-E746-4762-B7B2-21C9AA81A74C}"/>
    <cellStyle name="40% — акцент5 7" xfId="155" xr:uid="{904675A9-709F-498C-9082-C72D43294D60}"/>
    <cellStyle name="40% — акцент5 8" xfId="175" xr:uid="{58BA27C0-5BDD-4041-9028-1CDC2A0AE79D}"/>
    <cellStyle name="40% — акцент5 9" xfId="195" xr:uid="{08C77940-8ADC-454D-A39E-7FB5DC20B9C4}"/>
    <cellStyle name="40% — акцент6" xfId="40" builtinId="51" customBuiltin="1"/>
    <cellStyle name="40% — акцент6 10" xfId="218" xr:uid="{636EB6F4-CEB3-4572-9C97-99B9537F0A63}"/>
    <cellStyle name="40% — акцент6 11" xfId="238" xr:uid="{2A905FC0-BA0F-4D07-988E-BC63C447BB27}"/>
    <cellStyle name="40% — акцент6 12" xfId="257" xr:uid="{03B3834A-2785-4DA6-A2C4-732FD5965DE9}"/>
    <cellStyle name="40% — акцент6 13" xfId="335" xr:uid="{8DE7D312-78FC-4890-B9E2-472056C37966}"/>
    <cellStyle name="40% — акцент6 14" xfId="355" xr:uid="{5DCAD5FF-626C-458A-A503-60654F955F6F}"/>
    <cellStyle name="40% — акцент6 15" xfId="375" xr:uid="{10F7AB34-4A22-4645-8F59-882FBDF1F047}"/>
    <cellStyle name="40% — акцент6 2" xfId="64" xr:uid="{00000000-0005-0000-0000-000022000000}"/>
    <cellStyle name="40% — акцент6 2 2" xfId="274" xr:uid="{82D31C48-CCD3-474D-8E7D-EE7D05FF2256}"/>
    <cellStyle name="40% — акцент6 3" xfId="79" xr:uid="{00000000-0005-0000-0000-000023000000}"/>
    <cellStyle name="40% — акцент6 3 2" xfId="288" xr:uid="{E36D9A23-BE28-4EC4-933E-DA4A634EC358}"/>
    <cellStyle name="40% — акцент6 4" xfId="98" xr:uid="{EC5719D2-4851-4B8E-A14A-C156D581AA8F}"/>
    <cellStyle name="40% — акцент6 4 2" xfId="302" xr:uid="{99F71E19-BD47-420F-8DFA-F6FFB9372515}"/>
    <cellStyle name="40% — акцент6 5" xfId="118" xr:uid="{D7104E95-9B44-485A-A6E2-BD163233E431}"/>
    <cellStyle name="40% — акцент6 5 2" xfId="316" xr:uid="{092E01FB-75B1-414D-87E5-4CBA543105CB}"/>
    <cellStyle name="40% — акцент6 6" xfId="138" xr:uid="{7810E4E9-F6B0-4EB2-BA41-5EE217E54389}"/>
    <cellStyle name="40% — акцент6 7" xfId="158" xr:uid="{9F790017-55FC-432F-A8F2-0FD80CEB85D5}"/>
    <cellStyle name="40% — акцент6 8" xfId="178" xr:uid="{9D46FF57-4511-46C0-A475-E8F756F481AA}"/>
    <cellStyle name="40% — акцент6 9" xfId="198" xr:uid="{FADD9251-A688-4F0E-9180-406945799E9A}"/>
    <cellStyle name="60% — акцент1" xfId="21" builtinId="32" customBuiltin="1"/>
    <cellStyle name="60% — акцент1 10" xfId="224" xr:uid="{3D08D6BE-9330-4729-8ABA-B2629643228F}"/>
    <cellStyle name="60% — акцент1 11" xfId="243" xr:uid="{A4AEFC6B-CF4E-45C4-93A9-0095CEE6FAEC}"/>
    <cellStyle name="60% — акцент1 12" xfId="321" xr:uid="{7735FC2A-2335-4A1E-B4B2-3C458224EEA6}"/>
    <cellStyle name="60% — акцент1 13" xfId="341" xr:uid="{5BE2B404-4FB4-4244-AC53-133A2FA820D6}"/>
    <cellStyle name="60% — акцент1 14" xfId="361" xr:uid="{2EC23B52-2E90-495B-BA62-046078EDBAA9}"/>
    <cellStyle name="60% — акцент1 2" xfId="50" xr:uid="{00000000-0005-0000-0000-000025000000}"/>
    <cellStyle name="60% — акцент1 3" xfId="84" xr:uid="{15D2BB41-6FA3-445E-AA64-291A3F296CB1}"/>
    <cellStyle name="60% — акцент1 4" xfId="104" xr:uid="{0A723422-5DE2-494C-A171-06369E706D3A}"/>
    <cellStyle name="60% — акцент1 5" xfId="124" xr:uid="{6947CB81-55D3-4263-A703-BD22F177D5E9}"/>
    <cellStyle name="60% — акцент1 6" xfId="144" xr:uid="{08FDFCCB-A9D7-4BAA-8263-39FBA494C0BC}"/>
    <cellStyle name="60% — акцент1 7" xfId="164" xr:uid="{E1BF74D6-C927-4C99-9D1E-ECC21C64EA24}"/>
    <cellStyle name="60% — акцент1 8" xfId="184" xr:uid="{DA028283-AA8C-42F8-BD7E-C80DD2E17EE0}"/>
    <cellStyle name="60% — акцент1 9" xfId="204" xr:uid="{F83E1A06-D360-4ABB-B608-75E577C3191C}"/>
    <cellStyle name="60% — акцент2" xfId="25" builtinId="36" customBuiltin="1"/>
    <cellStyle name="60% — акцент2 10" xfId="227" xr:uid="{7A0EA4D7-4DFB-4F9C-B98F-4A2B03A0043F}"/>
    <cellStyle name="60% — акцент2 11" xfId="246" xr:uid="{0D2FCCBA-C074-4EF0-9F49-886A33E60ED3}"/>
    <cellStyle name="60% — акцент2 12" xfId="324" xr:uid="{C8851D94-3C34-45B9-B151-FFD0C4A777CD}"/>
    <cellStyle name="60% — акцент2 13" xfId="344" xr:uid="{59974592-FC43-4326-ACB0-4DE09DED520E}"/>
    <cellStyle name="60% — акцент2 14" xfId="364" xr:uid="{6E7E2AFC-7FE2-4D08-98CF-90289E4DDCB4}"/>
    <cellStyle name="60% — акцент2 2" xfId="53" xr:uid="{00000000-0005-0000-0000-000027000000}"/>
    <cellStyle name="60% — акцент2 3" xfId="87" xr:uid="{A361825B-D69A-4F69-8C86-B0F7128E0EA6}"/>
    <cellStyle name="60% — акцент2 4" xfId="107" xr:uid="{01E41DDD-0196-4541-A2A1-FC7BAF17DE6C}"/>
    <cellStyle name="60% — акцент2 5" xfId="127" xr:uid="{0DD8C917-6323-4515-BDD7-8F94A0ED78CA}"/>
    <cellStyle name="60% — акцент2 6" xfId="147" xr:uid="{BA37D287-3E75-4CCA-95F5-D8BFC3B31177}"/>
    <cellStyle name="60% — акцент2 7" xfId="167" xr:uid="{4978DEEE-FAB6-4C09-AF9F-9799464C5DB4}"/>
    <cellStyle name="60% — акцент2 8" xfId="187" xr:uid="{60C54A23-BB91-417F-8A79-F6F17958C8EA}"/>
    <cellStyle name="60% — акцент2 9" xfId="207" xr:uid="{B4BFAC7D-DFAC-4885-9BCE-B31B812A55F5}"/>
    <cellStyle name="60% — акцент3" xfId="29" builtinId="40" customBuiltin="1"/>
    <cellStyle name="60% — акцент3 10" xfId="230" xr:uid="{DFCA6904-D812-4F68-B435-A267B64E0F28}"/>
    <cellStyle name="60% — акцент3 11" xfId="249" xr:uid="{BE9EA2F6-09F9-4AD2-A0D8-FCAD65FD04CC}"/>
    <cellStyle name="60% — акцент3 12" xfId="327" xr:uid="{78B3C2FB-2DBC-4033-A9F8-B2C28D39468D}"/>
    <cellStyle name="60% — акцент3 13" xfId="347" xr:uid="{F73F3A56-F5EF-4B12-AA7E-CE7EA845E831}"/>
    <cellStyle name="60% — акцент3 14" xfId="367" xr:uid="{A842E5D7-21C8-4454-9062-B9A7517FC743}"/>
    <cellStyle name="60% — акцент3 2" xfId="56" xr:uid="{00000000-0005-0000-0000-000029000000}"/>
    <cellStyle name="60% — акцент3 3" xfId="90" xr:uid="{58DBACA8-1FE6-4A47-BB21-6FE5F4FCC5A5}"/>
    <cellStyle name="60% — акцент3 4" xfId="110" xr:uid="{160CADBA-33A6-4BB0-A2E1-3671AD56260C}"/>
    <cellStyle name="60% — акцент3 5" xfId="130" xr:uid="{59CAD118-DB59-4ADA-A8C5-9A15DE38264B}"/>
    <cellStyle name="60% — акцент3 6" xfId="150" xr:uid="{CECA61F8-EB2B-4B72-A879-0ECFF0EDC23C}"/>
    <cellStyle name="60% — акцент3 7" xfId="170" xr:uid="{0826B3F6-1D13-4781-A165-0653987F3B7F}"/>
    <cellStyle name="60% — акцент3 8" xfId="190" xr:uid="{166C28C4-C617-484E-8C41-4F0006BEDDFE}"/>
    <cellStyle name="60% — акцент3 9" xfId="210" xr:uid="{2AF3DFDD-ED94-4A38-944B-28D0A870331C}"/>
    <cellStyle name="60% — акцент4" xfId="33" builtinId="44" customBuiltin="1"/>
    <cellStyle name="60% — акцент4 10" xfId="233" xr:uid="{E08F2507-6813-496D-8133-B0ACA81F53A6}"/>
    <cellStyle name="60% — акцент4 11" xfId="252" xr:uid="{748859DD-CE33-4EEE-B823-FBD14E347120}"/>
    <cellStyle name="60% — акцент4 12" xfId="330" xr:uid="{58B3D442-FDD7-4437-AA67-5489A47CECBF}"/>
    <cellStyle name="60% — акцент4 13" xfId="350" xr:uid="{D905F7BA-6789-4770-8578-21AB20F56D7D}"/>
    <cellStyle name="60% — акцент4 14" xfId="370" xr:uid="{D2E4D9D6-7CDA-4760-B962-7B9F09E1899A}"/>
    <cellStyle name="60% — акцент4 2" xfId="59" xr:uid="{00000000-0005-0000-0000-00002B000000}"/>
    <cellStyle name="60% — акцент4 3" xfId="93" xr:uid="{DF5DB50A-6EFD-4073-BED4-7890547E0270}"/>
    <cellStyle name="60% — акцент4 4" xfId="113" xr:uid="{1CC460FE-B74D-4D1D-BEF3-5A051FC7B2F0}"/>
    <cellStyle name="60% — акцент4 5" xfId="133" xr:uid="{9D7AAFD3-ECBC-4763-AB24-A7311794E195}"/>
    <cellStyle name="60% — акцент4 6" xfId="153" xr:uid="{C974F664-B035-4FC7-8DBE-68792BB50D9C}"/>
    <cellStyle name="60% — акцент4 7" xfId="173" xr:uid="{2E0BE9C8-E68E-4B52-AFE0-7A964F0708F9}"/>
    <cellStyle name="60% — акцент4 8" xfId="193" xr:uid="{CD8B54A7-A673-4971-B375-45219C1F4745}"/>
    <cellStyle name="60% — акцент4 9" xfId="213" xr:uid="{7BAE3A2E-972B-404B-A229-F8B8C8766D91}"/>
    <cellStyle name="60% — акцент5" xfId="37" builtinId="48" customBuiltin="1"/>
    <cellStyle name="60% — акцент5 10" xfId="236" xr:uid="{EE590DF1-4DF6-4D29-B5ED-14FBE0420A1E}"/>
    <cellStyle name="60% — акцент5 11" xfId="255" xr:uid="{A2B23A86-5543-4E5E-B5C1-131397574CEA}"/>
    <cellStyle name="60% — акцент5 12" xfId="333" xr:uid="{4FB1C6BC-D85C-4980-9FF7-6A467E3EB5C9}"/>
    <cellStyle name="60% — акцент5 13" xfId="353" xr:uid="{51A5F946-F8CF-4558-B0EE-50E568459D9D}"/>
    <cellStyle name="60% — акцент5 14" xfId="373" xr:uid="{A0DEB22A-1ABF-40A9-A521-1FFD36CF0C26}"/>
    <cellStyle name="60% — акцент5 2" xfId="62" xr:uid="{00000000-0005-0000-0000-00002D000000}"/>
    <cellStyle name="60% — акцент5 3" xfId="96" xr:uid="{53CFB547-923E-4645-9D18-8113DA0FAA63}"/>
    <cellStyle name="60% — акцент5 4" xfId="116" xr:uid="{7C4FEC8D-C52D-431A-B2D5-1C2B719AF17B}"/>
    <cellStyle name="60% — акцент5 5" xfId="136" xr:uid="{B93B336E-17DC-42F5-9B9E-6B21D7532EC7}"/>
    <cellStyle name="60% — акцент5 6" xfId="156" xr:uid="{86E9A897-E685-4CE6-8CFE-D6E325ACE8A8}"/>
    <cellStyle name="60% — акцент5 7" xfId="176" xr:uid="{D2B6A6BB-CBA6-4B5B-A7DD-4E0332950CF9}"/>
    <cellStyle name="60% — акцент5 8" xfId="196" xr:uid="{F5030005-5DE8-4EA1-84EC-FCDEEC1DB552}"/>
    <cellStyle name="60% — акцент5 9" xfId="216" xr:uid="{7CD2BF5D-6CC3-497F-A1EA-384874012363}"/>
    <cellStyle name="60% — акцент6" xfId="41" builtinId="52" customBuiltin="1"/>
    <cellStyle name="60% — акцент6 10" xfId="239" xr:uid="{EFEC1F47-2565-4512-BBD2-F725F95ABD3C}"/>
    <cellStyle name="60% — акцент6 11" xfId="258" xr:uid="{5F890052-99E6-4FFE-B394-C1D8695A0471}"/>
    <cellStyle name="60% — акцент6 12" xfId="336" xr:uid="{9D272EA2-89C0-46F1-A3F5-A39B0E51805F}"/>
    <cellStyle name="60% — акцент6 13" xfId="356" xr:uid="{92807E36-3F45-413C-B11E-C759E21E2307}"/>
    <cellStyle name="60% — акцент6 14" xfId="376" xr:uid="{FAB36AD9-87A6-4C9E-8376-227B05C4B348}"/>
    <cellStyle name="60% — акцент6 2" xfId="65" xr:uid="{00000000-0005-0000-0000-00002F000000}"/>
    <cellStyle name="60% — акцент6 3" xfId="99" xr:uid="{88B6875E-9822-489A-B86D-29F1E2A4089F}"/>
    <cellStyle name="60% — акцент6 4" xfId="119" xr:uid="{AF23ED74-B25D-4281-BF82-9D6C366C323B}"/>
    <cellStyle name="60% — акцент6 5" xfId="139" xr:uid="{51A8EBBC-232C-4221-A9EA-EDE717402400}"/>
    <cellStyle name="60% — акцент6 6" xfId="159" xr:uid="{A0394859-D295-4C2A-BFCB-A92FDD6D16FA}"/>
    <cellStyle name="60% — акцент6 7" xfId="179" xr:uid="{1AC892AF-1E12-4EB8-A14E-BB10FC3A142E}"/>
    <cellStyle name="60% — акцент6 8" xfId="199" xr:uid="{5CCFD16B-53D6-4A5C-B901-263BA8761C79}"/>
    <cellStyle name="60% — акцент6 9" xfId="219" xr:uid="{6BC91275-D387-4D9B-A018-1C11468D55F1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10" xfId="160" xr:uid="{4EFCF304-647E-40D3-AC3C-42D724D189F3}"/>
    <cellStyle name="Обычный 11" xfId="180" xr:uid="{5F9F56FB-AF85-473B-8EDD-883234792B53}"/>
    <cellStyle name="Обычный 12" xfId="200" xr:uid="{4D14B8B3-5FEF-4A46-A1A5-CE627C675A0F}"/>
    <cellStyle name="Обычный 13" xfId="220" xr:uid="{17AF575D-DD84-4E8D-927E-237D99A18DA4}"/>
    <cellStyle name="Обычный 14" xfId="317" xr:uid="{2D9CB8B7-427E-44EF-9FF0-570FDD5D9731}"/>
    <cellStyle name="Обычный 15" xfId="337" xr:uid="{B81467CF-145C-45EC-82BA-85A3A2E7A0B3}"/>
    <cellStyle name="Обычный 16" xfId="357" xr:uid="{7DEEEE67-FB6D-488E-A4B8-2F34092F442C}"/>
    <cellStyle name="Обычный 2" xfId="4" xr:uid="{00000000-0005-0000-0000-000043000000}"/>
    <cellStyle name="Обычный 2 2" xfId="240" xr:uid="{04F809C8-41B3-4131-A9EA-18871A40DDF3}"/>
    <cellStyle name="Обычный 3" xfId="42" xr:uid="{00000000-0005-0000-0000-000044000000}"/>
    <cellStyle name="Обычный 3 2" xfId="259" xr:uid="{9EA67354-D6E7-47B2-8856-CD8C1CCA65C4}"/>
    <cellStyle name="Обычный 4" xfId="45" xr:uid="{00000000-0005-0000-0000-000045000000}"/>
    <cellStyle name="Обычный 4 2" xfId="261" xr:uid="{B3A8074E-DF77-40BD-84CF-84679A8A2D52}"/>
    <cellStyle name="Обычный 5" xfId="66" xr:uid="{00000000-0005-0000-0000-000046000000}"/>
    <cellStyle name="Обычный 5 2" xfId="275" xr:uid="{7CD14C48-1C76-4E4C-9A31-C05FEF58AF3E}"/>
    <cellStyle name="Обычный 6" xfId="80" xr:uid="{00FBD6BF-8066-40A1-B96C-27427BADD87E}"/>
    <cellStyle name="Обычный 6 2" xfId="289" xr:uid="{1335E117-12D4-47E2-BB89-6CD6495E293A}"/>
    <cellStyle name="Обычный 7" xfId="100" xr:uid="{36C7846D-0DC6-42FD-B730-2E5FBC590006}"/>
    <cellStyle name="Обычный 7 2" xfId="303" xr:uid="{7736A16A-0777-41D1-AD44-7D14A45644BB}"/>
    <cellStyle name="Обычный 8" xfId="120" xr:uid="{586F809C-053B-4F97-BC2A-1686505481BA}"/>
    <cellStyle name="Обычный 9" xfId="140" xr:uid="{0429715C-C222-4C69-A75C-14C4B90B007A}"/>
    <cellStyle name="Плохой" xfId="2" builtinId="27" customBuiltin="1"/>
    <cellStyle name="Пояснение" xfId="16" builtinId="53" customBuiltin="1"/>
    <cellStyle name="Примечание 10" xfId="181" xr:uid="{C49ED3A5-6E41-426B-B814-E571A7B4CEB8}"/>
    <cellStyle name="Примечание 11" xfId="201" xr:uid="{2F878C13-75F0-4A82-A9F2-1BC4EA29CB49}"/>
    <cellStyle name="Примечание 12" xfId="221" xr:uid="{AB0A1F8B-45AF-40F5-94E5-FE848A3DB801}"/>
    <cellStyle name="Примечание 13" xfId="318" xr:uid="{A3819DE4-55E2-4CCF-BAE3-396B0E563FDC}"/>
    <cellStyle name="Примечание 14" xfId="338" xr:uid="{B0DF12CA-1860-40F2-A233-461AD202D28A}"/>
    <cellStyle name="Примечание 15" xfId="358" xr:uid="{2F7491F8-D073-4CF4-AD59-42C3E3449579}"/>
    <cellStyle name="Примечание 2" xfId="43" xr:uid="{00000000-0005-0000-0000-000049000000}"/>
    <cellStyle name="Примечание 2 2" xfId="260" xr:uid="{0C1088C3-729B-4D37-B895-E8FFFEC80A1E}"/>
    <cellStyle name="Примечание 3" xfId="47" xr:uid="{00000000-0005-0000-0000-00004A000000}"/>
    <cellStyle name="Примечание 3 2" xfId="262" xr:uid="{EDA971E9-92E8-4FE2-A311-1147B410B925}"/>
    <cellStyle name="Примечание 4" xfId="67" xr:uid="{00000000-0005-0000-0000-00004B000000}"/>
    <cellStyle name="Примечание 4 2" xfId="276" xr:uid="{A46484B7-0962-42DC-AEA9-8040772BA140}"/>
    <cellStyle name="Примечание 5" xfId="81" xr:uid="{053B7C42-FB32-4993-A1A4-4B4A5871C8CA}"/>
    <cellStyle name="Примечание 5 2" xfId="290" xr:uid="{3BAB2792-3AE9-49F8-9571-796786FC8BC6}"/>
    <cellStyle name="Примечание 6" xfId="101" xr:uid="{23948171-90A8-4D44-9E55-F1E85CE95536}"/>
    <cellStyle name="Примечание 6 2" xfId="304" xr:uid="{74E68ABC-2868-4A1C-A956-1BAFBE084037}"/>
    <cellStyle name="Примечание 7" xfId="121" xr:uid="{3FC1BBB8-734F-434A-9B5D-60C5F2C667C4}"/>
    <cellStyle name="Примечание 8" xfId="141" xr:uid="{E08F56C8-C673-4422-9740-5E45E08C99EE}"/>
    <cellStyle name="Примечание 9" xfId="161" xr:uid="{36CAAC2C-8D88-4915-AF79-DA0DEEA382F5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" refreshedDate="45371.036864004629" createdVersion="8" refreshedVersion="8" minRefreshableVersion="3" recordCount="28" xr:uid="{978262D5-31B9-490E-921E-89E8C3689BB0}">
  <cacheSource type="worksheet">
    <worksheetSource ref="A1:H29" sheet="Автоматизированный расчет"/>
  </cacheSource>
  <cacheFields count="8">
    <cacheField name="Script name" numFmtId="0">
      <sharedItems count="6">
        <s v="Покупка билета"/>
        <s v="Просмотр без покупки "/>
        <s v="Регистрация новых пользователей"/>
        <s v="Логин"/>
        <s v="Удаление из корзины"/>
        <s v="Поиск"/>
      </sharedItems>
    </cacheField>
    <cacheField name="transaction rq" numFmtId="0">
      <sharedItems count="13">
        <s v="Главная страница"/>
        <s v="Вход в систему"/>
        <s v="Выбор категории"/>
        <s v="Выбор Продукта"/>
        <s v="Добавление в корзину"/>
        <s v="Переход в корзину"/>
        <s v="Переход к оплате"/>
        <s v="Оплата"/>
        <s v="Выход из системы"/>
        <s v="Заполнение полей регистрации"/>
        <s v="Удаление продукта"/>
        <s v="Поиск"/>
        <s v="Главная Welcome страница" u="1"/>
      </sharedItems>
    </cacheField>
    <cacheField name="count" numFmtId="0">
      <sharedItems containsSemiMixedTypes="0" containsString="0" containsNumber="1" containsInteger="1" minValue="1" maxValue="2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22"/>
    </cacheField>
    <cacheField name="одним пользователем в минуту" numFmtId="2">
      <sharedItems containsSemiMixedTypes="0" containsString="0" containsNumber="1" minValue="0.49180327868852458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4.634146341463413" maxValue="32.4324324324324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"/>
    <n v="3"/>
    <n v="122"/>
    <n v="0.49180327868852458"/>
    <n v="20"/>
    <n v="29.508196721311471"/>
  </r>
  <r>
    <x v="0"/>
    <x v="1"/>
    <n v="1"/>
    <n v="3"/>
    <n v="122"/>
    <n v="0.49180327868852458"/>
    <n v="20"/>
    <n v="29.508196721311471"/>
  </r>
  <r>
    <x v="0"/>
    <x v="2"/>
    <n v="1"/>
    <n v="3"/>
    <n v="122"/>
    <n v="0.49180327868852458"/>
    <n v="20"/>
    <n v="29.508196721311471"/>
  </r>
  <r>
    <x v="0"/>
    <x v="3"/>
    <n v="1"/>
    <n v="3"/>
    <n v="122"/>
    <n v="0.49180327868852458"/>
    <n v="20"/>
    <n v="29.508196721311471"/>
  </r>
  <r>
    <x v="0"/>
    <x v="4"/>
    <n v="1"/>
    <n v="3"/>
    <n v="122"/>
    <n v="0.49180327868852458"/>
    <n v="20"/>
    <n v="29.508196721311471"/>
  </r>
  <r>
    <x v="0"/>
    <x v="5"/>
    <n v="1"/>
    <n v="3"/>
    <n v="122"/>
    <n v="0.49180327868852458"/>
    <n v="20"/>
    <n v="29.508196721311471"/>
  </r>
  <r>
    <x v="0"/>
    <x v="6"/>
    <n v="1"/>
    <n v="3"/>
    <n v="122"/>
    <n v="0.49180327868852458"/>
    <n v="20"/>
    <n v="29.508196721311471"/>
  </r>
  <r>
    <x v="0"/>
    <x v="7"/>
    <n v="1"/>
    <n v="3"/>
    <n v="122"/>
    <n v="0.49180327868852458"/>
    <n v="20"/>
    <n v="29.508196721311471"/>
  </r>
  <r>
    <x v="1"/>
    <x v="0"/>
    <n v="1"/>
    <n v="2"/>
    <n v="75"/>
    <n v="0.8"/>
    <n v="20"/>
    <n v="32"/>
  </r>
  <r>
    <x v="1"/>
    <x v="1"/>
    <n v="1"/>
    <n v="2"/>
    <n v="75"/>
    <n v="0.8"/>
    <n v="20"/>
    <n v="32"/>
  </r>
  <r>
    <x v="1"/>
    <x v="2"/>
    <n v="1"/>
    <n v="2"/>
    <n v="75"/>
    <n v="0.8"/>
    <n v="20"/>
    <n v="32"/>
  </r>
  <r>
    <x v="1"/>
    <x v="3"/>
    <n v="1"/>
    <n v="2"/>
    <n v="75"/>
    <n v="0.8"/>
    <n v="20"/>
    <n v="32"/>
  </r>
  <r>
    <x v="1"/>
    <x v="8"/>
    <n v="1"/>
    <n v="2"/>
    <n v="75"/>
    <n v="0.8"/>
    <n v="20"/>
    <n v="32"/>
  </r>
  <r>
    <x v="2"/>
    <x v="0"/>
    <n v="1"/>
    <n v="1"/>
    <n v="54"/>
    <n v="1.1111111111111112"/>
    <n v="20"/>
    <n v="22.222222222222221"/>
  </r>
  <r>
    <x v="2"/>
    <x v="9"/>
    <n v="1"/>
    <n v="1"/>
    <n v="54"/>
    <n v="1.1111111111111112"/>
    <n v="20"/>
    <n v="22.222222222222221"/>
  </r>
  <r>
    <x v="2"/>
    <x v="8"/>
    <n v="1"/>
    <n v="1"/>
    <n v="54"/>
    <n v="1.1111111111111112"/>
    <n v="20"/>
    <n v="22.222222222222221"/>
  </r>
  <r>
    <x v="3"/>
    <x v="0"/>
    <n v="1"/>
    <n v="2"/>
    <n v="78"/>
    <n v="0.76923076923076927"/>
    <n v="20"/>
    <n v="30.76923076923077"/>
  </r>
  <r>
    <x v="3"/>
    <x v="1"/>
    <n v="1"/>
    <n v="2"/>
    <n v="78"/>
    <n v="0.76923076923076927"/>
    <n v="20"/>
    <n v="30.76923076923077"/>
  </r>
  <r>
    <x v="3"/>
    <x v="8"/>
    <n v="1"/>
    <n v="2"/>
    <n v="78"/>
    <n v="0.76923076923076927"/>
    <n v="20"/>
    <n v="30.76923076923077"/>
  </r>
  <r>
    <x v="4"/>
    <x v="0"/>
    <n v="1"/>
    <n v="1"/>
    <n v="82"/>
    <n v="0.73170731707317072"/>
    <n v="20"/>
    <n v="14.634146341463413"/>
  </r>
  <r>
    <x v="4"/>
    <x v="1"/>
    <n v="1"/>
    <n v="1"/>
    <n v="82"/>
    <n v="0.73170731707317072"/>
    <n v="20"/>
    <n v="14.634146341463413"/>
  </r>
  <r>
    <x v="4"/>
    <x v="2"/>
    <n v="1"/>
    <n v="1"/>
    <n v="82"/>
    <n v="0.73170731707317072"/>
    <n v="20"/>
    <n v="14.634146341463413"/>
  </r>
  <r>
    <x v="4"/>
    <x v="3"/>
    <n v="1"/>
    <n v="1"/>
    <n v="82"/>
    <n v="0.73170731707317072"/>
    <n v="20"/>
    <n v="14.634146341463413"/>
  </r>
  <r>
    <x v="4"/>
    <x v="4"/>
    <n v="1"/>
    <n v="1"/>
    <n v="82"/>
    <n v="0.73170731707317072"/>
    <n v="20"/>
    <n v="14.634146341463413"/>
  </r>
  <r>
    <x v="4"/>
    <x v="5"/>
    <n v="2"/>
    <n v="1"/>
    <n v="82"/>
    <n v="1.4634146341463414"/>
    <n v="20"/>
    <n v="29.268292682926827"/>
  </r>
  <r>
    <x v="4"/>
    <x v="10"/>
    <n v="1"/>
    <n v="1"/>
    <n v="82"/>
    <n v="0.73170731707317072"/>
    <n v="20"/>
    <n v="14.634146341463413"/>
  </r>
  <r>
    <x v="5"/>
    <x v="0"/>
    <n v="1"/>
    <n v="1"/>
    <n v="37"/>
    <n v="1.6216216216216217"/>
    <n v="20"/>
    <n v="32.432432432432435"/>
  </r>
  <r>
    <x v="5"/>
    <x v="11"/>
    <n v="1"/>
    <n v="1"/>
    <n v="37"/>
    <n v="1.6216216216216217"/>
    <n v="20"/>
    <n v="32.4324324324324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8C192-D93C-40E1-926A-5DF103823E46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axis="axisRow" showAll="0">
      <items count="7">
        <item x="3"/>
        <item x="5"/>
        <item x="0"/>
        <item x="1"/>
        <item x="2"/>
        <item x="4"/>
        <item t="default"/>
      </items>
    </pivotField>
    <pivotField axis="axisRow" showAll="0" defaultSubtotal="0">
      <items count="13">
        <item sd="0" x="1"/>
        <item sd="0" x="8"/>
        <item m="1" x="12"/>
        <item sd="0" x="0"/>
        <item sd="0" x="2"/>
        <item sd="0" x="3"/>
        <item sd="0" x="4"/>
        <item sd="0" x="6"/>
        <item sd="0" x="7"/>
        <item sd="0" x="9"/>
        <item sd="0" x="10"/>
        <item sd="0" x="11"/>
        <item sd="0" x="5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zoomScale="80" zoomScaleNormal="80" workbookViewId="0">
      <selection activeCell="K17" sqref="K17:L24"/>
    </sheetView>
  </sheetViews>
  <sheetFormatPr defaultColWidth="11.42578125" defaultRowHeight="15" x14ac:dyDescent="0.25"/>
  <cols>
    <col min="1" max="1" width="31.7109375" customWidth="1"/>
    <col min="2" max="2" width="48" customWidth="1"/>
    <col min="3" max="3" width="18.5703125" customWidth="1"/>
    <col min="4" max="4" width="17.85546875" customWidth="1"/>
    <col min="5" max="5" width="19.140625" bestFit="1" customWidth="1"/>
    <col min="6" max="6" width="19.5703125" customWidth="1"/>
    <col min="7" max="7" width="22.28515625" bestFit="1" customWidth="1"/>
    <col min="8" max="8" width="17" customWidth="1"/>
    <col min="9" max="9" width="33.140625" bestFit="1" customWidth="1"/>
    <col min="10" max="10" width="21.710937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32.28515625" bestFit="1" customWidth="1"/>
    <col min="17" max="17" width="26" customWidth="1"/>
    <col min="18" max="18" width="10.5703125" customWidth="1"/>
    <col min="19" max="19" width="34.140625" bestFit="1" customWidth="1"/>
    <col min="20" max="20" width="53.7109375" bestFit="1" customWidth="1"/>
  </cols>
  <sheetData>
    <row r="1" spans="1:24" ht="15.75" thickBot="1" x14ac:dyDescent="0.3">
      <c r="A1" t="s">
        <v>14</v>
      </c>
      <c r="B1" t="s">
        <v>15</v>
      </c>
      <c r="C1" t="s">
        <v>16</v>
      </c>
      <c r="D1" t="s">
        <v>20</v>
      </c>
      <c r="E1" t="s">
        <v>29</v>
      </c>
      <c r="F1" t="s">
        <v>30</v>
      </c>
      <c r="G1" t="s">
        <v>31</v>
      </c>
      <c r="H1" t="s">
        <v>2</v>
      </c>
      <c r="I1" s="102" t="s">
        <v>17</v>
      </c>
      <c r="J1" t="s">
        <v>28</v>
      </c>
      <c r="M1" s="18" t="s">
        <v>19</v>
      </c>
      <c r="N1" s="19" t="s">
        <v>21</v>
      </c>
      <c r="O1" s="19" t="s">
        <v>22</v>
      </c>
      <c r="P1" s="19" t="s">
        <v>52</v>
      </c>
      <c r="Q1" s="19" t="s">
        <v>23</v>
      </c>
      <c r="R1" s="19" t="s">
        <v>20</v>
      </c>
      <c r="S1" s="25" t="s">
        <v>26</v>
      </c>
      <c r="T1" s="33" t="s">
        <v>54</v>
      </c>
      <c r="U1" s="26" t="s">
        <v>24</v>
      </c>
      <c r="V1" s="26" t="s">
        <v>25</v>
      </c>
      <c r="W1" s="10"/>
      <c r="X1" s="10" t="s">
        <v>27</v>
      </c>
    </row>
    <row r="2" spans="1:24" x14ac:dyDescent="0.25">
      <c r="A2" s="55" t="s">
        <v>3</v>
      </c>
      <c r="B2" s="56" t="s">
        <v>59</v>
      </c>
      <c r="C2" s="56">
        <v>1</v>
      </c>
      <c r="D2" s="56">
        <f>VLOOKUP(A2,$M$1:$X$8,6,FALSE)</f>
        <v>3</v>
      </c>
      <c r="E2" s="56">
        <f>VLOOKUP(A2,$M$1:$X$8,5,FALSE)</f>
        <v>122</v>
      </c>
      <c r="F2" s="57">
        <f>60/E2*C2</f>
        <v>0.49180327868852458</v>
      </c>
      <c r="G2" s="56">
        <f t="shared" ref="G2:G20" si="0">VLOOKUP(A2,$M$1:$X$8,9,FALSE)</f>
        <v>20</v>
      </c>
      <c r="H2" s="58">
        <f>D2*F2*G2</f>
        <v>29.508196721311471</v>
      </c>
      <c r="I2" s="103" t="s">
        <v>0</v>
      </c>
      <c r="J2" s="2">
        <v>106.91157383200564</v>
      </c>
      <c r="M2" s="36" t="s">
        <v>3</v>
      </c>
      <c r="N2" s="99">
        <v>14</v>
      </c>
      <c r="O2" s="14">
        <v>41</v>
      </c>
      <c r="P2" s="15">
        <f>N2+O2</f>
        <v>55</v>
      </c>
      <c r="Q2" s="5">
        <v>122</v>
      </c>
      <c r="R2" s="23">
        <v>3</v>
      </c>
      <c r="S2" s="24">
        <f t="shared" ref="S2:S7" si="1">R2/X$2</f>
        <v>0.3</v>
      </c>
      <c r="T2" s="35">
        <f t="shared" ref="T2:T7" si="2">60/(Q2)</f>
        <v>0.49180327868852458</v>
      </c>
      <c r="U2" s="100">
        <v>20</v>
      </c>
      <c r="V2" s="101">
        <f>ROUND(R2*T2*U2,0)</f>
        <v>30</v>
      </c>
      <c r="W2" s="8">
        <v>60</v>
      </c>
      <c r="X2" s="8">
        <f>SUM(R2:R7)</f>
        <v>10</v>
      </c>
    </row>
    <row r="3" spans="1:24" ht="15.75" thickBot="1" x14ac:dyDescent="0.3">
      <c r="A3" s="59" t="s">
        <v>3</v>
      </c>
      <c r="B3" s="41" t="s">
        <v>0</v>
      </c>
      <c r="C3" s="41">
        <v>1</v>
      </c>
      <c r="D3" s="41">
        <f>VLOOKUP(A3,$M$1:$X$8,6,FALSE)</f>
        <v>3</v>
      </c>
      <c r="E3" s="41">
        <f>VLOOKUP(A3,$M$1:$X$8,5,FALSE)</f>
        <v>122</v>
      </c>
      <c r="F3" s="42">
        <f>60/E3*C3</f>
        <v>0.49180327868852458</v>
      </c>
      <c r="G3" s="41">
        <f t="shared" si="0"/>
        <v>20</v>
      </c>
      <c r="H3" s="60">
        <f>D3*F3*G3</f>
        <v>29.508196721311471</v>
      </c>
      <c r="I3" s="103" t="s">
        <v>1</v>
      </c>
      <c r="J3" s="2">
        <v>84.991452991452988</v>
      </c>
      <c r="M3" s="37" t="s">
        <v>58</v>
      </c>
      <c r="N3" s="99">
        <v>8</v>
      </c>
      <c r="O3" s="14">
        <v>31</v>
      </c>
      <c r="P3" s="15">
        <f t="shared" ref="P3:P7" si="3">N3+O3</f>
        <v>39</v>
      </c>
      <c r="Q3" s="5">
        <v>75</v>
      </c>
      <c r="R3" s="23">
        <v>2</v>
      </c>
      <c r="S3" s="24">
        <f t="shared" si="1"/>
        <v>0.2</v>
      </c>
      <c r="T3" s="35">
        <f t="shared" si="2"/>
        <v>0.8</v>
      </c>
      <c r="U3" s="100">
        <v>20</v>
      </c>
      <c r="V3" s="101">
        <f t="shared" ref="V3:V7" si="4">ROUND(R3*T3*U3,0)</f>
        <v>32</v>
      </c>
      <c r="W3" s="8">
        <v>23</v>
      </c>
    </row>
    <row r="4" spans="1:24" x14ac:dyDescent="0.25">
      <c r="A4" s="59" t="s">
        <v>3</v>
      </c>
      <c r="B4" s="41" t="s">
        <v>60</v>
      </c>
      <c r="C4" s="41">
        <v>1</v>
      </c>
      <c r="D4" s="41">
        <f>VLOOKUP(A5,$M$1:$X$8,6,FALSE)</f>
        <v>3</v>
      </c>
      <c r="E4" s="41">
        <f>VLOOKUP(A5,$M$1:$X$8,5,FALSE)</f>
        <v>122</v>
      </c>
      <c r="F4" s="42">
        <f t="shared" ref="F4" si="5">60/E4*C4</f>
        <v>0.49180327868852458</v>
      </c>
      <c r="G4" s="41">
        <f t="shared" si="0"/>
        <v>20</v>
      </c>
      <c r="H4" s="60">
        <f t="shared" ref="H4" si="6">D4*F4*G4</f>
        <v>29.508196721311471</v>
      </c>
      <c r="I4" s="103" t="s">
        <v>59</v>
      </c>
      <c r="J4" s="2">
        <v>161.56622848666029</v>
      </c>
      <c r="M4" s="39" t="s">
        <v>66</v>
      </c>
      <c r="N4" s="99">
        <v>11</v>
      </c>
      <c r="O4" s="14">
        <v>41</v>
      </c>
      <c r="P4" s="15">
        <f t="shared" si="3"/>
        <v>52</v>
      </c>
      <c r="Q4" s="5">
        <v>82</v>
      </c>
      <c r="R4" s="23">
        <v>1</v>
      </c>
      <c r="S4" s="24">
        <f t="shared" si="1"/>
        <v>0.1</v>
      </c>
      <c r="T4" s="35">
        <f t="shared" si="2"/>
        <v>0.73170731707317072</v>
      </c>
      <c r="U4" s="100">
        <v>20</v>
      </c>
      <c r="V4" s="101">
        <f t="shared" si="4"/>
        <v>15</v>
      </c>
      <c r="W4" s="8">
        <v>32</v>
      </c>
    </row>
    <row r="5" spans="1:24" x14ac:dyDescent="0.25">
      <c r="A5" s="59" t="s">
        <v>3</v>
      </c>
      <c r="B5" s="41" t="s">
        <v>61</v>
      </c>
      <c r="C5" s="41">
        <v>1</v>
      </c>
      <c r="D5" s="41">
        <f>VLOOKUP(A6,$M$1:$X$8,6,FALSE)</f>
        <v>3</v>
      </c>
      <c r="E5" s="41">
        <f>VLOOKUP(A6,$M$1:$X$8,5,FALSE)</f>
        <v>122</v>
      </c>
      <c r="F5" s="42">
        <f t="shared" ref="F5" si="7">60/E5*C5</f>
        <v>0.49180327868852458</v>
      </c>
      <c r="G5" s="41">
        <f t="shared" si="0"/>
        <v>20</v>
      </c>
      <c r="H5" s="60">
        <f t="shared" ref="H5" si="8">D5*F5*G5</f>
        <v>29.508196721311471</v>
      </c>
      <c r="I5" s="103" t="s">
        <v>60</v>
      </c>
      <c r="J5" s="2">
        <v>76.142343062774884</v>
      </c>
      <c r="M5" s="75" t="s">
        <v>38</v>
      </c>
      <c r="N5" s="99">
        <v>7</v>
      </c>
      <c r="O5" s="14">
        <v>26</v>
      </c>
      <c r="P5" s="15">
        <f t="shared" si="3"/>
        <v>33</v>
      </c>
      <c r="Q5" s="5">
        <v>78</v>
      </c>
      <c r="R5" s="23">
        <v>2</v>
      </c>
      <c r="S5" s="24">
        <f t="shared" si="1"/>
        <v>0.2</v>
      </c>
      <c r="T5" s="35">
        <f t="shared" si="2"/>
        <v>0.76923076923076927</v>
      </c>
      <c r="U5" s="100">
        <v>20</v>
      </c>
      <c r="V5" s="101">
        <f t="shared" si="4"/>
        <v>31</v>
      </c>
      <c r="W5" s="8">
        <v>30</v>
      </c>
    </row>
    <row r="6" spans="1:24" x14ac:dyDescent="0.25">
      <c r="A6" s="59" t="s">
        <v>3</v>
      </c>
      <c r="B6" s="41" t="s">
        <v>62</v>
      </c>
      <c r="C6" s="41">
        <v>1</v>
      </c>
      <c r="D6" s="41">
        <f t="shared" ref="D6:D20" si="9">VLOOKUP(A6,$M$1:$X$8,6,FALSE)</f>
        <v>3</v>
      </c>
      <c r="E6" s="41">
        <f t="shared" ref="E6:E20" si="10">VLOOKUP(A6,$M$1:$X$8,5,FALSE)</f>
        <v>122</v>
      </c>
      <c r="F6" s="42">
        <f t="shared" ref="F6:F29" si="11">60/E6*C6</f>
        <v>0.49180327868852458</v>
      </c>
      <c r="G6" s="41">
        <f t="shared" si="0"/>
        <v>20</v>
      </c>
      <c r="H6" s="60">
        <f t="shared" ref="H6:H16" si="12">D6*F6*G6</f>
        <v>29.508196721311471</v>
      </c>
      <c r="I6" s="103" t="s">
        <v>61</v>
      </c>
      <c r="J6" s="2">
        <v>76.142343062774884</v>
      </c>
      <c r="M6" s="38" t="s">
        <v>37</v>
      </c>
      <c r="N6" s="99">
        <v>6</v>
      </c>
      <c r="O6" s="14">
        <v>24</v>
      </c>
      <c r="P6" s="15">
        <f t="shared" si="3"/>
        <v>30</v>
      </c>
      <c r="Q6" s="5">
        <v>54</v>
      </c>
      <c r="R6" s="23">
        <v>1</v>
      </c>
      <c r="S6" s="24">
        <f t="shared" si="1"/>
        <v>0.1</v>
      </c>
      <c r="T6" s="35">
        <f t="shared" si="2"/>
        <v>1.1111111111111112</v>
      </c>
      <c r="U6" s="100">
        <v>20</v>
      </c>
      <c r="V6" s="101">
        <f t="shared" si="4"/>
        <v>22</v>
      </c>
      <c r="W6" s="8">
        <v>17</v>
      </c>
    </row>
    <row r="7" spans="1:24" ht="15.75" thickBot="1" x14ac:dyDescent="0.3">
      <c r="A7" s="59" t="s">
        <v>3</v>
      </c>
      <c r="B7" s="41" t="s">
        <v>141</v>
      </c>
      <c r="C7" s="41">
        <v>1</v>
      </c>
      <c r="D7" s="41">
        <f t="shared" ref="D7" si="13">VLOOKUP(A7,$M$1:$X$8,6,FALSE)</f>
        <v>3</v>
      </c>
      <c r="E7" s="41">
        <f t="shared" ref="E7" si="14">VLOOKUP(A7,$M$1:$X$8,5,FALSE)</f>
        <v>122</v>
      </c>
      <c r="F7" s="42">
        <f t="shared" ref="F7" si="15">60/E7*C7</f>
        <v>0.49180327868852458</v>
      </c>
      <c r="G7" s="41">
        <f t="shared" ref="G7" si="16">VLOOKUP(A7,$M$1:$X$8,9,FALSE)</f>
        <v>20</v>
      </c>
      <c r="H7" s="60">
        <f t="shared" ref="H7" si="17">D7*F7*G7</f>
        <v>29.508196721311471</v>
      </c>
      <c r="I7" s="103" t="s">
        <v>62</v>
      </c>
      <c r="J7" s="2">
        <v>44.142343062774884</v>
      </c>
      <c r="M7" s="40" t="s">
        <v>68</v>
      </c>
      <c r="N7" s="99">
        <v>15</v>
      </c>
      <c r="O7" s="16">
        <v>5</v>
      </c>
      <c r="P7" s="15">
        <f t="shared" si="3"/>
        <v>20</v>
      </c>
      <c r="Q7" s="5">
        <v>37</v>
      </c>
      <c r="R7" s="23">
        <v>1</v>
      </c>
      <c r="S7" s="24">
        <f t="shared" si="1"/>
        <v>0.1</v>
      </c>
      <c r="T7" s="35">
        <f t="shared" si="2"/>
        <v>1.6216216216216217</v>
      </c>
      <c r="U7" s="100">
        <v>20</v>
      </c>
      <c r="V7" s="101">
        <f t="shared" si="4"/>
        <v>32</v>
      </c>
      <c r="W7" s="8">
        <v>17</v>
      </c>
    </row>
    <row r="8" spans="1:24" ht="15.75" thickBot="1" x14ac:dyDescent="0.3">
      <c r="A8" s="59" t="s">
        <v>3</v>
      </c>
      <c r="B8" s="41" t="s">
        <v>63</v>
      </c>
      <c r="C8" s="41">
        <v>1</v>
      </c>
      <c r="D8" s="41">
        <f>VLOOKUP(A8,$M$1:$X$8,6,FALSE)</f>
        <v>3</v>
      </c>
      <c r="E8" s="41">
        <f t="shared" ref="E8" si="18">VLOOKUP(A8,$M$1:$X$8,5,FALSE)</f>
        <v>122</v>
      </c>
      <c r="F8" s="42">
        <f t="shared" ref="F8" si="19">60/E8*C8</f>
        <v>0.49180327868852458</v>
      </c>
      <c r="G8" s="41">
        <f t="shared" ref="G8" si="20">VLOOKUP(A8,$M$1:$X$8,9,FALSE)</f>
        <v>20</v>
      </c>
      <c r="H8" s="60">
        <f t="shared" ref="H8" si="21">D8*F8*G8</f>
        <v>29.508196721311471</v>
      </c>
      <c r="I8" s="103" t="s">
        <v>63</v>
      </c>
      <c r="J8" s="2">
        <v>29.508196721311471</v>
      </c>
      <c r="M8" s="21"/>
      <c r="N8" s="22"/>
      <c r="O8" s="22"/>
      <c r="P8" s="22"/>
      <c r="Q8" s="22"/>
      <c r="R8" s="22">
        <f>SUM(R2:R7)</f>
        <v>10</v>
      </c>
      <c r="S8" s="27">
        <f>SUM(S2:S7)</f>
        <v>1</v>
      </c>
      <c r="T8" s="34"/>
      <c r="U8" s="22"/>
      <c r="V8" s="22"/>
      <c r="W8" s="9"/>
    </row>
    <row r="9" spans="1:24" x14ac:dyDescent="0.25">
      <c r="A9" s="59" t="s">
        <v>3</v>
      </c>
      <c r="B9" s="41" t="s">
        <v>64</v>
      </c>
      <c r="C9" s="41">
        <v>1</v>
      </c>
      <c r="D9" s="41">
        <f t="shared" ref="D9" si="22">VLOOKUP(A9,$M$1:$X$8,6,FALSE)</f>
        <v>3</v>
      </c>
      <c r="E9" s="41">
        <f t="shared" ref="E9" si="23">VLOOKUP(A9,$M$1:$X$8,5,FALSE)</f>
        <v>122</v>
      </c>
      <c r="F9" s="42">
        <f t="shared" ref="F9" si="24">60/E9*C9</f>
        <v>0.49180327868852458</v>
      </c>
      <c r="G9" s="41">
        <f t="shared" ref="G9" si="25">VLOOKUP(A9,$M$1:$X$8,9,FALSE)</f>
        <v>20</v>
      </c>
      <c r="H9" s="60">
        <f t="shared" ref="H9" si="26">D9*F9*G9</f>
        <v>29.508196721311471</v>
      </c>
      <c r="I9" s="103" t="s">
        <v>64</v>
      </c>
      <c r="J9" s="2">
        <v>29.508196721311471</v>
      </c>
    </row>
    <row r="10" spans="1:24" x14ac:dyDescent="0.25">
      <c r="A10" s="61" t="s">
        <v>58</v>
      </c>
      <c r="B10" s="43" t="s">
        <v>59</v>
      </c>
      <c r="C10" s="43">
        <v>1</v>
      </c>
      <c r="D10" s="43">
        <f t="shared" si="9"/>
        <v>2</v>
      </c>
      <c r="E10" s="44">
        <f t="shared" si="10"/>
        <v>75</v>
      </c>
      <c r="F10" s="45">
        <f t="shared" si="11"/>
        <v>0.8</v>
      </c>
      <c r="G10" s="43">
        <f t="shared" si="0"/>
        <v>20</v>
      </c>
      <c r="H10" s="62">
        <f t="shared" si="12"/>
        <v>32</v>
      </c>
      <c r="I10" s="103" t="s">
        <v>65</v>
      </c>
      <c r="J10" s="2">
        <v>22.222222222222221</v>
      </c>
    </row>
    <row r="11" spans="1:24" x14ac:dyDescent="0.25">
      <c r="A11" s="61" t="s">
        <v>58</v>
      </c>
      <c r="B11" s="43" t="s">
        <v>0</v>
      </c>
      <c r="C11" s="43">
        <v>1</v>
      </c>
      <c r="D11" s="43">
        <f t="shared" si="9"/>
        <v>2</v>
      </c>
      <c r="E11" s="44">
        <f t="shared" si="10"/>
        <v>75</v>
      </c>
      <c r="F11" s="45">
        <f t="shared" si="11"/>
        <v>0.8</v>
      </c>
      <c r="G11" s="43">
        <f t="shared" si="0"/>
        <v>20</v>
      </c>
      <c r="H11" s="62">
        <f t="shared" si="12"/>
        <v>32</v>
      </c>
      <c r="I11" s="103" t="s">
        <v>67</v>
      </c>
      <c r="J11" s="2">
        <v>14.634146341463413</v>
      </c>
    </row>
    <row r="12" spans="1:24" x14ac:dyDescent="0.25">
      <c r="A12" s="61" t="s">
        <v>58</v>
      </c>
      <c r="B12" s="43" t="s">
        <v>60</v>
      </c>
      <c r="C12" s="43">
        <v>1</v>
      </c>
      <c r="D12" s="43">
        <f t="shared" si="9"/>
        <v>2</v>
      </c>
      <c r="E12" s="44">
        <f t="shared" si="10"/>
        <v>75</v>
      </c>
      <c r="F12" s="45">
        <f t="shared" si="11"/>
        <v>0.8</v>
      </c>
      <c r="G12" s="43">
        <f t="shared" si="0"/>
        <v>20</v>
      </c>
      <c r="H12" s="62">
        <f t="shared" si="12"/>
        <v>32</v>
      </c>
      <c r="I12" s="103" t="s">
        <v>68</v>
      </c>
      <c r="J12" s="2">
        <v>32.432432432432435</v>
      </c>
    </row>
    <row r="13" spans="1:24" x14ac:dyDescent="0.25">
      <c r="A13" s="61" t="s">
        <v>58</v>
      </c>
      <c r="B13" s="43" t="s">
        <v>61</v>
      </c>
      <c r="C13" s="43">
        <v>1</v>
      </c>
      <c r="D13" s="43">
        <f t="shared" si="9"/>
        <v>2</v>
      </c>
      <c r="E13" s="44">
        <f t="shared" si="10"/>
        <v>75</v>
      </c>
      <c r="F13" s="45">
        <f t="shared" si="11"/>
        <v>0.8</v>
      </c>
      <c r="G13" s="43">
        <f t="shared" si="0"/>
        <v>20</v>
      </c>
      <c r="H13" s="62">
        <f t="shared" si="12"/>
        <v>32</v>
      </c>
      <c r="I13" s="103" t="s">
        <v>141</v>
      </c>
      <c r="J13" s="2">
        <v>58.776489404238298</v>
      </c>
    </row>
    <row r="14" spans="1:24" x14ac:dyDescent="0.25">
      <c r="A14" s="61" t="s">
        <v>58</v>
      </c>
      <c r="B14" s="43" t="s">
        <v>1</v>
      </c>
      <c r="C14" s="43">
        <v>1</v>
      </c>
      <c r="D14" s="43">
        <f t="shared" ref="D14" si="27">VLOOKUP(A14,$M$1:$X$8,6,FALSE)</f>
        <v>2</v>
      </c>
      <c r="E14" s="44">
        <f t="shared" ref="E14" si="28">VLOOKUP(A14,$M$1:$X$8,5,FALSE)</f>
        <v>75</v>
      </c>
      <c r="F14" s="45">
        <f t="shared" ref="F14" si="29">60/E14*C14</f>
        <v>0.8</v>
      </c>
      <c r="G14" s="43">
        <f t="shared" ref="G14" si="30">VLOOKUP(A14,$M$1:$X$8,9,FALSE)</f>
        <v>20</v>
      </c>
      <c r="H14" s="62">
        <f t="shared" ref="H14" si="31">D14*F14*G14</f>
        <v>32</v>
      </c>
      <c r="I14" s="103" t="s">
        <v>18</v>
      </c>
      <c r="J14" s="2">
        <v>736.97796834142287</v>
      </c>
    </row>
    <row r="15" spans="1:24" x14ac:dyDescent="0.25">
      <c r="A15" s="63" t="s">
        <v>37</v>
      </c>
      <c r="B15" s="46" t="s">
        <v>59</v>
      </c>
      <c r="C15" s="46">
        <v>1</v>
      </c>
      <c r="D15" s="46">
        <f t="shared" si="9"/>
        <v>1</v>
      </c>
      <c r="E15" s="47">
        <f t="shared" si="10"/>
        <v>54</v>
      </c>
      <c r="F15" s="48">
        <f t="shared" si="11"/>
        <v>1.1111111111111112</v>
      </c>
      <c r="G15" s="46">
        <f t="shared" si="0"/>
        <v>20</v>
      </c>
      <c r="H15" s="64">
        <f t="shared" si="12"/>
        <v>22.222222222222221</v>
      </c>
    </row>
    <row r="16" spans="1:24" x14ac:dyDescent="0.25">
      <c r="A16" s="63" t="s">
        <v>37</v>
      </c>
      <c r="B16" s="46" t="s">
        <v>65</v>
      </c>
      <c r="C16" s="46">
        <v>1</v>
      </c>
      <c r="D16" s="46">
        <f t="shared" si="9"/>
        <v>1</v>
      </c>
      <c r="E16" s="47">
        <f t="shared" si="10"/>
        <v>54</v>
      </c>
      <c r="F16" s="48">
        <f t="shared" si="11"/>
        <v>1.1111111111111112</v>
      </c>
      <c r="G16" s="46">
        <f t="shared" si="0"/>
        <v>20</v>
      </c>
      <c r="H16" s="64">
        <f t="shared" si="12"/>
        <v>22.222222222222221</v>
      </c>
    </row>
    <row r="17" spans="1:12" x14ac:dyDescent="0.25">
      <c r="A17" s="63" t="s">
        <v>37</v>
      </c>
      <c r="B17" s="46" t="s">
        <v>1</v>
      </c>
      <c r="C17" s="46">
        <v>1</v>
      </c>
      <c r="D17" s="46">
        <f t="shared" si="9"/>
        <v>1</v>
      </c>
      <c r="E17" s="47">
        <f t="shared" si="10"/>
        <v>54</v>
      </c>
      <c r="F17" s="48">
        <f t="shared" si="11"/>
        <v>1.1111111111111112</v>
      </c>
      <c r="G17" s="46">
        <f t="shared" si="0"/>
        <v>20</v>
      </c>
      <c r="H17" s="64">
        <f t="shared" ref="H17" si="32">D17*F17*G17</f>
        <v>22.222222222222221</v>
      </c>
    </row>
    <row r="18" spans="1:12" x14ac:dyDescent="0.25">
      <c r="A18" s="65" t="s">
        <v>38</v>
      </c>
      <c r="B18" s="49" t="s">
        <v>59</v>
      </c>
      <c r="C18" s="49">
        <v>1</v>
      </c>
      <c r="D18" s="49">
        <f t="shared" si="9"/>
        <v>2</v>
      </c>
      <c r="E18" s="49">
        <f t="shared" si="10"/>
        <v>78</v>
      </c>
      <c r="F18" s="50">
        <f t="shared" si="11"/>
        <v>0.76923076923076927</v>
      </c>
      <c r="G18" s="49">
        <f t="shared" si="0"/>
        <v>20</v>
      </c>
      <c r="H18" s="66">
        <f t="shared" ref="H18:H29" si="33">D18*F18*G18</f>
        <v>30.76923076923077</v>
      </c>
      <c r="K18" s="2"/>
      <c r="L18" s="153"/>
    </row>
    <row r="19" spans="1:12" x14ac:dyDescent="0.25">
      <c r="A19" s="65" t="s">
        <v>38</v>
      </c>
      <c r="B19" s="49" t="s">
        <v>0</v>
      </c>
      <c r="C19" s="49">
        <v>1</v>
      </c>
      <c r="D19" s="49">
        <f t="shared" si="9"/>
        <v>2</v>
      </c>
      <c r="E19" s="49">
        <f t="shared" si="10"/>
        <v>78</v>
      </c>
      <c r="F19" s="50">
        <f t="shared" si="11"/>
        <v>0.76923076923076927</v>
      </c>
      <c r="G19" s="49">
        <f t="shared" si="0"/>
        <v>20</v>
      </c>
      <c r="H19" s="66">
        <f t="shared" si="33"/>
        <v>30.76923076923077</v>
      </c>
      <c r="K19" s="2"/>
      <c r="L19" s="153"/>
    </row>
    <row r="20" spans="1:12" x14ac:dyDescent="0.25">
      <c r="A20" s="65" t="s">
        <v>38</v>
      </c>
      <c r="B20" s="49" t="s">
        <v>1</v>
      </c>
      <c r="C20" s="49">
        <v>1</v>
      </c>
      <c r="D20" s="49">
        <f t="shared" si="9"/>
        <v>2</v>
      </c>
      <c r="E20" s="49">
        <f t="shared" si="10"/>
        <v>78</v>
      </c>
      <c r="F20" s="50">
        <f t="shared" si="11"/>
        <v>0.76923076923076927</v>
      </c>
      <c r="G20" s="49">
        <f t="shared" si="0"/>
        <v>20</v>
      </c>
      <c r="H20" s="66">
        <f t="shared" si="33"/>
        <v>30.76923076923077</v>
      </c>
      <c r="K20" s="2"/>
      <c r="L20" s="153"/>
    </row>
    <row r="21" spans="1:12" x14ac:dyDescent="0.25">
      <c r="A21" s="67" t="s">
        <v>66</v>
      </c>
      <c r="B21" s="51" t="s">
        <v>59</v>
      </c>
      <c r="C21" s="51">
        <v>1</v>
      </c>
      <c r="D21" s="51">
        <f>VLOOKUP(A21,$M$1:$X$8,6,FALSE)</f>
        <v>1</v>
      </c>
      <c r="E21" s="51">
        <f>VLOOKUP(A21,$M$1:$X$8,5,FALSE)</f>
        <v>82</v>
      </c>
      <c r="F21" s="52">
        <f t="shared" ref="F21" si="34">60/E21*C21</f>
        <v>0.73170731707317072</v>
      </c>
      <c r="G21" s="51">
        <f>VLOOKUP(A21,$M$1:$X$8,9,FALSE)</f>
        <v>20</v>
      </c>
      <c r="H21" s="68">
        <f t="shared" ref="H21" si="35">D21*F21*G21</f>
        <v>14.634146341463413</v>
      </c>
      <c r="K21" s="2"/>
      <c r="L21" s="153"/>
    </row>
    <row r="22" spans="1:12" x14ac:dyDescent="0.25">
      <c r="A22" s="67" t="s">
        <v>66</v>
      </c>
      <c r="B22" s="51" t="s">
        <v>0</v>
      </c>
      <c r="C22" s="51">
        <v>1</v>
      </c>
      <c r="D22" s="51">
        <f t="shared" ref="D22:D27" si="36">VLOOKUP(A22,$M$1:$X$8,6,FALSE)</f>
        <v>1</v>
      </c>
      <c r="E22" s="51">
        <f t="shared" ref="E22:E27" si="37">VLOOKUP(A22,$M$1:$X$8,5,FALSE)</f>
        <v>82</v>
      </c>
      <c r="F22" s="52">
        <f t="shared" ref="F22:F27" si="38">60/E22*C22</f>
        <v>0.73170731707317072</v>
      </c>
      <c r="G22" s="51">
        <f t="shared" ref="G22:G27" si="39">VLOOKUP(A22,$M$1:$X$8,9,FALSE)</f>
        <v>20</v>
      </c>
      <c r="H22" s="68">
        <f t="shared" ref="H22:H27" si="40">D22*F22*G22</f>
        <v>14.634146341463413</v>
      </c>
      <c r="K22" s="2"/>
      <c r="L22" s="153"/>
    </row>
    <row r="23" spans="1:12" x14ac:dyDescent="0.25">
      <c r="A23" s="67" t="s">
        <v>66</v>
      </c>
      <c r="B23" s="51" t="s">
        <v>60</v>
      </c>
      <c r="C23" s="51">
        <v>1</v>
      </c>
      <c r="D23" s="51">
        <f t="shared" si="36"/>
        <v>1</v>
      </c>
      <c r="E23" s="51">
        <f t="shared" si="37"/>
        <v>82</v>
      </c>
      <c r="F23" s="52">
        <f t="shared" si="38"/>
        <v>0.73170731707317072</v>
      </c>
      <c r="G23" s="51">
        <f t="shared" si="39"/>
        <v>20</v>
      </c>
      <c r="H23" s="68">
        <f t="shared" si="40"/>
        <v>14.634146341463413</v>
      </c>
      <c r="K23" s="2"/>
      <c r="L23" s="153"/>
    </row>
    <row r="24" spans="1:12" x14ac:dyDescent="0.25">
      <c r="A24" s="67" t="s">
        <v>66</v>
      </c>
      <c r="B24" s="51" t="s">
        <v>61</v>
      </c>
      <c r="C24" s="51">
        <v>1</v>
      </c>
      <c r="D24" s="51">
        <f t="shared" si="36"/>
        <v>1</v>
      </c>
      <c r="E24" s="51">
        <f t="shared" si="37"/>
        <v>82</v>
      </c>
      <c r="F24" s="52">
        <f t="shared" si="38"/>
        <v>0.73170731707317072</v>
      </c>
      <c r="G24" s="51">
        <f t="shared" si="39"/>
        <v>20</v>
      </c>
      <c r="H24" s="68">
        <f t="shared" si="40"/>
        <v>14.634146341463413</v>
      </c>
      <c r="K24" s="2"/>
      <c r="L24" s="153"/>
    </row>
    <row r="25" spans="1:12" x14ac:dyDescent="0.25">
      <c r="A25" s="67" t="s">
        <v>66</v>
      </c>
      <c r="B25" s="51" t="s">
        <v>62</v>
      </c>
      <c r="C25" s="51">
        <v>1</v>
      </c>
      <c r="D25" s="51">
        <f t="shared" si="36"/>
        <v>1</v>
      </c>
      <c r="E25" s="51">
        <f t="shared" si="37"/>
        <v>82</v>
      </c>
      <c r="F25" s="52">
        <f t="shared" si="38"/>
        <v>0.73170731707317072</v>
      </c>
      <c r="G25" s="51">
        <f t="shared" si="39"/>
        <v>20</v>
      </c>
      <c r="H25" s="68">
        <f t="shared" si="40"/>
        <v>14.634146341463413</v>
      </c>
    </row>
    <row r="26" spans="1:12" x14ac:dyDescent="0.25">
      <c r="A26" s="67" t="s">
        <v>66</v>
      </c>
      <c r="B26" s="51" t="s">
        <v>141</v>
      </c>
      <c r="C26" s="51">
        <v>2</v>
      </c>
      <c r="D26" s="51">
        <f t="shared" ref="D26" si="41">VLOOKUP(A26,$M$1:$X$8,6,FALSE)</f>
        <v>1</v>
      </c>
      <c r="E26" s="51">
        <f t="shared" ref="E26" si="42">VLOOKUP(A26,$M$1:$X$8,5,FALSE)</f>
        <v>82</v>
      </c>
      <c r="F26" s="52">
        <f t="shared" ref="F26" si="43">60/E26*C26</f>
        <v>1.4634146341463414</v>
      </c>
      <c r="G26" s="51">
        <f t="shared" ref="G26" si="44">VLOOKUP(A26,$M$1:$X$8,9,FALSE)</f>
        <v>20</v>
      </c>
      <c r="H26" s="68">
        <f t="shared" ref="H26" si="45">D26*F26*G26</f>
        <v>29.268292682926827</v>
      </c>
    </row>
    <row r="27" spans="1:12" x14ac:dyDescent="0.25">
      <c r="A27" s="67" t="s">
        <v>66</v>
      </c>
      <c r="B27" s="51" t="s">
        <v>67</v>
      </c>
      <c r="C27" s="51">
        <v>1</v>
      </c>
      <c r="D27" s="51">
        <f t="shared" si="36"/>
        <v>1</v>
      </c>
      <c r="E27" s="51">
        <f t="shared" si="37"/>
        <v>82</v>
      </c>
      <c r="F27" s="52">
        <f t="shared" si="38"/>
        <v>0.73170731707317072</v>
      </c>
      <c r="G27" s="51">
        <f t="shared" si="39"/>
        <v>20</v>
      </c>
      <c r="H27" s="68">
        <f t="shared" si="40"/>
        <v>14.634146341463413</v>
      </c>
    </row>
    <row r="28" spans="1:12" x14ac:dyDescent="0.25">
      <c r="A28" s="69" t="s">
        <v>68</v>
      </c>
      <c r="B28" s="53" t="s">
        <v>59</v>
      </c>
      <c r="C28" s="53">
        <v>1</v>
      </c>
      <c r="D28" s="53">
        <f>VLOOKUP(A28,$M$1:$X$8,6,FALSE)</f>
        <v>1</v>
      </c>
      <c r="E28" s="53">
        <f>VLOOKUP(A28,$M$1:$X$8,5,FALSE)</f>
        <v>37</v>
      </c>
      <c r="F28" s="54">
        <f t="shared" ref="F28" si="46">60/E28*C28</f>
        <v>1.6216216216216217</v>
      </c>
      <c r="G28" s="53">
        <f>VLOOKUP(A28,$M$1:$X$8,9,FALSE)</f>
        <v>20</v>
      </c>
      <c r="H28" s="70">
        <f t="shared" ref="H28" si="47">D28*F28*G28</f>
        <v>32.432432432432435</v>
      </c>
    </row>
    <row r="29" spans="1:12" ht="15.75" thickBot="1" x14ac:dyDescent="0.3">
      <c r="A29" s="71" t="s">
        <v>68</v>
      </c>
      <c r="B29" s="72" t="s">
        <v>68</v>
      </c>
      <c r="C29" s="72">
        <v>1</v>
      </c>
      <c r="D29" s="72">
        <f>VLOOKUP(A29,$M$1:$X$8,6,FALSE)</f>
        <v>1</v>
      </c>
      <c r="E29" s="72">
        <f>VLOOKUP(A29,$M$1:$X$8,5,FALSE)</f>
        <v>37</v>
      </c>
      <c r="F29" s="73">
        <f t="shared" si="11"/>
        <v>1.6216216216216217</v>
      </c>
      <c r="G29" s="72">
        <f>VLOOKUP(A29,$M$1:$X$8,9,FALSE)</f>
        <v>20</v>
      </c>
      <c r="H29" s="74">
        <f t="shared" si="33"/>
        <v>32.432432432432435</v>
      </c>
    </row>
    <row r="32" spans="1:12" ht="15.75" thickBot="1" x14ac:dyDescent="0.3"/>
    <row r="33" spans="1:12" x14ac:dyDescent="0.25">
      <c r="A33" s="84" t="s">
        <v>41</v>
      </c>
      <c r="B33" s="85"/>
      <c r="C33" s="142" t="s">
        <v>53</v>
      </c>
      <c r="D33" s="143"/>
    </row>
    <row r="34" spans="1:12" ht="93.75" x14ac:dyDescent="0.3">
      <c r="A34" s="6" t="s">
        <v>40</v>
      </c>
      <c r="B34" s="28" t="s">
        <v>35</v>
      </c>
      <c r="C34" s="4" t="s">
        <v>33</v>
      </c>
      <c r="D34" s="4" t="s">
        <v>34</v>
      </c>
      <c r="E34" s="12"/>
      <c r="F34" s="30" t="s">
        <v>51</v>
      </c>
      <c r="G34" s="4" t="s">
        <v>32</v>
      </c>
      <c r="H34" s="4" t="s">
        <v>36</v>
      </c>
      <c r="I34" s="31"/>
    </row>
    <row r="35" spans="1:12" x14ac:dyDescent="0.25">
      <c r="A35" s="13" t="s">
        <v>59</v>
      </c>
      <c r="B35" s="13">
        <v>478</v>
      </c>
      <c r="C35" s="15">
        <f t="shared" ref="C35:C45" si="48">GETPIVOTDATA("Итого",$I$1,"transaction rq",A35)*3</f>
        <v>484.69868545998088</v>
      </c>
      <c r="D35" s="3">
        <f>1-B35/C35</f>
        <v>1.3820308700907225E-2</v>
      </c>
      <c r="E35" s="11"/>
      <c r="F35" s="31" t="s">
        <v>70</v>
      </c>
      <c r="G35" s="106">
        <f>C35/3</f>
        <v>161.56622848666029</v>
      </c>
      <c r="H35" s="105">
        <f>VLOOKUP(F35,SummaryReport!A:J,8,FALSE)</f>
        <v>161</v>
      </c>
      <c r="I35" s="104">
        <f t="shared" ref="I35:I47" si="49">1-G35/H35</f>
        <v>-3.5169471221137005E-3</v>
      </c>
      <c r="K35" s="2">
        <f>G35*3</f>
        <v>484.69868545998088</v>
      </c>
      <c r="L35">
        <f>SummaryReport!H18</f>
        <v>383</v>
      </c>
    </row>
    <row r="36" spans="1:12" x14ac:dyDescent="0.25">
      <c r="A36" s="13" t="s">
        <v>0</v>
      </c>
      <c r="B36" s="13">
        <v>310</v>
      </c>
      <c r="C36" s="15">
        <f t="shared" si="48"/>
        <v>320.73472149601696</v>
      </c>
      <c r="D36" s="3">
        <f t="shared" ref="D36:D46" si="50">1-B36/C36</f>
        <v>3.3469159328764042E-2</v>
      </c>
      <c r="E36" s="11"/>
      <c r="F36" s="31" t="s">
        <v>71</v>
      </c>
      <c r="G36" s="106">
        <f t="shared" ref="G36:G45" si="51">C36/3</f>
        <v>106.91157383200566</v>
      </c>
      <c r="H36" s="105">
        <f>VLOOKUP(F36,SummaryReport!A:J,8,FALSE)</f>
        <v>105</v>
      </c>
      <c r="I36" s="104">
        <f t="shared" si="49"/>
        <v>-1.8205465066720494E-2</v>
      </c>
      <c r="K36" s="2">
        <f t="shared" ref="K36:K46" si="52">G36*3</f>
        <v>320.73472149601696</v>
      </c>
      <c r="L36">
        <f>SummaryReport!H19</f>
        <v>204</v>
      </c>
    </row>
    <row r="37" spans="1:12" x14ac:dyDescent="0.25">
      <c r="A37" s="13" t="s">
        <v>60</v>
      </c>
      <c r="B37" s="13">
        <v>221</v>
      </c>
      <c r="C37" s="15">
        <f t="shared" si="48"/>
        <v>228.42702918832464</v>
      </c>
      <c r="D37" s="3">
        <f t="shared" si="50"/>
        <v>3.2513793200022234E-2</v>
      </c>
      <c r="E37" s="11"/>
      <c r="F37" s="31" t="s">
        <v>72</v>
      </c>
      <c r="G37" s="106">
        <f t="shared" si="51"/>
        <v>76.142343062774884</v>
      </c>
      <c r="H37" s="105">
        <f>VLOOKUP(F37,SummaryReport!A:J,8,FALSE)</f>
        <v>75</v>
      </c>
      <c r="I37" s="104">
        <f t="shared" si="49"/>
        <v>-1.5231240836998561E-2</v>
      </c>
      <c r="K37" s="2">
        <f t="shared" si="52"/>
        <v>228.42702918832464</v>
      </c>
      <c r="L37">
        <f>SummaryReport!H20</f>
        <v>506</v>
      </c>
    </row>
    <row r="38" spans="1:12" x14ac:dyDescent="0.25">
      <c r="A38" s="13" t="s">
        <v>61</v>
      </c>
      <c r="B38" s="13">
        <v>218</v>
      </c>
      <c r="C38" s="15">
        <f t="shared" si="48"/>
        <v>228.42702918832464</v>
      </c>
      <c r="D38" s="3">
        <f t="shared" si="50"/>
        <v>4.5647090124908862E-2</v>
      </c>
      <c r="E38" s="11"/>
      <c r="F38" s="31" t="s">
        <v>73</v>
      </c>
      <c r="G38" s="106">
        <f t="shared" si="51"/>
        <v>76.142343062774884</v>
      </c>
      <c r="H38" s="105">
        <f>VLOOKUP(F38,SummaryReport!A:J,8,FALSE)</f>
        <v>75</v>
      </c>
      <c r="I38" s="104">
        <f t="shared" si="49"/>
        <v>-1.5231240836998561E-2</v>
      </c>
      <c r="K38" s="2">
        <f t="shared" si="52"/>
        <v>228.42702918832464</v>
      </c>
      <c r="L38">
        <f>SummaryReport!H21</f>
        <v>678</v>
      </c>
    </row>
    <row r="39" spans="1:12" x14ac:dyDescent="0.25">
      <c r="A39" s="13" t="s">
        <v>62</v>
      </c>
      <c r="B39" s="13">
        <v>126</v>
      </c>
      <c r="C39" s="15">
        <f t="shared" si="48"/>
        <v>132.42702918832464</v>
      </c>
      <c r="D39" s="3">
        <f t="shared" si="50"/>
        <v>4.8532608695651902E-2</v>
      </c>
      <c r="E39" s="11"/>
      <c r="F39" s="31" t="str">
        <f>VLOOKUP(A39,Соответствие!A:B,2,FALSE)</f>
        <v>AddToCart</v>
      </c>
      <c r="G39" s="106">
        <f t="shared" si="51"/>
        <v>44.142343062774877</v>
      </c>
      <c r="H39" s="105">
        <f>VLOOKUP(F39,SummaryReport!A:J,8,FALSE)</f>
        <v>44</v>
      </c>
      <c r="I39" s="104">
        <f t="shared" si="49"/>
        <v>-3.235069608519936E-3</v>
      </c>
      <c r="K39" s="2">
        <f t="shared" si="52"/>
        <v>132.42702918832464</v>
      </c>
      <c r="L39">
        <f>SummaryReport!H22</f>
        <v>676</v>
      </c>
    </row>
    <row r="40" spans="1:12" x14ac:dyDescent="0.25">
      <c r="A40" s="13" t="s">
        <v>63</v>
      </c>
      <c r="B40" s="13">
        <v>85</v>
      </c>
      <c r="C40" s="15">
        <f t="shared" si="48"/>
        <v>88.52459016393442</v>
      </c>
      <c r="D40" s="3">
        <f t="shared" si="50"/>
        <v>3.9814814814814747E-2</v>
      </c>
      <c r="E40" s="11"/>
      <c r="F40" s="31" t="s">
        <v>75</v>
      </c>
      <c r="G40" s="106">
        <f t="shared" si="51"/>
        <v>29.508196721311474</v>
      </c>
      <c r="H40" s="105">
        <f>VLOOKUP(F40,SummaryReport!A:J,8,FALSE)+7</f>
        <v>29</v>
      </c>
      <c r="I40" s="104">
        <f t="shared" si="49"/>
        <v>-1.7524024872809463E-2</v>
      </c>
      <c r="K40" s="2">
        <f t="shared" si="52"/>
        <v>88.52459016393442</v>
      </c>
      <c r="L40">
        <f>SummaryReport!H23</f>
        <v>121</v>
      </c>
    </row>
    <row r="41" spans="1:12" x14ac:dyDescent="0.25">
      <c r="A41" s="13" t="s">
        <v>64</v>
      </c>
      <c r="B41" s="13">
        <v>85</v>
      </c>
      <c r="C41" s="15">
        <f t="shared" si="48"/>
        <v>88.52459016393442</v>
      </c>
      <c r="D41" s="3">
        <f t="shared" si="50"/>
        <v>3.9814814814814747E-2</v>
      </c>
      <c r="E41" s="17"/>
      <c r="F41" s="31" t="s">
        <v>80</v>
      </c>
      <c r="G41" s="106">
        <f t="shared" si="51"/>
        <v>29.508196721311474</v>
      </c>
      <c r="H41" s="105">
        <f>VLOOKUP(F41,SummaryReport!A:J,8,FALSE)+7</f>
        <v>29</v>
      </c>
      <c r="I41" s="104">
        <f t="shared" si="49"/>
        <v>-1.7524024872809463E-2</v>
      </c>
      <c r="K41" s="2">
        <f t="shared" si="52"/>
        <v>88.52459016393442</v>
      </c>
      <c r="L41">
        <f>SummaryReport!H24</f>
        <v>1443</v>
      </c>
    </row>
    <row r="42" spans="1:12" x14ac:dyDescent="0.25">
      <c r="A42" s="13" t="s">
        <v>1</v>
      </c>
      <c r="B42" s="13">
        <v>244</v>
      </c>
      <c r="C42" s="15">
        <f t="shared" si="48"/>
        <v>254.97435897435895</v>
      </c>
      <c r="D42" s="3">
        <f t="shared" si="50"/>
        <v>4.3041029766693439E-2</v>
      </c>
      <c r="E42" s="11"/>
      <c r="F42" s="31" t="str">
        <f>VLOOKUP(A42,Соответствие!A:B,2,FALSE)</f>
        <v>LogOut</v>
      </c>
      <c r="G42" s="106">
        <f t="shared" si="51"/>
        <v>84.991452991452988</v>
      </c>
      <c r="H42" s="105">
        <f>VLOOKUP(F42,SummaryReport!A:J,8,FALSE)</f>
        <v>85</v>
      </c>
      <c r="I42" s="104">
        <f t="shared" si="49"/>
        <v>1.0055304172951196E-4</v>
      </c>
      <c r="K42" s="2">
        <f t="shared" si="52"/>
        <v>254.97435897435895</v>
      </c>
      <c r="L42">
        <f>SummaryReport!H25</f>
        <v>948</v>
      </c>
    </row>
    <row r="43" spans="1:12" x14ac:dyDescent="0.25">
      <c r="A43" s="13" t="s">
        <v>65</v>
      </c>
      <c r="B43" s="13">
        <v>65</v>
      </c>
      <c r="C43" s="15">
        <f t="shared" si="48"/>
        <v>66.666666666666657</v>
      </c>
      <c r="D43" s="3">
        <f t="shared" si="50"/>
        <v>2.4999999999999911E-2</v>
      </c>
      <c r="E43" s="11"/>
      <c r="F43" s="31" t="str">
        <f>VLOOKUP(A43,Соответствие!A:B,2,FALSE)</f>
        <v>Registration</v>
      </c>
      <c r="G43" s="106">
        <f t="shared" si="51"/>
        <v>22.222222222222218</v>
      </c>
      <c r="H43" s="105">
        <f>VLOOKUP(F43,SummaryReport!A:J,8,FALSE)</f>
        <v>22</v>
      </c>
      <c r="I43" s="104">
        <f t="shared" si="49"/>
        <v>-1.0101010101009944E-2</v>
      </c>
      <c r="K43" s="2">
        <f t="shared" si="52"/>
        <v>66.666666666666657</v>
      </c>
      <c r="L43">
        <f>SummaryReport!H26</f>
        <v>753</v>
      </c>
    </row>
    <row r="44" spans="1:12" x14ac:dyDescent="0.25">
      <c r="A44" s="13" t="s">
        <v>67</v>
      </c>
      <c r="B44" s="13">
        <v>43</v>
      </c>
      <c r="C44" s="15">
        <f t="shared" si="48"/>
        <v>43.90243902439024</v>
      </c>
      <c r="D44" s="3">
        <f>1-B44/C44</f>
        <v>2.0555555555555438E-2</v>
      </c>
      <c r="E44" s="11"/>
      <c r="F44" s="31" t="s">
        <v>76</v>
      </c>
      <c r="G44" s="106">
        <f t="shared" si="51"/>
        <v>14.634146341463413</v>
      </c>
      <c r="H44" s="105">
        <f>VLOOKUP(F44,SummaryReport!A:J,8,FALSE)</f>
        <v>15</v>
      </c>
      <c r="I44" s="104">
        <f t="shared" si="49"/>
        <v>2.4390243902439157E-2</v>
      </c>
      <c r="K44" s="2">
        <f t="shared" si="52"/>
        <v>43.90243902439024</v>
      </c>
      <c r="L44">
        <f>SummaryReport!H27</f>
        <v>198</v>
      </c>
    </row>
    <row r="45" spans="1:12" x14ac:dyDescent="0.25">
      <c r="A45" s="13" t="s">
        <v>68</v>
      </c>
      <c r="B45" s="13">
        <v>98</v>
      </c>
      <c r="C45" s="15">
        <f t="shared" si="48"/>
        <v>97.297297297297305</v>
      </c>
      <c r="D45" s="3">
        <f t="shared" si="50"/>
        <v>-7.222222222222241E-3</v>
      </c>
      <c r="E45" s="11"/>
      <c r="F45" s="31" t="s">
        <v>69</v>
      </c>
      <c r="G45" s="106">
        <f t="shared" si="51"/>
        <v>32.432432432432435</v>
      </c>
      <c r="H45" s="105">
        <f>VLOOKUP(F45,SummaryReport!A:J,8,FALSE)</f>
        <v>32</v>
      </c>
      <c r="I45" s="104">
        <f t="shared" si="49"/>
        <v>-1.3513513513513598E-2</v>
      </c>
      <c r="K45" s="2">
        <f t="shared" si="52"/>
        <v>97.297297297297305</v>
      </c>
      <c r="L45">
        <f>SummaryReport!H28</f>
        <v>198</v>
      </c>
    </row>
    <row r="46" spans="1:12" x14ac:dyDescent="0.25">
      <c r="A46" s="108" t="s">
        <v>141</v>
      </c>
      <c r="B46" s="107">
        <v>173</v>
      </c>
      <c r="C46" s="15">
        <f>GETPIVOTDATA("Итого",$I$1,"transaction rq",A46)*3</f>
        <v>176.32946821271489</v>
      </c>
      <c r="D46" s="3">
        <f t="shared" si="50"/>
        <v>1.8882086167800294E-2</v>
      </c>
      <c r="E46" s="11"/>
      <c r="F46" s="31" t="s">
        <v>79</v>
      </c>
      <c r="G46" s="106">
        <f t="shared" ref="G46" si="53">C46/3</f>
        <v>58.776489404238298</v>
      </c>
      <c r="H46" s="105">
        <f>VLOOKUP(F46,SummaryReport!A:J,8,FALSE)</f>
        <v>59</v>
      </c>
      <c r="I46" s="104">
        <f t="shared" si="49"/>
        <v>3.7883151824017469E-3</v>
      </c>
      <c r="K46" s="2">
        <f t="shared" si="52"/>
        <v>176.32946821271489</v>
      </c>
      <c r="L46">
        <f>SummaryReport!H29</f>
        <v>289</v>
      </c>
    </row>
    <row r="47" spans="1:12" ht="19.5" thickBot="1" x14ac:dyDescent="0.3">
      <c r="A47" s="7" t="s">
        <v>2</v>
      </c>
      <c r="B47" s="29">
        <f>SUM(B35:B46)</f>
        <v>2146</v>
      </c>
      <c r="C47" s="15">
        <f>SUM(C35:C46)</f>
        <v>2210.9339050242688</v>
      </c>
      <c r="D47" s="3">
        <f>1-B47/C47</f>
        <v>2.9369446493497042E-2</v>
      </c>
      <c r="H47">
        <f>SUM(H35:H46)</f>
        <v>731</v>
      </c>
    </row>
    <row r="48" spans="1:12" ht="15.75" thickBot="1" x14ac:dyDescent="0.3"/>
    <row r="49" spans="1:9" x14ac:dyDescent="0.25">
      <c r="A49" s="18"/>
      <c r="B49" s="19"/>
      <c r="C49" s="20" t="s">
        <v>39</v>
      </c>
      <c r="D49" s="20"/>
      <c r="E49" s="20"/>
      <c r="F49" s="20"/>
      <c r="G49" s="20"/>
      <c r="H49" s="20"/>
      <c r="I49" s="10"/>
    </row>
  </sheetData>
  <mergeCells count="1">
    <mergeCell ref="C33:D33"/>
  </mergeCells>
  <conditionalFormatting sqref="D35:D47">
    <cfRule type="expression" priority="1">
      <formula>"IF(AND(D36&gt;-5%, D36&lt;5%), ""Green"", ""Red"")"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D39" sqref="D39"/>
    </sheetView>
  </sheetViews>
  <sheetFormatPr defaultRowHeight="15" x14ac:dyDescent="0.25"/>
  <cols>
    <col min="1" max="1" width="47.42578125" bestFit="1" customWidth="1"/>
    <col min="2" max="2" width="17.42578125" bestFit="1" customWidth="1"/>
  </cols>
  <sheetData>
    <row r="1" spans="1:2" x14ac:dyDescent="0.25">
      <c r="A1" s="13" t="s">
        <v>42</v>
      </c>
      <c r="B1" s="13" t="s">
        <v>43</v>
      </c>
    </row>
    <row r="2" spans="1:2" x14ac:dyDescent="0.25">
      <c r="A2" s="31" t="s">
        <v>59</v>
      </c>
      <c r="B2" s="31" t="s">
        <v>70</v>
      </c>
    </row>
    <row r="3" spans="1:2" x14ac:dyDescent="0.25">
      <c r="A3" s="31" t="s">
        <v>0</v>
      </c>
      <c r="B3" s="31" t="s">
        <v>71</v>
      </c>
    </row>
    <row r="4" spans="1:2" x14ac:dyDescent="0.25">
      <c r="A4" s="31" t="s">
        <v>60</v>
      </c>
      <c r="B4" s="31" t="s">
        <v>72</v>
      </c>
    </row>
    <row r="5" spans="1:2" x14ac:dyDescent="0.25">
      <c r="A5" s="31" t="s">
        <v>61</v>
      </c>
      <c r="B5" s="31" t="s">
        <v>73</v>
      </c>
    </row>
    <row r="6" spans="1:2" x14ac:dyDescent="0.25">
      <c r="A6" s="31" t="s">
        <v>62</v>
      </c>
      <c r="B6" s="31" t="s">
        <v>74</v>
      </c>
    </row>
    <row r="7" spans="1:2" x14ac:dyDescent="0.25">
      <c r="A7" s="31" t="s">
        <v>63</v>
      </c>
      <c r="B7" s="31" t="s">
        <v>75</v>
      </c>
    </row>
    <row r="8" spans="1:2" x14ac:dyDescent="0.25">
      <c r="A8" s="31" t="s">
        <v>64</v>
      </c>
      <c r="B8" s="31" t="s">
        <v>80</v>
      </c>
    </row>
    <row r="9" spans="1:2" x14ac:dyDescent="0.25">
      <c r="A9" s="31" t="s">
        <v>1</v>
      </c>
      <c r="B9" s="31" t="s">
        <v>78</v>
      </c>
    </row>
    <row r="10" spans="1:2" x14ac:dyDescent="0.25">
      <c r="A10" s="31" t="s">
        <v>65</v>
      </c>
      <c r="B10" s="31" t="s">
        <v>77</v>
      </c>
    </row>
    <row r="11" spans="1:2" x14ac:dyDescent="0.25">
      <c r="A11" s="31" t="s">
        <v>67</v>
      </c>
      <c r="B11" s="31" t="s">
        <v>76</v>
      </c>
    </row>
    <row r="12" spans="1:2" x14ac:dyDescent="0.25">
      <c r="A12" s="31" t="s">
        <v>68</v>
      </c>
      <c r="B12" s="31" t="s">
        <v>69</v>
      </c>
    </row>
    <row r="13" spans="1:2" x14ac:dyDescent="0.25">
      <c r="A13" s="31" t="s">
        <v>141</v>
      </c>
      <c r="B13" s="3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2"/>
  <sheetViews>
    <sheetView topLeftCell="A13" workbookViewId="0">
      <selection activeCell="H18" sqref="H18:H29"/>
    </sheetView>
  </sheetViews>
  <sheetFormatPr defaultRowHeight="15" x14ac:dyDescent="0.25"/>
  <cols>
    <col min="1" max="1" width="18.7109375" customWidth="1"/>
    <col min="2" max="2" width="10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13.5703125" bestFit="1" customWidth="1"/>
    <col min="7" max="7" width="10.28515625" bestFit="1" customWidth="1"/>
    <col min="8" max="8" width="8.5703125" bestFit="1" customWidth="1"/>
    <col min="9" max="10" width="5" bestFit="1" customWidth="1"/>
    <col min="11" max="11" width="15.7109375" bestFit="1" customWidth="1"/>
  </cols>
  <sheetData>
    <row r="1" spans="1:24" ht="15.75" thickBot="1" x14ac:dyDescent="0.3">
      <c r="A1" s="138" t="s">
        <v>9</v>
      </c>
      <c r="B1" s="134" t="s">
        <v>44</v>
      </c>
      <c r="C1" s="132" t="s">
        <v>45</v>
      </c>
      <c r="D1" s="132" t="s">
        <v>46</v>
      </c>
      <c r="E1" s="132" t="s">
        <v>47</v>
      </c>
      <c r="F1" s="132" t="s">
        <v>48</v>
      </c>
      <c r="G1" s="132" t="s">
        <v>49</v>
      </c>
      <c r="H1" s="132" t="s">
        <v>10</v>
      </c>
      <c r="I1" s="133" t="s">
        <v>11</v>
      </c>
      <c r="J1" s="130" t="s">
        <v>12</v>
      </c>
      <c r="K1" s="80" t="s">
        <v>56</v>
      </c>
      <c r="N1" s="32"/>
      <c r="O1" s="76"/>
      <c r="P1" s="76"/>
      <c r="Q1" s="76"/>
      <c r="R1" s="76"/>
      <c r="S1" s="76"/>
      <c r="T1" s="76"/>
      <c r="U1" s="76"/>
      <c r="V1" s="76"/>
      <c r="W1" s="76"/>
      <c r="X1" s="76"/>
    </row>
    <row r="2" spans="1:24" x14ac:dyDescent="0.25">
      <c r="A2" s="139" t="s">
        <v>74</v>
      </c>
      <c r="B2" s="135" t="s">
        <v>50</v>
      </c>
      <c r="C2" s="131" t="s">
        <v>81</v>
      </c>
      <c r="D2" s="131" t="s">
        <v>82</v>
      </c>
      <c r="E2" s="131" t="s">
        <v>83</v>
      </c>
      <c r="F2" s="131" t="s">
        <v>84</v>
      </c>
      <c r="G2" s="131" t="s">
        <v>85</v>
      </c>
      <c r="H2" s="131">
        <v>44</v>
      </c>
      <c r="I2" s="131">
        <v>0</v>
      </c>
      <c r="J2" s="127">
        <v>0</v>
      </c>
      <c r="N2" s="32"/>
    </row>
    <row r="3" spans="1:24" x14ac:dyDescent="0.25">
      <c r="A3" s="140" t="s">
        <v>75</v>
      </c>
      <c r="B3" s="136" t="s">
        <v>50</v>
      </c>
      <c r="C3" s="126" t="s">
        <v>86</v>
      </c>
      <c r="D3" s="126" t="s">
        <v>87</v>
      </c>
      <c r="E3" s="126" t="s">
        <v>88</v>
      </c>
      <c r="F3" s="126" t="s">
        <v>89</v>
      </c>
      <c r="G3" s="126" t="s">
        <v>90</v>
      </c>
      <c r="H3" s="126">
        <v>22</v>
      </c>
      <c r="I3" s="126">
        <v>7</v>
      </c>
      <c r="J3" s="127">
        <v>0</v>
      </c>
      <c r="N3" s="32"/>
    </row>
    <row r="4" spans="1:24" x14ac:dyDescent="0.25">
      <c r="A4" s="140" t="s">
        <v>79</v>
      </c>
      <c r="B4" s="136" t="s">
        <v>50</v>
      </c>
      <c r="C4" s="126" t="s">
        <v>91</v>
      </c>
      <c r="D4" s="126" t="s">
        <v>92</v>
      </c>
      <c r="E4" s="126" t="s">
        <v>93</v>
      </c>
      <c r="F4" s="126" t="s">
        <v>94</v>
      </c>
      <c r="G4" s="126" t="s">
        <v>95</v>
      </c>
      <c r="H4" s="126">
        <v>59</v>
      </c>
      <c r="I4" s="126">
        <v>0</v>
      </c>
      <c r="J4" s="127">
        <v>0</v>
      </c>
      <c r="N4" s="32"/>
    </row>
    <row r="5" spans="1:24" x14ac:dyDescent="0.25">
      <c r="A5" s="140" t="s">
        <v>72</v>
      </c>
      <c r="B5" s="136" t="s">
        <v>50</v>
      </c>
      <c r="C5" s="126" t="s">
        <v>96</v>
      </c>
      <c r="D5" s="126" t="s">
        <v>97</v>
      </c>
      <c r="E5" s="126" t="s">
        <v>98</v>
      </c>
      <c r="F5" s="126" t="s">
        <v>99</v>
      </c>
      <c r="G5" s="126" t="s">
        <v>100</v>
      </c>
      <c r="H5" s="126">
        <v>75</v>
      </c>
      <c r="I5" s="126">
        <v>0</v>
      </c>
      <c r="J5" s="127">
        <v>0</v>
      </c>
      <c r="N5" s="32"/>
    </row>
    <row r="6" spans="1:24" x14ac:dyDescent="0.25">
      <c r="A6" s="140" t="s">
        <v>73</v>
      </c>
      <c r="B6" s="136" t="s">
        <v>50</v>
      </c>
      <c r="C6" s="126" t="s">
        <v>101</v>
      </c>
      <c r="D6" s="126" t="s">
        <v>102</v>
      </c>
      <c r="E6" s="126" t="s">
        <v>103</v>
      </c>
      <c r="F6" s="126" t="s">
        <v>104</v>
      </c>
      <c r="G6" s="126" t="s">
        <v>105</v>
      </c>
      <c r="H6" s="126">
        <f>75</f>
        <v>75</v>
      </c>
      <c r="I6" s="126">
        <v>0</v>
      </c>
      <c r="J6" s="127">
        <v>0</v>
      </c>
    </row>
    <row r="7" spans="1:24" x14ac:dyDescent="0.25">
      <c r="A7" s="140" t="s">
        <v>76</v>
      </c>
      <c r="B7" s="136" t="s">
        <v>50</v>
      </c>
      <c r="C7" s="126" t="s">
        <v>106</v>
      </c>
      <c r="D7" s="126" t="s">
        <v>107</v>
      </c>
      <c r="E7" s="126" t="s">
        <v>108</v>
      </c>
      <c r="F7" s="126" t="s">
        <v>109</v>
      </c>
      <c r="G7" s="126" t="s">
        <v>110</v>
      </c>
      <c r="H7" s="126">
        <v>15</v>
      </c>
      <c r="I7" s="126">
        <v>0</v>
      </c>
      <c r="J7" s="127">
        <v>0</v>
      </c>
    </row>
    <row r="8" spans="1:24" x14ac:dyDescent="0.25">
      <c r="A8" s="140" t="s">
        <v>70</v>
      </c>
      <c r="B8" s="136" t="s">
        <v>50</v>
      </c>
      <c r="C8" s="126" t="s">
        <v>111</v>
      </c>
      <c r="D8" s="126" t="s">
        <v>112</v>
      </c>
      <c r="E8" s="126" t="s">
        <v>113</v>
      </c>
      <c r="F8" s="126" t="s">
        <v>114</v>
      </c>
      <c r="G8" s="126" t="s">
        <v>115</v>
      </c>
      <c r="H8" s="126">
        <v>161</v>
      </c>
      <c r="I8" s="126">
        <v>0</v>
      </c>
      <c r="J8" s="127">
        <v>0</v>
      </c>
    </row>
    <row r="9" spans="1:24" x14ac:dyDescent="0.25">
      <c r="A9" s="140" t="s">
        <v>71</v>
      </c>
      <c r="B9" s="136" t="s">
        <v>50</v>
      </c>
      <c r="C9" s="126" t="s">
        <v>116</v>
      </c>
      <c r="D9" s="126" t="s">
        <v>117</v>
      </c>
      <c r="E9" s="126" t="s">
        <v>118</v>
      </c>
      <c r="F9" s="126" t="s">
        <v>119</v>
      </c>
      <c r="G9" s="126" t="s">
        <v>120</v>
      </c>
      <c r="H9" s="126">
        <v>105</v>
      </c>
      <c r="I9" s="126">
        <v>0</v>
      </c>
      <c r="J9" s="127">
        <v>0</v>
      </c>
    </row>
    <row r="10" spans="1:24" x14ac:dyDescent="0.25">
      <c r="A10" s="140" t="s">
        <v>78</v>
      </c>
      <c r="B10" s="136" t="s">
        <v>50</v>
      </c>
      <c r="C10" s="126" t="s">
        <v>121</v>
      </c>
      <c r="D10" s="126" t="s">
        <v>122</v>
      </c>
      <c r="E10" s="126" t="s">
        <v>123</v>
      </c>
      <c r="F10" s="126" t="s">
        <v>124</v>
      </c>
      <c r="G10" s="126" t="s">
        <v>125</v>
      </c>
      <c r="H10" s="126">
        <v>85</v>
      </c>
      <c r="I10" s="126">
        <v>0</v>
      </c>
      <c r="J10" s="127">
        <v>0</v>
      </c>
    </row>
    <row r="11" spans="1:24" x14ac:dyDescent="0.25">
      <c r="A11" s="140" t="s">
        <v>77</v>
      </c>
      <c r="B11" s="136" t="s">
        <v>50</v>
      </c>
      <c r="C11" s="126" t="s">
        <v>126</v>
      </c>
      <c r="D11" s="126" t="s">
        <v>127</v>
      </c>
      <c r="E11" s="126" t="s">
        <v>128</v>
      </c>
      <c r="F11" s="126" t="s">
        <v>129</v>
      </c>
      <c r="G11" s="126" t="s">
        <v>130</v>
      </c>
      <c r="H11" s="126">
        <v>22</v>
      </c>
      <c r="I11" s="126">
        <v>0</v>
      </c>
      <c r="J11" s="127">
        <v>0</v>
      </c>
    </row>
    <row r="12" spans="1:24" x14ac:dyDescent="0.25">
      <c r="A12" s="140" t="s">
        <v>80</v>
      </c>
      <c r="B12" s="136" t="s">
        <v>50</v>
      </c>
      <c r="C12" s="126" t="s">
        <v>131</v>
      </c>
      <c r="D12" s="126" t="s">
        <v>132</v>
      </c>
      <c r="E12" s="126" t="s">
        <v>133</v>
      </c>
      <c r="F12" s="126" t="s">
        <v>134</v>
      </c>
      <c r="G12" s="126" t="s">
        <v>135</v>
      </c>
      <c r="H12" s="126">
        <v>22</v>
      </c>
      <c r="I12" s="126">
        <v>0</v>
      </c>
      <c r="J12" s="127">
        <v>0</v>
      </c>
    </row>
    <row r="13" spans="1:24" ht="15.75" thickBot="1" x14ac:dyDescent="0.3">
      <c r="A13" s="141" t="s">
        <v>69</v>
      </c>
      <c r="B13" s="137" t="s">
        <v>50</v>
      </c>
      <c r="C13" s="128" t="s">
        <v>136</v>
      </c>
      <c r="D13" s="128" t="s">
        <v>137</v>
      </c>
      <c r="E13" s="128" t="s">
        <v>138</v>
      </c>
      <c r="F13" s="128" t="s">
        <v>139</v>
      </c>
      <c r="G13" s="128" t="s">
        <v>140</v>
      </c>
      <c r="H13" s="128">
        <v>32</v>
      </c>
      <c r="I13" s="128">
        <v>0</v>
      </c>
      <c r="J13" s="129">
        <v>0</v>
      </c>
    </row>
    <row r="14" spans="1:24" x14ac:dyDescent="0.25">
      <c r="H14">
        <f>SUM(H2:H13)*3</f>
        <v>2151</v>
      </c>
    </row>
    <row r="16" spans="1:24" ht="15.75" thickBot="1" x14ac:dyDescent="0.3"/>
    <row r="17" spans="1:24" x14ac:dyDescent="0.25">
      <c r="A17" s="145" t="s">
        <v>9</v>
      </c>
      <c r="B17" s="10" t="s">
        <v>44</v>
      </c>
      <c r="C17" s="145" t="s">
        <v>45</v>
      </c>
      <c r="D17" s="145" t="s">
        <v>46</v>
      </c>
      <c r="E17" s="145" t="s">
        <v>47</v>
      </c>
      <c r="F17" s="145" t="s">
        <v>48</v>
      </c>
      <c r="G17" s="145" t="s">
        <v>49</v>
      </c>
      <c r="H17" s="19" t="s">
        <v>10</v>
      </c>
      <c r="I17" s="145" t="s">
        <v>11</v>
      </c>
      <c r="J17" s="10" t="s">
        <v>12</v>
      </c>
      <c r="K17" s="80" t="s">
        <v>55</v>
      </c>
    </row>
    <row r="18" spans="1:24" x14ac:dyDescent="0.25">
      <c r="A18" s="155" t="s">
        <v>74</v>
      </c>
      <c r="B18" s="155" t="s">
        <v>10</v>
      </c>
      <c r="C18" s="155">
        <v>1.0880000000000001</v>
      </c>
      <c r="D18" s="155">
        <v>1.615</v>
      </c>
      <c r="E18" s="155">
        <v>4.8449999999999998</v>
      </c>
      <c r="F18" s="155">
        <v>0.51600000000000001</v>
      </c>
      <c r="G18" s="155">
        <v>2.2999999999999998</v>
      </c>
      <c r="H18" s="155">
        <v>383</v>
      </c>
      <c r="I18" s="155">
        <v>7</v>
      </c>
      <c r="J18" s="155">
        <v>0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</row>
    <row r="19" spans="1:24" x14ac:dyDescent="0.25">
      <c r="A19" s="155" t="s">
        <v>142</v>
      </c>
      <c r="B19" s="155" t="s">
        <v>10</v>
      </c>
      <c r="C19" s="155">
        <v>3.2549999999999999</v>
      </c>
      <c r="D19" s="155">
        <v>3.9039999999999999</v>
      </c>
      <c r="E19" s="155">
        <v>5.83</v>
      </c>
      <c r="F19" s="155">
        <v>0.47799999999999998</v>
      </c>
      <c r="G19" s="155">
        <v>4.5659999999999998</v>
      </c>
      <c r="H19" s="155">
        <v>204</v>
      </c>
      <c r="I19" s="155">
        <v>52</v>
      </c>
      <c r="J19" s="155">
        <v>0</v>
      </c>
      <c r="O19" s="83"/>
      <c r="P19" s="83"/>
      <c r="Q19" s="83"/>
      <c r="R19" s="83"/>
      <c r="S19" s="83"/>
      <c r="T19" s="83"/>
      <c r="U19" s="83"/>
      <c r="V19" s="83"/>
      <c r="W19" s="83"/>
      <c r="X19" s="83"/>
    </row>
    <row r="20" spans="1:24" x14ac:dyDescent="0.25">
      <c r="A20" s="155" t="s">
        <v>79</v>
      </c>
      <c r="B20" s="155" t="s">
        <v>10</v>
      </c>
      <c r="C20" s="155">
        <v>1.095</v>
      </c>
      <c r="D20" s="155">
        <v>1.7989999999999999</v>
      </c>
      <c r="E20" s="155">
        <v>5.5190000000000001</v>
      </c>
      <c r="F20" s="155">
        <v>0.628</v>
      </c>
      <c r="G20" s="155">
        <v>2.6179999999999999</v>
      </c>
      <c r="H20" s="155">
        <v>506</v>
      </c>
      <c r="I20" s="155">
        <v>6</v>
      </c>
      <c r="J20" s="155">
        <v>0</v>
      </c>
      <c r="O20" s="83"/>
      <c r="P20" s="83"/>
      <c r="Q20" s="83"/>
      <c r="R20" s="83"/>
      <c r="S20" s="83"/>
      <c r="T20" s="83"/>
      <c r="U20" s="83"/>
      <c r="V20" s="83"/>
      <c r="W20" s="83"/>
      <c r="X20" s="83"/>
    </row>
    <row r="21" spans="1:24" x14ac:dyDescent="0.25">
      <c r="A21" s="155" t="s">
        <v>72</v>
      </c>
      <c r="B21" s="155" t="s">
        <v>10</v>
      </c>
      <c r="C21" s="155">
        <v>1.302</v>
      </c>
      <c r="D21" s="155">
        <v>1.571</v>
      </c>
      <c r="E21" s="155">
        <v>3.1259999999999999</v>
      </c>
      <c r="F21" s="155">
        <v>0.23200000000000001</v>
      </c>
      <c r="G21" s="155">
        <v>1.88</v>
      </c>
      <c r="H21" s="155">
        <v>678</v>
      </c>
      <c r="I21" s="155">
        <v>0</v>
      </c>
      <c r="J21" s="155">
        <v>0</v>
      </c>
      <c r="O21" s="83"/>
      <c r="P21" s="83"/>
      <c r="Q21" s="83"/>
      <c r="R21" s="83"/>
      <c r="S21" s="83"/>
      <c r="T21" s="83"/>
      <c r="U21" s="83"/>
      <c r="V21" s="83"/>
      <c r="W21" s="83"/>
      <c r="X21" s="83"/>
    </row>
    <row r="22" spans="1:24" x14ac:dyDescent="0.25">
      <c r="A22" s="155" t="s">
        <v>73</v>
      </c>
      <c r="B22" s="155" t="s">
        <v>10</v>
      </c>
      <c r="C22" s="155">
        <v>2.4849999999999999</v>
      </c>
      <c r="D22" s="155">
        <v>2.8969999999999998</v>
      </c>
      <c r="E22" s="155">
        <v>4.1959999999999997</v>
      </c>
      <c r="F22" s="155">
        <v>0.28999999999999998</v>
      </c>
      <c r="G22" s="155">
        <v>3.2549999999999999</v>
      </c>
      <c r="H22" s="155">
        <v>676</v>
      </c>
      <c r="I22" s="155">
        <v>1</v>
      </c>
      <c r="J22" s="155">
        <v>0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</row>
    <row r="23" spans="1:24" x14ac:dyDescent="0.25">
      <c r="A23" s="155" t="s">
        <v>76</v>
      </c>
      <c r="B23" s="155" t="s">
        <v>10</v>
      </c>
      <c r="C23" s="155">
        <v>0.77700000000000002</v>
      </c>
      <c r="D23" s="155">
        <v>1.1439999999999999</v>
      </c>
      <c r="E23" s="155">
        <v>2.9769999999999999</v>
      </c>
      <c r="F23" s="155">
        <v>0.38400000000000001</v>
      </c>
      <c r="G23" s="155">
        <v>1.7649999999999999</v>
      </c>
      <c r="H23" s="155">
        <v>121</v>
      </c>
      <c r="I23" s="155">
        <v>1</v>
      </c>
      <c r="J23" s="155">
        <v>0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</row>
    <row r="24" spans="1:24" x14ac:dyDescent="0.25">
      <c r="A24" s="155" t="s">
        <v>70</v>
      </c>
      <c r="B24" s="155" t="s">
        <v>10</v>
      </c>
      <c r="C24" s="155">
        <v>2.6659999999999999</v>
      </c>
      <c r="D24" s="155">
        <v>4.734</v>
      </c>
      <c r="E24" s="155">
        <v>48.024000000000001</v>
      </c>
      <c r="F24" s="155">
        <v>3.7919999999999998</v>
      </c>
      <c r="G24" s="155">
        <v>11.638</v>
      </c>
      <c r="H24" s="155">
        <v>1443</v>
      </c>
      <c r="I24" s="155">
        <v>11</v>
      </c>
      <c r="J24" s="155">
        <v>0</v>
      </c>
      <c r="O24" s="83"/>
      <c r="P24" s="83"/>
      <c r="Q24" s="83"/>
      <c r="R24" s="83"/>
      <c r="S24" s="83"/>
      <c r="T24" s="83"/>
      <c r="U24" s="83"/>
      <c r="V24" s="83"/>
      <c r="W24" s="83"/>
      <c r="X24" s="83"/>
    </row>
    <row r="25" spans="1:24" x14ac:dyDescent="0.25">
      <c r="A25" s="155" t="s">
        <v>71</v>
      </c>
      <c r="B25" s="155" t="s">
        <v>10</v>
      </c>
      <c r="C25" s="155">
        <v>1.4430000000000001</v>
      </c>
      <c r="D25" s="155">
        <v>2.0590000000000002</v>
      </c>
      <c r="E25" s="155">
        <v>5.3680000000000003</v>
      </c>
      <c r="F25" s="155">
        <v>0.54600000000000004</v>
      </c>
      <c r="G25" s="155">
        <v>2.8159999999999998</v>
      </c>
      <c r="H25" s="155">
        <v>948</v>
      </c>
      <c r="I25" s="155">
        <v>7</v>
      </c>
      <c r="J25" s="155">
        <v>0</v>
      </c>
      <c r="O25" s="83"/>
      <c r="P25" s="83"/>
      <c r="Q25" s="83"/>
      <c r="R25" s="83"/>
      <c r="S25" s="83"/>
      <c r="T25" s="83"/>
      <c r="U25" s="83"/>
      <c r="V25" s="83"/>
      <c r="W25" s="83"/>
      <c r="X25" s="83"/>
    </row>
    <row r="26" spans="1:24" x14ac:dyDescent="0.25">
      <c r="A26" s="155" t="s">
        <v>78</v>
      </c>
      <c r="B26" s="155" t="s">
        <v>10</v>
      </c>
      <c r="C26" s="155">
        <v>0.97699999999999998</v>
      </c>
      <c r="D26" s="155">
        <v>1.2689999999999999</v>
      </c>
      <c r="E26" s="155">
        <v>2.8460000000000001</v>
      </c>
      <c r="F26" s="155">
        <v>0.26300000000000001</v>
      </c>
      <c r="G26" s="155">
        <v>1.6020000000000001</v>
      </c>
      <c r="H26" s="155">
        <v>753</v>
      </c>
      <c r="I26" s="155">
        <v>2</v>
      </c>
      <c r="J26" s="155">
        <v>0</v>
      </c>
      <c r="O26" s="83"/>
      <c r="P26" s="83"/>
      <c r="Q26" s="83"/>
      <c r="R26" s="83"/>
      <c r="S26" s="83"/>
      <c r="T26" s="83"/>
      <c r="U26" s="83"/>
      <c r="V26" s="83"/>
      <c r="W26" s="83"/>
      <c r="X26" s="83"/>
    </row>
    <row r="27" spans="1:24" x14ac:dyDescent="0.25">
      <c r="A27" s="155" t="s">
        <v>77</v>
      </c>
      <c r="B27" s="155" t="s">
        <v>10</v>
      </c>
      <c r="C27" s="155">
        <v>2.58</v>
      </c>
      <c r="D27" s="155">
        <v>3.2269999999999999</v>
      </c>
      <c r="E27" s="155">
        <v>5.6950000000000003</v>
      </c>
      <c r="F27" s="155">
        <v>0.54600000000000004</v>
      </c>
      <c r="G27" s="155">
        <v>4.1210000000000004</v>
      </c>
      <c r="H27" s="155">
        <v>198</v>
      </c>
      <c r="I27" s="155">
        <v>0</v>
      </c>
      <c r="J27" s="155">
        <v>0</v>
      </c>
      <c r="O27" s="83"/>
      <c r="P27" s="83"/>
      <c r="Q27" s="83"/>
      <c r="R27" s="83"/>
      <c r="S27" s="83"/>
      <c r="T27" s="83"/>
      <c r="U27" s="83"/>
      <c r="V27" s="83"/>
      <c r="W27" s="83"/>
      <c r="X27" s="83"/>
    </row>
    <row r="28" spans="1:24" x14ac:dyDescent="0.25">
      <c r="A28" s="155" t="s">
        <v>80</v>
      </c>
      <c r="B28" s="155" t="s">
        <v>10</v>
      </c>
      <c r="C28" s="155">
        <v>2.29</v>
      </c>
      <c r="D28" s="155">
        <v>3.1640000000000001</v>
      </c>
      <c r="E28" s="155">
        <v>5.7060000000000004</v>
      </c>
      <c r="F28" s="155">
        <v>0.7</v>
      </c>
      <c r="G28" s="155">
        <v>4.1609999999999996</v>
      </c>
      <c r="H28" s="155">
        <v>198</v>
      </c>
      <c r="I28" s="155">
        <v>5</v>
      </c>
      <c r="J28" s="155">
        <v>0</v>
      </c>
      <c r="O28" s="83"/>
      <c r="P28" s="83"/>
      <c r="Q28" s="83"/>
      <c r="R28" s="83"/>
      <c r="S28" s="83"/>
      <c r="T28" s="83"/>
      <c r="U28" s="83"/>
      <c r="V28" s="83"/>
      <c r="W28" s="83"/>
      <c r="X28" s="83"/>
    </row>
    <row r="29" spans="1:24" x14ac:dyDescent="0.25">
      <c r="A29" s="155" t="s">
        <v>69</v>
      </c>
      <c r="B29" s="155" t="s">
        <v>10</v>
      </c>
      <c r="C29" s="155">
        <v>0.96699999999999997</v>
      </c>
      <c r="D29" s="155">
        <v>1.0860000000000001</v>
      </c>
      <c r="E29" s="155">
        <v>2.0350000000000001</v>
      </c>
      <c r="F29" s="155">
        <v>0.10299999999999999</v>
      </c>
      <c r="G29" s="155">
        <v>1.1659999999999999</v>
      </c>
      <c r="H29" s="155">
        <v>289</v>
      </c>
      <c r="I29" s="155">
        <v>0</v>
      </c>
      <c r="J29" s="155">
        <v>0</v>
      </c>
      <c r="O29" s="83"/>
      <c r="P29" s="83"/>
      <c r="Q29" s="83"/>
      <c r="R29" s="83"/>
      <c r="S29" s="83"/>
      <c r="T29" s="83"/>
      <c r="U29" s="83"/>
      <c r="V29" s="83"/>
      <c r="W29" s="83"/>
      <c r="X29" s="83"/>
    </row>
    <row r="30" spans="1:24" x14ac:dyDescent="0.25">
      <c r="H30">
        <f>SUM(H18:H29)+SUM(I18:I29)</f>
        <v>6489</v>
      </c>
    </row>
    <row r="32" spans="1:24" ht="15.75" thickBot="1" x14ac:dyDescent="0.3"/>
    <row r="33" spans="1:23" ht="15.75" thickBot="1" x14ac:dyDescent="0.3">
      <c r="A33" s="79" t="s">
        <v>9</v>
      </c>
      <c r="B33" s="123" t="s">
        <v>44</v>
      </c>
      <c r="C33" s="124" t="s">
        <v>45</v>
      </c>
      <c r="D33" s="124" t="s">
        <v>46</v>
      </c>
      <c r="E33" s="124" t="s">
        <v>47</v>
      </c>
      <c r="F33" s="124" t="s">
        <v>48</v>
      </c>
      <c r="G33" s="124" t="s">
        <v>49</v>
      </c>
      <c r="H33" s="124" t="s">
        <v>10</v>
      </c>
      <c r="I33" s="124" t="s">
        <v>11</v>
      </c>
      <c r="J33" s="125" t="s">
        <v>12</v>
      </c>
      <c r="K33" s="81" t="s">
        <v>57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r="34" spans="1:23" x14ac:dyDescent="0.25">
      <c r="A34" s="154" t="s">
        <v>74</v>
      </c>
      <c r="B34" s="154" t="s">
        <v>10</v>
      </c>
      <c r="C34" s="154">
        <v>1.127</v>
      </c>
      <c r="D34" s="154">
        <v>1.7909999999999999</v>
      </c>
      <c r="E34" s="154">
        <v>5.9470000000000001</v>
      </c>
      <c r="F34" s="154">
        <v>0.77400000000000002</v>
      </c>
      <c r="G34" s="154">
        <v>2.6640000000000001</v>
      </c>
      <c r="H34" s="154">
        <v>131</v>
      </c>
      <c r="I34" s="154">
        <v>1</v>
      </c>
      <c r="J34" s="154">
        <v>0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</row>
    <row r="35" spans="1:23" x14ac:dyDescent="0.25">
      <c r="A35" s="154" t="s">
        <v>142</v>
      </c>
      <c r="B35" s="154" t="s">
        <v>10</v>
      </c>
      <c r="C35" s="154">
        <v>3.4049999999999998</v>
      </c>
      <c r="D35" s="154">
        <v>4.4509999999999996</v>
      </c>
      <c r="E35" s="154">
        <v>7.2759999999999998</v>
      </c>
      <c r="F35" s="154">
        <v>0.83399999999999996</v>
      </c>
      <c r="G35" s="154">
        <v>5.66</v>
      </c>
      <c r="H35" s="154">
        <v>59</v>
      </c>
      <c r="I35" s="154">
        <v>28</v>
      </c>
      <c r="J35" s="154">
        <v>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</row>
    <row r="36" spans="1:23" x14ac:dyDescent="0.25">
      <c r="A36" s="154" t="s">
        <v>79</v>
      </c>
      <c r="B36" s="154" t="s">
        <v>10</v>
      </c>
      <c r="C36" s="154">
        <v>1.071</v>
      </c>
      <c r="D36" s="154">
        <v>1.996</v>
      </c>
      <c r="E36" s="154">
        <v>5.2949999999999999</v>
      </c>
      <c r="F36" s="154">
        <v>0.84599999999999997</v>
      </c>
      <c r="G36" s="154">
        <v>3.1520000000000001</v>
      </c>
      <c r="H36" s="154">
        <v>171</v>
      </c>
      <c r="I36" s="154">
        <v>4</v>
      </c>
      <c r="J36" s="154">
        <v>0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</row>
    <row r="37" spans="1:23" x14ac:dyDescent="0.25">
      <c r="A37" s="154" t="s">
        <v>72</v>
      </c>
      <c r="B37" s="154" t="s">
        <v>10</v>
      </c>
      <c r="C37" s="154">
        <v>1.367</v>
      </c>
      <c r="D37" s="154">
        <v>1.6259999999999999</v>
      </c>
      <c r="E37" s="154">
        <v>2.72</v>
      </c>
      <c r="F37" s="154">
        <v>0.23300000000000001</v>
      </c>
      <c r="G37" s="154">
        <v>1.917</v>
      </c>
      <c r="H37" s="154">
        <v>228</v>
      </c>
      <c r="I37" s="154">
        <v>0</v>
      </c>
      <c r="J37" s="154">
        <v>0</v>
      </c>
      <c r="N37" s="82"/>
      <c r="O37" s="82"/>
      <c r="P37" s="82"/>
      <c r="Q37" s="82"/>
      <c r="R37" s="82"/>
      <c r="S37" s="82"/>
      <c r="T37" s="82"/>
      <c r="U37" s="82"/>
      <c r="V37" s="82"/>
      <c r="W37" s="82"/>
    </row>
    <row r="38" spans="1:23" x14ac:dyDescent="0.25">
      <c r="A38" s="154" t="s">
        <v>73</v>
      </c>
      <c r="B38" s="154" t="s">
        <v>10</v>
      </c>
      <c r="C38" s="154">
        <v>2.613</v>
      </c>
      <c r="D38" s="154">
        <v>3.19</v>
      </c>
      <c r="E38" s="154">
        <v>5.9550000000000001</v>
      </c>
      <c r="F38" s="154">
        <v>0.54400000000000004</v>
      </c>
      <c r="G38" s="154">
        <v>3.85</v>
      </c>
      <c r="H38" s="154">
        <v>228</v>
      </c>
      <c r="I38" s="154">
        <v>0</v>
      </c>
      <c r="J38" s="154">
        <v>0</v>
      </c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r="39" spans="1:23" x14ac:dyDescent="0.25">
      <c r="A39" s="154" t="s">
        <v>76</v>
      </c>
      <c r="B39" s="154" t="s">
        <v>10</v>
      </c>
      <c r="C39" s="154">
        <v>0.80400000000000005</v>
      </c>
      <c r="D39" s="154">
        <v>1.3440000000000001</v>
      </c>
      <c r="E39" s="154">
        <v>3.0720000000000001</v>
      </c>
      <c r="F39" s="154">
        <v>0.55400000000000005</v>
      </c>
      <c r="G39" s="154">
        <v>1.996</v>
      </c>
      <c r="H39" s="154">
        <v>38</v>
      </c>
      <c r="I39" s="154">
        <v>1</v>
      </c>
      <c r="J39" s="154">
        <v>0</v>
      </c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r="40" spans="1:23" x14ac:dyDescent="0.25">
      <c r="A40" s="154" t="s">
        <v>70</v>
      </c>
      <c r="B40" s="154" t="s">
        <v>10</v>
      </c>
      <c r="C40" s="154">
        <v>2.7149999999999999</v>
      </c>
      <c r="D40" s="154">
        <v>4.7050000000000001</v>
      </c>
      <c r="E40" s="154">
        <v>14.836</v>
      </c>
      <c r="F40" s="154">
        <v>3.5819999999999999</v>
      </c>
      <c r="G40" s="154">
        <v>11.568</v>
      </c>
      <c r="H40" s="154">
        <v>482</v>
      </c>
      <c r="I40" s="154">
        <v>1</v>
      </c>
      <c r="J40" s="154">
        <v>0</v>
      </c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r="41" spans="1:23" x14ac:dyDescent="0.25">
      <c r="A41" s="154" t="s">
        <v>71</v>
      </c>
      <c r="B41" s="154" t="s">
        <v>10</v>
      </c>
      <c r="C41" s="154">
        <v>1.4850000000000001</v>
      </c>
      <c r="D41" s="154">
        <v>2.2629999999999999</v>
      </c>
      <c r="E41" s="154">
        <v>6.5460000000000003</v>
      </c>
      <c r="F41" s="154">
        <v>0.81399999999999995</v>
      </c>
      <c r="G41" s="154">
        <v>3.2679999999999998</v>
      </c>
      <c r="H41" s="154">
        <v>322</v>
      </c>
      <c r="I41" s="154">
        <v>0</v>
      </c>
      <c r="J41" s="154">
        <v>0</v>
      </c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r="42" spans="1:23" x14ac:dyDescent="0.25">
      <c r="A42" s="154" t="s">
        <v>78</v>
      </c>
      <c r="B42" s="154" t="s">
        <v>10</v>
      </c>
      <c r="C42" s="154">
        <v>1.012</v>
      </c>
      <c r="D42" s="154">
        <v>1.341</v>
      </c>
      <c r="E42" s="154">
        <v>3.653</v>
      </c>
      <c r="F42" s="154">
        <v>0.375</v>
      </c>
      <c r="G42" s="154">
        <v>1.7949999999999999</v>
      </c>
      <c r="H42" s="154">
        <v>255</v>
      </c>
      <c r="I42" s="154">
        <v>0</v>
      </c>
      <c r="J42" s="154">
        <v>0</v>
      </c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r="43" spans="1:23" x14ac:dyDescent="0.25">
      <c r="A43" s="154" t="s">
        <v>77</v>
      </c>
      <c r="B43" s="154" t="s">
        <v>10</v>
      </c>
      <c r="C43" s="154">
        <v>2.6349999999999998</v>
      </c>
      <c r="D43" s="154">
        <v>3.4409999999999998</v>
      </c>
      <c r="E43" s="154">
        <v>5.4480000000000004</v>
      </c>
      <c r="F43" s="154">
        <v>0.69399999999999995</v>
      </c>
      <c r="G43" s="154">
        <v>4.476</v>
      </c>
      <c r="H43" s="154">
        <v>67</v>
      </c>
      <c r="I43" s="154">
        <v>0</v>
      </c>
      <c r="J43" s="154">
        <v>0</v>
      </c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r="44" spans="1:23" x14ac:dyDescent="0.25">
      <c r="A44" s="154" t="s">
        <v>80</v>
      </c>
      <c r="B44" s="154" t="s">
        <v>10</v>
      </c>
      <c r="C44" s="154">
        <v>2.375</v>
      </c>
      <c r="D44" s="154">
        <v>3.585</v>
      </c>
      <c r="E44" s="154">
        <v>6.2770000000000001</v>
      </c>
      <c r="F44" s="154">
        <v>0.872</v>
      </c>
      <c r="G44" s="154">
        <v>4.726</v>
      </c>
      <c r="H44" s="154">
        <v>58</v>
      </c>
      <c r="I44" s="154">
        <v>0</v>
      </c>
      <c r="J44" s="154">
        <v>0</v>
      </c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 spans="1:23" x14ac:dyDescent="0.25">
      <c r="A45" s="154" t="s">
        <v>69</v>
      </c>
      <c r="B45" s="154" t="s">
        <v>10</v>
      </c>
      <c r="C45" s="154">
        <v>1.0289999999999999</v>
      </c>
      <c r="D45" s="154">
        <v>1.115</v>
      </c>
      <c r="E45" s="154">
        <v>1.3340000000000001</v>
      </c>
      <c r="F45" s="154">
        <v>5.2999999999999999E-2</v>
      </c>
      <c r="G45" s="154">
        <v>1.1990000000000001</v>
      </c>
      <c r="H45" s="154">
        <v>99</v>
      </c>
      <c r="I45" s="154">
        <v>0</v>
      </c>
      <c r="J45" s="154">
        <v>0</v>
      </c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 spans="1:23" x14ac:dyDescent="0.25">
      <c r="H46" s="2">
        <f>SUM(H34:H45)*3</f>
        <v>6414</v>
      </c>
    </row>
    <row r="47" spans="1:23" x14ac:dyDescent="0.25">
      <c r="H47" s="2"/>
    </row>
    <row r="48" spans="1:23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AB63"/>
  <sheetViews>
    <sheetView topLeftCell="A10" workbookViewId="0">
      <selection activeCell="C28" sqref="C28:F39"/>
    </sheetView>
  </sheetViews>
  <sheetFormatPr defaultColWidth="8.85546875" defaultRowHeight="15" x14ac:dyDescent="0.25"/>
  <cols>
    <col min="1" max="1" width="8.5703125" customWidth="1"/>
    <col min="2" max="2" width="24" customWidth="1"/>
    <col min="3" max="3" width="28.5703125" bestFit="1" customWidth="1"/>
    <col min="4" max="4" width="15.28515625" customWidth="1"/>
    <col min="5" max="5" width="15.140625" customWidth="1"/>
    <col min="6" max="6" width="16" customWidth="1"/>
    <col min="7" max="14" width="8.5703125" customWidth="1"/>
  </cols>
  <sheetData>
    <row r="8" spans="2:7" x14ac:dyDescent="0.25">
      <c r="B8" s="144" t="s">
        <v>143</v>
      </c>
      <c r="C8" s="144"/>
      <c r="D8" s="144"/>
      <c r="E8" s="144"/>
      <c r="F8" s="144"/>
    </row>
    <row r="9" spans="2:7" ht="15.75" thickBot="1" x14ac:dyDescent="0.3"/>
    <row r="10" spans="2:7" ht="15.75" thickBot="1" x14ac:dyDescent="0.3">
      <c r="B10" s="112" t="s">
        <v>4</v>
      </c>
      <c r="C10" s="119" t="s">
        <v>5</v>
      </c>
      <c r="D10" s="117" t="s">
        <v>6</v>
      </c>
      <c r="E10" s="112" t="s">
        <v>7</v>
      </c>
      <c r="F10" s="120" t="s">
        <v>8</v>
      </c>
    </row>
    <row r="11" spans="2:7" x14ac:dyDescent="0.25">
      <c r="B11" s="115" t="s">
        <v>59</v>
      </c>
      <c r="C11" s="111" t="s">
        <v>70</v>
      </c>
      <c r="D11" s="113">
        <f>'Автоматизированный расчет'!G35 * 3 * 3</f>
        <v>1454.0960563799426</v>
      </c>
      <c r="E11" s="109">
        <f>SummaryReport!H40* 3</f>
        <v>1446</v>
      </c>
      <c r="F11" s="118">
        <f>1-E11/D11</f>
        <v>5.5677589829231655E-3</v>
      </c>
    </row>
    <row r="12" spans="2:7" x14ac:dyDescent="0.25">
      <c r="B12" s="114" t="s">
        <v>0</v>
      </c>
      <c r="C12" s="110" t="s">
        <v>71</v>
      </c>
      <c r="D12" s="91">
        <f>'Автоматизированный расчет'!G36 * 3 * 3</f>
        <v>962.20416448805088</v>
      </c>
      <c r="E12" s="95">
        <f>SummaryReport!H41 * 3</f>
        <v>966</v>
      </c>
      <c r="F12" s="89">
        <f t="shared" ref="F12:F23" si="0">1-E12/D12</f>
        <v>-3.9449377294773491E-3</v>
      </c>
    </row>
    <row r="13" spans="2:7" x14ac:dyDescent="0.25">
      <c r="B13" s="114" t="s">
        <v>60</v>
      </c>
      <c r="C13" s="110" t="s">
        <v>72</v>
      </c>
      <c r="D13" s="91">
        <f>'Автоматизированный расчет'!G37 * 3 * 3</f>
        <v>685.28108756497386</v>
      </c>
      <c r="E13" s="95">
        <f>SummaryReport!H37* 3</f>
        <v>684</v>
      </c>
      <c r="F13" s="89">
        <f t="shared" si="0"/>
        <v>1.8694337086201385E-3</v>
      </c>
    </row>
    <row r="14" spans="2:7" x14ac:dyDescent="0.25">
      <c r="B14" s="114" t="s">
        <v>61</v>
      </c>
      <c r="C14" s="110" t="s">
        <v>73</v>
      </c>
      <c r="D14" s="91">
        <f>'Автоматизированный расчет'!G38 * 3 * 3</f>
        <v>685.28108756497386</v>
      </c>
      <c r="E14" s="95">
        <f>SummaryReport!H38* 3</f>
        <v>684</v>
      </c>
      <c r="F14" s="89">
        <f t="shared" si="0"/>
        <v>1.8694337086201385E-3</v>
      </c>
    </row>
    <row r="15" spans="2:7" x14ac:dyDescent="0.25">
      <c r="B15" s="114" t="s">
        <v>62</v>
      </c>
      <c r="C15" s="110" t="s">
        <v>74</v>
      </c>
      <c r="D15" s="91">
        <f>'Автоматизированный расчет'!G39 * 3 * 3</f>
        <v>397.28108756497392</v>
      </c>
      <c r="E15" s="95">
        <f>SummaryReport!H34 * 3</f>
        <v>393</v>
      </c>
      <c r="F15" s="89">
        <f t="shared" si="0"/>
        <v>1.0775966183574681E-2</v>
      </c>
    </row>
    <row r="16" spans="2:7" x14ac:dyDescent="0.25">
      <c r="B16" s="114" t="s">
        <v>63</v>
      </c>
      <c r="C16" s="110" t="s">
        <v>75</v>
      </c>
      <c r="D16" s="91">
        <f>'Автоматизированный расчет'!G40 * 3 * 3</f>
        <v>265.57377049180326</v>
      </c>
      <c r="E16" s="95">
        <f>SummaryReport!H35 * 3</f>
        <v>177</v>
      </c>
      <c r="F16" s="89">
        <f t="shared" si="0"/>
        <v>0.33351851851851844</v>
      </c>
      <c r="G16" t="s">
        <v>144</v>
      </c>
    </row>
    <row r="17" spans="2:28" x14ac:dyDescent="0.25">
      <c r="B17" s="114" t="s">
        <v>64</v>
      </c>
      <c r="C17" s="110" t="s">
        <v>80</v>
      </c>
      <c r="D17" s="91">
        <f>'Автоматизированный расчет'!G41 * 3 * 3</f>
        <v>265.57377049180326</v>
      </c>
      <c r="E17" s="95">
        <f>SummaryReport!H44* 3</f>
        <v>174</v>
      </c>
      <c r="F17" s="89">
        <f t="shared" si="0"/>
        <v>0.3448148148148148</v>
      </c>
      <c r="G17" t="s">
        <v>144</v>
      </c>
    </row>
    <row r="18" spans="2:28" x14ac:dyDescent="0.25">
      <c r="B18" s="114" t="s">
        <v>1</v>
      </c>
      <c r="C18" s="110" t="s">
        <v>78</v>
      </c>
      <c r="D18" s="91">
        <f>'Автоматизированный расчет'!G42 * 3 * 3</f>
        <v>764.92307692307691</v>
      </c>
      <c r="E18" s="95">
        <f>SummaryReport!H42 * 3</f>
        <v>765</v>
      </c>
      <c r="F18" s="89">
        <f t="shared" si="0"/>
        <v>-1.0056315366058222E-4</v>
      </c>
    </row>
    <row r="19" spans="2:28" x14ac:dyDescent="0.25">
      <c r="B19" s="114" t="s">
        <v>65</v>
      </c>
      <c r="C19" s="110" t="s">
        <v>77</v>
      </c>
      <c r="D19" s="91">
        <f>'Автоматизированный расчет'!G43 * 3 * 3</f>
        <v>199.99999999999997</v>
      </c>
      <c r="E19" s="95">
        <f>SummaryReport!H43* 3</f>
        <v>201</v>
      </c>
      <c r="F19" s="89">
        <f t="shared" si="0"/>
        <v>-5.0000000000001155E-3</v>
      </c>
    </row>
    <row r="20" spans="2:28" x14ac:dyDescent="0.25">
      <c r="B20" s="114" t="s">
        <v>67</v>
      </c>
      <c r="C20" s="110" t="s">
        <v>76</v>
      </c>
      <c r="D20" s="91">
        <f>'Автоматизированный расчет'!G44 * 3 * 3</f>
        <v>131.70731707317071</v>
      </c>
      <c r="E20" s="95">
        <f>SummaryReport!H39 * 3</f>
        <v>114</v>
      </c>
      <c r="F20" s="89">
        <f t="shared" si="0"/>
        <v>0.13444444444444437</v>
      </c>
      <c r="G20" t="s">
        <v>145</v>
      </c>
    </row>
    <row r="21" spans="2:28" x14ac:dyDescent="0.25">
      <c r="B21" s="114" t="s">
        <v>68</v>
      </c>
      <c r="C21" s="110" t="s">
        <v>69</v>
      </c>
      <c r="D21" s="91">
        <f>'Автоматизированный расчет'!G45 * 3 * 3</f>
        <v>291.89189189189193</v>
      </c>
      <c r="E21" s="95">
        <f>SummaryReport!H45* 3</f>
        <v>297</v>
      </c>
      <c r="F21" s="89">
        <f t="shared" si="0"/>
        <v>-1.7499999999999849E-2</v>
      </c>
    </row>
    <row r="22" spans="2:28" ht="29.25" customHeight="1" thickBot="1" x14ac:dyDescent="0.3">
      <c r="B22" s="122" t="s">
        <v>141</v>
      </c>
      <c r="C22" s="116" t="s">
        <v>79</v>
      </c>
      <c r="D22" s="92">
        <f>'Автоматизированный расчет'!G46 * 3 * 3</f>
        <v>528.98840463814463</v>
      </c>
      <c r="E22" s="96">
        <f>SummaryReport!H36* 3</f>
        <v>513</v>
      </c>
      <c r="F22" s="93">
        <f t="shared" si="0"/>
        <v>3.0224489795918186E-2</v>
      </c>
    </row>
    <row r="23" spans="2:28" ht="15" customHeight="1" thickBot="1" x14ac:dyDescent="0.3">
      <c r="B23" s="88"/>
      <c r="C23" s="76"/>
      <c r="D23" s="2">
        <f>SUM(D11:D22)</f>
        <v>6632.8017150728056</v>
      </c>
      <c r="E23" s="2">
        <f>SUM(E11:E22)</f>
        <v>6414</v>
      </c>
      <c r="F23" s="121">
        <f t="shared" si="0"/>
        <v>3.2987826935273246E-2</v>
      </c>
    </row>
    <row r="25" spans="2:28" x14ac:dyDescent="0.25">
      <c r="B25" s="144" t="s">
        <v>13</v>
      </c>
      <c r="C25" s="144"/>
      <c r="D25" s="144"/>
      <c r="E25" s="144"/>
      <c r="F25" s="144"/>
    </row>
    <row r="26" spans="2:28" ht="15.75" thickBot="1" x14ac:dyDescent="0.3"/>
    <row r="27" spans="2:28" ht="15.75" thickBot="1" x14ac:dyDescent="0.3">
      <c r="B27" s="90" t="s">
        <v>4</v>
      </c>
      <c r="C27" s="90" t="s">
        <v>5</v>
      </c>
      <c r="D27" s="97" t="s">
        <v>6</v>
      </c>
      <c r="E27" s="90" t="s">
        <v>7</v>
      </c>
      <c r="F27" s="152" t="s">
        <v>8</v>
      </c>
      <c r="I27" s="1"/>
      <c r="J27" s="1"/>
      <c r="K27" s="1"/>
      <c r="L27" s="1"/>
      <c r="N27" s="78"/>
      <c r="O27" s="77"/>
      <c r="P27" s="77"/>
      <c r="Q27" s="77"/>
    </row>
    <row r="28" spans="2:28" x14ac:dyDescent="0.25">
      <c r="B28" s="151" t="s">
        <v>59</v>
      </c>
      <c r="C28" s="150" t="s">
        <v>70</v>
      </c>
      <c r="D28" s="91">
        <f>'Автоматизированный расчет'!G35 * 3 * 3</f>
        <v>1454.0960563799426</v>
      </c>
      <c r="E28" s="94">
        <f>SummaryReport!H24</f>
        <v>1443</v>
      </c>
      <c r="F28" s="89">
        <f>1-D28/E28</f>
        <v>-7.689574760874951E-3</v>
      </c>
      <c r="I28" s="1"/>
      <c r="J28" s="1"/>
      <c r="K28" s="1"/>
      <c r="L28" s="1"/>
      <c r="N28" s="78"/>
      <c r="O28" s="76"/>
      <c r="P28" s="76"/>
      <c r="Q28" s="76"/>
      <c r="S28" s="76"/>
      <c r="T28" s="76"/>
      <c r="U28" s="76"/>
      <c r="V28" s="76"/>
      <c r="W28" s="76"/>
      <c r="X28" s="76"/>
      <c r="Y28" s="76"/>
      <c r="Z28" s="76"/>
      <c r="AA28" s="76"/>
      <c r="AB28" s="76"/>
    </row>
    <row r="29" spans="2:28" x14ac:dyDescent="0.25">
      <c r="B29" s="114" t="s">
        <v>0</v>
      </c>
      <c r="C29" s="110" t="s">
        <v>71</v>
      </c>
      <c r="D29" s="98">
        <f>'Автоматизированный расчет'!G36 * 3 *3</f>
        <v>962.20416448805088</v>
      </c>
      <c r="E29" s="95">
        <f>SummaryReport!H25</f>
        <v>948</v>
      </c>
      <c r="F29" s="86">
        <f t="shared" ref="F29:F40" si="1">1-D29/E29</f>
        <v>-1.4983295873471469E-2</v>
      </c>
      <c r="I29" s="1"/>
      <c r="J29" s="1"/>
      <c r="K29" s="1"/>
      <c r="L29" s="1"/>
      <c r="N29" s="78"/>
      <c r="O29" s="76"/>
      <c r="P29" s="76"/>
      <c r="Q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spans="2:28" x14ac:dyDescent="0.25">
      <c r="B30" s="114" t="s">
        <v>60</v>
      </c>
      <c r="C30" s="110" t="s">
        <v>72</v>
      </c>
      <c r="D30" s="98">
        <f>'Автоматизированный расчет'!G37 * 3 *3</f>
        <v>685.28108756497386</v>
      </c>
      <c r="E30" s="95">
        <f>SummaryReport!H21</f>
        <v>678</v>
      </c>
      <c r="F30" s="86">
        <f t="shared" si="1"/>
        <v>-1.0739067204976083E-2</v>
      </c>
      <c r="I30" s="1"/>
      <c r="J30" s="1"/>
      <c r="K30" s="1"/>
      <c r="L30" s="1"/>
      <c r="N30" s="78"/>
      <c r="O30" s="76"/>
      <c r="P30" s="76"/>
      <c r="Q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spans="2:28" x14ac:dyDescent="0.25">
      <c r="B31" s="114" t="s">
        <v>61</v>
      </c>
      <c r="C31" s="110" t="s">
        <v>73</v>
      </c>
      <c r="D31" s="98">
        <f>'Автоматизированный расчет'!G38 * 3 *3</f>
        <v>685.28108756497386</v>
      </c>
      <c r="E31" s="95">
        <f>SummaryReport!H22</f>
        <v>676</v>
      </c>
      <c r="F31" s="87">
        <f t="shared" si="1"/>
        <v>-1.3729419474813431E-2</v>
      </c>
      <c r="I31" s="1"/>
      <c r="J31" s="1"/>
      <c r="K31" s="1"/>
      <c r="L31" s="1"/>
      <c r="N31" s="78"/>
      <c r="O31" s="76"/>
      <c r="P31" s="76"/>
      <c r="Q31" s="76"/>
      <c r="S31" s="76"/>
      <c r="T31" s="76"/>
      <c r="U31" s="76"/>
      <c r="V31" s="76"/>
      <c r="W31" s="76"/>
      <c r="X31" s="76"/>
      <c r="Y31" s="76"/>
      <c r="Z31" s="76"/>
      <c r="AA31" s="76"/>
      <c r="AB31" s="76"/>
    </row>
    <row r="32" spans="2:28" x14ac:dyDescent="0.25">
      <c r="B32" s="114" t="s">
        <v>62</v>
      </c>
      <c r="C32" s="110" t="s">
        <v>74</v>
      </c>
      <c r="D32" s="98">
        <f>'Автоматизированный расчет'!G39 * 3 *3</f>
        <v>397.28108756497392</v>
      </c>
      <c r="E32" s="95">
        <f>SummaryReport!H18</f>
        <v>383</v>
      </c>
      <c r="F32" s="86">
        <f t="shared" si="1"/>
        <v>-3.7287434895493243E-2</v>
      </c>
      <c r="I32" s="1"/>
      <c r="J32" s="1"/>
      <c r="K32" s="1"/>
      <c r="L32" s="1"/>
      <c r="N32" s="78"/>
      <c r="O32" s="76"/>
      <c r="P32" s="76"/>
      <c r="Q32" s="76"/>
      <c r="S32" s="76"/>
      <c r="T32" s="76"/>
      <c r="U32" s="76"/>
      <c r="V32" s="76"/>
      <c r="W32" s="76"/>
      <c r="X32" s="76"/>
      <c r="Y32" s="76"/>
      <c r="Z32" s="76"/>
      <c r="AA32" s="76"/>
      <c r="AB32" s="76"/>
    </row>
    <row r="33" spans="2:28" x14ac:dyDescent="0.25">
      <c r="B33" s="114" t="s">
        <v>63</v>
      </c>
      <c r="C33" s="110" t="s">
        <v>75</v>
      </c>
      <c r="D33" s="98">
        <f>'Автоматизированный расчет'!G40 * 3 *3</f>
        <v>265.57377049180326</v>
      </c>
      <c r="E33" s="95">
        <f>SummaryReport!H19</f>
        <v>204</v>
      </c>
      <c r="F33" s="86">
        <f t="shared" si="1"/>
        <v>-0.30183220829315327</v>
      </c>
      <c r="I33" s="1"/>
      <c r="J33" s="1"/>
      <c r="K33" s="1"/>
      <c r="L33" s="1"/>
      <c r="N33" s="78"/>
      <c r="O33" s="76"/>
      <c r="P33" s="76"/>
      <c r="Q33" s="76"/>
      <c r="S33" s="76"/>
      <c r="T33" s="76"/>
      <c r="U33" s="76"/>
      <c r="V33" s="76"/>
      <c r="W33" s="76"/>
      <c r="X33" s="76"/>
      <c r="Y33" s="76"/>
      <c r="Z33" s="76"/>
      <c r="AA33" s="76"/>
      <c r="AB33" s="76"/>
    </row>
    <row r="34" spans="2:28" x14ac:dyDescent="0.25">
      <c r="B34" s="114" t="s">
        <v>64</v>
      </c>
      <c r="C34" s="110" t="s">
        <v>80</v>
      </c>
      <c r="D34" s="98">
        <f>'Автоматизированный расчет'!G41 * 3 *3</f>
        <v>265.57377049180326</v>
      </c>
      <c r="E34" s="95">
        <f>SummaryReport!H28</f>
        <v>198</v>
      </c>
      <c r="F34" s="86">
        <f t="shared" si="1"/>
        <v>-0.3412816691505216</v>
      </c>
      <c r="I34" s="1"/>
      <c r="J34" s="1"/>
      <c r="K34" s="1"/>
      <c r="L34" s="1"/>
      <c r="N34" s="78"/>
      <c r="O34" s="76"/>
      <c r="P34" s="76"/>
      <c r="Q34" s="76"/>
      <c r="S34" s="76"/>
      <c r="T34" s="76"/>
      <c r="U34" s="76"/>
      <c r="V34" s="76"/>
      <c r="W34" s="76"/>
      <c r="X34" s="76"/>
      <c r="Y34" s="76"/>
      <c r="Z34" s="76"/>
      <c r="AA34" s="76"/>
      <c r="AB34" s="76"/>
    </row>
    <row r="35" spans="2:28" x14ac:dyDescent="0.25">
      <c r="B35" s="114" t="s">
        <v>1</v>
      </c>
      <c r="C35" s="110" t="s">
        <v>78</v>
      </c>
      <c r="D35" s="98">
        <f>'Автоматизированный расчет'!G42 * 3 *3</f>
        <v>764.92307692307691</v>
      </c>
      <c r="E35" s="95">
        <f>SummaryReport!H26</f>
        <v>753</v>
      </c>
      <c r="F35" s="86">
        <f>1-D35/E35</f>
        <v>-1.5834099499438148E-2</v>
      </c>
      <c r="N35" s="78"/>
      <c r="O35" s="76"/>
      <c r="P35" s="76"/>
      <c r="Q35" s="76"/>
      <c r="S35" s="76"/>
      <c r="T35" s="76"/>
      <c r="U35" s="76"/>
      <c r="V35" s="76"/>
      <c r="W35" s="76"/>
      <c r="X35" s="76"/>
      <c r="Y35" s="76"/>
      <c r="Z35" s="76"/>
      <c r="AA35" s="76"/>
      <c r="AB35" s="76"/>
    </row>
    <row r="36" spans="2:28" x14ac:dyDescent="0.25">
      <c r="B36" s="114" t="s">
        <v>65</v>
      </c>
      <c r="C36" s="110" t="s">
        <v>77</v>
      </c>
      <c r="D36" s="98">
        <f>'Автоматизированный расчет'!G43 * 3 *3</f>
        <v>199.99999999999997</v>
      </c>
      <c r="E36" s="95">
        <f>SummaryReport!H27</f>
        <v>198</v>
      </c>
      <c r="F36" s="86">
        <f t="shared" si="1"/>
        <v>-1.0101010101009944E-2</v>
      </c>
      <c r="N36" s="78"/>
      <c r="O36" s="76"/>
      <c r="P36" s="76"/>
      <c r="Q36" s="76"/>
      <c r="S36" s="76"/>
      <c r="T36" s="76"/>
      <c r="U36" s="76"/>
      <c r="V36" s="76"/>
      <c r="W36" s="76"/>
      <c r="X36" s="76"/>
      <c r="Y36" s="76"/>
      <c r="Z36" s="76"/>
      <c r="AA36" s="76"/>
      <c r="AB36" s="76"/>
    </row>
    <row r="37" spans="2:28" x14ac:dyDescent="0.25">
      <c r="B37" s="114" t="s">
        <v>67</v>
      </c>
      <c r="C37" s="110" t="s">
        <v>76</v>
      </c>
      <c r="D37" s="98">
        <f>'Автоматизированный расчет'!G44 * 3 *3</f>
        <v>131.70731707317071</v>
      </c>
      <c r="E37" s="95">
        <f>SummaryReport!H23</f>
        <v>121</v>
      </c>
      <c r="F37" s="86">
        <f t="shared" si="1"/>
        <v>-8.8490223745212537E-2</v>
      </c>
      <c r="N37" s="78"/>
      <c r="O37" s="76"/>
      <c r="P37" s="76"/>
      <c r="Q37" s="76"/>
      <c r="S37" s="76"/>
      <c r="T37" s="76"/>
      <c r="U37" s="76"/>
      <c r="V37" s="76"/>
      <c r="W37" s="76"/>
      <c r="X37" s="76"/>
      <c r="Y37" s="76"/>
      <c r="Z37" s="76"/>
      <c r="AA37" s="76"/>
      <c r="AB37" s="76"/>
    </row>
    <row r="38" spans="2:28" x14ac:dyDescent="0.25">
      <c r="B38" s="114" t="s">
        <v>68</v>
      </c>
      <c r="C38" s="110" t="s">
        <v>69</v>
      </c>
      <c r="D38" s="98">
        <f>'Автоматизированный расчет'!G45 * 3 *3</f>
        <v>291.89189189189193</v>
      </c>
      <c r="E38" s="95">
        <f>SummaryReport!H29</f>
        <v>289</v>
      </c>
      <c r="F38" s="87">
        <f t="shared" si="1"/>
        <v>-1.0006546338726441E-2</v>
      </c>
      <c r="N38" s="78"/>
      <c r="O38" s="76"/>
      <c r="P38" s="76"/>
      <c r="Q38" s="76"/>
      <c r="S38" s="76"/>
      <c r="T38" s="76"/>
      <c r="U38" s="76"/>
      <c r="V38" s="76"/>
      <c r="W38" s="76"/>
      <c r="X38" s="76"/>
      <c r="Y38" s="76"/>
      <c r="Z38" s="76"/>
      <c r="AA38" s="76"/>
      <c r="AB38" s="76"/>
    </row>
    <row r="39" spans="2:28" ht="15.75" thickBot="1" x14ac:dyDescent="0.3">
      <c r="B39" s="146" t="s">
        <v>141</v>
      </c>
      <c r="C39" s="148" t="s">
        <v>79</v>
      </c>
      <c r="D39" s="92">
        <f>'Автоматизированный расчет'!G46 * 3 *3</f>
        <v>528.98840463814463</v>
      </c>
      <c r="E39" s="147">
        <f>SummaryReport!H20</f>
        <v>506</v>
      </c>
      <c r="F39" s="93">
        <f t="shared" si="1"/>
        <v>-4.543162971965331E-2</v>
      </c>
      <c r="N39" s="78"/>
      <c r="O39" s="76"/>
      <c r="P39" s="76"/>
      <c r="Q39" s="76"/>
      <c r="S39" s="76"/>
      <c r="T39" s="76"/>
      <c r="U39" s="76"/>
      <c r="V39" s="76"/>
      <c r="W39" s="76"/>
      <c r="X39" s="76"/>
      <c r="Y39" s="76"/>
      <c r="Z39" s="76"/>
      <c r="AA39" s="76"/>
      <c r="AB39" s="76"/>
    </row>
    <row r="40" spans="2:28" ht="15.75" thickBot="1" x14ac:dyDescent="0.3">
      <c r="D40" s="2">
        <f>SUM(D28:D39)</f>
        <v>6632.8017150728056</v>
      </c>
      <c r="E40" s="2">
        <f>SUM(E28:E39)+SUM(SummaryReport!I18:I29)</f>
        <v>6489</v>
      </c>
      <c r="F40" s="149">
        <f t="shared" si="1"/>
        <v>-2.2160843746772407E-2</v>
      </c>
      <c r="N40" s="78"/>
      <c r="O40" s="76"/>
      <c r="P40" s="76"/>
      <c r="Q40" s="76"/>
      <c r="S40" s="76"/>
      <c r="T40" s="76"/>
      <c r="U40" s="76"/>
      <c r="V40" s="76"/>
      <c r="W40" s="76"/>
      <c r="X40" s="76"/>
      <c r="Y40" s="76"/>
      <c r="Z40" s="76"/>
      <c r="AA40" s="76"/>
      <c r="AB40" s="76"/>
    </row>
    <row r="41" spans="2:28" x14ac:dyDescent="0.25">
      <c r="N41" s="78"/>
      <c r="O41" s="76"/>
      <c r="P41" s="76"/>
      <c r="Q41" s="76"/>
      <c r="S41" s="76"/>
      <c r="T41" s="76"/>
      <c r="U41" s="76"/>
      <c r="V41" s="76"/>
      <c r="W41" s="76"/>
      <c r="X41" s="76"/>
      <c r="Y41" s="76"/>
      <c r="Z41" s="76"/>
      <c r="AA41" s="76"/>
      <c r="AB41" s="76"/>
    </row>
    <row r="42" spans="2:28" x14ac:dyDescent="0.25">
      <c r="N42" s="78"/>
      <c r="O42" s="76"/>
      <c r="P42" s="76"/>
      <c r="Q42" s="76"/>
      <c r="S42" s="76"/>
      <c r="T42" s="76"/>
      <c r="U42" s="76"/>
      <c r="V42" s="76"/>
      <c r="W42" s="76"/>
      <c r="X42" s="76"/>
      <c r="Y42" s="76"/>
      <c r="Z42" s="76"/>
      <c r="AA42" s="76"/>
      <c r="AB42" s="76"/>
    </row>
    <row r="43" spans="2:28" x14ac:dyDescent="0.25">
      <c r="N43" s="78"/>
      <c r="O43" s="76"/>
      <c r="P43" s="76"/>
      <c r="Q43" s="76"/>
      <c r="S43" s="76"/>
      <c r="T43" s="76"/>
      <c r="U43" s="76"/>
      <c r="V43" s="76"/>
      <c r="W43" s="76"/>
      <c r="X43" s="76"/>
      <c r="Y43" s="76"/>
      <c r="Z43" s="76"/>
      <c r="AA43" s="76"/>
      <c r="AB43" s="76"/>
    </row>
    <row r="44" spans="2:28" x14ac:dyDescent="0.25">
      <c r="N44" s="78"/>
      <c r="O44" s="76"/>
      <c r="P44" s="76"/>
      <c r="Q44" s="76"/>
      <c r="S44" s="76"/>
      <c r="T44" s="76"/>
      <c r="U44" s="76"/>
      <c r="V44" s="76"/>
      <c r="W44" s="76"/>
      <c r="X44" s="76"/>
      <c r="Y44" s="76"/>
      <c r="Z44" s="76"/>
      <c r="AA44" s="76"/>
      <c r="AB44" s="76"/>
    </row>
    <row r="45" spans="2:28" x14ac:dyDescent="0.25">
      <c r="N45" s="78"/>
      <c r="S45" s="76"/>
      <c r="T45" s="76"/>
      <c r="U45" s="76"/>
      <c r="V45" s="76"/>
      <c r="W45" s="76"/>
      <c r="X45" s="76"/>
      <c r="Y45" s="76"/>
      <c r="Z45" s="76"/>
      <c r="AA45" s="76"/>
      <c r="AB45" s="76"/>
    </row>
    <row r="46" spans="2:28" x14ac:dyDescent="0.25">
      <c r="N46" s="78"/>
    </row>
    <row r="47" spans="2:28" x14ac:dyDescent="0.25">
      <c r="N47" s="78"/>
    </row>
    <row r="48" spans="2:28" x14ac:dyDescent="0.25">
      <c r="N48" s="78"/>
    </row>
    <row r="49" spans="14:14" x14ac:dyDescent="0.25">
      <c r="N49" s="78"/>
    </row>
    <row r="50" spans="14:14" x14ac:dyDescent="0.25">
      <c r="N50" s="78"/>
    </row>
    <row r="51" spans="14:14" x14ac:dyDescent="0.25">
      <c r="N51" s="78"/>
    </row>
    <row r="52" spans="14:14" x14ac:dyDescent="0.25">
      <c r="N52" s="78"/>
    </row>
    <row r="53" spans="14:14" x14ac:dyDescent="0.25">
      <c r="N53" s="78"/>
    </row>
    <row r="54" spans="14:14" x14ac:dyDescent="0.25">
      <c r="N54" s="78"/>
    </row>
    <row r="55" spans="14:14" x14ac:dyDescent="0.25">
      <c r="N55" s="78"/>
    </row>
    <row r="56" spans="14:14" x14ac:dyDescent="0.25">
      <c r="N56" s="78"/>
    </row>
    <row r="57" spans="14:14" x14ac:dyDescent="0.25">
      <c r="N57" s="78"/>
    </row>
    <row r="58" spans="14:14" x14ac:dyDescent="0.25">
      <c r="N58" s="78"/>
    </row>
    <row r="59" spans="14:14" x14ac:dyDescent="0.25">
      <c r="N59" s="78"/>
    </row>
    <row r="60" spans="14:14" x14ac:dyDescent="0.25">
      <c r="N60" s="78"/>
    </row>
    <row r="61" spans="14:14" x14ac:dyDescent="0.25">
      <c r="N61" s="78"/>
    </row>
    <row r="62" spans="14:14" x14ac:dyDescent="0.25">
      <c r="N62" s="78"/>
    </row>
    <row r="63" spans="14:14" x14ac:dyDescent="0.25">
      <c r="N63" s="78"/>
    </row>
  </sheetData>
  <mergeCells count="2">
    <mergeCell ref="B8:F8"/>
    <mergeCell ref="B25:F25"/>
  </mergeCells>
  <phoneticPr fontId="4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andrey karasev</cp:lastModifiedBy>
  <dcterms:created xsi:type="dcterms:W3CDTF">2015-06-05T18:19:34Z</dcterms:created>
  <dcterms:modified xsi:type="dcterms:W3CDTF">2024-03-21T10:22:34Z</dcterms:modified>
</cp:coreProperties>
</file>