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https://d.docs.live.net/f4b4fa18f89c7bf1/Desktop/JCI/"/>
    </mc:Choice>
  </mc:AlternateContent>
  <xr:revisionPtr revIDLastSave="317" documentId="13_ncr:1_{E65CDAD2-99E0-47D5-B664-F7DAE67A1A46}" xr6:coauthVersionLast="45" xr6:coauthVersionMax="47" xr10:uidLastSave="{139402B9-ADFE-46EF-B2FA-AF60C5CDACCF}"/>
  <bookViews>
    <workbookView xWindow="-108" yWindow="-108" windowWidth="23256" windowHeight="13896" tabRatio="862" xr2:uid="{00000000-000D-0000-FFFF-FFFF00000000}"/>
  </bookViews>
  <sheets>
    <sheet name="Varta" sheetId="6" r:id="rId1"/>
    <sheet name="Acubat-Lubeck" sheetId="10" r:id="rId2"/>
    <sheet name="Moura" sheetId="21" r:id="rId3"/>
    <sheet name="Willard - Elpra" sheetId="9" r:id="rId4"/>
    <sheet name="Novelbat" sheetId="42" r:id="rId5"/>
    <sheet name="Optima - Pioneiro" sheetId="12" r:id="rId6"/>
    <sheet name="Moto" sheetId="14" r:id="rId7"/>
    <sheet name="Lusqtoff" sheetId="18" r:id="rId8"/>
    <sheet name="Costos" sheetId="41" r:id="rId9"/>
    <sheet name="Hoja1" sheetId="38" state="hidden" r:id="rId10"/>
    <sheet name="Mayorista" sheetId="32" state="hidden" r:id="rId11"/>
    <sheet name="Talleres" sheetId="39" state="hidden" r:id="rId12"/>
    <sheet name="INTEC (listas)" sheetId="36" r:id="rId13"/>
    <sheet name="Publico" sheetId="20" r:id="rId14"/>
    <sheet name="Domicilio" sheetId="37" r:id="rId15"/>
    <sheet name="Yuasa" sheetId="15" r:id="rId16"/>
    <sheet name="Tempel - Melisam" sheetId="17" r:id="rId17"/>
    <sheet name="Battery Trading" sheetId="34" r:id="rId18"/>
    <sheet name="LiquiMoly" sheetId="35" state="hidden" r:id="rId19"/>
    <sheet name="Terminales - Liquimoly - Bari" sheetId="19" r:id="rId20"/>
    <sheet name="Mota" sheetId="33" state="hidden" r:id="rId21"/>
    <sheet name="Pilas" sheetId="30" r:id="rId22"/>
    <sheet name="Hoja2" sheetId="40" state="hidden" r:id="rId23"/>
    <sheet name="Newmax" sheetId="11" state="hidden" r:id="rId24"/>
    <sheet name="Sis8120 articulos" sheetId="44" state="hidden" r:id="rId25"/>
    <sheet name="nuevo" sheetId="45" state="hidden" r:id="rId26"/>
    <sheet name="Bronco " sheetId="13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8" hidden="1">Costos!$A$1:$O$460</definedName>
    <definedName name="_xlnm._FilterDatabase" localSheetId="12" hidden="1">'INTEC (listas)'!$A$1:$L$478</definedName>
    <definedName name="_xlnm._FilterDatabase" localSheetId="7" hidden="1">Lusqtoff!$A$1:$P$99</definedName>
    <definedName name="_xlnm._FilterDatabase" localSheetId="13" hidden="1">Publico!$A$1:$G$58</definedName>
    <definedName name="_xlnm._FilterDatabase" localSheetId="15" hidden="1">Yuasa!$A$1:$U$108</definedName>
    <definedName name="_xlnm.Print_Area" localSheetId="14">Domicilio!$A$435</definedName>
    <definedName name="_xlnm.Print_Area" localSheetId="13">Publico!$A$1:$F$476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9" i="20" l="1"/>
  <c r="I16" i="9" l="1"/>
  <c r="I9" i="9"/>
  <c r="I19" i="9" l="1"/>
  <c r="I12" i="9"/>
  <c r="I11" i="9"/>
  <c r="I10" i="9"/>
  <c r="I8" i="9"/>
  <c r="I6" i="9"/>
  <c r="I5" i="9"/>
  <c r="I4" i="9"/>
  <c r="I18" i="9"/>
  <c r="I17" i="9"/>
  <c r="G32" i="21"/>
  <c r="G31" i="21"/>
  <c r="G30" i="21"/>
  <c r="G29" i="21"/>
  <c r="G28" i="21"/>
  <c r="G27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I8" i="21" s="1"/>
  <c r="G6" i="21"/>
  <c r="G25" i="21"/>
  <c r="G24" i="21"/>
  <c r="G23" i="21"/>
  <c r="G22" i="21"/>
  <c r="G20" i="21"/>
  <c r="G7" i="21" l="1"/>
  <c r="G5" i="21"/>
  <c r="E22" i="17" l="1"/>
  <c r="E21" i="17"/>
  <c r="G21" i="17" s="1"/>
  <c r="H4" i="19"/>
  <c r="G20" i="17"/>
  <c r="C15" i="21" l="1"/>
  <c r="C5" i="21"/>
  <c r="C6" i="21"/>
  <c r="C7" i="21"/>
  <c r="C8" i="21"/>
  <c r="C9" i="21"/>
  <c r="C10" i="21"/>
  <c r="C11" i="21"/>
  <c r="C12" i="21"/>
  <c r="C13" i="21"/>
  <c r="C14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4" i="21"/>
  <c r="X31" i="21"/>
  <c r="AB31" i="21" s="1"/>
  <c r="I31" i="21"/>
  <c r="J31" i="21" s="1"/>
  <c r="K31" i="21" s="1"/>
  <c r="H31" i="21"/>
  <c r="H59" i="36" s="1"/>
  <c r="D31" i="21"/>
  <c r="E31" i="21" s="1"/>
  <c r="F31" i="21" s="1"/>
  <c r="L59" i="36" s="1"/>
  <c r="D59" i="36" l="1"/>
  <c r="L31" i="21"/>
  <c r="Q31" i="21"/>
  <c r="N31" i="21"/>
  <c r="M31" i="21"/>
  <c r="Y31" i="21"/>
  <c r="P31" i="21" l="1"/>
  <c r="R31" i="21" s="1"/>
  <c r="AA31" i="21"/>
  <c r="Z31" i="21"/>
  <c r="AA24" i="9" l="1"/>
  <c r="AA27" i="9"/>
  <c r="Q36" i="15"/>
  <c r="R36" i="15" s="1"/>
  <c r="AE27" i="9" l="1"/>
  <c r="AB27" i="9"/>
  <c r="AE24" i="9"/>
  <c r="AB24" i="9"/>
  <c r="AD24" i="9" l="1"/>
  <c r="AC24" i="9"/>
  <c r="AD27" i="9"/>
  <c r="AC27" i="9"/>
  <c r="O21" i="19"/>
  <c r="U82" i="18" l="1"/>
  <c r="U81" i="18"/>
  <c r="D477" i="36" s="1"/>
  <c r="V81" i="18"/>
  <c r="U80" i="18"/>
  <c r="V80" i="18" l="1"/>
  <c r="D476" i="36"/>
  <c r="E477" i="36"/>
  <c r="G477" i="36"/>
  <c r="F477" i="36"/>
  <c r="V82" i="18"/>
  <c r="D478" i="36"/>
  <c r="E478" i="36" l="1"/>
  <c r="G478" i="36"/>
  <c r="F478" i="36"/>
  <c r="E476" i="36"/>
  <c r="G476" i="36"/>
  <c r="F476" i="36"/>
  <c r="E73" i="18" l="1"/>
  <c r="E40" i="18"/>
  <c r="E82" i="18" l="1"/>
  <c r="F82" i="18" l="1"/>
  <c r="L478" i="36" l="1"/>
  <c r="S478" i="41" s="1"/>
  <c r="X82" i="18"/>
  <c r="W82" i="18"/>
  <c r="E81" i="18"/>
  <c r="F81" i="18" s="1"/>
  <c r="E80" i="18"/>
  <c r="F80" i="18" s="1"/>
  <c r="E44" i="18"/>
  <c r="E61" i="18"/>
  <c r="E79" i="18"/>
  <c r="L476" i="36" l="1"/>
  <c r="S476" i="41" s="1"/>
  <c r="X80" i="18"/>
  <c r="W80" i="18"/>
  <c r="L477" i="36"/>
  <c r="S477" i="41" s="1"/>
  <c r="W81" i="18"/>
  <c r="X81" i="18"/>
  <c r="I82" i="18"/>
  <c r="J82" i="18" s="1"/>
  <c r="K82" i="18" s="1"/>
  <c r="O82" i="18" s="1"/>
  <c r="H82" i="18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4" i="9"/>
  <c r="Q82" i="18" l="1"/>
  <c r="P82" i="18"/>
  <c r="I81" i="18"/>
  <c r="J81" i="18" s="1"/>
  <c r="H81" i="18"/>
  <c r="I80" i="18"/>
  <c r="J80" i="18" s="1"/>
  <c r="K80" i="18" s="1"/>
  <c r="O80" i="18" s="1"/>
  <c r="H80" i="18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37" i="19"/>
  <c r="D22" i="19"/>
  <c r="D23" i="19"/>
  <c r="D24" i="19"/>
  <c r="D25" i="19"/>
  <c r="D26" i="19"/>
  <c r="D27" i="19"/>
  <c r="D28" i="19"/>
  <c r="D29" i="19"/>
  <c r="D30" i="19"/>
  <c r="D31" i="19"/>
  <c r="D32" i="19"/>
  <c r="D21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37" i="19"/>
  <c r="O22" i="19"/>
  <c r="O23" i="19"/>
  <c r="O24" i="19"/>
  <c r="O25" i="19"/>
  <c r="O26" i="19"/>
  <c r="O27" i="19"/>
  <c r="O28" i="19"/>
  <c r="O29" i="19"/>
  <c r="O30" i="19"/>
  <c r="O31" i="19"/>
  <c r="O32" i="19"/>
  <c r="Q80" i="18" l="1"/>
  <c r="P80" i="18"/>
  <c r="K81" i="18"/>
  <c r="O81" i="18" s="1"/>
  <c r="I5" i="21"/>
  <c r="U14" i="18"/>
  <c r="Q81" i="18" l="1"/>
  <c r="P81" i="18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5" i="15"/>
  <c r="F55" i="15" s="1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68" i="15"/>
  <c r="F68" i="15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F90" i="15" s="1"/>
  <c r="E91" i="15"/>
  <c r="F91" i="15" s="1"/>
  <c r="E92" i="15"/>
  <c r="F92" i="15" s="1"/>
  <c r="E93" i="15"/>
  <c r="F93" i="15" s="1"/>
  <c r="E94" i="15"/>
  <c r="F94" i="15" s="1"/>
  <c r="E95" i="15"/>
  <c r="F95" i="15" s="1"/>
  <c r="E96" i="15"/>
  <c r="F96" i="15" s="1"/>
  <c r="E97" i="15"/>
  <c r="F97" i="15" s="1"/>
  <c r="E98" i="15"/>
  <c r="F98" i="15" s="1"/>
  <c r="P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42" i="15"/>
  <c r="F42" i="15" s="1"/>
  <c r="I21" i="42" l="1"/>
  <c r="H21" i="42"/>
  <c r="J21" i="42" l="1"/>
  <c r="H14" i="6"/>
  <c r="K21" i="42" l="1"/>
  <c r="H45" i="21"/>
  <c r="H467" i="36" s="1"/>
  <c r="I46" i="21"/>
  <c r="J46" i="21" s="1"/>
  <c r="K46" i="21" s="1"/>
  <c r="I47" i="21"/>
  <c r="J47" i="21" s="1"/>
  <c r="K47" i="21" s="1"/>
  <c r="I37" i="21"/>
  <c r="I39" i="21"/>
  <c r="I41" i="21"/>
  <c r="J41" i="21" s="1"/>
  <c r="K41" i="21" s="1"/>
  <c r="H42" i="21"/>
  <c r="I49" i="21"/>
  <c r="J49" i="21" s="1"/>
  <c r="K49" i="21" s="1"/>
  <c r="J6" i="9"/>
  <c r="K6" i="9" s="1"/>
  <c r="G22" i="17"/>
  <c r="H22" i="17" s="1"/>
  <c r="F21" i="17"/>
  <c r="H434" i="36" s="1"/>
  <c r="I61" i="19"/>
  <c r="J61" i="19" s="1"/>
  <c r="K61" i="19" s="1"/>
  <c r="M61" i="19" s="1"/>
  <c r="H38" i="19"/>
  <c r="I38" i="19" s="1"/>
  <c r="H39" i="19"/>
  <c r="I39" i="19" s="1"/>
  <c r="H40" i="19"/>
  <c r="I40" i="19" s="1"/>
  <c r="H41" i="19"/>
  <c r="I41" i="19" s="1"/>
  <c r="G42" i="19"/>
  <c r="H405" i="36" s="1"/>
  <c r="H43" i="19"/>
  <c r="I43" i="19" s="1"/>
  <c r="G44" i="19"/>
  <c r="H407" i="36" s="1"/>
  <c r="G45" i="19"/>
  <c r="H408" i="36" s="1"/>
  <c r="H46" i="19"/>
  <c r="G47" i="19"/>
  <c r="H410" i="36" s="1"/>
  <c r="H48" i="19"/>
  <c r="H49" i="19"/>
  <c r="G50" i="19"/>
  <c r="H413" i="36" s="1"/>
  <c r="G51" i="19"/>
  <c r="H414" i="36" s="1"/>
  <c r="H52" i="19"/>
  <c r="I52" i="19" s="1"/>
  <c r="H53" i="19"/>
  <c r="H54" i="19"/>
  <c r="I54" i="19" s="1"/>
  <c r="H55" i="19"/>
  <c r="I55" i="19" s="1"/>
  <c r="H56" i="19"/>
  <c r="H57" i="19"/>
  <c r="G58" i="19"/>
  <c r="H421" i="36" s="1"/>
  <c r="H59" i="19"/>
  <c r="I59" i="19" s="1"/>
  <c r="H60" i="19"/>
  <c r="I60" i="19" s="1"/>
  <c r="H62" i="19"/>
  <c r="I62" i="19" s="1"/>
  <c r="H63" i="19"/>
  <c r="I63" i="19" s="1"/>
  <c r="G64" i="19"/>
  <c r="H424" i="36" s="1"/>
  <c r="G65" i="19"/>
  <c r="H425" i="36" s="1"/>
  <c r="G66" i="19"/>
  <c r="H426" i="36" s="1"/>
  <c r="G67" i="19"/>
  <c r="H427" i="36" s="1"/>
  <c r="G68" i="19"/>
  <c r="G69" i="19"/>
  <c r="G70" i="19"/>
  <c r="H428" i="36" s="1"/>
  <c r="G71" i="19"/>
  <c r="H429" i="36" s="1"/>
  <c r="H37" i="19"/>
  <c r="I37" i="19" s="1"/>
  <c r="L37" i="19" s="1"/>
  <c r="D32" i="21"/>
  <c r="E32" i="21" s="1"/>
  <c r="F32" i="21" s="1"/>
  <c r="D33" i="21"/>
  <c r="E33" i="21" s="1"/>
  <c r="F33" i="21" s="1"/>
  <c r="G33" i="21" s="1"/>
  <c r="D34" i="21"/>
  <c r="E34" i="21" s="1"/>
  <c r="F34" i="21" s="1"/>
  <c r="G34" i="21" s="1"/>
  <c r="I36" i="21"/>
  <c r="J36" i="21" s="1"/>
  <c r="K36" i="21" s="1"/>
  <c r="I38" i="21"/>
  <c r="I40" i="21"/>
  <c r="J40" i="21" s="1"/>
  <c r="K40" i="21" s="1"/>
  <c r="H36" i="21"/>
  <c r="H37" i="21"/>
  <c r="H38" i="21"/>
  <c r="H39" i="21"/>
  <c r="H40" i="21"/>
  <c r="C5" i="6"/>
  <c r="C7" i="6"/>
  <c r="C8" i="6"/>
  <c r="C9" i="6"/>
  <c r="C10" i="6"/>
  <c r="C11" i="6"/>
  <c r="C12" i="6"/>
  <c r="C13" i="6"/>
  <c r="C14" i="6"/>
  <c r="C15" i="6"/>
  <c r="C16" i="6"/>
  <c r="C17" i="6"/>
  <c r="C18" i="6"/>
  <c r="C20" i="6"/>
  <c r="C21" i="6"/>
  <c r="C22" i="6"/>
  <c r="C23" i="6"/>
  <c r="C24" i="6"/>
  <c r="C25" i="6"/>
  <c r="C26" i="6"/>
  <c r="C27" i="6"/>
  <c r="C28" i="6"/>
  <c r="C30" i="6"/>
  <c r="C31" i="6"/>
  <c r="C4" i="6"/>
  <c r="J38" i="21" l="1"/>
  <c r="J39" i="21"/>
  <c r="J37" i="21"/>
  <c r="I22" i="17"/>
  <c r="J22" i="17" s="1"/>
  <c r="L22" i="17" s="1"/>
  <c r="H21" i="17"/>
  <c r="H51" i="19"/>
  <c r="I51" i="19" s="1"/>
  <c r="L51" i="19" s="1"/>
  <c r="G63" i="19"/>
  <c r="H423" i="36" s="1"/>
  <c r="H50" i="19"/>
  <c r="I50" i="19" s="1"/>
  <c r="L50" i="19" s="1"/>
  <c r="G37" i="19"/>
  <c r="H400" i="36" s="1"/>
  <c r="G43" i="19"/>
  <c r="H406" i="36" s="1"/>
  <c r="G62" i="19"/>
  <c r="H422" i="36" s="1"/>
  <c r="G57" i="19"/>
  <c r="H420" i="36" s="1"/>
  <c r="L61" i="19"/>
  <c r="G56" i="19"/>
  <c r="H419" i="36" s="1"/>
  <c r="G54" i="19"/>
  <c r="H417" i="36" s="1"/>
  <c r="G41" i="19"/>
  <c r="H404" i="36" s="1"/>
  <c r="G40" i="19"/>
  <c r="H403" i="36" s="1"/>
  <c r="G39" i="19"/>
  <c r="H402" i="36" s="1"/>
  <c r="H66" i="19"/>
  <c r="I66" i="19" s="1"/>
  <c r="L66" i="19" s="1"/>
  <c r="H42" i="19"/>
  <c r="I42" i="19" s="1"/>
  <c r="L42" i="19" s="1"/>
  <c r="G38" i="19"/>
  <c r="H401" i="36" s="1"/>
  <c r="L21" i="42"/>
  <c r="P21" i="42" s="1"/>
  <c r="L60" i="19"/>
  <c r="J60" i="19"/>
  <c r="K60" i="19" s="1"/>
  <c r="M60" i="19" s="1"/>
  <c r="L59" i="19"/>
  <c r="J59" i="19"/>
  <c r="K59" i="19" s="1"/>
  <c r="M59" i="19" s="1"/>
  <c r="H43" i="21"/>
  <c r="I43" i="21"/>
  <c r="J43" i="21" s="1"/>
  <c r="K43" i="21" s="1"/>
  <c r="H48" i="21"/>
  <c r="H377" i="36" s="1"/>
  <c r="I42" i="21"/>
  <c r="J42" i="21" s="1"/>
  <c r="K42" i="21" s="1"/>
  <c r="M42" i="21" s="1"/>
  <c r="N40" i="21"/>
  <c r="L40" i="21"/>
  <c r="M40" i="21"/>
  <c r="L36" i="21"/>
  <c r="M36" i="21"/>
  <c r="N36" i="21"/>
  <c r="H375" i="36"/>
  <c r="H466" i="36"/>
  <c r="H46" i="21"/>
  <c r="H468" i="36" s="1"/>
  <c r="H44" i="21"/>
  <c r="H376" i="36" s="1"/>
  <c r="I45" i="21"/>
  <c r="J45" i="21" s="1"/>
  <c r="K45" i="21" s="1"/>
  <c r="F22" i="17"/>
  <c r="H435" i="36" s="1"/>
  <c r="K22" i="17"/>
  <c r="H47" i="19"/>
  <c r="I47" i="19" s="1"/>
  <c r="G46" i="19"/>
  <c r="H409" i="36" s="1"/>
  <c r="H69" i="19"/>
  <c r="I69" i="19" s="1"/>
  <c r="J69" i="19" s="1"/>
  <c r="K69" i="19" s="1"/>
  <c r="M69" i="19" s="1"/>
  <c r="H45" i="19"/>
  <c r="I45" i="19" s="1"/>
  <c r="H68" i="19"/>
  <c r="H44" i="19"/>
  <c r="I44" i="19" s="1"/>
  <c r="G55" i="19"/>
  <c r="H418" i="36" s="1"/>
  <c r="H67" i="19"/>
  <c r="I67" i="19" s="1"/>
  <c r="J67" i="19" s="1"/>
  <c r="K67" i="19" s="1"/>
  <c r="M67" i="19" s="1"/>
  <c r="G48" i="19"/>
  <c r="H411" i="36" s="1"/>
  <c r="H70" i="19"/>
  <c r="I70" i="19" s="1"/>
  <c r="G53" i="19"/>
  <c r="H416" i="36" s="1"/>
  <c r="H65" i="19"/>
  <c r="G52" i="19"/>
  <c r="H415" i="36" s="1"/>
  <c r="H64" i="19"/>
  <c r="I64" i="19" s="1"/>
  <c r="J64" i="19" s="1"/>
  <c r="K64" i="19" s="1"/>
  <c r="M64" i="19" s="1"/>
  <c r="H71" i="19"/>
  <c r="I71" i="19" s="1"/>
  <c r="L71" i="19" s="1"/>
  <c r="H58" i="19"/>
  <c r="I58" i="19" s="1"/>
  <c r="L63" i="19"/>
  <c r="J63" i="19"/>
  <c r="K63" i="19" s="1"/>
  <c r="M63" i="19" s="1"/>
  <c r="J62" i="19"/>
  <c r="K62" i="19" s="1"/>
  <c r="M62" i="19" s="1"/>
  <c r="L62" i="19"/>
  <c r="I49" i="19"/>
  <c r="L49" i="19" s="1"/>
  <c r="I53" i="19"/>
  <c r="L53" i="19" s="1"/>
  <c r="L55" i="19"/>
  <c r="J55" i="19"/>
  <c r="K55" i="19" s="1"/>
  <c r="M55" i="19" s="1"/>
  <c r="J54" i="19"/>
  <c r="K54" i="19" s="1"/>
  <c r="M54" i="19" s="1"/>
  <c r="L54" i="19"/>
  <c r="J41" i="19"/>
  <c r="K41" i="19" s="1"/>
  <c r="M41" i="19" s="1"/>
  <c r="L41" i="19"/>
  <c r="J43" i="19"/>
  <c r="K43" i="19" s="1"/>
  <c r="M43" i="19" s="1"/>
  <c r="L43" i="19"/>
  <c r="L52" i="19"/>
  <c r="J52" i="19"/>
  <c r="K52" i="19" s="1"/>
  <c r="M52" i="19" s="1"/>
  <c r="L40" i="19"/>
  <c r="J40" i="19"/>
  <c r="K40" i="19" s="1"/>
  <c r="M40" i="19" s="1"/>
  <c r="I48" i="19"/>
  <c r="I46" i="19"/>
  <c r="G49" i="19"/>
  <c r="H412" i="36" s="1"/>
  <c r="I57" i="19"/>
  <c r="I56" i="19"/>
  <c r="J38" i="19"/>
  <c r="K38" i="19" s="1"/>
  <c r="M38" i="19" s="1"/>
  <c r="L38" i="19"/>
  <c r="J39" i="19"/>
  <c r="K39" i="19" s="1"/>
  <c r="M39" i="19" s="1"/>
  <c r="L39" i="19"/>
  <c r="J37" i="19"/>
  <c r="K37" i="19" s="1"/>
  <c r="M37" i="19" s="1"/>
  <c r="N41" i="21"/>
  <c r="M41" i="21"/>
  <c r="L41" i="21"/>
  <c r="H41" i="21"/>
  <c r="H465" i="36" s="1"/>
  <c r="M46" i="21"/>
  <c r="L46" i="21"/>
  <c r="N46" i="21"/>
  <c r="K37" i="21" l="1"/>
  <c r="K39" i="21"/>
  <c r="L39" i="21" s="1"/>
  <c r="K38" i="21"/>
  <c r="L38" i="21" s="1"/>
  <c r="M38" i="21"/>
  <c r="N38" i="21"/>
  <c r="J50" i="19"/>
  <c r="K50" i="19" s="1"/>
  <c r="M50" i="19" s="1"/>
  <c r="K21" i="17"/>
  <c r="I21" i="17"/>
  <c r="J21" i="17" s="1"/>
  <c r="L21" i="17" s="1"/>
  <c r="J51" i="19"/>
  <c r="K51" i="19" s="1"/>
  <c r="M51" i="19" s="1"/>
  <c r="J66" i="19"/>
  <c r="K66" i="19" s="1"/>
  <c r="M66" i="19" s="1"/>
  <c r="L67" i="19"/>
  <c r="J42" i="19"/>
  <c r="K42" i="19" s="1"/>
  <c r="M42" i="19" s="1"/>
  <c r="L69" i="19"/>
  <c r="L43" i="21"/>
  <c r="J71" i="19"/>
  <c r="K71" i="19" s="1"/>
  <c r="M71" i="19" s="1"/>
  <c r="N43" i="21"/>
  <c r="I68" i="19"/>
  <c r="L68" i="19" s="1"/>
  <c r="I65" i="19"/>
  <c r="J65" i="19" s="1"/>
  <c r="K65" i="19" s="1"/>
  <c r="M65" i="19" s="1"/>
  <c r="L64" i="19"/>
  <c r="M43" i="21"/>
  <c r="N42" i="21"/>
  <c r="L42" i="21"/>
  <c r="I48" i="21"/>
  <c r="J48" i="21" s="1"/>
  <c r="K48" i="21" s="1"/>
  <c r="M45" i="21"/>
  <c r="P40" i="21"/>
  <c r="L45" i="21"/>
  <c r="N45" i="21"/>
  <c r="P36" i="21"/>
  <c r="P46" i="21"/>
  <c r="P41" i="21"/>
  <c r="J70" i="19"/>
  <c r="K70" i="19" s="1"/>
  <c r="M70" i="19" s="1"/>
  <c r="L70" i="19"/>
  <c r="J49" i="19"/>
  <c r="K49" i="19" s="1"/>
  <c r="M49" i="19" s="1"/>
  <c r="J53" i="19"/>
  <c r="K53" i="19" s="1"/>
  <c r="M53" i="19" s="1"/>
  <c r="J58" i="19"/>
  <c r="K58" i="19" s="1"/>
  <c r="M58" i="19" s="1"/>
  <c r="L58" i="19"/>
  <c r="J47" i="19"/>
  <c r="K47" i="19" s="1"/>
  <c r="M47" i="19" s="1"/>
  <c r="L47" i="19"/>
  <c r="J44" i="19"/>
  <c r="K44" i="19" s="1"/>
  <c r="M44" i="19" s="1"/>
  <c r="L44" i="19"/>
  <c r="J56" i="19"/>
  <c r="K56" i="19" s="1"/>
  <c r="M56" i="19" s="1"/>
  <c r="L56" i="19"/>
  <c r="J57" i="19"/>
  <c r="K57" i="19" s="1"/>
  <c r="M57" i="19" s="1"/>
  <c r="L57" i="19"/>
  <c r="L48" i="19"/>
  <c r="J48" i="19"/>
  <c r="K48" i="19" s="1"/>
  <c r="M48" i="19" s="1"/>
  <c r="L45" i="19"/>
  <c r="J45" i="19"/>
  <c r="K45" i="19" s="1"/>
  <c r="M45" i="19" s="1"/>
  <c r="J46" i="19"/>
  <c r="K46" i="19" s="1"/>
  <c r="M46" i="19" s="1"/>
  <c r="L46" i="19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T18" i="42"/>
  <c r="T19" i="42"/>
  <c r="T20" i="42"/>
  <c r="T21" i="42"/>
  <c r="T22" i="42"/>
  <c r="T23" i="42"/>
  <c r="T24" i="42"/>
  <c r="T25" i="42"/>
  <c r="T4" i="42"/>
  <c r="N39" i="21" l="1"/>
  <c r="M39" i="21"/>
  <c r="M37" i="21"/>
  <c r="N37" i="21"/>
  <c r="L37" i="21"/>
  <c r="P37" i="21" s="1"/>
  <c r="P39" i="21"/>
  <c r="P38" i="21"/>
  <c r="P43" i="21"/>
  <c r="P42" i="21"/>
  <c r="L65" i="19"/>
  <c r="J68" i="19"/>
  <c r="K68" i="19" s="1"/>
  <c r="M68" i="19" s="1"/>
  <c r="P45" i="21"/>
  <c r="L301" i="36"/>
  <c r="L297" i="36"/>
  <c r="E105" i="15"/>
  <c r="F105" i="15" s="1"/>
  <c r="P105" i="15" s="1"/>
  <c r="S73" i="15" l="1"/>
  <c r="P42" i="15"/>
  <c r="P94" i="15"/>
  <c r="P82" i="15"/>
  <c r="L300" i="36"/>
  <c r="P46" i="15"/>
  <c r="P93" i="15"/>
  <c r="P81" i="15"/>
  <c r="P69" i="15"/>
  <c r="P104" i="15"/>
  <c r="P92" i="15"/>
  <c r="P68" i="15"/>
  <c r="P56" i="15"/>
  <c r="P91" i="15"/>
  <c r="P79" i="15"/>
  <c r="P55" i="15"/>
  <c r="P102" i="15"/>
  <c r="P90" i="15"/>
  <c r="L475" i="36"/>
  <c r="S475" i="41" s="1"/>
  <c r="P54" i="15"/>
  <c r="P101" i="15"/>
  <c r="P77" i="15"/>
  <c r="P53" i="15"/>
  <c r="P100" i="15"/>
  <c r="P88" i="15"/>
  <c r="P76" i="15"/>
  <c r="P64" i="15"/>
  <c r="P87" i="15"/>
  <c r="L295" i="36"/>
  <c r="P75" i="15"/>
  <c r="P63" i="15"/>
  <c r="P51" i="15"/>
  <c r="P70" i="15"/>
  <c r="L346" i="36"/>
  <c r="P57" i="15"/>
  <c r="T80" i="15"/>
  <c r="S80" i="15"/>
  <c r="P80" i="15"/>
  <c r="P103" i="15"/>
  <c r="P43" i="15"/>
  <c r="Q43" i="15" s="1"/>
  <c r="P78" i="15"/>
  <c r="P65" i="15"/>
  <c r="P52" i="15"/>
  <c r="P58" i="15"/>
  <c r="P45" i="15"/>
  <c r="L294" i="36"/>
  <c r="P44" i="15"/>
  <c r="P67" i="15"/>
  <c r="P66" i="15"/>
  <c r="P89" i="15"/>
  <c r="L293" i="36"/>
  <c r="P99" i="15"/>
  <c r="I85" i="15"/>
  <c r="H302" i="36" s="1"/>
  <c r="J85" i="15"/>
  <c r="K85" i="15" s="1"/>
  <c r="J73" i="15"/>
  <c r="K73" i="15" s="1"/>
  <c r="I73" i="15"/>
  <c r="L298" i="36"/>
  <c r="P86" i="15"/>
  <c r="P62" i="15"/>
  <c r="I96" i="15"/>
  <c r="H296" i="36" s="1"/>
  <c r="J96" i="15"/>
  <c r="K96" i="15" s="1"/>
  <c r="I48" i="15"/>
  <c r="H369" i="36" s="1"/>
  <c r="J48" i="15"/>
  <c r="K48" i="15" s="1"/>
  <c r="T74" i="15"/>
  <c r="P49" i="15"/>
  <c r="J95" i="15"/>
  <c r="K95" i="15" s="1"/>
  <c r="I95" i="15"/>
  <c r="H303" i="36" s="1"/>
  <c r="J59" i="15"/>
  <c r="K59" i="15" s="1"/>
  <c r="I59" i="15"/>
  <c r="H301" i="36" s="1"/>
  <c r="P96" i="15"/>
  <c r="P48" i="15"/>
  <c r="L302" i="36"/>
  <c r="P95" i="15"/>
  <c r="P47" i="15"/>
  <c r="L369" i="36"/>
  <c r="L457" i="36"/>
  <c r="S457" i="41" s="1"/>
  <c r="I98" i="15"/>
  <c r="H457" i="36" s="1"/>
  <c r="J98" i="15"/>
  <c r="K98" i="15" s="1"/>
  <c r="J62" i="15"/>
  <c r="K62" i="15" s="1"/>
  <c r="I62" i="15"/>
  <c r="J49" i="15"/>
  <c r="K49" i="15" s="1"/>
  <c r="I49" i="15"/>
  <c r="P74" i="15"/>
  <c r="J72" i="15"/>
  <c r="K72" i="15" s="1"/>
  <c r="I72" i="15"/>
  <c r="P97" i="15"/>
  <c r="P72" i="15"/>
  <c r="P71" i="15"/>
  <c r="I86" i="15"/>
  <c r="H298" i="36" s="1"/>
  <c r="J86" i="15"/>
  <c r="K86" i="15" s="1"/>
  <c r="J50" i="15"/>
  <c r="K50" i="15" s="1"/>
  <c r="I50" i="15"/>
  <c r="J97" i="15"/>
  <c r="K97" i="15" s="1"/>
  <c r="I97" i="15"/>
  <c r="H297" i="36" s="1"/>
  <c r="I60" i="15"/>
  <c r="J60" i="15"/>
  <c r="K60" i="15" s="1"/>
  <c r="P73" i="15"/>
  <c r="I47" i="15"/>
  <c r="J47" i="15"/>
  <c r="K47" i="15" s="1"/>
  <c r="P84" i="15"/>
  <c r="P83" i="15"/>
  <c r="J74" i="15"/>
  <c r="K74" i="15" s="1"/>
  <c r="I74" i="15"/>
  <c r="J61" i="15"/>
  <c r="K61" i="15" s="1"/>
  <c r="I61" i="15"/>
  <c r="P50" i="15"/>
  <c r="I84" i="15"/>
  <c r="J84" i="15"/>
  <c r="K84" i="15" s="1"/>
  <c r="P85" i="15"/>
  <c r="P61" i="15"/>
  <c r="I83" i="15"/>
  <c r="J83" i="15"/>
  <c r="K83" i="15" s="1"/>
  <c r="J71" i="15"/>
  <c r="K71" i="15" s="1"/>
  <c r="I71" i="15"/>
  <c r="T73" i="15"/>
  <c r="P60" i="15"/>
  <c r="P59" i="15"/>
  <c r="L303" i="36"/>
  <c r="L296" i="36"/>
  <c r="S74" i="15"/>
  <c r="C8" i="10"/>
  <c r="C9" i="10"/>
  <c r="C10" i="10"/>
  <c r="C11" i="10"/>
  <c r="C12" i="10"/>
  <c r="C13" i="10"/>
  <c r="C14" i="10"/>
  <c r="C15" i="10"/>
  <c r="C16" i="10"/>
  <c r="C17" i="10"/>
  <c r="C7" i="10"/>
  <c r="I53" i="15" l="1"/>
  <c r="J53" i="15"/>
  <c r="K53" i="15" s="1"/>
  <c r="I100" i="15"/>
  <c r="J100" i="15"/>
  <c r="K100" i="15" s="1"/>
  <c r="J46" i="15"/>
  <c r="K46" i="15" s="1"/>
  <c r="I46" i="15"/>
  <c r="H300" i="36" s="1"/>
  <c r="L71" i="15"/>
  <c r="M71" i="15" s="1"/>
  <c r="O71" i="15" s="1"/>
  <c r="N71" i="15"/>
  <c r="N86" i="15"/>
  <c r="L86" i="15"/>
  <c r="M86" i="15" s="1"/>
  <c r="O86" i="15" s="1"/>
  <c r="N98" i="15"/>
  <c r="L98" i="15"/>
  <c r="M98" i="15" s="1"/>
  <c r="O98" i="15" s="1"/>
  <c r="L95" i="15"/>
  <c r="M95" i="15" s="1"/>
  <c r="O95" i="15" s="1"/>
  <c r="N95" i="15"/>
  <c r="N85" i="15"/>
  <c r="L85" i="15"/>
  <c r="M85" i="15" s="1"/>
  <c r="O85" i="15" s="1"/>
  <c r="I44" i="15"/>
  <c r="J44" i="15"/>
  <c r="K44" i="15" s="1"/>
  <c r="I70" i="15"/>
  <c r="J70" i="15"/>
  <c r="K70" i="15" s="1"/>
  <c r="I91" i="15"/>
  <c r="H476" i="36" s="1"/>
  <c r="J476" i="36" s="1"/>
  <c r="J91" i="15"/>
  <c r="K91" i="15" s="1"/>
  <c r="N83" i="15"/>
  <c r="L83" i="15"/>
  <c r="M83" i="15" s="1"/>
  <c r="O83" i="15" s="1"/>
  <c r="I76" i="15"/>
  <c r="J76" i="15"/>
  <c r="K76" i="15" s="1"/>
  <c r="I54" i="15"/>
  <c r="J54" i="15"/>
  <c r="K54" i="15" s="1"/>
  <c r="J51" i="15"/>
  <c r="K51" i="15" s="1"/>
  <c r="I51" i="15"/>
  <c r="J56" i="15"/>
  <c r="K56" i="15" s="1"/>
  <c r="I56" i="15"/>
  <c r="I93" i="15"/>
  <c r="H478" i="36" s="1"/>
  <c r="J478" i="36" s="1"/>
  <c r="J93" i="15"/>
  <c r="K93" i="15" s="1"/>
  <c r="J99" i="15"/>
  <c r="K99" i="15" s="1"/>
  <c r="I99" i="15"/>
  <c r="J45" i="15"/>
  <c r="K45" i="15" s="1"/>
  <c r="I45" i="15"/>
  <c r="H294" i="36" s="1"/>
  <c r="I68" i="15"/>
  <c r="J68" i="15"/>
  <c r="K68" i="15" s="1"/>
  <c r="N60" i="15"/>
  <c r="L60" i="15"/>
  <c r="M60" i="15" s="1"/>
  <c r="O60" i="15" s="1"/>
  <c r="I58" i="15"/>
  <c r="J58" i="15"/>
  <c r="K58" i="15" s="1"/>
  <c r="N72" i="15"/>
  <c r="L72" i="15"/>
  <c r="M72" i="15" s="1"/>
  <c r="O72" i="15" s="1"/>
  <c r="I102" i="15"/>
  <c r="J102" i="15"/>
  <c r="K102" i="15" s="1"/>
  <c r="L59" i="15"/>
  <c r="M59" i="15" s="1"/>
  <c r="O59" i="15" s="1"/>
  <c r="N59" i="15"/>
  <c r="J67" i="15"/>
  <c r="K67" i="15" s="1"/>
  <c r="I67" i="15"/>
  <c r="J79" i="15"/>
  <c r="K79" i="15" s="1"/>
  <c r="I79" i="15"/>
  <c r="J69" i="15"/>
  <c r="K69" i="15" s="1"/>
  <c r="I69" i="15"/>
  <c r="I81" i="15"/>
  <c r="J81" i="15"/>
  <c r="K81" i="15" s="1"/>
  <c r="J43" i="15"/>
  <c r="K43" i="15" s="1"/>
  <c r="I43" i="15"/>
  <c r="N47" i="15"/>
  <c r="L47" i="15"/>
  <c r="M47" i="15" s="1"/>
  <c r="O47" i="15" s="1"/>
  <c r="N48" i="15"/>
  <c r="L48" i="15"/>
  <c r="M48" i="15" s="1"/>
  <c r="O48" i="15" s="1"/>
  <c r="J103" i="15"/>
  <c r="K103" i="15" s="1"/>
  <c r="I103" i="15"/>
  <c r="I88" i="15"/>
  <c r="J88" i="15"/>
  <c r="K88" i="15" s="1"/>
  <c r="J63" i="15"/>
  <c r="K63" i="15" s="1"/>
  <c r="I63" i="15"/>
  <c r="I90" i="15"/>
  <c r="H475" i="36" s="1"/>
  <c r="J90" i="15"/>
  <c r="K90" i="15" s="1"/>
  <c r="N84" i="15"/>
  <c r="L84" i="15"/>
  <c r="M84" i="15" s="1"/>
  <c r="O84" i="15" s="1"/>
  <c r="N96" i="15"/>
  <c r="L96" i="15"/>
  <c r="M96" i="15" s="1"/>
  <c r="O96" i="15" s="1"/>
  <c r="I89" i="15"/>
  <c r="H293" i="36" s="1"/>
  <c r="J89" i="15"/>
  <c r="K89" i="15" s="1"/>
  <c r="J92" i="15"/>
  <c r="K92" i="15" s="1"/>
  <c r="I92" i="15"/>
  <c r="H477" i="36" s="1"/>
  <c r="J477" i="36" s="1"/>
  <c r="I52" i="15"/>
  <c r="J52" i="15"/>
  <c r="K52" i="15" s="1"/>
  <c r="I80" i="15"/>
  <c r="J80" i="15"/>
  <c r="K80" i="15" s="1"/>
  <c r="J75" i="15"/>
  <c r="K75" i="15" s="1"/>
  <c r="I75" i="15"/>
  <c r="H295" i="36" s="1"/>
  <c r="J82" i="15"/>
  <c r="K82" i="15" s="1"/>
  <c r="I82" i="15"/>
  <c r="I66" i="15"/>
  <c r="J66" i="15"/>
  <c r="K66" i="15" s="1"/>
  <c r="J55" i="15"/>
  <c r="K55" i="15" s="1"/>
  <c r="I55" i="15"/>
  <c r="J104" i="15"/>
  <c r="K104" i="15" s="1"/>
  <c r="I104" i="15"/>
  <c r="N61" i="15"/>
  <c r="L61" i="15"/>
  <c r="M61" i="15" s="1"/>
  <c r="O61" i="15" s="1"/>
  <c r="N97" i="15"/>
  <c r="L97" i="15"/>
  <c r="M97" i="15" s="1"/>
  <c r="O97" i="15" s="1"/>
  <c r="N49" i="15"/>
  <c r="L49" i="15"/>
  <c r="M49" i="15" s="1"/>
  <c r="O49" i="15" s="1"/>
  <c r="I65" i="15"/>
  <c r="J65" i="15"/>
  <c r="K65" i="15" s="1"/>
  <c r="I57" i="15"/>
  <c r="J57" i="15"/>
  <c r="K57" i="15" s="1"/>
  <c r="J87" i="15"/>
  <c r="K87" i="15" s="1"/>
  <c r="I87" i="15"/>
  <c r="I77" i="15"/>
  <c r="J77" i="15"/>
  <c r="K77" i="15" s="1"/>
  <c r="I94" i="15"/>
  <c r="J94" i="15"/>
  <c r="K94" i="15" s="1"/>
  <c r="N74" i="15"/>
  <c r="L74" i="15"/>
  <c r="M74" i="15" s="1"/>
  <c r="O74" i="15" s="1"/>
  <c r="N50" i="15"/>
  <c r="L50" i="15"/>
  <c r="M50" i="15"/>
  <c r="O50" i="15" s="1"/>
  <c r="N62" i="15"/>
  <c r="L62" i="15"/>
  <c r="M62" i="15" s="1"/>
  <c r="O62" i="15" s="1"/>
  <c r="N73" i="15"/>
  <c r="L73" i="15"/>
  <c r="M73" i="15" s="1"/>
  <c r="O73" i="15" s="1"/>
  <c r="I78" i="15"/>
  <c r="J78" i="15"/>
  <c r="K78" i="15" s="1"/>
  <c r="I64" i="15"/>
  <c r="J64" i="15"/>
  <c r="K64" i="15" s="1"/>
  <c r="I101" i="15"/>
  <c r="J101" i="15"/>
  <c r="K101" i="15" s="1"/>
  <c r="I42" i="15"/>
  <c r="J42" i="15"/>
  <c r="K42" i="15" s="1"/>
  <c r="E106" i="15"/>
  <c r="Q89" i="15"/>
  <c r="I476" i="36" l="1"/>
  <c r="K476" i="36"/>
  <c r="K477" i="36"/>
  <c r="I477" i="36"/>
  <c r="F106" i="15"/>
  <c r="P106" i="15" s="1"/>
  <c r="Q106" i="15" s="1"/>
  <c r="I478" i="36"/>
  <c r="K478" i="36"/>
  <c r="N104" i="15"/>
  <c r="L104" i="15"/>
  <c r="M104" i="15" s="1"/>
  <c r="O104" i="15" s="1"/>
  <c r="N101" i="15"/>
  <c r="L101" i="15"/>
  <c r="M101" i="15" s="1"/>
  <c r="O101" i="15" s="1"/>
  <c r="N92" i="15"/>
  <c r="L92" i="15"/>
  <c r="M92" i="15" s="1"/>
  <c r="O92" i="15" s="1"/>
  <c r="N58" i="15"/>
  <c r="L58" i="15"/>
  <c r="M58" i="15" s="1"/>
  <c r="O58" i="15" s="1"/>
  <c r="N89" i="15"/>
  <c r="L89" i="15"/>
  <c r="M89" i="15" s="1"/>
  <c r="O89" i="15" s="1"/>
  <c r="N76" i="15"/>
  <c r="L76" i="15"/>
  <c r="M76" i="15" s="1"/>
  <c r="O76" i="15" s="1"/>
  <c r="N100" i="15"/>
  <c r="L100" i="15"/>
  <c r="M100" i="15" s="1"/>
  <c r="O100" i="15" s="1"/>
  <c r="N63" i="15"/>
  <c r="L63" i="15"/>
  <c r="M63" i="15" s="1"/>
  <c r="O63" i="15" s="1"/>
  <c r="N91" i="15"/>
  <c r="L91" i="15"/>
  <c r="M91" i="15" s="1"/>
  <c r="O91" i="15" s="1"/>
  <c r="N65" i="15"/>
  <c r="L65" i="15"/>
  <c r="M65" i="15" s="1"/>
  <c r="O65" i="15" s="1"/>
  <c r="N55" i="15"/>
  <c r="L55" i="15"/>
  <c r="M55" i="15" s="1"/>
  <c r="O55" i="15" s="1"/>
  <c r="N69" i="15"/>
  <c r="L69" i="15"/>
  <c r="M69" i="15" s="1"/>
  <c r="O69" i="15" s="1"/>
  <c r="N66" i="15"/>
  <c r="L66" i="15"/>
  <c r="M66" i="15" s="1"/>
  <c r="O66" i="15" s="1"/>
  <c r="N56" i="15"/>
  <c r="L56" i="15"/>
  <c r="M56" i="15" s="1"/>
  <c r="O56" i="15" s="1"/>
  <c r="N64" i="15"/>
  <c r="L64" i="15"/>
  <c r="M64" i="15" s="1"/>
  <c r="O64" i="15" s="1"/>
  <c r="N79" i="15"/>
  <c r="L79" i="15"/>
  <c r="M79" i="15" s="1"/>
  <c r="O79" i="15" s="1"/>
  <c r="L94" i="15"/>
  <c r="M94" i="15" s="1"/>
  <c r="O94" i="15" s="1"/>
  <c r="N94" i="15"/>
  <c r="N67" i="15"/>
  <c r="L67" i="15"/>
  <c r="M67" i="15" s="1"/>
  <c r="O67" i="15" s="1"/>
  <c r="N46" i="15"/>
  <c r="L46" i="15"/>
  <c r="M46" i="15" s="1"/>
  <c r="O46" i="15" s="1"/>
  <c r="N80" i="15"/>
  <c r="L80" i="15"/>
  <c r="M80" i="15" s="1"/>
  <c r="O80" i="15" s="1"/>
  <c r="N90" i="15"/>
  <c r="L90" i="15"/>
  <c r="M90" i="15" s="1"/>
  <c r="O90" i="15" s="1"/>
  <c r="N45" i="15"/>
  <c r="L45" i="15"/>
  <c r="M45" i="15" s="1"/>
  <c r="O45" i="15" s="1"/>
  <c r="N103" i="15"/>
  <c r="L103" i="15"/>
  <c r="M103" i="15" s="1"/>
  <c r="O103" i="15" s="1"/>
  <c r="N68" i="15"/>
  <c r="L68" i="15"/>
  <c r="M68" i="15" s="1"/>
  <c r="O68" i="15" s="1"/>
  <c r="N42" i="15"/>
  <c r="L42" i="15"/>
  <c r="M42" i="15" s="1"/>
  <c r="O42" i="15" s="1"/>
  <c r="N93" i="15"/>
  <c r="L93" i="15"/>
  <c r="M93" i="15" s="1"/>
  <c r="O93" i="15" s="1"/>
  <c r="N88" i="15"/>
  <c r="L88" i="15"/>
  <c r="M88" i="15" s="1"/>
  <c r="O88" i="15" s="1"/>
  <c r="L70" i="15"/>
  <c r="M70" i="15" s="1"/>
  <c r="O70" i="15" s="1"/>
  <c r="N70" i="15"/>
  <c r="N44" i="15"/>
  <c r="L44" i="15"/>
  <c r="M44" i="15" s="1"/>
  <c r="O44" i="15" s="1"/>
  <c r="N51" i="15"/>
  <c r="L51" i="15"/>
  <c r="M51" i="15" s="1"/>
  <c r="O51" i="15" s="1"/>
  <c r="N78" i="15"/>
  <c r="L78" i="15"/>
  <c r="M78" i="15" s="1"/>
  <c r="O78" i="15" s="1"/>
  <c r="N82" i="15"/>
  <c r="L82" i="15"/>
  <c r="M82" i="15" s="1"/>
  <c r="O82" i="15" s="1"/>
  <c r="N54" i="15"/>
  <c r="L54" i="15"/>
  <c r="M54" i="15" s="1"/>
  <c r="O54" i="15" s="1"/>
  <c r="N77" i="15"/>
  <c r="L77" i="15"/>
  <c r="M77" i="15" s="1"/>
  <c r="O77" i="15" s="1"/>
  <c r="N75" i="15"/>
  <c r="L75" i="15"/>
  <c r="M75" i="15" s="1"/>
  <c r="O75" i="15" s="1"/>
  <c r="N87" i="15"/>
  <c r="L87" i="15"/>
  <c r="M87" i="15" s="1"/>
  <c r="O87" i="15" s="1"/>
  <c r="N43" i="15"/>
  <c r="L43" i="15"/>
  <c r="M43" i="15" s="1"/>
  <c r="O43" i="15" s="1"/>
  <c r="N102" i="15"/>
  <c r="L102" i="15"/>
  <c r="M102" i="15" s="1"/>
  <c r="O102" i="15" s="1"/>
  <c r="N53" i="15"/>
  <c r="L53" i="15"/>
  <c r="M53" i="15" s="1"/>
  <c r="O53" i="15" s="1"/>
  <c r="N57" i="15"/>
  <c r="L57" i="15"/>
  <c r="M57" i="15" s="1"/>
  <c r="O57" i="15" s="1"/>
  <c r="N52" i="15"/>
  <c r="L52" i="15"/>
  <c r="M52" i="15" s="1"/>
  <c r="O52" i="15" s="1"/>
  <c r="N81" i="15"/>
  <c r="L81" i="15"/>
  <c r="M81" i="15" s="1"/>
  <c r="O81" i="15" s="1"/>
  <c r="N99" i="15"/>
  <c r="L99" i="15"/>
  <c r="M99" i="15" s="1"/>
  <c r="O99" i="15" s="1"/>
  <c r="R89" i="15"/>
  <c r="D220" i="20"/>
  <c r="D293" i="36" s="1"/>
  <c r="S37" i="41"/>
  <c r="S38" i="41"/>
  <c r="S46" i="41"/>
  <c r="S48" i="41"/>
  <c r="S49" i="41"/>
  <c r="S82" i="41"/>
  <c r="S83" i="41"/>
  <c r="S91" i="41"/>
  <c r="S93" i="41"/>
  <c r="S94" i="41"/>
  <c r="S95" i="41"/>
  <c r="S96" i="41"/>
  <c r="S97" i="41"/>
  <c r="S98" i="41"/>
  <c r="S99" i="41"/>
  <c r="S100" i="41"/>
  <c r="S101" i="41"/>
  <c r="S104" i="41"/>
  <c r="S105" i="41"/>
  <c r="S108" i="41"/>
  <c r="S111" i="41"/>
  <c r="S130" i="41"/>
  <c r="S135" i="41"/>
  <c r="S136" i="41"/>
  <c r="S139" i="41"/>
  <c r="S140" i="41"/>
  <c r="S141" i="41"/>
  <c r="S142" i="41"/>
  <c r="S144" i="41"/>
  <c r="S146" i="41"/>
  <c r="S148" i="41"/>
  <c r="S151" i="41"/>
  <c r="S154" i="41"/>
  <c r="S155" i="41"/>
  <c r="S157" i="41"/>
  <c r="S158" i="41"/>
  <c r="S160" i="41"/>
  <c r="S161" i="41"/>
  <c r="S162" i="41"/>
  <c r="S167" i="41"/>
  <c r="S168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9" i="41"/>
  <c r="S200" i="41"/>
  <c r="S201" i="41"/>
  <c r="S202" i="41"/>
  <c r="S204" i="41"/>
  <c r="S205" i="41"/>
  <c r="S206" i="41"/>
  <c r="S224" i="41"/>
  <c r="S225" i="41"/>
  <c r="S226" i="41"/>
  <c r="S234" i="41"/>
  <c r="S235" i="41"/>
  <c r="S236" i="41"/>
  <c r="S237" i="41"/>
  <c r="S250" i="41"/>
  <c r="S251" i="41"/>
  <c r="S253" i="41"/>
  <c r="S256" i="41"/>
  <c r="S257" i="41"/>
  <c r="S258" i="41"/>
  <c r="S260" i="41"/>
  <c r="S261" i="41"/>
  <c r="S262" i="41"/>
  <c r="S263" i="41"/>
  <c r="S264" i="41"/>
  <c r="S274" i="41"/>
  <c r="S277" i="41"/>
  <c r="S278" i="41"/>
  <c r="S279" i="41"/>
  <c r="S280" i="41"/>
  <c r="S281" i="41"/>
  <c r="S283" i="41"/>
  <c r="S284" i="41"/>
  <c r="S285" i="41"/>
  <c r="S288" i="41"/>
  <c r="S289" i="41"/>
  <c r="S290" i="41"/>
  <c r="S291" i="41"/>
  <c r="S292" i="41"/>
  <c r="S300" i="41"/>
  <c r="S307" i="41"/>
  <c r="S308" i="41"/>
  <c r="S311" i="41"/>
  <c r="S317" i="41"/>
  <c r="S318" i="41"/>
  <c r="S327" i="41"/>
  <c r="S328" i="41"/>
  <c r="S329" i="41"/>
  <c r="S330" i="41"/>
  <c r="U106" i="15" l="1"/>
  <c r="R106" i="15"/>
  <c r="S89" i="15"/>
  <c r="T89" i="15"/>
  <c r="S106" i="15"/>
  <c r="T106" i="15"/>
  <c r="L292" i="36"/>
  <c r="J141" i="36"/>
  <c r="J136" i="36"/>
  <c r="J133" i="36"/>
  <c r="J117" i="36"/>
  <c r="J143" i="36" l="1"/>
  <c r="G22" i="6" l="1"/>
  <c r="J475" i="36" l="1"/>
  <c r="K475" i="36" s="1"/>
  <c r="I475" i="36" l="1"/>
  <c r="G3" i="36"/>
  <c r="G4" i="36"/>
  <c r="G8" i="36"/>
  <c r="G20" i="36"/>
  <c r="G21" i="36"/>
  <c r="G36" i="36"/>
  <c r="G37" i="36"/>
  <c r="G45" i="36"/>
  <c r="G47" i="36"/>
  <c r="G48" i="36"/>
  <c r="G78" i="36"/>
  <c r="G81" i="36"/>
  <c r="G82" i="36"/>
  <c r="G90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7" i="36"/>
  <c r="G134" i="36"/>
  <c r="G140" i="36"/>
  <c r="G159" i="36"/>
  <c r="G160" i="36"/>
  <c r="G196" i="36"/>
  <c r="G198" i="36"/>
  <c r="G204" i="36"/>
  <c r="G206" i="36"/>
  <c r="G249" i="36"/>
  <c r="G257" i="36"/>
  <c r="G285" i="36"/>
  <c r="G306" i="36"/>
  <c r="G310" i="36"/>
  <c r="G317" i="36"/>
  <c r="G463" i="36"/>
  <c r="G2" i="36"/>
  <c r="F299" i="36" l="1"/>
  <c r="F281" i="36"/>
  <c r="F258" i="36"/>
  <c r="F206" i="36"/>
  <c r="F202" i="36"/>
  <c r="F197" i="36"/>
  <c r="F13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B114" i="20"/>
  <c r="C52" i="21" l="1"/>
  <c r="C53" i="21"/>
  <c r="D53" i="21" s="1"/>
  <c r="E53" i="21" s="1"/>
  <c r="F53" i="21" s="1"/>
  <c r="I53" i="21" l="1"/>
  <c r="J53" i="21" s="1"/>
  <c r="K53" i="21" s="1"/>
  <c r="H53" i="21"/>
  <c r="H154" i="36" s="1"/>
  <c r="F11" i="34"/>
  <c r="L53" i="21" l="1"/>
  <c r="N53" i="21"/>
  <c r="M53" i="21"/>
  <c r="Q53" i="21"/>
  <c r="H8" i="10"/>
  <c r="H10" i="10"/>
  <c r="P53" i="21" l="1"/>
  <c r="R53" i="21" s="1"/>
  <c r="E268" i="41"/>
  <c r="F268" i="41"/>
  <c r="E330" i="41"/>
  <c r="F330" i="41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302" i="44"/>
  <c r="A303" i="44"/>
  <c r="A304" i="44"/>
  <c r="A305" i="44"/>
  <c r="A306" i="44"/>
  <c r="A307" i="44"/>
  <c r="A308" i="44"/>
  <c r="A309" i="44"/>
  <c r="A310" i="44"/>
  <c r="A311" i="44"/>
  <c r="A312" i="44"/>
  <c r="A313" i="44"/>
  <c r="A314" i="44"/>
  <c r="A315" i="44"/>
  <c r="A316" i="44"/>
  <c r="A317" i="44"/>
  <c r="A318" i="44"/>
  <c r="A319" i="44"/>
  <c r="A320" i="44"/>
  <c r="A321" i="44"/>
  <c r="A322" i="44"/>
  <c r="A323" i="44"/>
  <c r="A324" i="44"/>
  <c r="A325" i="44"/>
  <c r="A326" i="44"/>
  <c r="A327" i="44"/>
  <c r="A328" i="44"/>
  <c r="A329" i="44"/>
  <c r="A330" i="44"/>
  <c r="A331" i="44"/>
  <c r="A332" i="44"/>
  <c r="A333" i="44"/>
  <c r="A334" i="44"/>
  <c r="A335" i="44"/>
  <c r="A336" i="44"/>
  <c r="A337" i="44"/>
  <c r="A338" i="44"/>
  <c r="A339" i="44"/>
  <c r="A340" i="44"/>
  <c r="A341" i="44"/>
  <c r="A342" i="44"/>
  <c r="A343" i="44"/>
  <c r="A344" i="44"/>
  <c r="A345" i="44"/>
  <c r="A346" i="44"/>
  <c r="A347" i="44"/>
  <c r="A348" i="44"/>
  <c r="A349" i="44"/>
  <c r="A350" i="44"/>
  <c r="A351" i="44"/>
  <c r="A352" i="44"/>
  <c r="A353" i="44"/>
  <c r="A354" i="44"/>
  <c r="A355" i="44"/>
  <c r="A356" i="44"/>
  <c r="A357" i="44"/>
  <c r="A358" i="44"/>
  <c r="A359" i="44"/>
  <c r="A360" i="44"/>
  <c r="A361" i="44"/>
  <c r="A362" i="44"/>
  <c r="A363" i="44"/>
  <c r="A364" i="44"/>
  <c r="A365" i="44"/>
  <c r="A366" i="44"/>
  <c r="A367" i="44"/>
  <c r="A368" i="44"/>
  <c r="A369" i="44"/>
  <c r="A370" i="44"/>
  <c r="A371" i="44"/>
  <c r="A372" i="44"/>
  <c r="A373" i="44"/>
  <c r="A374" i="44"/>
  <c r="A375" i="44"/>
  <c r="A376" i="44"/>
  <c r="A377" i="44"/>
  <c r="A378" i="44"/>
  <c r="A379" i="44"/>
  <c r="A380" i="44"/>
  <c r="A381" i="44"/>
  <c r="A382" i="44"/>
  <c r="A383" i="44"/>
  <c r="A384" i="44"/>
  <c r="A385" i="44"/>
  <c r="A386" i="44"/>
  <c r="A387" i="44"/>
  <c r="A388" i="44"/>
  <c r="A389" i="44"/>
  <c r="A390" i="44"/>
  <c r="A391" i="44"/>
  <c r="A392" i="44"/>
  <c r="A393" i="44"/>
  <c r="A394" i="44"/>
  <c r="A395" i="44"/>
  <c r="A396" i="44"/>
  <c r="A397" i="44"/>
  <c r="A398" i="44"/>
  <c r="A399" i="44"/>
  <c r="A400" i="44"/>
  <c r="A401" i="44"/>
  <c r="A402" i="44"/>
  <c r="A403" i="44"/>
  <c r="A404" i="44"/>
  <c r="A405" i="44"/>
  <c r="A406" i="44"/>
  <c r="A407" i="44"/>
  <c r="A408" i="44"/>
  <c r="A409" i="44"/>
  <c r="A410" i="44"/>
  <c r="A411" i="44"/>
  <c r="A412" i="44"/>
  <c r="A413" i="44"/>
  <c r="A414" i="44"/>
  <c r="A415" i="44"/>
  <c r="A416" i="44"/>
  <c r="A417" i="44"/>
  <c r="A418" i="44"/>
  <c r="A419" i="44"/>
  <c r="A420" i="44"/>
  <c r="A421" i="44"/>
  <c r="A422" i="44"/>
  <c r="A423" i="44"/>
  <c r="A424" i="44"/>
  <c r="A425" i="44"/>
  <c r="A426" i="44"/>
  <c r="A427" i="44"/>
  <c r="A428" i="44"/>
  <c r="A429" i="44"/>
  <c r="A430" i="44"/>
  <c r="A431" i="44"/>
  <c r="A432" i="44"/>
  <c r="A433" i="44"/>
  <c r="A434" i="44"/>
  <c r="A435" i="44"/>
  <c r="A436" i="44"/>
  <c r="A437" i="44"/>
  <c r="A438" i="44"/>
  <c r="A439" i="44"/>
  <c r="A440" i="44"/>
  <c r="A441" i="44"/>
  <c r="A442" i="44"/>
  <c r="A443" i="44"/>
  <c r="A444" i="44"/>
  <c r="A445" i="44"/>
  <c r="A446" i="44"/>
  <c r="A447" i="44"/>
  <c r="A448" i="44"/>
  <c r="A449" i="44"/>
  <c r="A450" i="44"/>
  <c r="A451" i="44"/>
  <c r="A452" i="44"/>
  <c r="A453" i="44"/>
  <c r="A454" i="44"/>
  <c r="A455" i="44"/>
  <c r="A456" i="44"/>
  <c r="A457" i="44"/>
  <c r="A458" i="44"/>
  <c r="A459" i="44"/>
  <c r="A460" i="44"/>
  <c r="A461" i="44"/>
  <c r="A462" i="44"/>
  <c r="A463" i="44"/>
  <c r="A464" i="44"/>
  <c r="A465" i="44"/>
  <c r="A466" i="44"/>
  <c r="A467" i="44"/>
  <c r="A468" i="44"/>
  <c r="A469" i="44"/>
  <c r="A470" i="44"/>
  <c r="A471" i="44"/>
  <c r="A472" i="44"/>
  <c r="A473" i="44"/>
  <c r="A474" i="44"/>
  <c r="A475" i="44"/>
  <c r="A476" i="44"/>
  <c r="A477" i="44"/>
  <c r="A478" i="44"/>
  <c r="A479" i="44"/>
  <c r="A480" i="44"/>
  <c r="A481" i="44"/>
  <c r="A482" i="44"/>
  <c r="A483" i="44"/>
  <c r="A484" i="44"/>
  <c r="A485" i="44"/>
  <c r="A486" i="44"/>
  <c r="A487" i="44"/>
  <c r="A488" i="44"/>
  <c r="A489" i="44"/>
  <c r="A490" i="44"/>
  <c r="A491" i="44"/>
  <c r="A492" i="44"/>
  <c r="A493" i="44"/>
  <c r="A494" i="44"/>
  <c r="A495" i="44"/>
  <c r="A496" i="44"/>
  <c r="A497" i="44"/>
  <c r="A498" i="44"/>
  <c r="A499" i="44"/>
  <c r="A500" i="44"/>
  <c r="A501" i="44"/>
  <c r="A502" i="44"/>
  <c r="A503" i="44"/>
  <c r="A504" i="44"/>
  <c r="A505" i="44"/>
  <c r="A506" i="44"/>
  <c r="A507" i="44"/>
  <c r="A508" i="44"/>
  <c r="A509" i="44"/>
  <c r="A510" i="44"/>
  <c r="A511" i="44"/>
  <c r="A512" i="44"/>
  <c r="A513" i="44"/>
  <c r="A514" i="44"/>
  <c r="A515" i="44"/>
  <c r="A516" i="44"/>
  <c r="A517" i="44"/>
  <c r="A518" i="44"/>
  <c r="A519" i="44"/>
  <c r="A520" i="44"/>
  <c r="A521" i="44"/>
  <c r="A522" i="44"/>
  <c r="A523" i="44"/>
  <c r="A524" i="44"/>
  <c r="A525" i="44"/>
  <c r="A526" i="44"/>
  <c r="A527" i="44"/>
  <c r="A528" i="44"/>
  <c r="A529" i="44"/>
  <c r="A530" i="44"/>
  <c r="A531" i="44"/>
  <c r="A532" i="44"/>
  <c r="A533" i="44"/>
  <c r="A534" i="44"/>
  <c r="A535" i="44"/>
  <c r="A536" i="44"/>
  <c r="A537" i="44"/>
  <c r="A538" i="44"/>
  <c r="A539" i="44"/>
  <c r="A540" i="44"/>
  <c r="A462" i="41" l="1"/>
  <c r="A463" i="41"/>
  <c r="A464" i="41"/>
  <c r="A465" i="41"/>
  <c r="A466" i="41"/>
  <c r="A467" i="41"/>
  <c r="A468" i="41"/>
  <c r="A469" i="41"/>
  <c r="A470" i="41"/>
  <c r="A471" i="41"/>
  <c r="A472" i="41"/>
  <c r="A473" i="41"/>
  <c r="A461" i="41"/>
  <c r="I22" i="10"/>
  <c r="F5" i="15"/>
  <c r="L142" i="36" s="1"/>
  <c r="S143" i="41" s="1"/>
  <c r="F7" i="15"/>
  <c r="L144" i="36" s="1"/>
  <c r="S145" i="41" s="1"/>
  <c r="F6" i="15"/>
  <c r="L146" i="36" s="1"/>
  <c r="S147" i="41" s="1"/>
  <c r="F8" i="15"/>
  <c r="L149" i="36"/>
  <c r="S150" i="41" s="1"/>
  <c r="F9" i="15"/>
  <c r="L152" i="36"/>
  <c r="S153" i="41" s="1"/>
  <c r="F10" i="15"/>
  <c r="L155" i="36" s="1"/>
  <c r="S156" i="41" s="1"/>
  <c r="U79" i="18"/>
  <c r="D472" i="36" s="1"/>
  <c r="G472" i="36" s="1"/>
  <c r="D471" i="36"/>
  <c r="G471" i="36" s="1"/>
  <c r="D470" i="36"/>
  <c r="G470" i="36" s="1"/>
  <c r="F463" i="36"/>
  <c r="E463" i="36"/>
  <c r="E198" i="36"/>
  <c r="C293" i="20"/>
  <c r="D280" i="36"/>
  <c r="C292" i="20"/>
  <c r="D279" i="36"/>
  <c r="C291" i="20"/>
  <c r="D278" i="36"/>
  <c r="E196" i="36"/>
  <c r="F196" i="36"/>
  <c r="D195" i="36"/>
  <c r="D194" i="36"/>
  <c r="D193" i="36"/>
  <c r="D192" i="36"/>
  <c r="D191" i="36"/>
  <c r="F191" i="36" s="1"/>
  <c r="D190" i="36"/>
  <c r="D189" i="36"/>
  <c r="D188" i="36"/>
  <c r="D187" i="36"/>
  <c r="D186" i="36"/>
  <c r="D185" i="36"/>
  <c r="D184" i="36"/>
  <c r="D183" i="36"/>
  <c r="D182" i="36"/>
  <c r="D181" i="36"/>
  <c r="D180" i="36"/>
  <c r="D179" i="36"/>
  <c r="D178" i="36"/>
  <c r="D177" i="36"/>
  <c r="D176" i="36"/>
  <c r="E183" i="36"/>
  <c r="E182" i="36"/>
  <c r="E192" i="36"/>
  <c r="F193" i="36"/>
  <c r="D350" i="36"/>
  <c r="D326" i="36"/>
  <c r="D327" i="36"/>
  <c r="D328" i="36"/>
  <c r="D200" i="36"/>
  <c r="D143" i="36"/>
  <c r="D145" i="36"/>
  <c r="E8" i="36"/>
  <c r="E36" i="36"/>
  <c r="E37" i="36"/>
  <c r="E45" i="36"/>
  <c r="E78" i="36"/>
  <c r="E81" i="36"/>
  <c r="E82" i="36"/>
  <c r="E90" i="36"/>
  <c r="E92" i="36"/>
  <c r="E93" i="36"/>
  <c r="E94" i="36"/>
  <c r="E95" i="36"/>
  <c r="E96" i="36"/>
  <c r="E97" i="36"/>
  <c r="E98" i="36"/>
  <c r="E99" i="36"/>
  <c r="E100" i="36"/>
  <c r="E103" i="36"/>
  <c r="E140" i="36"/>
  <c r="E159" i="36"/>
  <c r="E160" i="36"/>
  <c r="E204" i="36"/>
  <c r="E206" i="36"/>
  <c r="E249" i="36"/>
  <c r="E257" i="36"/>
  <c r="E285" i="36"/>
  <c r="E306" i="36"/>
  <c r="E310" i="36"/>
  <c r="E317" i="36"/>
  <c r="E3" i="36"/>
  <c r="E4" i="36"/>
  <c r="E2" i="36"/>
  <c r="D201" i="36"/>
  <c r="D199" i="36"/>
  <c r="E199" i="36" s="1"/>
  <c r="D236" i="36"/>
  <c r="D235" i="36"/>
  <c r="D234" i="36"/>
  <c r="D233" i="36"/>
  <c r="D175" i="36"/>
  <c r="D174" i="36"/>
  <c r="F36" i="36"/>
  <c r="F37" i="36"/>
  <c r="F45" i="36"/>
  <c r="F78" i="36"/>
  <c r="F81" i="36"/>
  <c r="F82" i="36"/>
  <c r="F90" i="36"/>
  <c r="F92" i="36"/>
  <c r="F93" i="36"/>
  <c r="F94" i="36"/>
  <c r="F95" i="36"/>
  <c r="F96" i="36"/>
  <c r="F97" i="36"/>
  <c r="F98" i="36"/>
  <c r="F99" i="36"/>
  <c r="F100" i="36"/>
  <c r="F103" i="36"/>
  <c r="F140" i="36"/>
  <c r="F159" i="36"/>
  <c r="F160" i="36"/>
  <c r="F204" i="36"/>
  <c r="F249" i="36"/>
  <c r="F285" i="36"/>
  <c r="F306" i="36"/>
  <c r="F310" i="36"/>
  <c r="E48" i="36"/>
  <c r="E47" i="36"/>
  <c r="F47" i="36"/>
  <c r="F48" i="36"/>
  <c r="F317" i="36"/>
  <c r="F2" i="36"/>
  <c r="E102" i="36"/>
  <c r="E101" i="36"/>
  <c r="F101" i="36"/>
  <c r="F102" i="36"/>
  <c r="F8" i="36"/>
  <c r="F3" i="36"/>
  <c r="F4" i="36"/>
  <c r="E134" i="36"/>
  <c r="F134" i="36"/>
  <c r="F257" i="36"/>
  <c r="F20" i="36"/>
  <c r="E20" i="36"/>
  <c r="E21" i="36"/>
  <c r="F21" i="36"/>
  <c r="E104" i="36"/>
  <c r="F104" i="36"/>
  <c r="E107" i="36"/>
  <c r="F107" i="36"/>
  <c r="U78" i="18"/>
  <c r="V78" i="18" s="1"/>
  <c r="F79" i="18"/>
  <c r="E33" i="18"/>
  <c r="F33" i="18" s="1"/>
  <c r="I33" i="18" s="1"/>
  <c r="E74" i="18"/>
  <c r="F74" i="18" s="1"/>
  <c r="E15" i="18"/>
  <c r="F15" i="18" s="1"/>
  <c r="E13" i="18"/>
  <c r="F13" i="18" s="1"/>
  <c r="E77" i="18"/>
  <c r="F77" i="18" s="1"/>
  <c r="E78" i="18"/>
  <c r="F78" i="18" s="1"/>
  <c r="E76" i="18"/>
  <c r="F76" i="18" s="1"/>
  <c r="E25" i="18"/>
  <c r="F25" i="18" s="1"/>
  <c r="E26" i="18"/>
  <c r="F26" i="18" s="1"/>
  <c r="P27" i="19"/>
  <c r="U75" i="18"/>
  <c r="V75" i="18" s="1"/>
  <c r="U76" i="18"/>
  <c r="V76" i="18" s="1"/>
  <c r="AK15" i="10"/>
  <c r="AL15" i="10" s="1"/>
  <c r="U68" i="18"/>
  <c r="D459" i="36" s="1"/>
  <c r="U67" i="18"/>
  <c r="D458" i="36" s="1"/>
  <c r="U61" i="18"/>
  <c r="U57" i="18"/>
  <c r="U15" i="18"/>
  <c r="U70" i="18"/>
  <c r="D432" i="36" s="1"/>
  <c r="U69" i="18"/>
  <c r="D399" i="36" s="1"/>
  <c r="U49" i="18"/>
  <c r="D396" i="36" s="1"/>
  <c r="U74" i="18"/>
  <c r="D397" i="36" s="1"/>
  <c r="U48" i="18"/>
  <c r="D398" i="36" s="1"/>
  <c r="U32" i="18"/>
  <c r="D395" i="36" s="1"/>
  <c r="U73" i="18"/>
  <c r="U21" i="18"/>
  <c r="U66" i="18"/>
  <c r="D392" i="36" s="1"/>
  <c r="U24" i="18"/>
  <c r="U60" i="18"/>
  <c r="D423" i="20" s="1"/>
  <c r="U56" i="18"/>
  <c r="U31" i="18"/>
  <c r="D425" i="20" s="1"/>
  <c r="B425" i="20" s="1"/>
  <c r="U45" i="18"/>
  <c r="D387" i="36" s="1"/>
  <c r="V14" i="18"/>
  <c r="U63" i="18"/>
  <c r="D385" i="36" s="1"/>
  <c r="U41" i="18"/>
  <c r="D378" i="36" s="1"/>
  <c r="U37" i="18"/>
  <c r="D379" i="36" s="1"/>
  <c r="U65" i="18"/>
  <c r="V65" i="18" s="1"/>
  <c r="U23" i="18"/>
  <c r="D381" i="36" s="1"/>
  <c r="U18" i="18"/>
  <c r="D428" i="20" s="1"/>
  <c r="U19" i="18"/>
  <c r="D429" i="20" s="1"/>
  <c r="U62" i="18"/>
  <c r="D430" i="20" s="1"/>
  <c r="V21" i="6"/>
  <c r="W21" i="6" s="1"/>
  <c r="X50" i="21"/>
  <c r="V9" i="6"/>
  <c r="W9" i="6" s="1"/>
  <c r="X44" i="21"/>
  <c r="Y44" i="21" s="1"/>
  <c r="U35" i="18"/>
  <c r="D374" i="36" s="1"/>
  <c r="U17" i="18"/>
  <c r="D373" i="36" s="1"/>
  <c r="U72" i="18"/>
  <c r="D371" i="36" s="1"/>
  <c r="U71" i="18"/>
  <c r="D370" i="36" s="1"/>
  <c r="U38" i="18"/>
  <c r="D364" i="36" s="1"/>
  <c r="U39" i="18"/>
  <c r="D365" i="36" s="1"/>
  <c r="P30" i="19"/>
  <c r="P29" i="19"/>
  <c r="U34" i="18"/>
  <c r="D362" i="36" s="1"/>
  <c r="D323" i="36"/>
  <c r="P25" i="19"/>
  <c r="F30" i="14"/>
  <c r="G30" i="14" s="1"/>
  <c r="D344" i="36" s="1"/>
  <c r="U40" i="18"/>
  <c r="D386" i="20" s="1"/>
  <c r="B386" i="20" s="1"/>
  <c r="U44" i="18"/>
  <c r="U58" i="18"/>
  <c r="D402" i="20" s="1"/>
  <c r="D341" i="36" s="1"/>
  <c r="U59" i="18"/>
  <c r="D405" i="20" s="1"/>
  <c r="D342" i="36" s="1"/>
  <c r="V32" i="6"/>
  <c r="W32" i="6" s="1"/>
  <c r="V11" i="6"/>
  <c r="W11" i="6" s="1"/>
  <c r="W8" i="6"/>
  <c r="X8" i="6" s="1"/>
  <c r="V10" i="6"/>
  <c r="W10" i="6" s="1"/>
  <c r="AA10" i="6" s="1"/>
  <c r="D460" i="36" s="1"/>
  <c r="V23" i="6"/>
  <c r="W23" i="6" s="1"/>
  <c r="V27" i="6"/>
  <c r="W27" i="6" s="1"/>
  <c r="X27" i="6" s="1"/>
  <c r="V26" i="6"/>
  <c r="W26" i="6" s="1"/>
  <c r="F244" i="37" s="1"/>
  <c r="V7" i="6"/>
  <c r="W7" i="6" s="1"/>
  <c r="AA7" i="6" s="1"/>
  <c r="D22" i="36" s="1"/>
  <c r="V24" i="6"/>
  <c r="W24" i="6" s="1"/>
  <c r="F242" i="37" s="1"/>
  <c r="W30" i="6"/>
  <c r="V28" i="6"/>
  <c r="W28" i="6" s="1"/>
  <c r="X28" i="6" s="1"/>
  <c r="V20" i="6"/>
  <c r="W20" i="6" s="1"/>
  <c r="X20" i="6" s="1"/>
  <c r="W16" i="6"/>
  <c r="AA16" i="6" s="1"/>
  <c r="V12" i="6"/>
  <c r="W12" i="6" s="1"/>
  <c r="X12" i="6" s="1"/>
  <c r="V4" i="6"/>
  <c r="W4" i="6" s="1"/>
  <c r="F169" i="37" s="1"/>
  <c r="V17" i="6"/>
  <c r="W17" i="6" s="1"/>
  <c r="AA17" i="6" s="1"/>
  <c r="D24" i="36" s="1"/>
  <c r="V18" i="6"/>
  <c r="W18" i="6" s="1"/>
  <c r="W15" i="6"/>
  <c r="V14" i="6"/>
  <c r="W14" i="6" s="1"/>
  <c r="N6" i="19"/>
  <c r="O6" i="19" s="1"/>
  <c r="D214" i="36" s="1"/>
  <c r="N14" i="19"/>
  <c r="O14" i="19" s="1"/>
  <c r="D230" i="36" s="1"/>
  <c r="N15" i="19"/>
  <c r="O15" i="19" s="1"/>
  <c r="D231" i="36" s="1"/>
  <c r="U53" i="18"/>
  <c r="D244" i="36" s="1"/>
  <c r="U11" i="18"/>
  <c r="D268" i="36" s="1"/>
  <c r="U30" i="18"/>
  <c r="D269" i="36" s="1"/>
  <c r="U28" i="18"/>
  <c r="D374" i="20" s="1"/>
  <c r="U25" i="18"/>
  <c r="D222" i="36" s="1"/>
  <c r="U27" i="18"/>
  <c r="D220" i="36" s="1"/>
  <c r="U29" i="18"/>
  <c r="D218" i="36" s="1"/>
  <c r="U26" i="18"/>
  <c r="D221" i="36" s="1"/>
  <c r="U55" i="18"/>
  <c r="D396" i="20" s="1"/>
  <c r="D274" i="36" s="1"/>
  <c r="U22" i="18"/>
  <c r="D407" i="20" s="1"/>
  <c r="D246" i="36" s="1"/>
  <c r="U54" i="18"/>
  <c r="D412" i="20" s="1"/>
  <c r="D312" i="36" s="1"/>
  <c r="U12" i="18"/>
  <c r="D418" i="20" s="1"/>
  <c r="D267" i="36" s="1"/>
  <c r="U43" i="18"/>
  <c r="D419" i="20" s="1"/>
  <c r="D242" i="36" s="1"/>
  <c r="U52" i="18"/>
  <c r="D397" i="20" s="1"/>
  <c r="B397" i="20" s="1"/>
  <c r="U7" i="18"/>
  <c r="D414" i="20" s="1"/>
  <c r="D307" i="36" s="1"/>
  <c r="E47" i="18"/>
  <c r="F47" i="18" s="1"/>
  <c r="E64" i="18"/>
  <c r="F64" i="18" s="1"/>
  <c r="T64" i="18" s="1"/>
  <c r="U64" i="18" s="1"/>
  <c r="D424" i="20" s="1"/>
  <c r="D311" i="36" s="1"/>
  <c r="E9" i="18"/>
  <c r="F9" i="18" s="1"/>
  <c r="T9" i="18" s="1"/>
  <c r="U9" i="18" s="1"/>
  <c r="D400" i="20" s="1"/>
  <c r="D308" i="36" s="1"/>
  <c r="E6" i="18"/>
  <c r="F6" i="18" s="1"/>
  <c r="T6" i="18" s="1"/>
  <c r="U6" i="18" s="1"/>
  <c r="D324" i="36" s="1"/>
  <c r="E8" i="18"/>
  <c r="F8" i="18" s="1"/>
  <c r="T8" i="18" s="1"/>
  <c r="U8" i="18" s="1"/>
  <c r="D401" i="20" s="1"/>
  <c r="D305" i="36" s="1"/>
  <c r="E10" i="18"/>
  <c r="F10" i="18" s="1"/>
  <c r="T10" i="18" s="1"/>
  <c r="U10" i="18" s="1"/>
  <c r="D399" i="20" s="1"/>
  <c r="D309" i="36" s="1"/>
  <c r="U20" i="18"/>
  <c r="D363" i="36" s="1"/>
  <c r="E4" i="18"/>
  <c r="F4" i="18" s="1"/>
  <c r="T4" i="18" s="1"/>
  <c r="U4" i="18" s="1"/>
  <c r="D216" i="36" s="1"/>
  <c r="E5" i="18"/>
  <c r="F5" i="18" s="1"/>
  <c r="T5" i="18" s="1"/>
  <c r="U5" i="18" s="1"/>
  <c r="D217" i="36" s="1"/>
  <c r="U33" i="18"/>
  <c r="D380" i="20" s="1"/>
  <c r="D245" i="36" s="1"/>
  <c r="U46" i="18"/>
  <c r="D392" i="20" s="1"/>
  <c r="D270" i="36" s="1"/>
  <c r="U42" i="18"/>
  <c r="D243" i="36" s="1"/>
  <c r="U16" i="18"/>
  <c r="U13" i="18"/>
  <c r="D426" i="20" s="1"/>
  <c r="D251" i="36" s="1"/>
  <c r="AK16" i="10"/>
  <c r="AL16" i="10" s="1"/>
  <c r="N7" i="19"/>
  <c r="O7" i="19" s="1"/>
  <c r="D211" i="36" s="1"/>
  <c r="N5" i="19"/>
  <c r="O5" i="19" s="1"/>
  <c r="N4" i="19"/>
  <c r="O4" i="19" s="1"/>
  <c r="N10" i="19"/>
  <c r="O10" i="19" s="1"/>
  <c r="D223" i="36" s="1"/>
  <c r="E75" i="18"/>
  <c r="F75" i="18" s="1"/>
  <c r="U77" i="18"/>
  <c r="V77" i="18" s="1"/>
  <c r="R8" i="10"/>
  <c r="M7" i="10"/>
  <c r="J469" i="36"/>
  <c r="P32" i="19"/>
  <c r="E29" i="19"/>
  <c r="E30" i="19"/>
  <c r="E31" i="19"/>
  <c r="E28" i="19"/>
  <c r="E26" i="19"/>
  <c r="E25" i="19"/>
  <c r="E24" i="19"/>
  <c r="E22" i="19"/>
  <c r="E23" i="19"/>
  <c r="AK13" i="10"/>
  <c r="AL13" i="10" s="1"/>
  <c r="AM13" i="10" s="1"/>
  <c r="AK14" i="10"/>
  <c r="AL14" i="10"/>
  <c r="AP14" i="10" s="1"/>
  <c r="D228" i="36" s="1"/>
  <c r="AK8" i="10"/>
  <c r="AL8" i="10" s="1"/>
  <c r="U10" i="42"/>
  <c r="D229" i="20" s="1"/>
  <c r="U6" i="42"/>
  <c r="D221" i="20" s="1"/>
  <c r="M11" i="10"/>
  <c r="J22" i="10"/>
  <c r="K22" i="10" s="1"/>
  <c r="I8" i="10"/>
  <c r="J8" i="10" s="1"/>
  <c r="K8" i="10" s="1"/>
  <c r="I9" i="10"/>
  <c r="J9" i="10" s="1"/>
  <c r="K9" i="10" s="1"/>
  <c r="S9" i="10" s="1"/>
  <c r="I10" i="10"/>
  <c r="J10" i="10" s="1"/>
  <c r="K10" i="10" s="1"/>
  <c r="I11" i="10"/>
  <c r="J11" i="10" s="1"/>
  <c r="K11" i="10" s="1"/>
  <c r="I12" i="10"/>
  <c r="J12" i="10" s="1"/>
  <c r="K12" i="10" s="1"/>
  <c r="I7" i="10"/>
  <c r="J7" i="10" s="1"/>
  <c r="K7" i="10" s="1"/>
  <c r="D30" i="42"/>
  <c r="E30" i="42"/>
  <c r="F30" i="42"/>
  <c r="G30" i="42" s="1"/>
  <c r="D31" i="42"/>
  <c r="E31" i="42"/>
  <c r="F31" i="42"/>
  <c r="D32" i="42"/>
  <c r="E32" i="42"/>
  <c r="F32" i="42"/>
  <c r="G32" i="42" s="1"/>
  <c r="D33" i="42"/>
  <c r="E33" i="42"/>
  <c r="F33" i="42"/>
  <c r="G33" i="42" s="1"/>
  <c r="D34" i="42"/>
  <c r="E34" i="42"/>
  <c r="F34" i="42"/>
  <c r="D35" i="42"/>
  <c r="E35" i="42"/>
  <c r="F35" i="42"/>
  <c r="G35" i="42" s="1"/>
  <c r="D36" i="42"/>
  <c r="E36" i="42"/>
  <c r="F36" i="42"/>
  <c r="D37" i="42"/>
  <c r="E37" i="42"/>
  <c r="F37" i="42"/>
  <c r="G37" i="42" s="1"/>
  <c r="D38" i="42"/>
  <c r="E38" i="42"/>
  <c r="F38" i="42"/>
  <c r="G38" i="42" s="1"/>
  <c r="D39" i="42"/>
  <c r="E39" i="42"/>
  <c r="F39" i="42"/>
  <c r="D40" i="42"/>
  <c r="E40" i="42"/>
  <c r="F40" i="42"/>
  <c r="G40" i="42" s="1"/>
  <c r="D41" i="42"/>
  <c r="E41" i="42"/>
  <c r="F41" i="42"/>
  <c r="G41" i="42" s="1"/>
  <c r="D29" i="42"/>
  <c r="E29" i="42"/>
  <c r="F29" i="42"/>
  <c r="G29" i="42" s="1"/>
  <c r="U4" i="42"/>
  <c r="J468" i="36"/>
  <c r="J467" i="36"/>
  <c r="J466" i="36"/>
  <c r="J465" i="36"/>
  <c r="X45" i="21"/>
  <c r="Y45" i="21" s="1"/>
  <c r="X46" i="21"/>
  <c r="X42" i="21"/>
  <c r="Y42" i="21" s="1"/>
  <c r="X41" i="21"/>
  <c r="Y41" i="21" s="1"/>
  <c r="AB41" i="21"/>
  <c r="D465" i="36" s="1"/>
  <c r="G465" i="36" s="1"/>
  <c r="Y46" i="21"/>
  <c r="AB46" i="21"/>
  <c r="D468" i="36" s="1"/>
  <c r="G468" i="36" s="1"/>
  <c r="AB45" i="21"/>
  <c r="D467" i="36" s="1"/>
  <c r="G467" i="36" s="1"/>
  <c r="D21" i="42"/>
  <c r="E21" i="42"/>
  <c r="F21" i="42"/>
  <c r="C41" i="21"/>
  <c r="D41" i="21" s="1"/>
  <c r="E41" i="21" s="1"/>
  <c r="C45" i="21"/>
  <c r="D45" i="21"/>
  <c r="E45" i="21" s="1"/>
  <c r="C46" i="21"/>
  <c r="D46" i="21"/>
  <c r="E46" i="21"/>
  <c r="C42" i="21"/>
  <c r="D42" i="21" s="1"/>
  <c r="E42" i="21" s="1"/>
  <c r="M14" i="10"/>
  <c r="Q13" i="34"/>
  <c r="R13" i="34" s="1"/>
  <c r="V13" i="34" s="1"/>
  <c r="D106" i="36" s="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29" i="41"/>
  <c r="F328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7" i="41"/>
  <c r="F266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7" i="41"/>
  <c r="F76" i="41"/>
  <c r="F74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Q12" i="34"/>
  <c r="R12" i="34" s="1"/>
  <c r="Q11" i="34"/>
  <c r="R11" i="34" s="1"/>
  <c r="Q10" i="34"/>
  <c r="Q9" i="34"/>
  <c r="R9" i="34" s="1"/>
  <c r="Q8" i="34"/>
  <c r="R8" i="34" s="1"/>
  <c r="V8" i="34" s="1"/>
  <c r="Q7" i="34"/>
  <c r="R7" i="34" s="1"/>
  <c r="Q6" i="34"/>
  <c r="R6" i="34" s="1"/>
  <c r="V6" i="34" s="1"/>
  <c r="Q5" i="34"/>
  <c r="R5" i="34" s="1"/>
  <c r="S5" i="34" s="1"/>
  <c r="Q4" i="34"/>
  <c r="R4" i="34" s="1"/>
  <c r="Q9" i="17"/>
  <c r="R9" i="17" s="1"/>
  <c r="S9" i="17" s="1"/>
  <c r="Q8" i="17"/>
  <c r="R8" i="17" s="1"/>
  <c r="S8" i="17" s="1"/>
  <c r="Q7" i="17"/>
  <c r="R7" i="17" s="1"/>
  <c r="S7" i="17" s="1"/>
  <c r="Q6" i="17"/>
  <c r="R6" i="17" s="1"/>
  <c r="V6" i="17" s="1"/>
  <c r="Q5" i="17"/>
  <c r="R5" i="17" s="1"/>
  <c r="Q4" i="17"/>
  <c r="R4" i="17" s="1"/>
  <c r="S4" i="17" s="1"/>
  <c r="Q3" i="17"/>
  <c r="R3" i="17" s="1"/>
  <c r="Q100" i="15"/>
  <c r="Q99" i="15"/>
  <c r="U99" i="15" s="1"/>
  <c r="Q98" i="15"/>
  <c r="D218" i="20" s="1"/>
  <c r="Q97" i="15"/>
  <c r="Q95" i="15"/>
  <c r="D235" i="20" s="1"/>
  <c r="D303" i="36" s="1"/>
  <c r="Q90" i="15"/>
  <c r="AP7" i="14" s="1"/>
  <c r="AQ7" i="14" s="1"/>
  <c r="AR7" i="14" s="1"/>
  <c r="Q87" i="15"/>
  <c r="AP22" i="14" s="1"/>
  <c r="AQ22" i="14" s="1"/>
  <c r="AR22" i="14" s="1"/>
  <c r="Q86" i="15"/>
  <c r="Q71" i="15"/>
  <c r="AP14" i="14" s="1"/>
  <c r="AQ14" i="14" s="1"/>
  <c r="AR14" i="14" s="1"/>
  <c r="Q60" i="15"/>
  <c r="Q49" i="15"/>
  <c r="Q47" i="15"/>
  <c r="Q46" i="15"/>
  <c r="Q42" i="15"/>
  <c r="U25" i="42"/>
  <c r="U24" i="42"/>
  <c r="D255" i="20" s="1"/>
  <c r="U23" i="42"/>
  <c r="V23" i="42" s="1"/>
  <c r="U22" i="42"/>
  <c r="U19" i="42"/>
  <c r="U18" i="42"/>
  <c r="U17" i="42"/>
  <c r="U16" i="42"/>
  <c r="U15" i="42"/>
  <c r="U14" i="42"/>
  <c r="V14" i="42" s="1"/>
  <c r="U13" i="42"/>
  <c r="U12" i="42"/>
  <c r="U9" i="42"/>
  <c r="V9" i="42" s="1"/>
  <c r="U8" i="42"/>
  <c r="V8" i="42" s="1"/>
  <c r="U7" i="42"/>
  <c r="D222" i="20" s="1"/>
  <c r="C222" i="20" s="1"/>
  <c r="U5" i="42"/>
  <c r="AA19" i="9"/>
  <c r="AE19" i="9" s="1"/>
  <c r="D77" i="36" s="1"/>
  <c r="AA18" i="9"/>
  <c r="AE18" i="9" s="1"/>
  <c r="D72" i="36" s="1"/>
  <c r="AA17" i="9"/>
  <c r="AA16" i="9"/>
  <c r="AA15" i="9"/>
  <c r="AA14" i="9"/>
  <c r="AE14" i="9" s="1"/>
  <c r="AA13" i="9"/>
  <c r="AA11" i="9"/>
  <c r="AA10" i="9"/>
  <c r="AB10" i="9" s="1"/>
  <c r="AA9" i="9"/>
  <c r="F167" i="37" s="1"/>
  <c r="AA8" i="9"/>
  <c r="AA7" i="9"/>
  <c r="AE7" i="9" s="1"/>
  <c r="AA6" i="9"/>
  <c r="AA5" i="9"/>
  <c r="AA4" i="9"/>
  <c r="AK17" i="10"/>
  <c r="AL17" i="10" s="1"/>
  <c r="AK12" i="10"/>
  <c r="AL12" i="10" s="1"/>
  <c r="AP12" i="10" s="1"/>
  <c r="D42" i="36" s="1"/>
  <c r="AK11" i="10"/>
  <c r="AL11" i="10" s="1"/>
  <c r="AK10" i="10"/>
  <c r="AL10" i="10" s="1"/>
  <c r="F159" i="37" s="1"/>
  <c r="AK9" i="10"/>
  <c r="AL9" i="10" s="1"/>
  <c r="F158" i="37" s="1"/>
  <c r="AK7" i="10"/>
  <c r="AL7" i="10" s="1"/>
  <c r="AP7" i="10" s="1"/>
  <c r="D38" i="36" s="1"/>
  <c r="N12" i="19"/>
  <c r="O12" i="19" s="1"/>
  <c r="P12" i="19" s="1"/>
  <c r="N11" i="19"/>
  <c r="O11" i="19" s="1"/>
  <c r="P11" i="19" s="1"/>
  <c r="Q88" i="15"/>
  <c r="U88" i="15" s="1"/>
  <c r="Q91" i="15"/>
  <c r="Q92" i="15"/>
  <c r="Q93" i="15"/>
  <c r="Q94" i="15"/>
  <c r="Q44" i="15"/>
  <c r="Q45" i="15"/>
  <c r="D223" i="20" s="1"/>
  <c r="Q48" i="15"/>
  <c r="Q50" i="15"/>
  <c r="R50" i="15" s="1"/>
  <c r="Q51" i="15"/>
  <c r="Q52" i="15"/>
  <c r="U52" i="15" s="1"/>
  <c r="Q53" i="15"/>
  <c r="Q54" i="15"/>
  <c r="R54" i="15" s="1"/>
  <c r="Q55" i="15"/>
  <c r="Q56" i="15"/>
  <c r="Q57" i="15"/>
  <c r="U57" i="15" s="1"/>
  <c r="Q58" i="15"/>
  <c r="Q59" i="15"/>
  <c r="D227" i="20" s="1"/>
  <c r="D301" i="36" s="1"/>
  <c r="Q61" i="15"/>
  <c r="Q62" i="15"/>
  <c r="Q63" i="15"/>
  <c r="Q64" i="15"/>
  <c r="Q65" i="15"/>
  <c r="U65" i="15" s="1"/>
  <c r="Q66" i="15"/>
  <c r="U66" i="15" s="1"/>
  <c r="Q67" i="15"/>
  <c r="R67" i="15" s="1"/>
  <c r="Q68" i="15"/>
  <c r="Q69" i="15"/>
  <c r="Q70" i="15"/>
  <c r="D249" i="20" s="1"/>
  <c r="D346" i="36" s="1"/>
  <c r="Q72" i="15"/>
  <c r="R72" i="15" s="1"/>
  <c r="Q75" i="15"/>
  <c r="D241" i="20" s="1"/>
  <c r="D295" i="36" s="1"/>
  <c r="Q77" i="15"/>
  <c r="Q78" i="15"/>
  <c r="Q79" i="15"/>
  <c r="Q81" i="15"/>
  <c r="Q82" i="15"/>
  <c r="U82" i="15" s="1"/>
  <c r="Q83" i="15"/>
  <c r="Q84" i="15"/>
  <c r="R84" i="15" s="1"/>
  <c r="Q85" i="15"/>
  <c r="D246" i="20" s="1"/>
  <c r="D302" i="36" s="1"/>
  <c r="U11" i="42"/>
  <c r="V11" i="42" s="1"/>
  <c r="U20" i="42"/>
  <c r="V20" i="42" s="1"/>
  <c r="D27" i="42"/>
  <c r="E27" i="42"/>
  <c r="F27" i="42"/>
  <c r="D26" i="42"/>
  <c r="E26" i="42"/>
  <c r="F26" i="42"/>
  <c r="H26" i="42"/>
  <c r="I26" i="42"/>
  <c r="H27" i="42"/>
  <c r="I27" i="42"/>
  <c r="D52" i="21"/>
  <c r="E52" i="21"/>
  <c r="F52" i="21"/>
  <c r="K3" i="36"/>
  <c r="K4" i="36"/>
  <c r="K8" i="36"/>
  <c r="K36" i="36"/>
  <c r="K37" i="36"/>
  <c r="K45" i="36"/>
  <c r="K47" i="36"/>
  <c r="K48" i="36"/>
  <c r="K78" i="36"/>
  <c r="K81" i="36"/>
  <c r="K82" i="36"/>
  <c r="K90" i="36"/>
  <c r="K92" i="36"/>
  <c r="K93" i="36"/>
  <c r="K94" i="36"/>
  <c r="K95" i="36"/>
  <c r="K96" i="36"/>
  <c r="K97" i="36"/>
  <c r="K98" i="36"/>
  <c r="K99" i="36"/>
  <c r="K100" i="36"/>
  <c r="K103" i="36"/>
  <c r="K104" i="36"/>
  <c r="K105" i="36"/>
  <c r="K106" i="36"/>
  <c r="K107" i="36"/>
  <c r="K117" i="36"/>
  <c r="K129" i="36"/>
  <c r="K133" i="36"/>
  <c r="K134" i="36"/>
  <c r="K135" i="36"/>
  <c r="K136" i="36"/>
  <c r="K138" i="36"/>
  <c r="K139" i="36"/>
  <c r="K140" i="36"/>
  <c r="K141" i="36"/>
  <c r="K142" i="36"/>
  <c r="K143" i="36"/>
  <c r="K144" i="36"/>
  <c r="K145" i="36"/>
  <c r="K146" i="36"/>
  <c r="K147" i="36"/>
  <c r="K148" i="36"/>
  <c r="K149" i="36"/>
  <c r="K150" i="36"/>
  <c r="K151" i="36"/>
  <c r="K152" i="36"/>
  <c r="K153" i="36"/>
  <c r="K154" i="36"/>
  <c r="K155" i="36"/>
  <c r="K156" i="36"/>
  <c r="K157" i="36"/>
  <c r="K158" i="36"/>
  <c r="K159" i="36"/>
  <c r="K160" i="36"/>
  <c r="K161" i="36"/>
  <c r="K162" i="36"/>
  <c r="K163" i="36"/>
  <c r="K164" i="36"/>
  <c r="K165" i="36"/>
  <c r="K166" i="36"/>
  <c r="K167" i="36"/>
  <c r="K168" i="36"/>
  <c r="K169" i="36"/>
  <c r="K170" i="36"/>
  <c r="K171" i="36"/>
  <c r="K172" i="36"/>
  <c r="K173" i="36"/>
  <c r="K174" i="36"/>
  <c r="K175" i="36"/>
  <c r="K176" i="36"/>
  <c r="K177" i="36"/>
  <c r="K178" i="36"/>
  <c r="K179" i="36"/>
  <c r="K180" i="36"/>
  <c r="K181" i="36"/>
  <c r="K182" i="36"/>
  <c r="K183" i="36"/>
  <c r="K184" i="36"/>
  <c r="K185" i="36"/>
  <c r="K186" i="36"/>
  <c r="K187" i="36"/>
  <c r="K188" i="36"/>
  <c r="K189" i="36"/>
  <c r="K190" i="36"/>
  <c r="K191" i="36"/>
  <c r="K192" i="36"/>
  <c r="K193" i="36"/>
  <c r="K194" i="36"/>
  <c r="K195" i="36"/>
  <c r="K196" i="36"/>
  <c r="K198" i="36"/>
  <c r="K199" i="36"/>
  <c r="K200" i="36"/>
  <c r="K201" i="36"/>
  <c r="K203" i="36"/>
  <c r="K204" i="36"/>
  <c r="K205" i="36"/>
  <c r="K206" i="36"/>
  <c r="K207" i="36"/>
  <c r="K216" i="36"/>
  <c r="K223" i="36"/>
  <c r="K224" i="36"/>
  <c r="K225" i="36"/>
  <c r="K2" i="36"/>
  <c r="R6" i="10"/>
  <c r="R7" i="10"/>
  <c r="R9" i="10"/>
  <c r="R10" i="10"/>
  <c r="R11" i="10"/>
  <c r="R12" i="10"/>
  <c r="R13" i="10"/>
  <c r="R14" i="10"/>
  <c r="R15" i="10"/>
  <c r="R16" i="10"/>
  <c r="R17" i="10"/>
  <c r="R5" i="10"/>
  <c r="D22" i="9"/>
  <c r="C50" i="21"/>
  <c r="D50" i="21"/>
  <c r="E50" i="21"/>
  <c r="F50" i="21"/>
  <c r="C51" i="21"/>
  <c r="D51" i="21" s="1"/>
  <c r="E51" i="21" s="1"/>
  <c r="F51" i="21" s="1"/>
  <c r="E49" i="18"/>
  <c r="F49" i="18" s="1"/>
  <c r="E32" i="18"/>
  <c r="F32" i="18" s="1"/>
  <c r="E16" i="18"/>
  <c r="F16" i="18" s="1"/>
  <c r="L275" i="36" s="1"/>
  <c r="S276" i="41" s="1"/>
  <c r="E29" i="18"/>
  <c r="F29" i="18" s="1"/>
  <c r="D22" i="10"/>
  <c r="E22" i="10" s="1"/>
  <c r="L84" i="36" s="1"/>
  <c r="S85" i="41" s="1"/>
  <c r="E67" i="18"/>
  <c r="F67" i="18" s="1"/>
  <c r="E68" i="18"/>
  <c r="E28" i="18"/>
  <c r="F28" i="18" s="1"/>
  <c r="E35" i="18"/>
  <c r="F35" i="18" s="1"/>
  <c r="E34" i="18"/>
  <c r="F34" i="18" s="1"/>
  <c r="F73" i="18"/>
  <c r="H73" i="18" s="1"/>
  <c r="H394" i="36" s="1"/>
  <c r="J394" i="36" s="1"/>
  <c r="E36" i="18"/>
  <c r="F36" i="18" s="1"/>
  <c r="E65" i="18"/>
  <c r="F65" i="18" s="1"/>
  <c r="Q101" i="15"/>
  <c r="U101" i="15" s="1"/>
  <c r="Q102" i="15"/>
  <c r="R102" i="15" s="1"/>
  <c r="Q103" i="15"/>
  <c r="Q104" i="15"/>
  <c r="Q105" i="15"/>
  <c r="M267" i="41"/>
  <c r="M266" i="41"/>
  <c r="I8" i="36"/>
  <c r="D5" i="42"/>
  <c r="E5" i="42"/>
  <c r="F5" i="42"/>
  <c r="L437" i="36" s="1"/>
  <c r="S437" i="41" s="1"/>
  <c r="D6" i="42"/>
  <c r="E6" i="42"/>
  <c r="F6" i="42"/>
  <c r="L438" i="36" s="1"/>
  <c r="S438" i="41" s="1"/>
  <c r="D7" i="42"/>
  <c r="D8" i="42"/>
  <c r="E8" i="42"/>
  <c r="F8" i="42"/>
  <c r="L440" i="36" s="1"/>
  <c r="S440" i="41" s="1"/>
  <c r="D9" i="42"/>
  <c r="E9" i="42"/>
  <c r="F9" i="42"/>
  <c r="D10" i="42"/>
  <c r="E10" i="42"/>
  <c r="F10" i="42"/>
  <c r="L442" i="36" s="1"/>
  <c r="S442" i="41" s="1"/>
  <c r="D11" i="42"/>
  <c r="E11" i="42"/>
  <c r="F11" i="42"/>
  <c r="L443" i="36" s="1"/>
  <c r="S443" i="41" s="1"/>
  <c r="D12" i="42"/>
  <c r="E12" i="42"/>
  <c r="F12" i="42"/>
  <c r="D13" i="42"/>
  <c r="E13" i="42"/>
  <c r="F13" i="42"/>
  <c r="D14" i="42"/>
  <c r="E14" i="42"/>
  <c r="F14" i="42"/>
  <c r="L446" i="36" s="1"/>
  <c r="S446" i="41" s="1"/>
  <c r="D15" i="42"/>
  <c r="E15" i="42"/>
  <c r="F15" i="42"/>
  <c r="D16" i="42"/>
  <c r="E16" i="42"/>
  <c r="F16" i="42"/>
  <c r="D17" i="42"/>
  <c r="E17" i="42"/>
  <c r="F17" i="42"/>
  <c r="D18" i="42"/>
  <c r="E18" i="42"/>
  <c r="F18" i="42"/>
  <c r="L450" i="36" s="1"/>
  <c r="S450" i="41" s="1"/>
  <c r="D19" i="42"/>
  <c r="E19" i="42"/>
  <c r="F19" i="42"/>
  <c r="L451" i="36" s="1"/>
  <c r="S451" i="41" s="1"/>
  <c r="D20" i="42"/>
  <c r="E20" i="42"/>
  <c r="F20" i="42"/>
  <c r="L452" i="36" s="1"/>
  <c r="S452" i="41" s="1"/>
  <c r="D22" i="42"/>
  <c r="E22" i="42"/>
  <c r="F22" i="42"/>
  <c r="D23" i="42"/>
  <c r="E23" i="42"/>
  <c r="F23" i="42"/>
  <c r="L454" i="36" s="1"/>
  <c r="S454" i="41" s="1"/>
  <c r="D24" i="42"/>
  <c r="E24" i="42"/>
  <c r="F24" i="42"/>
  <c r="L455" i="36" s="1"/>
  <c r="S455" i="41" s="1"/>
  <c r="D25" i="42"/>
  <c r="E25" i="42"/>
  <c r="F25" i="42"/>
  <c r="L456" i="36" s="1"/>
  <c r="S456" i="41" s="1"/>
  <c r="D4" i="42"/>
  <c r="E7" i="42"/>
  <c r="F7" i="42"/>
  <c r="E4" i="42"/>
  <c r="F4" i="42"/>
  <c r="J457" i="36"/>
  <c r="Z1" i="21"/>
  <c r="AA1" i="21" s="1"/>
  <c r="AB1" i="21" s="1"/>
  <c r="O8" i="10"/>
  <c r="P8" i="10"/>
  <c r="O9" i="10"/>
  <c r="P9" i="10" s="1"/>
  <c r="O10" i="10"/>
  <c r="P10" i="10"/>
  <c r="O11" i="10"/>
  <c r="P11" i="10" s="1"/>
  <c r="O12" i="10"/>
  <c r="P12" i="10"/>
  <c r="O13" i="10"/>
  <c r="P13" i="10"/>
  <c r="O14" i="10"/>
  <c r="P14" i="10"/>
  <c r="O15" i="10"/>
  <c r="P15" i="10" s="1"/>
  <c r="O16" i="10"/>
  <c r="P16" i="10" s="1"/>
  <c r="O17" i="10"/>
  <c r="P17" i="10"/>
  <c r="O7" i="10"/>
  <c r="P7" i="10"/>
  <c r="F171" i="37"/>
  <c r="F157" i="37"/>
  <c r="N24" i="12"/>
  <c r="D250" i="36" s="1"/>
  <c r="F136" i="20"/>
  <c r="F122" i="20"/>
  <c r="F30" i="20"/>
  <c r="B30" i="20" s="1"/>
  <c r="B30" i="37" s="1"/>
  <c r="F16" i="20"/>
  <c r="B16" i="20" s="1"/>
  <c r="C16" i="20" s="1"/>
  <c r="J400" i="36"/>
  <c r="J401" i="36"/>
  <c r="J402" i="36"/>
  <c r="K402" i="36" s="1"/>
  <c r="J403" i="36"/>
  <c r="J404" i="36"/>
  <c r="J405" i="36"/>
  <c r="J406" i="36"/>
  <c r="J407" i="36"/>
  <c r="J408" i="36"/>
  <c r="J409" i="36"/>
  <c r="J410" i="36"/>
  <c r="J411" i="36"/>
  <c r="J412" i="36"/>
  <c r="J413" i="36"/>
  <c r="K413" i="36" s="1"/>
  <c r="J414" i="36"/>
  <c r="J415" i="36"/>
  <c r="J416" i="36"/>
  <c r="J417" i="36"/>
  <c r="J418" i="36"/>
  <c r="J419" i="36"/>
  <c r="J420" i="36"/>
  <c r="J421" i="36"/>
  <c r="J422" i="36"/>
  <c r="J423" i="36"/>
  <c r="J424" i="36"/>
  <c r="J425" i="36"/>
  <c r="J426" i="36"/>
  <c r="J427" i="36"/>
  <c r="J428" i="36"/>
  <c r="J429" i="36"/>
  <c r="J434" i="36"/>
  <c r="J435" i="36"/>
  <c r="D7" i="19"/>
  <c r="D10" i="6"/>
  <c r="E10" i="6" s="1"/>
  <c r="X37" i="6"/>
  <c r="G10" i="6"/>
  <c r="H460" i="36"/>
  <c r="J460" i="36"/>
  <c r="H10" i="6"/>
  <c r="L435" i="36"/>
  <c r="S435" i="41" s="1"/>
  <c r="L434" i="36"/>
  <c r="S434" i="41" s="1"/>
  <c r="R22" i="17"/>
  <c r="D435" i="36" s="1"/>
  <c r="D476" i="20"/>
  <c r="B476" i="20" s="1"/>
  <c r="R21" i="17"/>
  <c r="D434" i="36" s="1"/>
  <c r="D475" i="20"/>
  <c r="C475" i="20" s="1"/>
  <c r="E70" i="18"/>
  <c r="F70" i="18" s="1"/>
  <c r="L432" i="36" s="1"/>
  <c r="S432" i="41" s="1"/>
  <c r="L429" i="36"/>
  <c r="S429" i="41" s="1"/>
  <c r="L428" i="36"/>
  <c r="S428" i="41" s="1"/>
  <c r="L423" i="36"/>
  <c r="S423" i="41" s="1"/>
  <c r="L424" i="36"/>
  <c r="S424" i="41" s="1"/>
  <c r="L425" i="36"/>
  <c r="S425" i="41" s="1"/>
  <c r="L426" i="36"/>
  <c r="S426" i="41" s="1"/>
  <c r="L427" i="36"/>
  <c r="S427" i="41" s="1"/>
  <c r="L422" i="36"/>
  <c r="S422" i="41" s="1"/>
  <c r="L401" i="36"/>
  <c r="S401" i="41" s="1"/>
  <c r="L402" i="36"/>
  <c r="S402" i="41" s="1"/>
  <c r="L403" i="36"/>
  <c r="S403" i="41" s="1"/>
  <c r="L404" i="36"/>
  <c r="S404" i="41" s="1"/>
  <c r="L405" i="36"/>
  <c r="S405" i="41" s="1"/>
  <c r="L406" i="36"/>
  <c r="S406" i="41" s="1"/>
  <c r="L407" i="36"/>
  <c r="S407" i="41" s="1"/>
  <c r="L408" i="36"/>
  <c r="S408" i="41" s="1"/>
  <c r="L409" i="36"/>
  <c r="S409" i="41" s="1"/>
  <c r="L410" i="36"/>
  <c r="S410" i="41" s="1"/>
  <c r="L411" i="36"/>
  <c r="S411" i="41" s="1"/>
  <c r="L412" i="36"/>
  <c r="S412" i="41" s="1"/>
  <c r="L413" i="36"/>
  <c r="S413" i="41" s="1"/>
  <c r="L414" i="36"/>
  <c r="S414" i="41" s="1"/>
  <c r="L415" i="36"/>
  <c r="S415" i="41" s="1"/>
  <c r="L416" i="36"/>
  <c r="S416" i="41" s="1"/>
  <c r="L417" i="36"/>
  <c r="S417" i="41" s="1"/>
  <c r="L418" i="36"/>
  <c r="S418" i="41" s="1"/>
  <c r="L419" i="36"/>
  <c r="S419" i="41" s="1"/>
  <c r="L420" i="36"/>
  <c r="S420" i="41" s="1"/>
  <c r="L421" i="36"/>
  <c r="S421" i="41" s="1"/>
  <c r="L400" i="36"/>
  <c r="S400" i="41" s="1"/>
  <c r="F61" i="18"/>
  <c r="E57" i="18"/>
  <c r="F57" i="18" s="1"/>
  <c r="K93" i="41"/>
  <c r="K94" i="41"/>
  <c r="K95" i="41"/>
  <c r="K96" i="41"/>
  <c r="K97" i="41"/>
  <c r="K98" i="41"/>
  <c r="K99" i="41"/>
  <c r="K100" i="41"/>
  <c r="K101" i="41"/>
  <c r="K91" i="41"/>
  <c r="K5" i="6"/>
  <c r="K22" i="6"/>
  <c r="K25" i="6"/>
  <c r="D422" i="36"/>
  <c r="D416" i="36"/>
  <c r="D417" i="36"/>
  <c r="D418" i="36"/>
  <c r="D419" i="36"/>
  <c r="D420" i="36"/>
  <c r="D421" i="36"/>
  <c r="D415" i="36"/>
  <c r="D414" i="36"/>
  <c r="D401" i="36"/>
  <c r="D402" i="36"/>
  <c r="D403" i="36"/>
  <c r="D404" i="36"/>
  <c r="D405" i="36"/>
  <c r="D406" i="36"/>
  <c r="D407" i="36"/>
  <c r="D408" i="36"/>
  <c r="D409" i="36"/>
  <c r="D410" i="36"/>
  <c r="D411" i="36"/>
  <c r="D412" i="36"/>
  <c r="D413" i="36"/>
  <c r="D400" i="36"/>
  <c r="E19" i="18"/>
  <c r="F19" i="18" s="1"/>
  <c r="E69" i="18"/>
  <c r="F69" i="18" s="1"/>
  <c r="I69" i="18" s="1"/>
  <c r="AG6" i="14"/>
  <c r="AG7" i="14"/>
  <c r="AG8" i="14"/>
  <c r="AH8" i="14" s="1"/>
  <c r="AI8" i="14" s="1"/>
  <c r="AG9" i="14"/>
  <c r="AH9" i="14" s="1"/>
  <c r="I121" i="39" s="1"/>
  <c r="AG10" i="14"/>
  <c r="AH10" i="14" s="1"/>
  <c r="AG11" i="14"/>
  <c r="AH11" i="14" s="1"/>
  <c r="AG12" i="14"/>
  <c r="AH12" i="14" s="1"/>
  <c r="AG13" i="14"/>
  <c r="AH13" i="14" s="1"/>
  <c r="AG14" i="14"/>
  <c r="AH14" i="14" s="1"/>
  <c r="AG15" i="14"/>
  <c r="AH15" i="14" s="1"/>
  <c r="I123" i="39" s="1"/>
  <c r="AG16" i="14"/>
  <c r="AH16" i="14" s="1"/>
  <c r="AG17" i="14"/>
  <c r="AH17" i="14" s="1"/>
  <c r="AG18" i="14"/>
  <c r="AH18" i="14" s="1"/>
  <c r="AG19" i="14"/>
  <c r="AH19" i="14" s="1"/>
  <c r="I126" i="39" s="1"/>
  <c r="AG20" i="14"/>
  <c r="AH20" i="14" s="1"/>
  <c r="I127" i="39" s="1"/>
  <c r="AG21" i="14"/>
  <c r="AH21" i="14" s="1"/>
  <c r="AG22" i="14"/>
  <c r="AH22" i="14" s="1"/>
  <c r="AG23" i="14"/>
  <c r="AH23" i="14" s="1"/>
  <c r="AG24" i="14"/>
  <c r="AH24" i="14" s="1"/>
  <c r="AG25" i="14"/>
  <c r="AH25" i="14" s="1"/>
  <c r="AG26" i="14"/>
  <c r="AH26" i="14" s="1"/>
  <c r="AG27" i="14"/>
  <c r="AH27" i="14" s="1"/>
  <c r="AG28" i="14"/>
  <c r="AH28" i="14" s="1"/>
  <c r="AG29" i="14"/>
  <c r="AH29" i="14" s="1"/>
  <c r="AG30" i="14"/>
  <c r="AH30" i="14" s="1"/>
  <c r="AG31" i="14"/>
  <c r="AH31" i="14" s="1"/>
  <c r="AG32" i="14"/>
  <c r="AH32" i="14" s="1"/>
  <c r="AG5" i="14"/>
  <c r="AH5" i="14" s="1"/>
  <c r="AI5" i="14" s="1"/>
  <c r="O6" i="14"/>
  <c r="P6" i="14" s="1"/>
  <c r="Q6" i="14" s="1"/>
  <c r="O9" i="14"/>
  <c r="P9" i="14" s="1"/>
  <c r="Q9" i="14" s="1"/>
  <c r="O18" i="14"/>
  <c r="P18" i="14" s="1"/>
  <c r="Q18" i="14" s="1"/>
  <c r="O19" i="14"/>
  <c r="P19" i="14" s="1"/>
  <c r="Q19" i="14" s="1"/>
  <c r="O20" i="14"/>
  <c r="P20" i="14" s="1"/>
  <c r="Q20" i="14" s="1"/>
  <c r="O21" i="14"/>
  <c r="P21" i="14" s="1"/>
  <c r="Q21" i="14" s="1"/>
  <c r="O22" i="14"/>
  <c r="P22" i="14" s="1"/>
  <c r="Q22" i="14" s="1"/>
  <c r="O23" i="14"/>
  <c r="P23" i="14" s="1"/>
  <c r="Q23" i="14" s="1"/>
  <c r="O24" i="14"/>
  <c r="P24" i="14" s="1"/>
  <c r="Q24" i="14" s="1"/>
  <c r="O27" i="14"/>
  <c r="P27" i="14" s="1"/>
  <c r="Q27" i="14" s="1"/>
  <c r="O5" i="14"/>
  <c r="P5" i="14" s="1"/>
  <c r="Q5" i="14" s="1"/>
  <c r="F5" i="14"/>
  <c r="G5" i="14" s="1"/>
  <c r="H5" i="14" s="1"/>
  <c r="F6" i="14"/>
  <c r="G6" i="14" s="1"/>
  <c r="H6" i="14" s="1"/>
  <c r="F7" i="14"/>
  <c r="G8" i="14"/>
  <c r="H8" i="14" s="1"/>
  <c r="F9" i="14"/>
  <c r="G9" i="14" s="1"/>
  <c r="H9" i="14" s="1"/>
  <c r="F10" i="14"/>
  <c r="G10" i="14" s="1"/>
  <c r="H1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G16" i="14"/>
  <c r="H16" i="14" s="1"/>
  <c r="F17" i="14"/>
  <c r="G17" i="14" s="1"/>
  <c r="H17" i="14" s="1"/>
  <c r="G18" i="14"/>
  <c r="H18" i="14" s="1"/>
  <c r="F19" i="14"/>
  <c r="G19" i="14" s="1"/>
  <c r="H19" i="14" s="1"/>
  <c r="G20" i="14"/>
  <c r="H20" i="14" s="1"/>
  <c r="F21" i="14"/>
  <c r="G21" i="14" s="1"/>
  <c r="H21" i="14" s="1"/>
  <c r="G22" i="14"/>
  <c r="H22" i="14" s="1"/>
  <c r="F23" i="14"/>
  <c r="G23" i="14" s="1"/>
  <c r="H23" i="14" s="1"/>
  <c r="F24" i="14"/>
  <c r="G24" i="14" s="1"/>
  <c r="H24" i="14" s="1"/>
  <c r="F25" i="14"/>
  <c r="G25" i="14" s="1"/>
  <c r="H25" i="14" s="1"/>
  <c r="F26" i="14"/>
  <c r="G26" i="14" s="1"/>
  <c r="H26" i="14" s="1"/>
  <c r="F27" i="14"/>
  <c r="G27" i="14" s="1"/>
  <c r="H27" i="14" s="1"/>
  <c r="F28" i="14"/>
  <c r="G28" i="14" s="1"/>
  <c r="H28" i="14" s="1"/>
  <c r="F29" i="14"/>
  <c r="G29" i="14" s="1"/>
  <c r="H29" i="14" s="1"/>
  <c r="F31" i="14"/>
  <c r="G31" i="14" s="1"/>
  <c r="H31" i="14" s="1"/>
  <c r="J31" i="14" s="1"/>
  <c r="F32" i="14"/>
  <c r="G32" i="14" s="1"/>
  <c r="H32" i="14" s="1"/>
  <c r="L230" i="36"/>
  <c r="S231" i="41" s="1"/>
  <c r="L231" i="36"/>
  <c r="S232" i="41" s="1"/>
  <c r="L229" i="36"/>
  <c r="S230" i="41" s="1"/>
  <c r="E71" i="18"/>
  <c r="F71" i="18" s="1"/>
  <c r="H71" i="18" s="1"/>
  <c r="H370" i="36" s="1"/>
  <c r="E51" i="18"/>
  <c r="F51" i="18" s="1"/>
  <c r="L285" i="36" s="1"/>
  <c r="S286" i="41" s="1"/>
  <c r="E63" i="18"/>
  <c r="F63" i="18" s="1"/>
  <c r="E60" i="18"/>
  <c r="F60" i="18" s="1"/>
  <c r="L390" i="36" s="1"/>
  <c r="S391" i="41" s="1"/>
  <c r="E24" i="18"/>
  <c r="F24" i="18" s="1"/>
  <c r="E66" i="18"/>
  <c r="F66" i="18" s="1"/>
  <c r="E21" i="18"/>
  <c r="F21" i="18" s="1"/>
  <c r="E48" i="18"/>
  <c r="F48" i="18" s="1"/>
  <c r="L398" i="36" s="1"/>
  <c r="S399" i="41" s="1"/>
  <c r="E14" i="18"/>
  <c r="F14" i="18" s="1"/>
  <c r="K85" i="41"/>
  <c r="E56" i="18"/>
  <c r="F56" i="18" s="1"/>
  <c r="E50" i="18"/>
  <c r="F50" i="18" s="1"/>
  <c r="U51" i="18"/>
  <c r="V51" i="18" s="1"/>
  <c r="H4" i="42"/>
  <c r="H436" i="36"/>
  <c r="H108" i="36" s="1"/>
  <c r="I4" i="42"/>
  <c r="H5" i="42"/>
  <c r="H437" i="36"/>
  <c r="I5" i="42"/>
  <c r="H6" i="42"/>
  <c r="H438" i="36"/>
  <c r="J438" i="36" s="1"/>
  <c r="I6" i="42"/>
  <c r="H7" i="42"/>
  <c r="H439" i="36"/>
  <c r="I7" i="42"/>
  <c r="O32" i="6"/>
  <c r="O33" i="6"/>
  <c r="AP23" i="10"/>
  <c r="D87" i="36" s="1"/>
  <c r="AP22" i="10"/>
  <c r="D84" i="36" s="1"/>
  <c r="AM23" i="10"/>
  <c r="AM22" i="10"/>
  <c r="M5" i="6"/>
  <c r="M22" i="6"/>
  <c r="M25" i="6"/>
  <c r="L5" i="6"/>
  <c r="L22" i="6"/>
  <c r="L25" i="6"/>
  <c r="O25" i="6"/>
  <c r="E31" i="18"/>
  <c r="F31" i="18" s="1"/>
  <c r="E45" i="18"/>
  <c r="F45" i="18" s="1"/>
  <c r="H8" i="42"/>
  <c r="H440" i="36"/>
  <c r="H25" i="42"/>
  <c r="H456" i="36"/>
  <c r="H115" i="36" s="1"/>
  <c r="J115" i="36" s="1"/>
  <c r="K115" i="36" s="1"/>
  <c r="J456" i="36"/>
  <c r="I8" i="42"/>
  <c r="I25" i="42"/>
  <c r="L448" i="36"/>
  <c r="S448" i="41" s="1"/>
  <c r="H17" i="42"/>
  <c r="H449" i="36"/>
  <c r="I17" i="42"/>
  <c r="I24" i="42"/>
  <c r="H24" i="42"/>
  <c r="H455" i="36"/>
  <c r="I15" i="42"/>
  <c r="H15" i="42"/>
  <c r="H447" i="36"/>
  <c r="H121" i="36" s="1"/>
  <c r="J121" i="36" s="1"/>
  <c r="K121" i="36" s="1"/>
  <c r="I16" i="42"/>
  <c r="H16" i="42"/>
  <c r="H448" i="36" s="1"/>
  <c r="I14" i="42"/>
  <c r="H14" i="42"/>
  <c r="H446" i="36"/>
  <c r="H9" i="42"/>
  <c r="H441" i="36"/>
  <c r="H114" i="36" s="1"/>
  <c r="J114" i="36" s="1"/>
  <c r="K114" i="36" s="1"/>
  <c r="J441" i="36"/>
  <c r="I9" i="42"/>
  <c r="I22" i="42"/>
  <c r="H22" i="42"/>
  <c r="H453" i="36" s="1"/>
  <c r="H130" i="36" s="1"/>
  <c r="J130" i="36" s="1"/>
  <c r="K130" i="36" s="1"/>
  <c r="I13" i="42"/>
  <c r="H13" i="42"/>
  <c r="H445" i="36"/>
  <c r="H20" i="42"/>
  <c r="H452" i="36"/>
  <c r="H127" i="36" s="1"/>
  <c r="J452" i="36"/>
  <c r="I20" i="42"/>
  <c r="I12" i="42"/>
  <c r="H12" i="42"/>
  <c r="H444" i="36"/>
  <c r="H118" i="36" s="1"/>
  <c r="J118" i="36" s="1"/>
  <c r="K118" i="36" s="1"/>
  <c r="J444" i="36"/>
  <c r="I23" i="42"/>
  <c r="H23" i="42"/>
  <c r="H454" i="36" s="1"/>
  <c r="H19" i="42"/>
  <c r="H451" i="36"/>
  <c r="I19" i="42"/>
  <c r="H11" i="42"/>
  <c r="H443" i="36"/>
  <c r="H126" i="36" s="1"/>
  <c r="J126" i="36" s="1"/>
  <c r="K126" i="36" s="1"/>
  <c r="J443" i="36"/>
  <c r="I11" i="42"/>
  <c r="H18" i="42"/>
  <c r="H450" i="36"/>
  <c r="I18" i="42"/>
  <c r="H10" i="42"/>
  <c r="H442" i="36" s="1"/>
  <c r="I10" i="42"/>
  <c r="D24" i="10"/>
  <c r="E24" i="10"/>
  <c r="D23" i="10"/>
  <c r="E23" i="10"/>
  <c r="L87" i="36" s="1"/>
  <c r="S88" i="41" s="1"/>
  <c r="AO23" i="10"/>
  <c r="AN23" i="10"/>
  <c r="AN22" i="10"/>
  <c r="AO22" i="10"/>
  <c r="P28" i="14"/>
  <c r="Q28" i="14"/>
  <c r="N28" i="14"/>
  <c r="D4" i="11"/>
  <c r="D5" i="11"/>
  <c r="D3" i="11"/>
  <c r="S28" i="14"/>
  <c r="R28" i="14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4" i="41"/>
  <c r="E76" i="41"/>
  <c r="E77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253" i="41"/>
  <c r="E254" i="41"/>
  <c r="E255" i="41"/>
  <c r="E256" i="41"/>
  <c r="E257" i="41"/>
  <c r="E258" i="41"/>
  <c r="E259" i="41"/>
  <c r="E260" i="41"/>
  <c r="E261" i="41"/>
  <c r="E262" i="41"/>
  <c r="E263" i="41"/>
  <c r="E264" i="41"/>
  <c r="E266" i="41"/>
  <c r="E267" i="41"/>
  <c r="E269" i="41"/>
  <c r="E270" i="41"/>
  <c r="E271" i="41"/>
  <c r="E272" i="41"/>
  <c r="E273" i="41"/>
  <c r="E274" i="41"/>
  <c r="E275" i="41"/>
  <c r="E276" i="41"/>
  <c r="E277" i="41"/>
  <c r="E278" i="41"/>
  <c r="E279" i="41"/>
  <c r="E280" i="41"/>
  <c r="E281" i="41"/>
  <c r="E282" i="41"/>
  <c r="E283" i="41"/>
  <c r="E284" i="41"/>
  <c r="E285" i="41"/>
  <c r="E286" i="41"/>
  <c r="E287" i="41"/>
  <c r="E288" i="41"/>
  <c r="E289" i="41"/>
  <c r="E290" i="41"/>
  <c r="E291" i="41"/>
  <c r="E292" i="41"/>
  <c r="E293" i="41"/>
  <c r="E294" i="41"/>
  <c r="E295" i="41"/>
  <c r="E296" i="41"/>
  <c r="E297" i="41"/>
  <c r="E298" i="41"/>
  <c r="E299" i="41"/>
  <c r="E300" i="41"/>
  <c r="E301" i="41"/>
  <c r="E302" i="41"/>
  <c r="E303" i="41"/>
  <c r="E304" i="41"/>
  <c r="E305" i="41"/>
  <c r="E306" i="41"/>
  <c r="E307" i="41"/>
  <c r="E308" i="41"/>
  <c r="E309" i="41"/>
  <c r="E310" i="41"/>
  <c r="E311" i="41"/>
  <c r="E312" i="41"/>
  <c r="E313" i="41"/>
  <c r="E314" i="41"/>
  <c r="E315" i="41"/>
  <c r="E316" i="41"/>
  <c r="E317" i="41"/>
  <c r="E318" i="41"/>
  <c r="E319" i="41"/>
  <c r="E320" i="41"/>
  <c r="E321" i="41"/>
  <c r="E322" i="41"/>
  <c r="E323" i="41"/>
  <c r="E324" i="41"/>
  <c r="E325" i="41"/>
  <c r="E326" i="41"/>
  <c r="E328" i="41"/>
  <c r="E329" i="41"/>
  <c r="E331" i="41"/>
  <c r="E332" i="41"/>
  <c r="E333" i="41"/>
  <c r="E334" i="41"/>
  <c r="E335" i="41"/>
  <c r="E336" i="41"/>
  <c r="E337" i="41"/>
  <c r="E338" i="41"/>
  <c r="E339" i="41"/>
  <c r="E340" i="41"/>
  <c r="E341" i="41"/>
  <c r="E342" i="41"/>
  <c r="E343" i="41"/>
  <c r="E344" i="41"/>
  <c r="E345" i="41"/>
  <c r="E346" i="41"/>
  <c r="E347" i="41"/>
  <c r="E348" i="41"/>
  <c r="E349" i="41"/>
  <c r="E350" i="41"/>
  <c r="E351" i="41"/>
  <c r="E352" i="41"/>
  <c r="E353" i="41"/>
  <c r="E354" i="41"/>
  <c r="E355" i="41"/>
  <c r="E356" i="41"/>
  <c r="E357" i="41"/>
  <c r="E358" i="41"/>
  <c r="E359" i="41"/>
  <c r="E360" i="41"/>
  <c r="E361" i="41"/>
  <c r="E362" i="41"/>
  <c r="E363" i="41"/>
  <c r="E364" i="41"/>
  <c r="E365" i="41"/>
  <c r="E366" i="41"/>
  <c r="E367" i="41"/>
  <c r="E368" i="41"/>
  <c r="E369" i="41"/>
  <c r="E370" i="41"/>
  <c r="E371" i="41"/>
  <c r="E372" i="41"/>
  <c r="E373" i="41"/>
  <c r="E374" i="41"/>
  <c r="E375" i="41"/>
  <c r="E376" i="41"/>
  <c r="E377" i="41"/>
  <c r="E378" i="41"/>
  <c r="E379" i="41"/>
  <c r="E380" i="41"/>
  <c r="E381" i="41"/>
  <c r="E382" i="41"/>
  <c r="E383" i="41"/>
  <c r="E384" i="41"/>
  <c r="E385" i="41"/>
  <c r="E386" i="41"/>
  <c r="E3" i="41"/>
  <c r="F12" i="34"/>
  <c r="L207" i="36" s="1"/>
  <c r="S208" i="41" s="1"/>
  <c r="F13" i="34"/>
  <c r="L106" i="36" s="1"/>
  <c r="S107" i="41" s="1"/>
  <c r="L105" i="36"/>
  <c r="S106" i="41" s="1"/>
  <c r="F44" i="18"/>
  <c r="I162" i="36"/>
  <c r="I163" i="36"/>
  <c r="I164" i="36"/>
  <c r="I165" i="36"/>
  <c r="I166" i="36"/>
  <c r="I167" i="36"/>
  <c r="I168" i="36"/>
  <c r="I169" i="36"/>
  <c r="I170" i="36"/>
  <c r="I171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D7" i="6"/>
  <c r="E7" i="6" s="1"/>
  <c r="E18" i="18"/>
  <c r="F18" i="18" s="1"/>
  <c r="E62" i="18"/>
  <c r="F62" i="18" s="1"/>
  <c r="I62" i="18" s="1"/>
  <c r="E22" i="18"/>
  <c r="F22" i="18" s="1"/>
  <c r="E12" i="18"/>
  <c r="F12" i="18" s="1"/>
  <c r="E11" i="18"/>
  <c r="F11" i="18" s="1"/>
  <c r="I11" i="18" s="1"/>
  <c r="E23" i="18"/>
  <c r="F23" i="18" s="1"/>
  <c r="E37" i="18"/>
  <c r="F37" i="18" s="1"/>
  <c r="L379" i="36" s="1"/>
  <c r="S380" i="41" s="1"/>
  <c r="E41" i="18"/>
  <c r="F41" i="18" s="1"/>
  <c r="E27" i="18"/>
  <c r="F27" i="18" s="1"/>
  <c r="L220" i="36" s="1"/>
  <c r="S221" i="41" s="1"/>
  <c r="E30" i="18"/>
  <c r="F30" i="18" s="1"/>
  <c r="L269" i="36" s="1"/>
  <c r="S270" i="41" s="1"/>
  <c r="E42" i="18"/>
  <c r="F42" i="18" s="1"/>
  <c r="L243" i="36" s="1"/>
  <c r="S244" i="41" s="1"/>
  <c r="E43" i="18"/>
  <c r="F43" i="18" s="1"/>
  <c r="E46" i="18"/>
  <c r="F46" i="18" s="1"/>
  <c r="E163" i="32" s="1"/>
  <c r="F163" i="32" s="1"/>
  <c r="J153" i="39" s="1"/>
  <c r="K153" i="39" s="1"/>
  <c r="E52" i="18"/>
  <c r="F52" i="18" s="1"/>
  <c r="E53" i="18"/>
  <c r="F53" i="18" s="1"/>
  <c r="E162" i="32" s="1"/>
  <c r="F162" i="32" s="1"/>
  <c r="J152" i="39" s="1"/>
  <c r="K152" i="39" s="1"/>
  <c r="E55" i="18"/>
  <c r="F55" i="18" s="1"/>
  <c r="E20" i="18"/>
  <c r="F20" i="18" s="1"/>
  <c r="I20" i="18" s="1"/>
  <c r="E7" i="18"/>
  <c r="F7" i="18" s="1"/>
  <c r="I7" i="18" s="1"/>
  <c r="J7" i="18" s="1"/>
  <c r="E54" i="18"/>
  <c r="F54" i="18" s="1"/>
  <c r="H54" i="18" s="1"/>
  <c r="H312" i="36" s="1"/>
  <c r="J312" i="36" s="1"/>
  <c r="F40" i="18"/>
  <c r="E58" i="18"/>
  <c r="F58" i="18" s="1"/>
  <c r="H58" i="18" s="1"/>
  <c r="H341" i="36" s="1"/>
  <c r="J341" i="36" s="1"/>
  <c r="E59" i="18"/>
  <c r="F59" i="18" s="1"/>
  <c r="L342" i="36" s="1"/>
  <c r="S343" i="41" s="1"/>
  <c r="E38" i="18"/>
  <c r="F38" i="18" s="1"/>
  <c r="E39" i="18"/>
  <c r="F39" i="18" s="1"/>
  <c r="E72" i="18"/>
  <c r="F72" i="18" s="1"/>
  <c r="E17" i="18"/>
  <c r="F17" i="18" s="1"/>
  <c r="D4" i="6"/>
  <c r="E4" i="6" s="1"/>
  <c r="S4" i="6" s="1"/>
  <c r="T4" i="6" s="1"/>
  <c r="W13" i="6"/>
  <c r="X13" i="6" s="1"/>
  <c r="W19" i="6"/>
  <c r="AA19" i="6" s="1"/>
  <c r="D27" i="36" s="1"/>
  <c r="W31" i="6"/>
  <c r="F161" i="20" s="1"/>
  <c r="F55" i="20" s="1"/>
  <c r="J377" i="36"/>
  <c r="J376" i="36"/>
  <c r="J375" i="36"/>
  <c r="H4" i="6"/>
  <c r="I14" i="30"/>
  <c r="D353" i="20" s="1"/>
  <c r="D173" i="36" s="1"/>
  <c r="I13" i="30"/>
  <c r="D352" i="20" s="1"/>
  <c r="D172" i="36" s="1"/>
  <c r="I12" i="30"/>
  <c r="D351" i="20" s="1"/>
  <c r="D171" i="36" s="1"/>
  <c r="I11" i="30"/>
  <c r="D350" i="20" s="1"/>
  <c r="D170" i="36" s="1"/>
  <c r="I10" i="30"/>
  <c r="D349" i="20" s="1"/>
  <c r="D169" i="36" s="1"/>
  <c r="I9" i="30"/>
  <c r="D348" i="20" s="1"/>
  <c r="C348" i="20" s="1"/>
  <c r="I8" i="30"/>
  <c r="D347" i="20" s="1"/>
  <c r="D167" i="36" s="1"/>
  <c r="I7" i="30"/>
  <c r="D346" i="20" s="1"/>
  <c r="D166" i="36" s="1"/>
  <c r="I6" i="30"/>
  <c r="D345" i="20" s="1"/>
  <c r="D165" i="36" s="1"/>
  <c r="I5" i="30"/>
  <c r="D344" i="20" s="1"/>
  <c r="D164" i="36" s="1"/>
  <c r="I4" i="30"/>
  <c r="D343" i="20" s="1"/>
  <c r="D163" i="36" s="1"/>
  <c r="I3" i="30"/>
  <c r="D342" i="20" s="1"/>
  <c r="D162" i="36" s="1"/>
  <c r="X43" i="21"/>
  <c r="D375" i="36" s="1"/>
  <c r="X48" i="21"/>
  <c r="F256" i="37" s="1"/>
  <c r="G4" i="6"/>
  <c r="H17" i="36" s="1"/>
  <c r="J17" i="36" s="1"/>
  <c r="D5" i="6"/>
  <c r="E5" i="6" s="1"/>
  <c r="P5" i="6" s="1"/>
  <c r="D19" i="6"/>
  <c r="E19" i="6" s="1"/>
  <c r="S19" i="6" s="1"/>
  <c r="T19" i="6" s="1"/>
  <c r="D29" i="6"/>
  <c r="E29" i="6" s="1"/>
  <c r="S29" i="6" s="1"/>
  <c r="T29" i="6" s="1"/>
  <c r="D32" i="6"/>
  <c r="E32" i="6" s="1"/>
  <c r="D33" i="6"/>
  <c r="E33" i="6" s="1"/>
  <c r="I36" i="36"/>
  <c r="I37" i="36"/>
  <c r="I45" i="36"/>
  <c r="I47" i="36"/>
  <c r="I48" i="36"/>
  <c r="I78" i="36"/>
  <c r="I81" i="36"/>
  <c r="I82" i="36"/>
  <c r="I90" i="36"/>
  <c r="I92" i="36"/>
  <c r="I93" i="36"/>
  <c r="I94" i="36"/>
  <c r="I95" i="36"/>
  <c r="I96" i="36"/>
  <c r="I97" i="36"/>
  <c r="I98" i="36"/>
  <c r="I99" i="36"/>
  <c r="I100" i="36"/>
  <c r="I103" i="36"/>
  <c r="I104" i="36"/>
  <c r="I105" i="36"/>
  <c r="I106" i="36"/>
  <c r="I107" i="36"/>
  <c r="I117" i="36"/>
  <c r="I129" i="36"/>
  <c r="I133" i="36"/>
  <c r="I134" i="36"/>
  <c r="I135" i="36"/>
  <c r="I136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72" i="36"/>
  <c r="I173" i="36"/>
  <c r="I174" i="36"/>
  <c r="I175" i="36"/>
  <c r="I198" i="36"/>
  <c r="I199" i="36"/>
  <c r="I200" i="36"/>
  <c r="I201" i="36"/>
  <c r="I203" i="36"/>
  <c r="I204" i="36"/>
  <c r="I205" i="36"/>
  <c r="I206" i="36"/>
  <c r="I207" i="36"/>
  <c r="I216" i="36"/>
  <c r="I223" i="36"/>
  <c r="I224" i="36"/>
  <c r="I225" i="36"/>
  <c r="M15" i="10"/>
  <c r="M6" i="10"/>
  <c r="S6" i="10"/>
  <c r="M8" i="10"/>
  <c r="M10" i="10"/>
  <c r="M12" i="10"/>
  <c r="M13" i="10"/>
  <c r="M16" i="10"/>
  <c r="M17" i="10"/>
  <c r="M5" i="10"/>
  <c r="S5" i="10"/>
  <c r="C48" i="21"/>
  <c r="D48" i="21"/>
  <c r="E48" i="21" s="1"/>
  <c r="F48" i="21" s="1"/>
  <c r="L377" i="36" s="1"/>
  <c r="S378" i="41" s="1"/>
  <c r="C44" i="21"/>
  <c r="D44" i="21"/>
  <c r="E44" i="21" s="1"/>
  <c r="F44" i="21" s="1"/>
  <c r="I44" i="21" s="1"/>
  <c r="J44" i="21" s="1"/>
  <c r="K44" i="21" s="1"/>
  <c r="C43" i="21"/>
  <c r="D43" i="21" s="1"/>
  <c r="E43" i="21" s="1"/>
  <c r="J374" i="36"/>
  <c r="L158" i="36"/>
  <c r="S159" i="41" s="1"/>
  <c r="G146" i="32"/>
  <c r="G145" i="32"/>
  <c r="G144" i="32"/>
  <c r="G143" i="32"/>
  <c r="G142" i="32"/>
  <c r="G141" i="32"/>
  <c r="G140" i="32"/>
  <c r="G139" i="32"/>
  <c r="G138" i="32"/>
  <c r="G137" i="32"/>
  <c r="G136" i="32"/>
  <c r="G135" i="32"/>
  <c r="G134" i="32"/>
  <c r="AB8" i="14"/>
  <c r="AC8" i="14"/>
  <c r="AD8" i="14" s="1"/>
  <c r="AB9" i="14"/>
  <c r="AC9" i="14"/>
  <c r="AD9" i="14" s="1"/>
  <c r="AB13" i="14"/>
  <c r="AC13" i="14"/>
  <c r="AD13" i="14" s="1"/>
  <c r="AB15" i="14"/>
  <c r="AC15" i="14"/>
  <c r="AD15" i="14" s="1"/>
  <c r="AB17" i="14"/>
  <c r="AC17" i="14"/>
  <c r="AD17" i="14" s="1"/>
  <c r="AB18" i="14"/>
  <c r="AC18" i="14"/>
  <c r="AD18" i="14" s="1"/>
  <c r="AB19" i="14"/>
  <c r="AC19" i="14"/>
  <c r="AD19" i="14" s="1"/>
  <c r="AB20" i="14"/>
  <c r="AC20" i="14"/>
  <c r="AD20" i="14" s="1"/>
  <c r="AB21" i="14"/>
  <c r="AC21" i="14"/>
  <c r="AD21" i="14" s="1"/>
  <c r="AB26" i="14"/>
  <c r="AC26" i="14"/>
  <c r="AD26" i="14" s="1"/>
  <c r="AB27" i="14"/>
  <c r="AC27" i="14"/>
  <c r="AD27" i="14" s="1"/>
  <c r="AB5" i="14"/>
  <c r="AC5" i="14"/>
  <c r="AD5" i="14" s="1"/>
  <c r="H64" i="39"/>
  <c r="H60" i="39"/>
  <c r="H59" i="39"/>
  <c r="H58" i="39"/>
  <c r="H57" i="39"/>
  <c r="H56" i="39"/>
  <c r="H55" i="39"/>
  <c r="H54" i="39"/>
  <c r="H53" i="39"/>
  <c r="H52" i="39"/>
  <c r="H51" i="39"/>
  <c r="H7" i="39"/>
  <c r="J7" i="39" s="1"/>
  <c r="K7" i="39" s="1"/>
  <c r="H11" i="39"/>
  <c r="J11" i="39"/>
  <c r="K11" i="39"/>
  <c r="H17" i="39"/>
  <c r="H34" i="39"/>
  <c r="J34" i="39" s="1"/>
  <c r="K34" i="39" s="1"/>
  <c r="H35" i="39"/>
  <c r="J35" i="39"/>
  <c r="K35" i="39"/>
  <c r="H36" i="39"/>
  <c r="J36" i="39"/>
  <c r="K36" i="39"/>
  <c r="J108" i="32"/>
  <c r="J107" i="32"/>
  <c r="H31" i="32"/>
  <c r="H30" i="32"/>
  <c r="H13" i="32"/>
  <c r="H4" i="32"/>
  <c r="J17" i="39"/>
  <c r="K17" i="39"/>
  <c r="G10" i="10"/>
  <c r="S10" i="10"/>
  <c r="J369" i="36"/>
  <c r="J351" i="36"/>
  <c r="J352" i="36"/>
  <c r="J353" i="36"/>
  <c r="J354" i="36"/>
  <c r="J355" i="36"/>
  <c r="J356" i="36"/>
  <c r="J357" i="36"/>
  <c r="J358" i="36"/>
  <c r="J359" i="36"/>
  <c r="J360" i="36"/>
  <c r="J361" i="36"/>
  <c r="J349" i="36"/>
  <c r="J350" i="36"/>
  <c r="D15" i="6"/>
  <c r="E15" i="6" s="1"/>
  <c r="S15" i="6" s="1"/>
  <c r="T15" i="6" s="1"/>
  <c r="AH35" i="14"/>
  <c r="AH34" i="14"/>
  <c r="D349" i="36" s="1"/>
  <c r="D434" i="20"/>
  <c r="B434" i="20" s="1"/>
  <c r="Z35" i="14"/>
  <c r="Z34" i="14"/>
  <c r="L350" i="36"/>
  <c r="S351" i="41" s="1"/>
  <c r="AI35" i="14"/>
  <c r="D435" i="20"/>
  <c r="C435" i="20" s="1"/>
  <c r="AI34" i="14"/>
  <c r="H15" i="6"/>
  <c r="H10" i="32"/>
  <c r="H14" i="39"/>
  <c r="J14" i="39"/>
  <c r="K14" i="39"/>
  <c r="H134" i="32"/>
  <c r="H331" i="36" s="1"/>
  <c r="J331" i="36" s="1"/>
  <c r="J118" i="39"/>
  <c r="K118" i="39"/>
  <c r="J326" i="36"/>
  <c r="J327" i="36"/>
  <c r="J328" i="36"/>
  <c r="J329" i="36"/>
  <c r="J236" i="36"/>
  <c r="J237" i="36"/>
  <c r="C267" i="20"/>
  <c r="C269" i="20"/>
  <c r="J24" i="12"/>
  <c r="F204" i="20"/>
  <c r="F100" i="20" s="1"/>
  <c r="K24" i="12"/>
  <c r="I12" i="39"/>
  <c r="I11" i="39"/>
  <c r="I18" i="39"/>
  <c r="I19" i="39"/>
  <c r="I23" i="39"/>
  <c r="I20" i="39"/>
  <c r="I21" i="39"/>
  <c r="I22" i="39"/>
  <c r="I69" i="39"/>
  <c r="I7" i="39"/>
  <c r="I14" i="39"/>
  <c r="J348" i="36"/>
  <c r="AO8" i="14"/>
  <c r="AO12" i="14"/>
  <c r="L23" i="9"/>
  <c r="Z23" i="9" s="1"/>
  <c r="L24" i="9"/>
  <c r="M24" i="9"/>
  <c r="L25" i="9"/>
  <c r="D282" i="20" s="1"/>
  <c r="D203" i="36" s="1"/>
  <c r="Z25" i="9"/>
  <c r="L26" i="9"/>
  <c r="Z26" i="9" s="1"/>
  <c r="M26" i="9"/>
  <c r="L27" i="9"/>
  <c r="M27" i="9"/>
  <c r="L28" i="9"/>
  <c r="D273" i="36" s="1"/>
  <c r="L29" i="9"/>
  <c r="M29" i="9"/>
  <c r="L22" i="9"/>
  <c r="D29" i="9"/>
  <c r="D26" i="9"/>
  <c r="I26" i="9" s="1"/>
  <c r="J26" i="9" s="1"/>
  <c r="D25" i="9"/>
  <c r="I25" i="9" s="1"/>
  <c r="J25" i="9" s="1"/>
  <c r="D23" i="9"/>
  <c r="I23" i="9" s="1"/>
  <c r="J23" i="9" s="1"/>
  <c r="I22" i="9"/>
  <c r="J22" i="9" s="1"/>
  <c r="C28" i="9"/>
  <c r="D28" i="9"/>
  <c r="I28" i="9" s="1"/>
  <c r="J28" i="9" s="1"/>
  <c r="W8" i="14"/>
  <c r="X8" i="14"/>
  <c r="Y8" i="14"/>
  <c r="Z8" i="14"/>
  <c r="W9" i="14"/>
  <c r="X9" i="14"/>
  <c r="Y9" i="14"/>
  <c r="Z9" i="14"/>
  <c r="W13" i="14"/>
  <c r="X13" i="14"/>
  <c r="Y13" i="14"/>
  <c r="Z13" i="14"/>
  <c r="W15" i="14"/>
  <c r="X15" i="14"/>
  <c r="Y15" i="14"/>
  <c r="Z15" i="14"/>
  <c r="L334" i="36"/>
  <c r="S335" i="41" s="1"/>
  <c r="W17" i="14"/>
  <c r="X17" i="14"/>
  <c r="Y17" i="14"/>
  <c r="Z17" i="14"/>
  <c r="W18" i="14"/>
  <c r="X18" i="14"/>
  <c r="Y18" i="14"/>
  <c r="Z18" i="14"/>
  <c r="W19" i="14"/>
  <c r="X19" i="14"/>
  <c r="Y19" i="14"/>
  <c r="Z19" i="14"/>
  <c r="W20" i="14"/>
  <c r="X20" i="14"/>
  <c r="Y20" i="14"/>
  <c r="Z20" i="14"/>
  <c r="W21" i="14"/>
  <c r="X21" i="14"/>
  <c r="Y21" i="14"/>
  <c r="Z21" i="14"/>
  <c r="W26" i="14"/>
  <c r="X26" i="14"/>
  <c r="Y26" i="14"/>
  <c r="Z26" i="14"/>
  <c r="W27" i="14"/>
  <c r="X27" i="14"/>
  <c r="Y27" i="14"/>
  <c r="Z27" i="14"/>
  <c r="W5" i="14"/>
  <c r="X5" i="14"/>
  <c r="Y5" i="14"/>
  <c r="Z5" i="14"/>
  <c r="P16" i="14"/>
  <c r="Q16" i="14"/>
  <c r="N6" i="14"/>
  <c r="L352" i="36"/>
  <c r="S353" i="41" s="1"/>
  <c r="N9" i="14"/>
  <c r="L353" i="36"/>
  <c r="S354" i="41" s="1"/>
  <c r="L354" i="36"/>
  <c r="S355" i="41" s="1"/>
  <c r="N16" i="14"/>
  <c r="L358" i="36"/>
  <c r="S359" i="41" s="1"/>
  <c r="N18" i="14"/>
  <c r="L360" i="36"/>
  <c r="S361" i="41" s="1"/>
  <c r="N19" i="14"/>
  <c r="L359" i="36"/>
  <c r="S360" i="41" s="1"/>
  <c r="N20" i="14"/>
  <c r="L361" i="36"/>
  <c r="S362" i="41" s="1"/>
  <c r="N21" i="14"/>
  <c r="L355" i="36"/>
  <c r="S356" i="41" s="1"/>
  <c r="N22" i="14"/>
  <c r="L356" i="36"/>
  <c r="S357" i="41" s="1"/>
  <c r="N23" i="14"/>
  <c r="L357" i="36"/>
  <c r="S358" i="41" s="1"/>
  <c r="N24" i="14"/>
  <c r="N27" i="14"/>
  <c r="N5" i="14"/>
  <c r="D27" i="12"/>
  <c r="D7" i="14"/>
  <c r="E7" i="14" s="1"/>
  <c r="C30" i="14"/>
  <c r="D30" i="14"/>
  <c r="E30" i="14" s="1"/>
  <c r="C29" i="14"/>
  <c r="D29" i="14"/>
  <c r="E29" i="14" s="1"/>
  <c r="L132" i="36" s="1"/>
  <c r="S133" i="41" s="1"/>
  <c r="C28" i="14"/>
  <c r="D28" i="14"/>
  <c r="E28" i="14" s="1"/>
  <c r="L131" i="36" s="1"/>
  <c r="S132" i="41" s="1"/>
  <c r="C27" i="14"/>
  <c r="C26" i="14"/>
  <c r="D26" i="14"/>
  <c r="E26" i="14" s="1"/>
  <c r="L130" i="36" s="1"/>
  <c r="S131" i="41" s="1"/>
  <c r="C25" i="14"/>
  <c r="D25" i="14"/>
  <c r="E25" i="14" s="1"/>
  <c r="L128" i="36" s="1"/>
  <c r="S129" i="41" s="1"/>
  <c r="C24" i="14"/>
  <c r="C23" i="14"/>
  <c r="C22" i="14"/>
  <c r="D22" i="14"/>
  <c r="E22" i="14" s="1"/>
  <c r="L125" i="36" s="1"/>
  <c r="S126" i="41" s="1"/>
  <c r="C21" i="14"/>
  <c r="D21" i="14"/>
  <c r="E21" i="14" s="1"/>
  <c r="L124" i="36" s="1"/>
  <c r="S125" i="41" s="1"/>
  <c r="C20" i="14"/>
  <c r="D20" i="14"/>
  <c r="E20" i="14" s="1"/>
  <c r="L123" i="36" s="1"/>
  <c r="S124" i="41" s="1"/>
  <c r="C19" i="14"/>
  <c r="C18" i="14"/>
  <c r="D18" i="14"/>
  <c r="E18" i="14" s="1"/>
  <c r="L121" i="36" s="1"/>
  <c r="S122" i="41" s="1"/>
  <c r="C17" i="14"/>
  <c r="D17" i="14"/>
  <c r="E17" i="14" s="1"/>
  <c r="L120" i="36" s="1"/>
  <c r="S121" i="41" s="1"/>
  <c r="C16" i="14"/>
  <c r="D16" i="14"/>
  <c r="E16" i="14" s="1"/>
  <c r="L119" i="36" s="1"/>
  <c r="S120" i="41" s="1"/>
  <c r="C15" i="14"/>
  <c r="C14" i="14"/>
  <c r="D14" i="14"/>
  <c r="E14" i="14" s="1"/>
  <c r="L117" i="36" s="1"/>
  <c r="S118" i="41" s="1"/>
  <c r="C13" i="14"/>
  <c r="D13" i="14"/>
  <c r="E13" i="14" s="1"/>
  <c r="C12" i="14"/>
  <c r="D12" i="14"/>
  <c r="E12" i="14" s="1"/>
  <c r="L115" i="36" s="1"/>
  <c r="S116" i="41" s="1"/>
  <c r="C11" i="14"/>
  <c r="D11" i="14"/>
  <c r="E11" i="14" s="1"/>
  <c r="L114" i="36" s="1"/>
  <c r="S115" i="41" s="1"/>
  <c r="C10" i="14"/>
  <c r="D10" i="14"/>
  <c r="E10" i="14" s="1"/>
  <c r="L113" i="36" s="1"/>
  <c r="S114" i="41" s="1"/>
  <c r="C9" i="14"/>
  <c r="D9" i="14"/>
  <c r="E9" i="14" s="1"/>
  <c r="L112" i="36" s="1"/>
  <c r="S113" i="41" s="1"/>
  <c r="C8" i="14"/>
  <c r="D8" i="14"/>
  <c r="E8" i="14" s="1"/>
  <c r="L111" i="36" s="1"/>
  <c r="S112" i="41" s="1"/>
  <c r="C6" i="14"/>
  <c r="D6" i="14"/>
  <c r="E6" i="14" s="1"/>
  <c r="C5" i="14"/>
  <c r="F250" i="37"/>
  <c r="Z22" i="9"/>
  <c r="F202" i="20"/>
  <c r="M28" i="9"/>
  <c r="L338" i="36"/>
  <c r="S339" i="41" s="1"/>
  <c r="L336" i="36"/>
  <c r="S337" i="41" s="1"/>
  <c r="L337" i="36"/>
  <c r="S338" i="41" s="1"/>
  <c r="L332" i="36"/>
  <c r="S333" i="41" s="1"/>
  <c r="L335" i="36"/>
  <c r="S336" i="41" s="1"/>
  <c r="L331" i="36"/>
  <c r="S332" i="41" s="1"/>
  <c r="L351" i="36"/>
  <c r="S352" i="41" s="1"/>
  <c r="L348" i="36"/>
  <c r="S349" i="41" s="1"/>
  <c r="L333" i="36"/>
  <c r="S334" i="41" s="1"/>
  <c r="I29" i="9"/>
  <c r="J29" i="9"/>
  <c r="L264" i="36"/>
  <c r="S265" i="41" s="1"/>
  <c r="R16" i="14"/>
  <c r="M23" i="9"/>
  <c r="S16" i="14"/>
  <c r="Z28" i="9"/>
  <c r="AA28" i="9" s="1"/>
  <c r="Z29" i="9"/>
  <c r="D27" i="14"/>
  <c r="E27" i="14" s="1"/>
  <c r="L254" i="36" s="1"/>
  <c r="S255" i="41" s="1"/>
  <c r="D19" i="14"/>
  <c r="E19" i="14" s="1"/>
  <c r="L122" i="36" s="1"/>
  <c r="S123" i="41" s="1"/>
  <c r="D24" i="14"/>
  <c r="E24" i="14" s="1"/>
  <c r="L127" i="36" s="1"/>
  <c r="S128" i="41" s="1"/>
  <c r="D5" i="14"/>
  <c r="E5" i="14" s="1"/>
  <c r="L108" i="36" s="1"/>
  <c r="S109" i="41" s="1"/>
  <c r="D23" i="14"/>
  <c r="E23" i="14" s="1"/>
  <c r="L126" i="36" s="1"/>
  <c r="S127" i="41" s="1"/>
  <c r="D15" i="14"/>
  <c r="E15" i="14" s="1"/>
  <c r="L118" i="36" s="1"/>
  <c r="S119" i="41" s="1"/>
  <c r="F98" i="20"/>
  <c r="F119" i="37" s="1"/>
  <c r="B98" i="20"/>
  <c r="B202" i="20" s="1"/>
  <c r="D202" i="20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9" i="12"/>
  <c r="D5" i="13"/>
  <c r="C3" i="13"/>
  <c r="D3" i="13"/>
  <c r="I53" i="39"/>
  <c r="L24" i="12"/>
  <c r="M24" i="12"/>
  <c r="R3" i="13"/>
  <c r="I27" i="12"/>
  <c r="J27" i="12"/>
  <c r="K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N27" i="12"/>
  <c r="L27" i="12"/>
  <c r="M27" i="12"/>
  <c r="J343" i="36"/>
  <c r="J344" i="36"/>
  <c r="J345" i="36"/>
  <c r="J346" i="36"/>
  <c r="J324" i="36"/>
  <c r="J317" i="36"/>
  <c r="J316" i="36"/>
  <c r="J309" i="36"/>
  <c r="J308" i="36"/>
  <c r="J307" i="36"/>
  <c r="J306" i="36"/>
  <c r="J305" i="36"/>
  <c r="J303" i="36"/>
  <c r="J302" i="36"/>
  <c r="J301" i="36"/>
  <c r="J300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4" i="36"/>
  <c r="J283" i="36"/>
  <c r="J282" i="36"/>
  <c r="J280" i="36"/>
  <c r="J279" i="36"/>
  <c r="J278" i="36"/>
  <c r="J277" i="36"/>
  <c r="J276" i="36"/>
  <c r="J273" i="36"/>
  <c r="J272" i="36"/>
  <c r="J264" i="36"/>
  <c r="J263" i="36"/>
  <c r="J262" i="36"/>
  <c r="J261" i="36"/>
  <c r="J260" i="36"/>
  <c r="J259" i="36"/>
  <c r="J257" i="36"/>
  <c r="J256" i="36"/>
  <c r="J255" i="36"/>
  <c r="J254" i="36"/>
  <c r="J252" i="36"/>
  <c r="J250" i="36"/>
  <c r="J249" i="36"/>
  <c r="J235" i="36"/>
  <c r="J234" i="36"/>
  <c r="J233" i="36"/>
  <c r="J232" i="36"/>
  <c r="J231" i="36"/>
  <c r="J230" i="36"/>
  <c r="J229" i="36"/>
  <c r="K108" i="32"/>
  <c r="K107" i="32"/>
  <c r="I31" i="32"/>
  <c r="I30" i="32"/>
  <c r="I13" i="32"/>
  <c r="I10" i="32"/>
  <c r="I4" i="32"/>
  <c r="E5" i="34"/>
  <c r="F5" i="34"/>
  <c r="L304" i="36" s="1"/>
  <c r="S305" i="41" s="1"/>
  <c r="E6" i="34"/>
  <c r="F6" i="34"/>
  <c r="N6" i="34" s="1"/>
  <c r="O6" i="34" s="1"/>
  <c r="E7" i="34"/>
  <c r="F7" i="34"/>
  <c r="N7" i="34" s="1"/>
  <c r="O7" i="34" s="1"/>
  <c r="E8" i="34"/>
  <c r="F8" i="34"/>
  <c r="N8" i="34" s="1"/>
  <c r="O8" i="34" s="1"/>
  <c r="E9" i="34"/>
  <c r="F9" i="34"/>
  <c r="N9" i="34" s="1"/>
  <c r="O9" i="34" s="1"/>
  <c r="E4" i="34"/>
  <c r="F4" i="34"/>
  <c r="N4" i="34" s="1"/>
  <c r="O4" i="34" s="1"/>
  <c r="H146" i="32"/>
  <c r="J130" i="39"/>
  <c r="K130" i="39"/>
  <c r="H145" i="32"/>
  <c r="H144" i="32"/>
  <c r="J128" i="39"/>
  <c r="K128" i="39"/>
  <c r="H143" i="32"/>
  <c r="H142" i="32"/>
  <c r="H141" i="32"/>
  <c r="H140" i="32"/>
  <c r="H139" i="32"/>
  <c r="J123" i="39"/>
  <c r="K123" i="39"/>
  <c r="H138" i="32"/>
  <c r="J122" i="39"/>
  <c r="K122" i="39"/>
  <c r="H137" i="32"/>
  <c r="H136" i="32"/>
  <c r="H135" i="32"/>
  <c r="J119" i="39"/>
  <c r="K119" i="39"/>
  <c r="H333" i="36"/>
  <c r="J333" i="36" s="1"/>
  <c r="J120" i="39"/>
  <c r="K120" i="39"/>
  <c r="H335" i="36"/>
  <c r="J335" i="36" s="1"/>
  <c r="J121" i="39"/>
  <c r="K121" i="39"/>
  <c r="H332" i="36"/>
  <c r="J332" i="36" s="1"/>
  <c r="J124" i="39"/>
  <c r="K124" i="39"/>
  <c r="H337" i="36"/>
  <c r="J337" i="36" s="1"/>
  <c r="J125" i="39"/>
  <c r="K125" i="39"/>
  <c r="H336" i="36"/>
  <c r="J336" i="36" s="1"/>
  <c r="J126" i="39"/>
  <c r="K126" i="39"/>
  <c r="H338" i="36"/>
  <c r="J338" i="36" s="1"/>
  <c r="J127" i="39"/>
  <c r="K127" i="39"/>
  <c r="H334" i="36"/>
  <c r="J334" i="36"/>
  <c r="J129" i="39"/>
  <c r="K129" i="39"/>
  <c r="D8" i="10"/>
  <c r="E8" i="10" s="1"/>
  <c r="D9" i="10"/>
  <c r="E9" i="10" s="1"/>
  <c r="D10" i="10"/>
  <c r="E10" i="10" s="1"/>
  <c r="D11" i="10"/>
  <c r="E11" i="10" s="1"/>
  <c r="S11" i="10" s="1"/>
  <c r="D12" i="10"/>
  <c r="E12" i="10" s="1"/>
  <c r="S12" i="10" s="1"/>
  <c r="V12" i="10" s="1"/>
  <c r="D13" i="10"/>
  <c r="E13" i="10" s="1"/>
  <c r="D14" i="10"/>
  <c r="E14" i="10" s="1"/>
  <c r="S14" i="10" s="1"/>
  <c r="D15" i="10"/>
  <c r="E15" i="10" s="1"/>
  <c r="S15" i="10" s="1"/>
  <c r="V15" i="10" s="1"/>
  <c r="D16" i="10"/>
  <c r="E16" i="10" s="1"/>
  <c r="S16" i="10" s="1"/>
  <c r="D17" i="10"/>
  <c r="E17" i="10" s="1"/>
  <c r="S17" i="10" s="1"/>
  <c r="U17" i="10" s="1"/>
  <c r="D7" i="10"/>
  <c r="E7" i="10" s="1"/>
  <c r="S7" i="10" s="1"/>
  <c r="V7" i="10" s="1"/>
  <c r="I54" i="39"/>
  <c r="I55" i="39"/>
  <c r="C16" i="17"/>
  <c r="C17" i="17"/>
  <c r="C15" i="17"/>
  <c r="D23" i="6"/>
  <c r="E23" i="6" s="1"/>
  <c r="L31" i="36" s="1"/>
  <c r="S32" i="41" s="1"/>
  <c r="V30" i="13"/>
  <c r="V29" i="13"/>
  <c r="H23" i="6"/>
  <c r="H19" i="39"/>
  <c r="J19" i="39"/>
  <c r="K19" i="39"/>
  <c r="H15" i="32"/>
  <c r="I15" i="32"/>
  <c r="L21" i="36"/>
  <c r="S22" i="41" s="1"/>
  <c r="L20" i="36"/>
  <c r="S21" i="41" s="1"/>
  <c r="D8" i="6"/>
  <c r="E8" i="6" s="1"/>
  <c r="S8" i="6" s="1"/>
  <c r="T8" i="6" s="1"/>
  <c r="D9" i="6"/>
  <c r="E9" i="6" s="1"/>
  <c r="D11" i="6"/>
  <c r="E11" i="6" s="1"/>
  <c r="L9" i="36" s="1"/>
  <c r="S10" i="41" s="1"/>
  <c r="D12" i="6"/>
  <c r="E12" i="6" s="1"/>
  <c r="L7" i="36" s="1"/>
  <c r="S8" i="41" s="1"/>
  <c r="D13" i="6"/>
  <c r="E13" i="6" s="1"/>
  <c r="L10" i="36" s="1"/>
  <c r="S11" i="41" s="1"/>
  <c r="D14" i="6"/>
  <c r="E14" i="6" s="1"/>
  <c r="L14" i="36" s="1"/>
  <c r="S15" i="41" s="1"/>
  <c r="D16" i="6"/>
  <c r="E16" i="6" s="1"/>
  <c r="D17" i="6"/>
  <c r="E17" i="6" s="1"/>
  <c r="L24" i="36" s="1"/>
  <c r="S25" i="41" s="1"/>
  <c r="D18" i="6"/>
  <c r="E18" i="6" s="1"/>
  <c r="L26" i="36" s="1"/>
  <c r="S27" i="41" s="1"/>
  <c r="D20" i="6"/>
  <c r="E20" i="6" s="1"/>
  <c r="D21" i="6"/>
  <c r="E21" i="6" s="1"/>
  <c r="S21" i="6" s="1"/>
  <c r="T21" i="6" s="1"/>
  <c r="D22" i="6"/>
  <c r="E22" i="6" s="1"/>
  <c r="D24" i="6"/>
  <c r="E24" i="6" s="1"/>
  <c r="D25" i="6"/>
  <c r="E25" i="6" s="1"/>
  <c r="D26" i="6"/>
  <c r="E26" i="6" s="1"/>
  <c r="S26" i="6" s="1"/>
  <c r="T26" i="6" s="1"/>
  <c r="D27" i="6"/>
  <c r="E27" i="6" s="1"/>
  <c r="D28" i="6"/>
  <c r="E28" i="6" s="1"/>
  <c r="D30" i="6"/>
  <c r="E30" i="6" s="1"/>
  <c r="S30" i="6" s="1"/>
  <c r="T30" i="6" s="1"/>
  <c r="D31" i="6"/>
  <c r="E31" i="6" s="1"/>
  <c r="S31" i="6" s="1"/>
  <c r="T31" i="6" s="1"/>
  <c r="H16" i="39"/>
  <c r="J16" i="39"/>
  <c r="K16" i="39"/>
  <c r="H12" i="32"/>
  <c r="I12" i="32"/>
  <c r="H9" i="32"/>
  <c r="I9" i="32"/>
  <c r="H13" i="39"/>
  <c r="J13" i="39" s="1"/>
  <c r="K13" i="39" s="1"/>
  <c r="H18" i="39"/>
  <c r="J18" i="39"/>
  <c r="K18" i="39"/>
  <c r="H14" i="32"/>
  <c r="I14" i="32"/>
  <c r="H23" i="32"/>
  <c r="I23" i="32" s="1"/>
  <c r="H27" i="39"/>
  <c r="J27" i="39" s="1"/>
  <c r="K27" i="39" s="1"/>
  <c r="H8" i="32"/>
  <c r="I8" i="32"/>
  <c r="H12" i="39"/>
  <c r="J12" i="39" s="1"/>
  <c r="K12" i="39" s="1"/>
  <c r="H18" i="32"/>
  <c r="I18" i="32"/>
  <c r="H22" i="39"/>
  <c r="J22" i="39"/>
  <c r="K22" i="39"/>
  <c r="H26" i="32"/>
  <c r="I26" i="32"/>
  <c r="H30" i="39"/>
  <c r="J30" i="39"/>
  <c r="K30" i="39"/>
  <c r="H37" i="39"/>
  <c r="J37" i="39" s="1"/>
  <c r="K37" i="39" s="1"/>
  <c r="H32" i="32"/>
  <c r="I32" i="32"/>
  <c r="H15" i="39"/>
  <c r="J15" i="39"/>
  <c r="K15" i="39"/>
  <c r="H11" i="32"/>
  <c r="I11" i="32"/>
  <c r="H24" i="32"/>
  <c r="I24" i="32"/>
  <c r="H28" i="39"/>
  <c r="J28" i="39" s="1"/>
  <c r="K28" i="39" s="1"/>
  <c r="H23" i="39"/>
  <c r="J23" i="39"/>
  <c r="K23" i="39"/>
  <c r="H19" i="32"/>
  <c r="I19" i="32"/>
  <c r="H17" i="32"/>
  <c r="I17" i="32"/>
  <c r="H21" i="39"/>
  <c r="J21" i="39"/>
  <c r="K21" i="39" s="1"/>
  <c r="H25" i="32"/>
  <c r="I25" i="32"/>
  <c r="H29" i="39"/>
  <c r="J29" i="39"/>
  <c r="K29" i="39"/>
  <c r="E38" i="6"/>
  <c r="L102" i="36" s="1"/>
  <c r="S103" i="41" s="1"/>
  <c r="E37" i="6"/>
  <c r="Z37" i="6" s="1"/>
  <c r="H21" i="6"/>
  <c r="G21" i="6"/>
  <c r="H30" i="36" s="1"/>
  <c r="J30" i="36" s="1"/>
  <c r="I47" i="6"/>
  <c r="I48" i="6"/>
  <c r="H47" i="6"/>
  <c r="H48" i="6"/>
  <c r="P47" i="6"/>
  <c r="P48" i="6"/>
  <c r="Q47" i="6"/>
  <c r="Q48" i="6"/>
  <c r="H31" i="6"/>
  <c r="G31" i="6"/>
  <c r="H330" i="36"/>
  <c r="J330" i="36" s="1"/>
  <c r="H43" i="39"/>
  <c r="J43" i="39"/>
  <c r="K43" i="39"/>
  <c r="H38" i="32"/>
  <c r="I38" i="32" s="1"/>
  <c r="H20" i="39"/>
  <c r="J20" i="39"/>
  <c r="K20" i="39"/>
  <c r="H16" i="32"/>
  <c r="I16" i="32"/>
  <c r="H42" i="39"/>
  <c r="J42" i="39"/>
  <c r="K42" i="39"/>
  <c r="H37" i="32"/>
  <c r="I37" i="32"/>
  <c r="W57" i="6"/>
  <c r="I104" i="39"/>
  <c r="U41" i="15"/>
  <c r="U40" i="15"/>
  <c r="U39" i="15"/>
  <c r="U38" i="15"/>
  <c r="U37" i="15"/>
  <c r="U36" i="15"/>
  <c r="V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17" i="15"/>
  <c r="V37" i="13"/>
  <c r="R35" i="13"/>
  <c r="S35" i="13"/>
  <c r="R36" i="13"/>
  <c r="S36" i="13"/>
  <c r="R34" i="13"/>
  <c r="S34" i="13"/>
  <c r="X36" i="21"/>
  <c r="AB36" i="21" s="1"/>
  <c r="X37" i="21"/>
  <c r="AB37" i="21" s="1"/>
  <c r="X38" i="21"/>
  <c r="AB38" i="21" s="1"/>
  <c r="X39" i="21"/>
  <c r="Y39" i="21" s="1"/>
  <c r="AA33" i="6"/>
  <c r="V34" i="13"/>
  <c r="V35" i="13"/>
  <c r="V36" i="13"/>
  <c r="X33" i="6"/>
  <c r="I70" i="39"/>
  <c r="I65" i="39"/>
  <c r="I51" i="39"/>
  <c r="AL18" i="10"/>
  <c r="AP18" i="10" s="1"/>
  <c r="AL19" i="10"/>
  <c r="AM19" i="10" s="1"/>
  <c r="X38" i="6"/>
  <c r="I105" i="39"/>
  <c r="I107" i="39"/>
  <c r="I106" i="39"/>
  <c r="X29" i="6"/>
  <c r="X25" i="6"/>
  <c r="X5" i="6"/>
  <c r="X6" i="6"/>
  <c r="X22" i="6"/>
  <c r="R4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I33" i="12"/>
  <c r="J33" i="12"/>
  <c r="R21" i="13"/>
  <c r="R22" i="13"/>
  <c r="R23" i="13"/>
  <c r="R24" i="13"/>
  <c r="R25" i="13"/>
  <c r="R26" i="13"/>
  <c r="R27" i="13"/>
  <c r="R28" i="13"/>
  <c r="I37" i="12"/>
  <c r="J37" i="12"/>
  <c r="I29" i="12"/>
  <c r="J29" i="12"/>
  <c r="I30" i="12"/>
  <c r="J30" i="12"/>
  <c r="I39" i="12"/>
  <c r="J39" i="12"/>
  <c r="I35" i="12"/>
  <c r="J35" i="12"/>
  <c r="I28" i="12"/>
  <c r="J28" i="12"/>
  <c r="I34" i="12"/>
  <c r="J34" i="12"/>
  <c r="I38" i="12"/>
  <c r="J38" i="12"/>
  <c r="K33" i="12"/>
  <c r="N33" i="12"/>
  <c r="I32" i="12"/>
  <c r="J32" i="12"/>
  <c r="I31" i="12"/>
  <c r="J31" i="12"/>
  <c r="I36" i="12"/>
  <c r="J36" i="12"/>
  <c r="S7" i="13"/>
  <c r="V7" i="13"/>
  <c r="S22" i="13"/>
  <c r="V22" i="13"/>
  <c r="S25" i="13"/>
  <c r="V25" i="13"/>
  <c r="S17" i="13"/>
  <c r="V17" i="13"/>
  <c r="S9" i="13"/>
  <c r="V9" i="13"/>
  <c r="S24" i="13"/>
  <c r="V24" i="13"/>
  <c r="S16" i="13"/>
  <c r="V16" i="13"/>
  <c r="S8" i="13"/>
  <c r="V8" i="13"/>
  <c r="S23" i="13"/>
  <c r="V23" i="13"/>
  <c r="S14" i="13"/>
  <c r="V14" i="13"/>
  <c r="V3" i="13"/>
  <c r="S3" i="13"/>
  <c r="V21" i="13"/>
  <c r="S21" i="13"/>
  <c r="V13" i="13"/>
  <c r="S13" i="13"/>
  <c r="V4" i="13"/>
  <c r="S4" i="13"/>
  <c r="V28" i="13"/>
  <c r="S28" i="13"/>
  <c r="V20" i="13"/>
  <c r="S20" i="13"/>
  <c r="V12" i="13"/>
  <c r="S12" i="13"/>
  <c r="S15" i="13"/>
  <c r="V15" i="13"/>
  <c r="S27" i="13"/>
  <c r="V27" i="13"/>
  <c r="S19" i="13"/>
  <c r="V19" i="13"/>
  <c r="S11" i="13"/>
  <c r="V11" i="13"/>
  <c r="S6" i="13"/>
  <c r="V6" i="13"/>
  <c r="S26" i="13"/>
  <c r="V26" i="13"/>
  <c r="S18" i="13"/>
  <c r="V18" i="13"/>
  <c r="S10" i="13"/>
  <c r="V10" i="13"/>
  <c r="N32" i="12"/>
  <c r="K32" i="12"/>
  <c r="N34" i="12"/>
  <c r="K34" i="12"/>
  <c r="K30" i="12"/>
  <c r="N30" i="12"/>
  <c r="N36" i="12"/>
  <c r="K36" i="12"/>
  <c r="N28" i="12"/>
  <c r="K28" i="12"/>
  <c r="K29" i="12"/>
  <c r="N29" i="12"/>
  <c r="N31" i="12"/>
  <c r="K31" i="12"/>
  <c r="M33" i="12"/>
  <c r="L33" i="12"/>
  <c r="N35" i="12"/>
  <c r="K35" i="12"/>
  <c r="K38" i="12"/>
  <c r="N38" i="12"/>
  <c r="N39" i="12"/>
  <c r="K39" i="12"/>
  <c r="N37" i="12"/>
  <c r="K37" i="12"/>
  <c r="Q4" i="15"/>
  <c r="U4" i="15" s="1"/>
  <c r="Q5" i="15"/>
  <c r="D268" i="20" s="1"/>
  <c r="D144" i="36" s="1"/>
  <c r="Q6" i="15"/>
  <c r="D270" i="20" s="1"/>
  <c r="D146" i="36" s="1"/>
  <c r="Q7" i="15"/>
  <c r="U7" i="15" s="1"/>
  <c r="Q8" i="15"/>
  <c r="D273" i="20" s="1"/>
  <c r="D149" i="36" s="1"/>
  <c r="Q9" i="15"/>
  <c r="D276" i="20" s="1"/>
  <c r="D152" i="36" s="1"/>
  <c r="Q10" i="15"/>
  <c r="D279" i="20" s="1"/>
  <c r="D155" i="36" s="1"/>
  <c r="Q11" i="15"/>
  <c r="D281" i="20" s="1"/>
  <c r="D158" i="36" s="1"/>
  <c r="Q3" i="15"/>
  <c r="D266" i="20" s="1"/>
  <c r="D142" i="36" s="1"/>
  <c r="L39" i="12"/>
  <c r="M39" i="12"/>
  <c r="L36" i="12"/>
  <c r="M36" i="12"/>
  <c r="L31" i="12"/>
  <c r="M31" i="12"/>
  <c r="L30" i="12"/>
  <c r="M30" i="12"/>
  <c r="M34" i="12"/>
  <c r="L34" i="12"/>
  <c r="M38" i="12"/>
  <c r="L38" i="12"/>
  <c r="L32" i="12"/>
  <c r="M32" i="12"/>
  <c r="L35" i="12"/>
  <c r="M35" i="12"/>
  <c r="L37" i="12"/>
  <c r="M37" i="12"/>
  <c r="L28" i="12"/>
  <c r="M28" i="12"/>
  <c r="L29" i="12"/>
  <c r="M29" i="12"/>
  <c r="O3" i="12"/>
  <c r="O13" i="19"/>
  <c r="D229" i="36" s="1"/>
  <c r="I5" i="35"/>
  <c r="I6" i="35"/>
  <c r="I10" i="35"/>
  <c r="I14" i="35"/>
  <c r="I18" i="35"/>
  <c r="I4" i="35"/>
  <c r="Q17" i="15"/>
  <c r="R17" i="15" s="1"/>
  <c r="Q18" i="15"/>
  <c r="U18" i="15" s="1"/>
  <c r="Q20" i="15"/>
  <c r="U20" i="15" s="1"/>
  <c r="Q21" i="15"/>
  <c r="U21" i="15" s="1"/>
  <c r="Q34" i="15"/>
  <c r="R34" i="15" s="1"/>
  <c r="Q37" i="15"/>
  <c r="R37" i="15" s="1"/>
  <c r="Q38" i="15"/>
  <c r="R38" i="15" s="1"/>
  <c r="Q39" i="15"/>
  <c r="R39" i="15" s="1"/>
  <c r="Q40" i="15"/>
  <c r="R40" i="15" s="1"/>
  <c r="Q41" i="15"/>
  <c r="R41" i="15" s="1"/>
  <c r="V38" i="13"/>
  <c r="V39" i="13"/>
  <c r="V40" i="13"/>
  <c r="V41" i="13"/>
  <c r="V42" i="13"/>
  <c r="V43" i="13"/>
  <c r="V44" i="13"/>
  <c r="O4" i="12"/>
  <c r="O4" i="11"/>
  <c r="O5" i="11"/>
  <c r="O6" i="11"/>
  <c r="O7" i="11"/>
  <c r="O3" i="11"/>
  <c r="F257" i="37"/>
  <c r="S3" i="11"/>
  <c r="F259" i="37"/>
  <c r="S5" i="11"/>
  <c r="F258" i="37"/>
  <c r="S4" i="11"/>
  <c r="J5" i="35"/>
  <c r="J6" i="35"/>
  <c r="J10" i="35"/>
  <c r="J14" i="35"/>
  <c r="J18" i="35"/>
  <c r="J4" i="35"/>
  <c r="R12" i="15"/>
  <c r="R13" i="15"/>
  <c r="R14" i="15"/>
  <c r="R15" i="15"/>
  <c r="R16" i="15"/>
  <c r="S37" i="13"/>
  <c r="S38" i="13"/>
  <c r="S39" i="13"/>
  <c r="S40" i="13"/>
  <c r="S41" i="13"/>
  <c r="S42" i="13"/>
  <c r="S43" i="13"/>
  <c r="S44" i="13"/>
  <c r="P4" i="11"/>
  <c r="P5" i="11"/>
  <c r="P6" i="11"/>
  <c r="P7" i="11"/>
  <c r="P3" i="11"/>
  <c r="Q3" i="11"/>
  <c r="E10" i="35"/>
  <c r="F10" i="35"/>
  <c r="L10" i="35"/>
  <c r="E9" i="35"/>
  <c r="E8" i="35"/>
  <c r="E14" i="35"/>
  <c r="F14" i="35"/>
  <c r="L14" i="35"/>
  <c r="E13" i="35"/>
  <c r="E12" i="35"/>
  <c r="C11" i="17"/>
  <c r="C10" i="17"/>
  <c r="I8" i="35"/>
  <c r="J8" i="35"/>
  <c r="I9" i="35"/>
  <c r="J9" i="35"/>
  <c r="I12" i="35"/>
  <c r="J12" i="35"/>
  <c r="I13" i="35"/>
  <c r="J13" i="35"/>
  <c r="K10" i="35"/>
  <c r="K14" i="35"/>
  <c r="AN9" i="14"/>
  <c r="AO9" i="14" s="1"/>
  <c r="S295" i="41" s="1"/>
  <c r="AN10" i="14"/>
  <c r="AO10" i="14" s="1"/>
  <c r="S301" i="41" s="1"/>
  <c r="AN13" i="14"/>
  <c r="AO13" i="14" s="1"/>
  <c r="S370" i="41" s="1"/>
  <c r="AN11" i="14"/>
  <c r="AO11" i="14" s="1"/>
  <c r="S302" i="41" s="1"/>
  <c r="AN14" i="14"/>
  <c r="AO14" i="14" s="1"/>
  <c r="S347" i="41" s="1"/>
  <c r="AN19" i="14"/>
  <c r="AO19" i="14" s="1"/>
  <c r="S296" i="41" s="1"/>
  <c r="AN21" i="14"/>
  <c r="AO21" i="14" s="1"/>
  <c r="S303" i="41" s="1"/>
  <c r="AN22" i="14"/>
  <c r="AO22" i="14" s="1"/>
  <c r="S299" i="41" s="1"/>
  <c r="AN7" i="14"/>
  <c r="AO7" i="14" s="1"/>
  <c r="AN16" i="14"/>
  <c r="AO16" i="14" s="1"/>
  <c r="S304" i="41" s="1"/>
  <c r="AN18" i="14"/>
  <c r="AO18" i="14" s="1"/>
  <c r="S297" i="41" s="1"/>
  <c r="I15" i="35"/>
  <c r="J15" i="35"/>
  <c r="J11" i="35"/>
  <c r="I17" i="35"/>
  <c r="J17" i="35"/>
  <c r="I16" i="35"/>
  <c r="J16" i="35"/>
  <c r="I7" i="35"/>
  <c r="J7" i="35"/>
  <c r="E15" i="35"/>
  <c r="F15" i="35"/>
  <c r="E16" i="35"/>
  <c r="F16" i="35"/>
  <c r="E17" i="35"/>
  <c r="F17" i="35"/>
  <c r="E18" i="35"/>
  <c r="F18" i="35"/>
  <c r="E5" i="35"/>
  <c r="F5" i="35"/>
  <c r="E6" i="35"/>
  <c r="F6" i="35"/>
  <c r="E7" i="35"/>
  <c r="E11" i="35"/>
  <c r="F11" i="35"/>
  <c r="K11" i="35"/>
  <c r="E4" i="35"/>
  <c r="F4" i="35"/>
  <c r="L11" i="35"/>
  <c r="K18" i="35"/>
  <c r="L6" i="35"/>
  <c r="L5" i="35"/>
  <c r="L4" i="35"/>
  <c r="K5" i="35"/>
  <c r="K4" i="35"/>
  <c r="K6" i="35"/>
  <c r="L18" i="35"/>
  <c r="Q22" i="15"/>
  <c r="R22" i="15" s="1"/>
  <c r="Q19" i="15"/>
  <c r="R19" i="15" s="1"/>
  <c r="Q27" i="15"/>
  <c r="R27" i="15" s="1"/>
  <c r="Q26" i="15"/>
  <c r="R26" i="15" s="1"/>
  <c r="Q30" i="15"/>
  <c r="R30" i="15" s="1"/>
  <c r="Q25" i="15"/>
  <c r="R25" i="15" s="1"/>
  <c r="Q29" i="15"/>
  <c r="R29" i="15" s="1"/>
  <c r="Q28" i="15"/>
  <c r="R28" i="15" s="1"/>
  <c r="Q32" i="15"/>
  <c r="R32" i="15" s="1"/>
  <c r="Q24" i="15"/>
  <c r="R24" i="15" s="1"/>
  <c r="Q31" i="15"/>
  <c r="R31" i="15" s="1"/>
  <c r="Q23" i="15"/>
  <c r="R23" i="15"/>
  <c r="S23" i="15" s="1"/>
  <c r="R43" i="15"/>
  <c r="U43" i="15"/>
  <c r="F36" i="21"/>
  <c r="F37" i="21"/>
  <c r="F38" i="21"/>
  <c r="F39" i="21"/>
  <c r="D8" i="21"/>
  <c r="E8" i="21" s="1"/>
  <c r="F8" i="21" s="1"/>
  <c r="D4" i="21"/>
  <c r="E4" i="21" s="1"/>
  <c r="F4" i="21" s="1"/>
  <c r="D17" i="21"/>
  <c r="E17" i="21" s="1"/>
  <c r="F17" i="21" s="1"/>
  <c r="D18" i="21"/>
  <c r="E18" i="21" s="1"/>
  <c r="D19" i="21"/>
  <c r="E19" i="21" s="1"/>
  <c r="F19" i="21" s="1"/>
  <c r="D20" i="21"/>
  <c r="E20" i="21" s="1"/>
  <c r="D22" i="21"/>
  <c r="E22" i="21" s="1"/>
  <c r="D23" i="21"/>
  <c r="E23" i="21" s="1"/>
  <c r="D25" i="21"/>
  <c r="E25" i="21" s="1"/>
  <c r="F25" i="21" s="1"/>
  <c r="D26" i="21"/>
  <c r="E26" i="21" s="1"/>
  <c r="D27" i="21"/>
  <c r="E27" i="21" s="1"/>
  <c r="D28" i="21"/>
  <c r="E28" i="21" s="1"/>
  <c r="F28" i="21" s="1"/>
  <c r="D29" i="21"/>
  <c r="E29" i="21" s="1"/>
  <c r="D30" i="21"/>
  <c r="E30" i="21" s="1"/>
  <c r="F30" i="21" s="1"/>
  <c r="D35" i="21"/>
  <c r="E35" i="21" s="1"/>
  <c r="F35" i="21" s="1"/>
  <c r="G35" i="21" s="1"/>
  <c r="D5" i="21"/>
  <c r="E5" i="21" s="1"/>
  <c r="F5" i="21" s="1"/>
  <c r="D6" i="21"/>
  <c r="E6" i="21" s="1"/>
  <c r="F6" i="21" s="1"/>
  <c r="D7" i="21"/>
  <c r="E7" i="21" s="1"/>
  <c r="F7" i="21" s="1"/>
  <c r="H50" i="39"/>
  <c r="D9" i="21"/>
  <c r="E9" i="21" s="1"/>
  <c r="F9" i="21" s="1"/>
  <c r="D10" i="21"/>
  <c r="E10" i="21" s="1"/>
  <c r="F10" i="21" s="1"/>
  <c r="D11" i="21"/>
  <c r="E11" i="21" s="1"/>
  <c r="F11" i="21" s="1"/>
  <c r="D12" i="21"/>
  <c r="E12" i="21" s="1"/>
  <c r="D13" i="21"/>
  <c r="E13" i="21" s="1"/>
  <c r="F13" i="21" s="1"/>
  <c r="D14" i="21"/>
  <c r="E14" i="21" s="1"/>
  <c r="F14" i="21" s="1"/>
  <c r="D15" i="21"/>
  <c r="E15" i="21" s="1"/>
  <c r="F15" i="21" s="1"/>
  <c r="D16" i="21"/>
  <c r="E16" i="21" s="1"/>
  <c r="D21" i="21"/>
  <c r="E21" i="21" s="1"/>
  <c r="F21" i="21" s="1"/>
  <c r="G21" i="21" s="1"/>
  <c r="D24" i="21"/>
  <c r="E24" i="21" s="1"/>
  <c r="F18" i="15"/>
  <c r="L18" i="15" s="1"/>
  <c r="M18" i="15" s="1"/>
  <c r="F19" i="15"/>
  <c r="L19" i="15" s="1"/>
  <c r="M19" i="15" s="1"/>
  <c r="F20" i="15"/>
  <c r="L20" i="15" s="1"/>
  <c r="M20" i="15" s="1"/>
  <c r="F21" i="15"/>
  <c r="F22" i="15"/>
  <c r="F17" i="15"/>
  <c r="L17" i="15" s="1"/>
  <c r="M17" i="15" s="1"/>
  <c r="L11" i="15"/>
  <c r="M11" i="15" s="1"/>
  <c r="F12" i="15"/>
  <c r="F13" i="15"/>
  <c r="F14" i="15"/>
  <c r="C320" i="20"/>
  <c r="C321" i="20"/>
  <c r="C322" i="20"/>
  <c r="C323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19" i="20"/>
  <c r="F127" i="32"/>
  <c r="F128" i="32"/>
  <c r="C324" i="20"/>
  <c r="C9" i="17"/>
  <c r="L237" i="36" s="1"/>
  <c r="S238" i="41" s="1"/>
  <c r="B320" i="20"/>
  <c r="B321" i="20"/>
  <c r="B322" i="20" s="1"/>
  <c r="B323" i="20" s="1"/>
  <c r="B324" i="20" s="1"/>
  <c r="B325" i="20" s="1"/>
  <c r="B326" i="20" s="1"/>
  <c r="B327" i="20" s="1"/>
  <c r="B328" i="20" s="1"/>
  <c r="B329" i="20" s="1"/>
  <c r="B330" i="20" s="1"/>
  <c r="B331" i="20" s="1"/>
  <c r="B332" i="20" s="1"/>
  <c r="B333" i="20" s="1"/>
  <c r="B334" i="20" s="1"/>
  <c r="B335" i="20" s="1"/>
  <c r="B336" i="20" s="1"/>
  <c r="B337" i="20" s="1"/>
  <c r="B338" i="20" s="1"/>
  <c r="B339" i="20" s="1"/>
  <c r="B340" i="20" s="1"/>
  <c r="Q96" i="15"/>
  <c r="Q76" i="15"/>
  <c r="C4" i="30"/>
  <c r="L163" i="36"/>
  <c r="S164" i="41" s="1"/>
  <c r="C5" i="30"/>
  <c r="L164" i="36"/>
  <c r="S165" i="41" s="1"/>
  <c r="C6" i="30"/>
  <c r="L165" i="36"/>
  <c r="S166" i="41" s="1"/>
  <c r="C7" i="30"/>
  <c r="C8" i="30"/>
  <c r="C9" i="30"/>
  <c r="L168" i="36"/>
  <c r="S169" i="41" s="1"/>
  <c r="C10" i="30"/>
  <c r="L169" i="36"/>
  <c r="S170" i="41" s="1"/>
  <c r="C11" i="30"/>
  <c r="L170" i="36"/>
  <c r="S171" i="41" s="1"/>
  <c r="C12" i="30"/>
  <c r="L171" i="36"/>
  <c r="S172" i="41" s="1"/>
  <c r="C13" i="30"/>
  <c r="C14" i="30"/>
  <c r="C3" i="30"/>
  <c r="L162" i="36"/>
  <c r="S163" i="41" s="1"/>
  <c r="L232" i="36"/>
  <c r="S233" i="41" s="1"/>
  <c r="B269" i="20"/>
  <c r="B267" i="20"/>
  <c r="E9" i="30"/>
  <c r="F9" i="30"/>
  <c r="E10" i="30"/>
  <c r="F10" i="30"/>
  <c r="E3" i="30"/>
  <c r="F3" i="30"/>
  <c r="E7" i="30"/>
  <c r="F7" i="30"/>
  <c r="E14" i="30"/>
  <c r="F14" i="30"/>
  <c r="E8" i="30"/>
  <c r="F8" i="30"/>
  <c r="E6" i="30"/>
  <c r="F6" i="30"/>
  <c r="E13" i="30"/>
  <c r="F13" i="30"/>
  <c r="E5" i="30"/>
  <c r="F5" i="30"/>
  <c r="E12" i="30"/>
  <c r="F12" i="30"/>
  <c r="E4" i="30"/>
  <c r="F4" i="30"/>
  <c r="E11" i="30"/>
  <c r="F11" i="30"/>
  <c r="U41" i="13"/>
  <c r="T41" i="13"/>
  <c r="F113" i="32"/>
  <c r="G113" i="32"/>
  <c r="Y4" i="21"/>
  <c r="K7" i="11"/>
  <c r="L7" i="11"/>
  <c r="K6" i="11"/>
  <c r="L6" i="11"/>
  <c r="Q7" i="11"/>
  <c r="R6" i="11"/>
  <c r="R7" i="11"/>
  <c r="Q6" i="11"/>
  <c r="H25" i="13"/>
  <c r="I25" i="13"/>
  <c r="J25" i="13"/>
  <c r="G25" i="13"/>
  <c r="C25" i="13"/>
  <c r="D25" i="13"/>
  <c r="E25" i="13"/>
  <c r="K25" i="13"/>
  <c r="N25" i="13"/>
  <c r="O25" i="13"/>
  <c r="T25" i="13"/>
  <c r="L25" i="13"/>
  <c r="U25" i="13"/>
  <c r="S19" i="10"/>
  <c r="AH19" i="10"/>
  <c r="AI19" i="10"/>
  <c r="S18" i="10"/>
  <c r="AH18" i="10"/>
  <c r="AI18" i="10"/>
  <c r="G16" i="10"/>
  <c r="G15" i="10"/>
  <c r="G14" i="10"/>
  <c r="G13" i="10"/>
  <c r="S13" i="10"/>
  <c r="G11" i="10"/>
  <c r="G8" i="10"/>
  <c r="S8" i="10"/>
  <c r="G7" i="10"/>
  <c r="AH6" i="10"/>
  <c r="AI6" i="10"/>
  <c r="V18" i="10"/>
  <c r="W18" i="10" s="1"/>
  <c r="X18" i="10" s="1"/>
  <c r="Z18" i="10" s="1"/>
  <c r="V19" i="10"/>
  <c r="W19" i="10" s="1"/>
  <c r="X19" i="10" s="1"/>
  <c r="L315" i="36"/>
  <c r="S316" i="41" s="1"/>
  <c r="L85" i="36"/>
  <c r="S86" i="41" s="1"/>
  <c r="AH8" i="10"/>
  <c r="AI8" i="10"/>
  <c r="AH10" i="10"/>
  <c r="AH5" i="10"/>
  <c r="AI5" i="10"/>
  <c r="L313" i="36"/>
  <c r="S314" i="41" s="1"/>
  <c r="AH13" i="10"/>
  <c r="AI13" i="10"/>
  <c r="AI10" i="10"/>
  <c r="I113" i="39"/>
  <c r="I114" i="39"/>
  <c r="D3" i="12"/>
  <c r="K3" i="12"/>
  <c r="L3" i="12"/>
  <c r="C4" i="17"/>
  <c r="E4" i="17" s="1"/>
  <c r="C5" i="17"/>
  <c r="E5" i="17" s="1"/>
  <c r="C6" i="17"/>
  <c r="E6" i="17" s="1"/>
  <c r="C3" i="17"/>
  <c r="L241" i="36"/>
  <c r="S242" i="41" s="1"/>
  <c r="I100" i="32"/>
  <c r="J100" i="32" s="1"/>
  <c r="J135" i="39" s="1"/>
  <c r="K135" i="39" s="1"/>
  <c r="F4" i="17"/>
  <c r="H239" i="36"/>
  <c r="J239" i="36" s="1"/>
  <c r="G4" i="17"/>
  <c r="I101" i="32"/>
  <c r="J101" i="32" s="1"/>
  <c r="J136" i="39" s="1"/>
  <c r="K136" i="39" s="1"/>
  <c r="F5" i="17"/>
  <c r="H240" i="36"/>
  <c r="J240" i="36" s="1"/>
  <c r="G5" i="17"/>
  <c r="H5" i="17"/>
  <c r="I102" i="32"/>
  <c r="J102" i="32"/>
  <c r="J137" i="39" s="1"/>
  <c r="K137" i="39" s="1"/>
  <c r="F6" i="17"/>
  <c r="H241" i="36" s="1"/>
  <c r="J241" i="36" s="1"/>
  <c r="G6" i="17"/>
  <c r="C34" i="13"/>
  <c r="D34" i="13"/>
  <c r="E34" i="13"/>
  <c r="G34" i="13"/>
  <c r="C35" i="13"/>
  <c r="D35" i="13"/>
  <c r="E35" i="13"/>
  <c r="N35" i="13"/>
  <c r="O35" i="13"/>
  <c r="G35" i="13"/>
  <c r="C36" i="13"/>
  <c r="D36" i="13"/>
  <c r="E36" i="13"/>
  <c r="N36" i="13"/>
  <c r="O36" i="13"/>
  <c r="G36" i="13"/>
  <c r="C37" i="13"/>
  <c r="D37" i="13"/>
  <c r="E37" i="13"/>
  <c r="N37" i="13"/>
  <c r="O37" i="13"/>
  <c r="G37" i="13"/>
  <c r="C38" i="13"/>
  <c r="D38" i="13"/>
  <c r="E38" i="13"/>
  <c r="N38" i="13"/>
  <c r="O38" i="13"/>
  <c r="G38" i="13"/>
  <c r="C39" i="13"/>
  <c r="D39" i="13"/>
  <c r="E39" i="13"/>
  <c r="N39" i="13"/>
  <c r="O39" i="13"/>
  <c r="H39" i="13"/>
  <c r="I39" i="13"/>
  <c r="J39" i="13"/>
  <c r="G39" i="13"/>
  <c r="C40" i="13"/>
  <c r="D40" i="13"/>
  <c r="E40" i="13"/>
  <c r="N40" i="13"/>
  <c r="O40" i="13"/>
  <c r="G40" i="13"/>
  <c r="C44" i="13"/>
  <c r="D44" i="13"/>
  <c r="E44" i="13"/>
  <c r="C42" i="13"/>
  <c r="D42" i="13"/>
  <c r="E42" i="13"/>
  <c r="C43" i="13"/>
  <c r="D43" i="13"/>
  <c r="E43" i="13"/>
  <c r="C28" i="13"/>
  <c r="D28" i="13"/>
  <c r="C27" i="13"/>
  <c r="D27" i="13"/>
  <c r="C26" i="13"/>
  <c r="D26" i="13"/>
  <c r="C24" i="13"/>
  <c r="D24" i="13"/>
  <c r="C23" i="13"/>
  <c r="D23" i="13"/>
  <c r="C22" i="13"/>
  <c r="D22" i="13"/>
  <c r="C21" i="13"/>
  <c r="D21" i="13"/>
  <c r="C20" i="13"/>
  <c r="D20" i="13"/>
  <c r="C19" i="13"/>
  <c r="D19" i="13"/>
  <c r="C18" i="13"/>
  <c r="D18" i="13"/>
  <c r="C17" i="13"/>
  <c r="D17" i="13"/>
  <c r="C16" i="13"/>
  <c r="D16" i="13"/>
  <c r="C15" i="13"/>
  <c r="D15" i="13"/>
  <c r="C14" i="13"/>
  <c r="D14" i="13"/>
  <c r="C13" i="13"/>
  <c r="D13" i="13"/>
  <c r="C12" i="13"/>
  <c r="D12" i="13"/>
  <c r="C11" i="13"/>
  <c r="D11" i="13"/>
  <c r="C10" i="13"/>
  <c r="D10" i="13"/>
  <c r="C9" i="13"/>
  <c r="D9" i="13"/>
  <c r="C8" i="13"/>
  <c r="D8" i="13"/>
  <c r="C7" i="13"/>
  <c r="D7" i="13"/>
  <c r="C6" i="13"/>
  <c r="D6" i="13"/>
  <c r="C4" i="13"/>
  <c r="D4" i="13"/>
  <c r="P4" i="12"/>
  <c r="D4" i="12"/>
  <c r="K4" i="12"/>
  <c r="L4" i="12"/>
  <c r="P3" i="12"/>
  <c r="AM6" i="10"/>
  <c r="AO6" i="10"/>
  <c r="AM5" i="10"/>
  <c r="E16" i="13"/>
  <c r="E17" i="13"/>
  <c r="E26" i="13"/>
  <c r="E24" i="13"/>
  <c r="E9" i="13"/>
  <c r="E10" i="13"/>
  <c r="E18" i="13"/>
  <c r="E27" i="13"/>
  <c r="E8" i="13"/>
  <c r="E28" i="13"/>
  <c r="E11" i="13"/>
  <c r="E19" i="13"/>
  <c r="E3" i="13"/>
  <c r="T3" i="13"/>
  <c r="E12" i="13"/>
  <c r="N12" i="13"/>
  <c r="O12" i="13"/>
  <c r="E20" i="13"/>
  <c r="E21" i="13"/>
  <c r="E6" i="13"/>
  <c r="E14" i="13"/>
  <c r="E22" i="13"/>
  <c r="E4" i="13"/>
  <c r="E13" i="13"/>
  <c r="E7" i="13"/>
  <c r="E15" i="13"/>
  <c r="E23" i="13"/>
  <c r="N34" i="13"/>
  <c r="O34" i="13"/>
  <c r="T34" i="13"/>
  <c r="AN5" i="10"/>
  <c r="AO5" i="10"/>
  <c r="AN6" i="10"/>
  <c r="K4" i="11"/>
  <c r="L4" i="11"/>
  <c r="K3" i="11"/>
  <c r="L3" i="11"/>
  <c r="K5" i="11"/>
  <c r="L5" i="11"/>
  <c r="K39" i="13"/>
  <c r="L39" i="13"/>
  <c r="T38" i="13"/>
  <c r="T35" i="13"/>
  <c r="T42" i="13"/>
  <c r="T36" i="13"/>
  <c r="U35" i="13"/>
  <c r="T40" i="13"/>
  <c r="R5" i="11"/>
  <c r="R3" i="11"/>
  <c r="H37" i="13"/>
  <c r="I37" i="13"/>
  <c r="J37" i="13"/>
  <c r="H35" i="13"/>
  <c r="I35" i="13"/>
  <c r="J35" i="13"/>
  <c r="U43" i="13"/>
  <c r="T43" i="13"/>
  <c r="U39" i="13"/>
  <c r="T39" i="13"/>
  <c r="U44" i="13"/>
  <c r="T44" i="13"/>
  <c r="U37" i="13"/>
  <c r="T37" i="13"/>
  <c r="U42" i="13"/>
  <c r="U40" i="13"/>
  <c r="H40" i="13"/>
  <c r="I40" i="13"/>
  <c r="J40" i="13"/>
  <c r="U38" i="13"/>
  <c r="H38" i="13"/>
  <c r="I38" i="13"/>
  <c r="J38" i="13"/>
  <c r="U36" i="13"/>
  <c r="H36" i="13"/>
  <c r="I36" i="13"/>
  <c r="J36" i="13"/>
  <c r="U34" i="13"/>
  <c r="H34" i="13"/>
  <c r="I34" i="13"/>
  <c r="J34" i="13"/>
  <c r="Q3" i="12"/>
  <c r="R3" i="12"/>
  <c r="R4" i="12"/>
  <c r="Q4" i="12"/>
  <c r="R4" i="11"/>
  <c r="Q4" i="11"/>
  <c r="Q5" i="11"/>
  <c r="T7" i="13"/>
  <c r="U7" i="13"/>
  <c r="N7" i="13"/>
  <c r="O7" i="13"/>
  <c r="N14" i="13"/>
  <c r="O14" i="13"/>
  <c r="U14" i="13"/>
  <c r="T14" i="13"/>
  <c r="U10" i="13"/>
  <c r="T10" i="13"/>
  <c r="N10" i="13"/>
  <c r="O10" i="13"/>
  <c r="T28" i="13"/>
  <c r="N28" i="13"/>
  <c r="O28" i="13"/>
  <c r="U28" i="13"/>
  <c r="T12" i="13"/>
  <c r="U12" i="13"/>
  <c r="N3" i="13"/>
  <c r="O3" i="13"/>
  <c r="U3" i="13"/>
  <c r="T18" i="13"/>
  <c r="U18" i="13"/>
  <c r="N18" i="13"/>
  <c r="O18" i="13"/>
  <c r="T19" i="13"/>
  <c r="N19" i="13"/>
  <c r="O19" i="13"/>
  <c r="U19" i="13"/>
  <c r="U4" i="13"/>
  <c r="T4" i="13"/>
  <c r="N4" i="13"/>
  <c r="O4" i="13"/>
  <c r="U23" i="13"/>
  <c r="N23" i="13"/>
  <c r="O23" i="13"/>
  <c r="T23" i="13"/>
  <c r="U11" i="13"/>
  <c r="T11" i="13"/>
  <c r="N11" i="13"/>
  <c r="O11" i="13"/>
  <c r="T9" i="13"/>
  <c r="N9" i="13"/>
  <c r="O9" i="13"/>
  <c r="U9" i="13"/>
  <c r="T15" i="13"/>
  <c r="N15" i="13"/>
  <c r="O15" i="13"/>
  <c r="U15" i="13"/>
  <c r="N6" i="13"/>
  <c r="O6" i="13"/>
  <c r="T6" i="13"/>
  <c r="U6" i="13"/>
  <c r="U24" i="13"/>
  <c r="N24" i="13"/>
  <c r="O24" i="13"/>
  <c r="T24" i="13"/>
  <c r="T21" i="13"/>
  <c r="U21" i="13"/>
  <c r="N21" i="13"/>
  <c r="O21" i="13"/>
  <c r="U26" i="13"/>
  <c r="T26" i="13"/>
  <c r="N26" i="13"/>
  <c r="O26" i="13"/>
  <c r="N20" i="13"/>
  <c r="O20" i="13"/>
  <c r="U20" i="13"/>
  <c r="T20" i="13"/>
  <c r="N8" i="13"/>
  <c r="O8" i="13"/>
  <c r="T8" i="13"/>
  <c r="U8" i="13"/>
  <c r="U17" i="13"/>
  <c r="T17" i="13"/>
  <c r="N17" i="13"/>
  <c r="O17" i="13"/>
  <c r="T22" i="13"/>
  <c r="N22" i="13"/>
  <c r="O22" i="13"/>
  <c r="U22" i="13"/>
  <c r="N13" i="13"/>
  <c r="O13" i="13"/>
  <c r="T13" i="13"/>
  <c r="U13" i="13"/>
  <c r="T27" i="13"/>
  <c r="U27" i="13"/>
  <c r="N27" i="13"/>
  <c r="O27" i="13"/>
  <c r="N16" i="13"/>
  <c r="O16" i="13"/>
  <c r="U16" i="13"/>
  <c r="T16" i="13"/>
  <c r="L34" i="13"/>
  <c r="K34" i="13"/>
  <c r="K35" i="13"/>
  <c r="L35" i="13"/>
  <c r="K38" i="13"/>
  <c r="L38" i="13"/>
  <c r="L37" i="13"/>
  <c r="K37" i="13"/>
  <c r="K36" i="13"/>
  <c r="L36" i="13"/>
  <c r="K40" i="13"/>
  <c r="L40" i="13"/>
  <c r="S6" i="6"/>
  <c r="T6" i="6"/>
  <c r="Z6" i="6"/>
  <c r="Y6" i="6"/>
  <c r="G28" i="13"/>
  <c r="H28" i="13"/>
  <c r="I28" i="13"/>
  <c r="J28" i="13"/>
  <c r="H23" i="13"/>
  <c r="I23" i="13"/>
  <c r="J23" i="13"/>
  <c r="G23" i="13"/>
  <c r="H19" i="13"/>
  <c r="I19" i="13"/>
  <c r="J19" i="13"/>
  <c r="G19" i="13"/>
  <c r="G15" i="13"/>
  <c r="H15" i="13"/>
  <c r="I15" i="13"/>
  <c r="J15" i="13"/>
  <c r="G11" i="13"/>
  <c r="H11" i="13"/>
  <c r="I11" i="13"/>
  <c r="J11" i="13"/>
  <c r="G7" i="13"/>
  <c r="H7" i="13"/>
  <c r="I7" i="13"/>
  <c r="J7" i="13"/>
  <c r="H27" i="13"/>
  <c r="I27" i="13"/>
  <c r="J27" i="13"/>
  <c r="G27" i="13"/>
  <c r="G22" i="13"/>
  <c r="H22" i="13"/>
  <c r="I22" i="13"/>
  <c r="J22" i="13"/>
  <c r="G18" i="13"/>
  <c r="H18" i="13"/>
  <c r="I18" i="13"/>
  <c r="J18" i="13"/>
  <c r="H14" i="13"/>
  <c r="I14" i="13"/>
  <c r="J14" i="13"/>
  <c r="G14" i="13"/>
  <c r="G10" i="13"/>
  <c r="H10" i="13"/>
  <c r="I10" i="13"/>
  <c r="J10" i="13"/>
  <c r="G6" i="13"/>
  <c r="H6" i="13"/>
  <c r="I6" i="13"/>
  <c r="J6" i="13"/>
  <c r="H26" i="13"/>
  <c r="I26" i="13"/>
  <c r="J26" i="13"/>
  <c r="G26" i="13"/>
  <c r="H21" i="13"/>
  <c r="I21" i="13"/>
  <c r="J21" i="13"/>
  <c r="G21" i="13"/>
  <c r="G17" i="13"/>
  <c r="H17" i="13"/>
  <c r="I17" i="13"/>
  <c r="J17" i="13"/>
  <c r="G13" i="13"/>
  <c r="H13" i="13"/>
  <c r="I13" i="13"/>
  <c r="J13" i="13"/>
  <c r="H9" i="13"/>
  <c r="I9" i="13"/>
  <c r="J9" i="13"/>
  <c r="G9" i="13"/>
  <c r="G4" i="13"/>
  <c r="H4" i="13"/>
  <c r="I4" i="13"/>
  <c r="J4" i="13"/>
  <c r="G24" i="13"/>
  <c r="H24" i="13"/>
  <c r="I24" i="13"/>
  <c r="J24" i="13"/>
  <c r="G20" i="13"/>
  <c r="H20" i="13"/>
  <c r="I20" i="13"/>
  <c r="J20" i="13"/>
  <c r="H16" i="13"/>
  <c r="I16" i="13"/>
  <c r="J16" i="13"/>
  <c r="G16" i="13"/>
  <c r="H12" i="13"/>
  <c r="I12" i="13"/>
  <c r="J12" i="13"/>
  <c r="G12" i="13"/>
  <c r="G8" i="13"/>
  <c r="H8" i="13"/>
  <c r="I8" i="13"/>
  <c r="J8" i="13"/>
  <c r="L16" i="13"/>
  <c r="K16" i="13"/>
  <c r="L9" i="13"/>
  <c r="K9" i="13"/>
  <c r="K26" i="13"/>
  <c r="L26" i="13"/>
  <c r="L27" i="13"/>
  <c r="K27" i="13"/>
  <c r="L19" i="13"/>
  <c r="K19" i="13"/>
  <c r="K4" i="13"/>
  <c r="L4" i="13"/>
  <c r="K13" i="13"/>
  <c r="L13" i="13"/>
  <c r="L6" i="13"/>
  <c r="K6" i="13"/>
  <c r="K22" i="13"/>
  <c r="L7" i="13"/>
  <c r="K7" i="13"/>
  <c r="L15" i="13"/>
  <c r="K15" i="13"/>
  <c r="L20" i="13"/>
  <c r="K20" i="13"/>
  <c r="L12" i="13"/>
  <c r="K12" i="13"/>
  <c r="K21" i="13"/>
  <c r="L21" i="13"/>
  <c r="K14" i="13"/>
  <c r="L14" i="13"/>
  <c r="L23" i="13"/>
  <c r="K23" i="13"/>
  <c r="L8" i="13"/>
  <c r="K8" i="13"/>
  <c r="L24" i="13"/>
  <c r="K24" i="13"/>
  <c r="L17" i="13"/>
  <c r="K17" i="13"/>
  <c r="K10" i="13"/>
  <c r="L10" i="13"/>
  <c r="K18" i="13"/>
  <c r="L18" i="13"/>
  <c r="L11" i="13"/>
  <c r="K11" i="13"/>
  <c r="L28" i="13"/>
  <c r="K28" i="13"/>
  <c r="G3" i="13"/>
  <c r="H3" i="13"/>
  <c r="I3" i="13"/>
  <c r="J3" i="13"/>
  <c r="K3" i="13"/>
  <c r="L3" i="13"/>
  <c r="F3" i="12"/>
  <c r="G3" i="12" s="1"/>
  <c r="I3" i="12" s="1"/>
  <c r="F4" i="12"/>
  <c r="G4" i="12" s="1"/>
  <c r="F4" i="11"/>
  <c r="G4" i="11" s="1"/>
  <c r="H9" i="34"/>
  <c r="I9" i="34"/>
  <c r="J9" i="34" s="1"/>
  <c r="F122" i="32"/>
  <c r="G122" i="32" s="1"/>
  <c r="H8" i="34"/>
  <c r="H310" i="36" s="1"/>
  <c r="J310" i="36" s="1"/>
  <c r="I8" i="34"/>
  <c r="J8" i="34" s="1"/>
  <c r="F121" i="32"/>
  <c r="G121" i="32"/>
  <c r="I7" i="34"/>
  <c r="J7" i="34" s="1"/>
  <c r="F120" i="32"/>
  <c r="G120" i="32"/>
  <c r="H7" i="34"/>
  <c r="I4" i="34"/>
  <c r="J4" i="34" s="1"/>
  <c r="F117" i="32"/>
  <c r="G117" i="32" s="1"/>
  <c r="H4" i="34"/>
  <c r="H6" i="34"/>
  <c r="I6" i="34"/>
  <c r="J6" i="34" s="1"/>
  <c r="F119" i="32"/>
  <c r="G119" i="32"/>
  <c r="H5" i="34"/>
  <c r="H304" i="36"/>
  <c r="J304" i="36" s="1"/>
  <c r="F118" i="32"/>
  <c r="G118" i="32"/>
  <c r="I5" i="34"/>
  <c r="J5" i="34" s="1"/>
  <c r="G37" i="6"/>
  <c r="H101" i="36"/>
  <c r="J101" i="36" s="1"/>
  <c r="H37" i="6"/>
  <c r="I37" i="6" s="1"/>
  <c r="H5" i="33"/>
  <c r="I5" i="33"/>
  <c r="G38" i="6"/>
  <c r="H102" i="36"/>
  <c r="J102" i="36" s="1"/>
  <c r="H38" i="6"/>
  <c r="I38" i="6" s="1"/>
  <c r="H4" i="33"/>
  <c r="I4" i="33"/>
  <c r="D5" i="19"/>
  <c r="D6" i="19"/>
  <c r="D8" i="19"/>
  <c r="D9" i="19"/>
  <c r="D4" i="19"/>
  <c r="H11" i="6"/>
  <c r="G11" i="6"/>
  <c r="H11" i="33"/>
  <c r="I11" i="33"/>
  <c r="H15" i="33"/>
  <c r="I15" i="33"/>
  <c r="H16" i="6"/>
  <c r="G16" i="6"/>
  <c r="H15" i="36" s="1"/>
  <c r="J15" i="36" s="1"/>
  <c r="H19" i="6"/>
  <c r="I19" i="6" s="1"/>
  <c r="J19" i="6" s="1"/>
  <c r="G19" i="6"/>
  <c r="H27" i="36"/>
  <c r="J27" i="36" s="1"/>
  <c r="H16" i="33"/>
  <c r="I16" i="33"/>
  <c r="H9" i="36"/>
  <c r="J9" i="36" s="1"/>
  <c r="H461" i="36"/>
  <c r="J461" i="36" s="1"/>
  <c r="H33" i="33"/>
  <c r="I33" i="33"/>
  <c r="H13" i="6"/>
  <c r="G13" i="6"/>
  <c r="H463" i="36" s="1"/>
  <c r="J463" i="36" s="1"/>
  <c r="H12" i="33"/>
  <c r="I12" i="33" s="1"/>
  <c r="H27" i="6"/>
  <c r="G27" i="6"/>
  <c r="H34" i="36"/>
  <c r="J34" i="36" s="1"/>
  <c r="H21" i="33"/>
  <c r="I21" i="33"/>
  <c r="G12" i="6"/>
  <c r="H462" i="36"/>
  <c r="J462" i="36" s="1"/>
  <c r="H12" i="6"/>
  <c r="H27" i="33"/>
  <c r="I27" i="33"/>
  <c r="H10" i="33"/>
  <c r="I10" i="33" s="1"/>
  <c r="H18" i="33"/>
  <c r="I18" i="33" s="1"/>
  <c r="G23" i="6"/>
  <c r="H31" i="36"/>
  <c r="J31" i="36" s="1"/>
  <c r="H9" i="6"/>
  <c r="G9" i="6"/>
  <c r="H5" i="36" s="1"/>
  <c r="H26" i="33"/>
  <c r="I26" i="33" s="1"/>
  <c r="H14" i="33"/>
  <c r="I14" i="33"/>
  <c r="I14" i="6"/>
  <c r="G14" i="6"/>
  <c r="H464" i="36" s="1"/>
  <c r="J464" i="36" s="1"/>
  <c r="H20" i="33"/>
  <c r="I20" i="33" s="1"/>
  <c r="H26" i="6"/>
  <c r="G26" i="6"/>
  <c r="H33" i="36"/>
  <c r="J33" i="36" s="1"/>
  <c r="H41" i="33"/>
  <c r="I41" i="33"/>
  <c r="G30" i="6"/>
  <c r="H19" i="36"/>
  <c r="J19" i="36" s="1"/>
  <c r="H30" i="6"/>
  <c r="H29" i="33"/>
  <c r="I29" i="33" s="1"/>
  <c r="G18" i="6"/>
  <c r="H18" i="6"/>
  <c r="H36" i="33"/>
  <c r="I36" i="33"/>
  <c r="H8" i="6"/>
  <c r="G8" i="6"/>
  <c r="H28" i="36"/>
  <c r="J28" i="36" s="1"/>
  <c r="H20" i="6"/>
  <c r="H17" i="33"/>
  <c r="I17" i="33"/>
  <c r="G20" i="6"/>
  <c r="H29" i="36" s="1"/>
  <c r="J29" i="36" s="1"/>
  <c r="H28" i="33"/>
  <c r="I28" i="33"/>
  <c r="G17" i="6"/>
  <c r="H23" i="36" s="1"/>
  <c r="J23" i="36" s="1"/>
  <c r="H17" i="6"/>
  <c r="H7" i="6"/>
  <c r="G7" i="6"/>
  <c r="H22" i="36"/>
  <c r="J22" i="36" s="1"/>
  <c r="H35" i="33"/>
  <c r="I35" i="33"/>
  <c r="G24" i="6"/>
  <c r="H32" i="36"/>
  <c r="J32" i="36" s="1"/>
  <c r="H24" i="6"/>
  <c r="H19" i="33"/>
  <c r="I19" i="33"/>
  <c r="G29" i="6"/>
  <c r="H29" i="6"/>
  <c r="I29" i="6" s="1"/>
  <c r="J29" i="6" s="1"/>
  <c r="H6" i="33"/>
  <c r="I6" i="33"/>
  <c r="H22" i="33"/>
  <c r="I22" i="33"/>
  <c r="H28" i="6"/>
  <c r="G28" i="6"/>
  <c r="H35" i="36"/>
  <c r="J35" i="36" s="1"/>
  <c r="H13" i="33"/>
  <c r="I13" i="33" s="1"/>
  <c r="G15" i="6"/>
  <c r="H6" i="6"/>
  <c r="I6" i="6" s="1"/>
  <c r="J6" i="6" s="1"/>
  <c r="H34" i="33"/>
  <c r="I34" i="33"/>
  <c r="H7" i="36"/>
  <c r="J7" i="36" s="1"/>
  <c r="H6" i="36"/>
  <c r="J6" i="36" s="1"/>
  <c r="H24" i="36"/>
  <c r="J24" i="36" s="1"/>
  <c r="H12" i="36"/>
  <c r="J12" i="36" s="1"/>
  <c r="H11" i="36"/>
  <c r="J11" i="36" s="1"/>
  <c r="H26" i="36"/>
  <c r="J26" i="36" s="1"/>
  <c r="H25" i="36"/>
  <c r="J25" i="36" s="1"/>
  <c r="J20" i="36"/>
  <c r="J21" i="36"/>
  <c r="I13" i="39"/>
  <c r="I63" i="39"/>
  <c r="I27" i="39"/>
  <c r="I59" i="39"/>
  <c r="I109" i="39"/>
  <c r="I67" i="39"/>
  <c r="I17" i="39"/>
  <c r="I62" i="39"/>
  <c r="I58" i="39"/>
  <c r="I56" i="39"/>
  <c r="I64" i="39"/>
  <c r="I60" i="39"/>
  <c r="I95" i="39"/>
  <c r="I108" i="39"/>
  <c r="I37" i="39"/>
  <c r="I112" i="39"/>
  <c r="I43" i="39"/>
  <c r="I57" i="39"/>
  <c r="I49" i="39"/>
  <c r="I61" i="39"/>
  <c r="I50" i="39"/>
  <c r="I36" i="39"/>
  <c r="I52" i="39"/>
  <c r="I111" i="39"/>
  <c r="I42" i="39"/>
  <c r="I35" i="39"/>
  <c r="I34" i="39"/>
  <c r="I16" i="39"/>
  <c r="I15" i="39"/>
  <c r="I30" i="39"/>
  <c r="I29" i="39"/>
  <c r="I66" i="39"/>
  <c r="I28" i="39"/>
  <c r="I110" i="39"/>
  <c r="I93" i="39"/>
  <c r="O9" i="19"/>
  <c r="D248" i="36" s="1"/>
  <c r="O8" i="19"/>
  <c r="D247" i="36" s="1"/>
  <c r="I90" i="39"/>
  <c r="AA12" i="9"/>
  <c r="F187" i="37" s="1"/>
  <c r="I98" i="39"/>
  <c r="I94" i="39"/>
  <c r="I96" i="39"/>
  <c r="I91" i="39"/>
  <c r="I68" i="39"/>
  <c r="I97" i="39"/>
  <c r="I92" i="39"/>
  <c r="J10" i="30"/>
  <c r="L10" i="30"/>
  <c r="K10" i="30"/>
  <c r="J3" i="30"/>
  <c r="L3" i="30"/>
  <c r="J11" i="30"/>
  <c r="K11" i="30"/>
  <c r="L11" i="30"/>
  <c r="J9" i="30"/>
  <c r="K9" i="30"/>
  <c r="J14" i="30"/>
  <c r="K14" i="30"/>
  <c r="J5" i="30"/>
  <c r="K5" i="30"/>
  <c r="J7" i="30"/>
  <c r="J12" i="30"/>
  <c r="K12" i="30"/>
  <c r="L12" i="30"/>
  <c r="J13" i="30"/>
  <c r="L13" i="30"/>
  <c r="J6" i="30"/>
  <c r="K6" i="30"/>
  <c r="L6" i="30"/>
  <c r="C353" i="20"/>
  <c r="J4" i="30"/>
  <c r="L4" i="30"/>
  <c r="J8" i="30"/>
  <c r="K4" i="30"/>
  <c r="K13" i="30"/>
  <c r="L8" i="30"/>
  <c r="K8" i="30"/>
  <c r="K7" i="30"/>
  <c r="L7" i="30"/>
  <c r="C342" i="20"/>
  <c r="C344" i="20"/>
  <c r="L5" i="30"/>
  <c r="L9" i="30"/>
  <c r="L14" i="30"/>
  <c r="B343" i="20"/>
  <c r="K3" i="30"/>
  <c r="B353" i="20"/>
  <c r="V10" i="10"/>
  <c r="G46" i="32"/>
  <c r="H46" i="32" s="1"/>
  <c r="J107" i="39" s="1"/>
  <c r="G50" i="33"/>
  <c r="H50" i="33" s="1"/>
  <c r="U10" i="10"/>
  <c r="H40" i="36" s="1"/>
  <c r="J40" i="36" s="1"/>
  <c r="H34" i="21"/>
  <c r="H299" i="36" s="1"/>
  <c r="J299" i="36" s="1"/>
  <c r="X27" i="21"/>
  <c r="Y27" i="21" s="1"/>
  <c r="X26" i="21"/>
  <c r="F185" i="20" s="1"/>
  <c r="F81" i="20" s="1"/>
  <c r="X30" i="21"/>
  <c r="Y30" i="21" s="1"/>
  <c r="X29" i="21"/>
  <c r="Y29" i="21" s="1"/>
  <c r="X28" i="21"/>
  <c r="AB28" i="21" s="1"/>
  <c r="D202" i="36" s="1"/>
  <c r="D5" i="9"/>
  <c r="E5" i="9" s="1"/>
  <c r="F5" i="9" s="1"/>
  <c r="G5" i="9" s="1"/>
  <c r="H5" i="9" s="1"/>
  <c r="D6" i="9"/>
  <c r="W6" i="9" s="1"/>
  <c r="X6" i="9" s="1"/>
  <c r="D7" i="9"/>
  <c r="E7" i="9" s="1"/>
  <c r="F7" i="9" s="1"/>
  <c r="G7" i="9" s="1"/>
  <c r="H7" i="9" s="1"/>
  <c r="D8" i="9"/>
  <c r="W8" i="9" s="1"/>
  <c r="X8" i="9" s="1"/>
  <c r="D9" i="9"/>
  <c r="W9" i="9" s="1"/>
  <c r="X9" i="9" s="1"/>
  <c r="D10" i="9"/>
  <c r="W10" i="9" s="1"/>
  <c r="X10" i="9" s="1"/>
  <c r="D11" i="9"/>
  <c r="W11" i="9" s="1"/>
  <c r="X11" i="9" s="1"/>
  <c r="D12" i="9"/>
  <c r="E12" i="9" s="1"/>
  <c r="F12" i="9" s="1"/>
  <c r="G12" i="9" s="1"/>
  <c r="H12" i="9" s="1"/>
  <c r="D13" i="9"/>
  <c r="W13" i="9" s="1"/>
  <c r="X13" i="9" s="1"/>
  <c r="D14" i="9"/>
  <c r="E14" i="9" s="1"/>
  <c r="F14" i="9" s="1"/>
  <c r="G14" i="9" s="1"/>
  <c r="H14" i="9" s="1"/>
  <c r="D15" i="9"/>
  <c r="W15" i="9" s="1"/>
  <c r="X15" i="9" s="1"/>
  <c r="D16" i="9"/>
  <c r="E16" i="9" s="1"/>
  <c r="F16" i="9" s="1"/>
  <c r="G16" i="9" s="1"/>
  <c r="H16" i="9" s="1"/>
  <c r="D17" i="9"/>
  <c r="W17" i="9" s="1"/>
  <c r="X17" i="9" s="1"/>
  <c r="D18" i="9"/>
  <c r="W18" i="9" s="1"/>
  <c r="X18" i="9" s="1"/>
  <c r="D19" i="9"/>
  <c r="W19" i="9" s="1"/>
  <c r="X19" i="9" s="1"/>
  <c r="D4" i="9"/>
  <c r="E4" i="9" s="1"/>
  <c r="F4" i="9" s="1"/>
  <c r="G4" i="9" s="1"/>
  <c r="H4" i="9" s="1"/>
  <c r="L6" i="9"/>
  <c r="J18" i="9"/>
  <c r="K18" i="9" s="1"/>
  <c r="H72" i="36" s="1"/>
  <c r="J72" i="36" s="1"/>
  <c r="J14" i="9"/>
  <c r="K14" i="9" s="1"/>
  <c r="J17" i="9"/>
  <c r="L17" i="9" s="1"/>
  <c r="M17" i="9" s="1"/>
  <c r="N17" i="9" s="1"/>
  <c r="J15" i="9"/>
  <c r="L15" i="9" s="1"/>
  <c r="M15" i="9" s="1"/>
  <c r="N15" i="9" s="1"/>
  <c r="J19" i="9"/>
  <c r="L19" i="9" s="1"/>
  <c r="I90" i="32"/>
  <c r="J90" i="32" s="1"/>
  <c r="J93" i="39" s="1"/>
  <c r="K93" i="39" s="1"/>
  <c r="I89" i="33"/>
  <c r="J89" i="33" s="1"/>
  <c r="J8" i="9"/>
  <c r="K8" i="9" s="1"/>
  <c r="H265" i="36" s="1"/>
  <c r="J11" i="9"/>
  <c r="K11" i="9" s="1"/>
  <c r="I92" i="33"/>
  <c r="J92" i="33" s="1"/>
  <c r="I93" i="32"/>
  <c r="J93" i="32" s="1"/>
  <c r="J96" i="39" s="1"/>
  <c r="K96" i="39" s="1"/>
  <c r="J7" i="9"/>
  <c r="K7" i="9" s="1"/>
  <c r="H69" i="36" s="1"/>
  <c r="J69" i="36" s="1"/>
  <c r="I88" i="33"/>
  <c r="J88" i="33" s="1"/>
  <c r="I89" i="32"/>
  <c r="J89" i="32" s="1"/>
  <c r="J92" i="39" s="1"/>
  <c r="K92" i="39" s="1"/>
  <c r="I92" i="32"/>
  <c r="J92" i="32" s="1"/>
  <c r="J95" i="39" s="1"/>
  <c r="K95" i="39" s="1"/>
  <c r="J10" i="9"/>
  <c r="K10" i="9" s="1"/>
  <c r="H73" i="36" s="1"/>
  <c r="J73" i="36" s="1"/>
  <c r="I91" i="33"/>
  <c r="J91" i="33" s="1"/>
  <c r="J9" i="9"/>
  <c r="I91" i="32"/>
  <c r="J91" i="32" s="1"/>
  <c r="J94" i="39" s="1"/>
  <c r="K94" i="39" s="1"/>
  <c r="I90" i="33"/>
  <c r="J90" i="33" s="1"/>
  <c r="I94" i="33"/>
  <c r="J94" i="33"/>
  <c r="J13" i="9"/>
  <c r="K13" i="9" s="1"/>
  <c r="I95" i="32"/>
  <c r="J95" i="32" s="1"/>
  <c r="J98" i="39" s="1"/>
  <c r="K98" i="39" s="1"/>
  <c r="J16" i="9"/>
  <c r="K16" i="9" s="1"/>
  <c r="H80" i="36" s="1"/>
  <c r="J80" i="36" s="1"/>
  <c r="I95" i="33"/>
  <c r="J95" i="33" s="1"/>
  <c r="J5" i="9"/>
  <c r="K5" i="9" s="1"/>
  <c r="H68" i="36" s="1"/>
  <c r="J68" i="36" s="1"/>
  <c r="I88" i="32"/>
  <c r="J88" i="32" s="1"/>
  <c r="J91" i="39" s="1"/>
  <c r="K91" i="39" s="1"/>
  <c r="J4" i="9"/>
  <c r="L4" i="9" s="1"/>
  <c r="I87" i="32"/>
  <c r="J87" i="32" s="1"/>
  <c r="J90" i="39" s="1"/>
  <c r="K90" i="39" s="1"/>
  <c r="I94" i="32"/>
  <c r="J94" i="32"/>
  <c r="J97" i="39" s="1"/>
  <c r="K97" i="39" s="1"/>
  <c r="J12" i="9"/>
  <c r="L12" i="9" s="1"/>
  <c r="I93" i="33"/>
  <c r="J93" i="33" s="1"/>
  <c r="F68" i="18" l="1"/>
  <c r="L459" i="36" s="1"/>
  <c r="S459" i="41" s="1"/>
  <c r="G39" i="42"/>
  <c r="H39" i="42" s="1"/>
  <c r="G36" i="42"/>
  <c r="H36" i="42" s="1"/>
  <c r="G34" i="42"/>
  <c r="H34" i="42" s="1"/>
  <c r="G31" i="42"/>
  <c r="H31" i="42" s="1"/>
  <c r="B349" i="20"/>
  <c r="C343" i="20"/>
  <c r="C345" i="20"/>
  <c r="B345" i="20"/>
  <c r="B435" i="20"/>
  <c r="B347" i="20"/>
  <c r="E98" i="20"/>
  <c r="B352" i="20"/>
  <c r="C352" i="20"/>
  <c r="B344" i="20"/>
  <c r="C349" i="20"/>
  <c r="B351" i="20"/>
  <c r="E30" i="20"/>
  <c r="C434" i="20"/>
  <c r="B342" i="20"/>
  <c r="C351" i="20"/>
  <c r="F121" i="37"/>
  <c r="E100" i="20"/>
  <c r="B100" i="20"/>
  <c r="B121" i="37" s="1"/>
  <c r="C121" i="37" s="1"/>
  <c r="F16" i="37"/>
  <c r="B350" i="20"/>
  <c r="C350" i="20"/>
  <c r="F30" i="37"/>
  <c r="C347" i="20"/>
  <c r="B348" i="20"/>
  <c r="B346" i="20"/>
  <c r="E16" i="20"/>
  <c r="C346" i="20"/>
  <c r="J14" i="6"/>
  <c r="K14" i="6" s="1"/>
  <c r="L238" i="36"/>
  <c r="S239" i="41" s="1"/>
  <c r="E3" i="17"/>
  <c r="F200" i="20"/>
  <c r="F96" i="20" s="1"/>
  <c r="F117" i="37" s="1"/>
  <c r="M22" i="9"/>
  <c r="H4" i="17"/>
  <c r="H6" i="17"/>
  <c r="K6" i="17" s="1"/>
  <c r="H10" i="36"/>
  <c r="J10" i="36" s="1"/>
  <c r="H18" i="36"/>
  <c r="J18" i="36" s="1"/>
  <c r="H16" i="36"/>
  <c r="J16" i="36" s="1"/>
  <c r="H14" i="36"/>
  <c r="J14" i="36" s="1"/>
  <c r="H13" i="36"/>
  <c r="J13" i="36" s="1"/>
  <c r="I121" i="36"/>
  <c r="T12" i="21"/>
  <c r="U12" i="21" s="1"/>
  <c r="F12" i="21"/>
  <c r="H27" i="21"/>
  <c r="F27" i="21"/>
  <c r="T26" i="21"/>
  <c r="U26" i="21" s="1"/>
  <c r="F26" i="21"/>
  <c r="T22" i="21"/>
  <c r="U22" i="21" s="1"/>
  <c r="F22" i="21"/>
  <c r="T24" i="21"/>
  <c r="U24" i="21" s="1"/>
  <c r="F24" i="21"/>
  <c r="T18" i="21"/>
  <c r="U18" i="21" s="1"/>
  <c r="F18" i="21"/>
  <c r="L50" i="36" s="1"/>
  <c r="S51" i="41" s="1"/>
  <c r="I29" i="21"/>
  <c r="J29" i="21" s="1"/>
  <c r="K29" i="21" s="1"/>
  <c r="L29" i="21" s="1"/>
  <c r="F29" i="21"/>
  <c r="AA29" i="21" s="1"/>
  <c r="T23" i="21"/>
  <c r="U23" i="21" s="1"/>
  <c r="F23" i="21"/>
  <c r="T20" i="21"/>
  <c r="U20" i="21" s="1"/>
  <c r="F20" i="21"/>
  <c r="I16" i="21"/>
  <c r="J16" i="21" s="1"/>
  <c r="K16" i="21" s="1"/>
  <c r="M16" i="21" s="1"/>
  <c r="F16" i="21"/>
  <c r="AB42" i="21"/>
  <c r="D466" i="36" s="1"/>
  <c r="G466" i="36" s="1"/>
  <c r="Y37" i="21"/>
  <c r="Z37" i="21" s="1"/>
  <c r="AB48" i="21"/>
  <c r="D377" i="36" s="1"/>
  <c r="G377" i="36" s="1"/>
  <c r="AB43" i="21"/>
  <c r="T5" i="21"/>
  <c r="U5" i="21" s="1"/>
  <c r="L51" i="36"/>
  <c r="S52" i="41" s="1"/>
  <c r="T19" i="21"/>
  <c r="U19" i="21" s="1"/>
  <c r="L63" i="36"/>
  <c r="S64" i="41" s="1"/>
  <c r="D234" i="20"/>
  <c r="B234" i="20" s="1"/>
  <c r="T21" i="21"/>
  <c r="U21" i="21" s="1"/>
  <c r="L376" i="36"/>
  <c r="S377" i="41" s="1"/>
  <c r="Y43" i="21"/>
  <c r="AA43" i="21" s="1"/>
  <c r="I5" i="17"/>
  <c r="J5" i="17" s="1"/>
  <c r="I4" i="17"/>
  <c r="J4" i="17" s="1"/>
  <c r="L5" i="17"/>
  <c r="L226" i="36"/>
  <c r="S227" i="41" s="1"/>
  <c r="L227" i="36"/>
  <c r="S228" i="41" s="1"/>
  <c r="D436" i="20"/>
  <c r="D264" i="36" s="1"/>
  <c r="E264" i="36" s="1"/>
  <c r="AA29" i="9"/>
  <c r="AE28" i="9"/>
  <c r="AB28" i="9"/>
  <c r="D262" i="36"/>
  <c r="G262" i="36" s="1"/>
  <c r="AA22" i="9"/>
  <c r="D278" i="20"/>
  <c r="D255" i="36" s="1"/>
  <c r="G255" i="36" s="1"/>
  <c r="AA26" i="9"/>
  <c r="D275" i="20"/>
  <c r="D261" i="36" s="1"/>
  <c r="F261" i="36" s="1"/>
  <c r="AA25" i="9"/>
  <c r="D263" i="36"/>
  <c r="G263" i="36" s="1"/>
  <c r="AA23" i="9"/>
  <c r="AJ34" i="14"/>
  <c r="AK35" i="14"/>
  <c r="F43" i="21"/>
  <c r="Q43" i="21"/>
  <c r="R43" i="21"/>
  <c r="M44" i="21"/>
  <c r="Q44" i="21"/>
  <c r="L44" i="21"/>
  <c r="N44" i="21"/>
  <c r="L466" i="36"/>
  <c r="S466" i="41" s="1"/>
  <c r="F42" i="21"/>
  <c r="Q42" i="21"/>
  <c r="R42" i="21"/>
  <c r="L468" i="36"/>
  <c r="S468" i="41" s="1"/>
  <c r="F46" i="21"/>
  <c r="Q46" i="21"/>
  <c r="R46" i="21"/>
  <c r="F45" i="21"/>
  <c r="Q45" i="21"/>
  <c r="R45" i="21"/>
  <c r="L465" i="36"/>
  <c r="S465" i="41" s="1"/>
  <c r="F41" i="21"/>
  <c r="Q41" i="21"/>
  <c r="R41" i="21"/>
  <c r="L7" i="9"/>
  <c r="M7" i="9" s="1"/>
  <c r="N7" i="9" s="1"/>
  <c r="T7" i="9" s="1"/>
  <c r="J265" i="36"/>
  <c r="I265" i="36" s="1"/>
  <c r="M25" i="9"/>
  <c r="F252" i="37"/>
  <c r="H70" i="36"/>
  <c r="J70" i="36" s="1"/>
  <c r="I70" i="36" s="1"/>
  <c r="U9" i="15"/>
  <c r="U8" i="15"/>
  <c r="G375" i="36"/>
  <c r="G235" i="36"/>
  <c r="G142" i="36"/>
  <c r="G203" i="36"/>
  <c r="G162" i="36"/>
  <c r="G84" i="36"/>
  <c r="G417" i="36"/>
  <c r="G222" i="36"/>
  <c r="G236" i="36"/>
  <c r="G87" i="36"/>
  <c r="G404" i="36"/>
  <c r="G307" i="36"/>
  <c r="G268" i="36"/>
  <c r="G370" i="36"/>
  <c r="G400" i="36"/>
  <c r="G245" i="36"/>
  <c r="G341" i="36"/>
  <c r="G401" i="36"/>
  <c r="G217" i="36"/>
  <c r="G378" i="36"/>
  <c r="G398" i="36"/>
  <c r="G149" i="36"/>
  <c r="G273" i="36"/>
  <c r="G412" i="36"/>
  <c r="G414" i="36"/>
  <c r="G216" i="36"/>
  <c r="G312" i="36"/>
  <c r="G374" i="36"/>
  <c r="G385" i="36"/>
  <c r="G397" i="36"/>
  <c r="G350" i="36"/>
  <c r="G180" i="36"/>
  <c r="G192" i="36"/>
  <c r="G185" i="36"/>
  <c r="G190" i="36"/>
  <c r="G179" i="36"/>
  <c r="G349" i="36"/>
  <c r="G169" i="36"/>
  <c r="G411" i="36"/>
  <c r="G415" i="36"/>
  <c r="G363" i="36"/>
  <c r="G246" i="36"/>
  <c r="G396" i="36"/>
  <c r="G174" i="36"/>
  <c r="G181" i="36"/>
  <c r="G193" i="36"/>
  <c r="G143" i="36"/>
  <c r="G178" i="36"/>
  <c r="G191" i="36"/>
  <c r="G146" i="36"/>
  <c r="G170" i="36"/>
  <c r="G410" i="36"/>
  <c r="G421" i="36"/>
  <c r="G309" i="36"/>
  <c r="G274" i="36"/>
  <c r="G387" i="36"/>
  <c r="G399" i="36"/>
  <c r="G175" i="36"/>
  <c r="G182" i="36"/>
  <c r="G194" i="36"/>
  <c r="G173" i="36"/>
  <c r="G418" i="36"/>
  <c r="G72" i="36"/>
  <c r="G220" i="36"/>
  <c r="G251" i="36"/>
  <c r="G145" i="36"/>
  <c r="G186" i="36"/>
  <c r="G158" i="36"/>
  <c r="G163" i="36"/>
  <c r="G416" i="36"/>
  <c r="G187" i="36"/>
  <c r="G155" i="36"/>
  <c r="G164" i="36"/>
  <c r="G434" i="36"/>
  <c r="G243" i="36"/>
  <c r="G381" i="36"/>
  <c r="G459" i="36"/>
  <c r="G199" i="36"/>
  <c r="G200" i="36"/>
  <c r="G176" i="36"/>
  <c r="G188" i="36"/>
  <c r="G279" i="36"/>
  <c r="G328" i="36"/>
  <c r="G177" i="36"/>
  <c r="G189" i="36"/>
  <c r="G152" i="36"/>
  <c r="G166" i="36"/>
  <c r="G402" i="36"/>
  <c r="G435" i="36"/>
  <c r="G244" i="36"/>
  <c r="G371" i="36"/>
  <c r="G395" i="36"/>
  <c r="G327" i="36"/>
  <c r="G280" i="36"/>
  <c r="G167" i="36"/>
  <c r="G27" i="36"/>
  <c r="G413" i="36"/>
  <c r="G373" i="36"/>
  <c r="G326" i="36"/>
  <c r="G247" i="36"/>
  <c r="G144" i="36"/>
  <c r="G171" i="36"/>
  <c r="G409" i="36"/>
  <c r="G420" i="36"/>
  <c r="G305" i="36"/>
  <c r="G221" i="36"/>
  <c r="G432" i="36"/>
  <c r="G233" i="36"/>
  <c r="F194" i="36"/>
  <c r="G183" i="36"/>
  <c r="G195" i="36"/>
  <c r="G407" i="36"/>
  <c r="G308" i="36"/>
  <c r="G229" i="36"/>
  <c r="G406" i="36"/>
  <c r="G311" i="36"/>
  <c r="G278" i="36"/>
  <c r="G405" i="36"/>
  <c r="G365" i="36"/>
  <c r="G392" i="36"/>
  <c r="G458" i="36"/>
  <c r="G250" i="36"/>
  <c r="G269" i="36"/>
  <c r="G364" i="36"/>
  <c r="G165" i="36"/>
  <c r="G403" i="36"/>
  <c r="G270" i="36"/>
  <c r="G342" i="36"/>
  <c r="G201" i="36"/>
  <c r="G242" i="36"/>
  <c r="G379" i="36"/>
  <c r="G267" i="36"/>
  <c r="G202" i="36"/>
  <c r="G248" i="36"/>
  <c r="G172" i="36"/>
  <c r="G408" i="36"/>
  <c r="G419" i="36"/>
  <c r="G324" i="36"/>
  <c r="G218" i="36"/>
  <c r="G362" i="36"/>
  <c r="G234" i="36"/>
  <c r="E193" i="36"/>
  <c r="G184" i="36"/>
  <c r="N3" i="17"/>
  <c r="O3" i="17" s="1"/>
  <c r="N6" i="17"/>
  <c r="O6" i="17" s="1"/>
  <c r="L239" i="36"/>
  <c r="S240" i="41" s="1"/>
  <c r="L4" i="17"/>
  <c r="K4" i="17"/>
  <c r="P38" i="6"/>
  <c r="Q21" i="42"/>
  <c r="R21" i="42"/>
  <c r="E326" i="36"/>
  <c r="E180" i="36"/>
  <c r="J447" i="36"/>
  <c r="I447" i="36" s="1"/>
  <c r="F192" i="36"/>
  <c r="E176" i="36"/>
  <c r="E189" i="36"/>
  <c r="F328" i="36"/>
  <c r="F179" i="36"/>
  <c r="F145" i="36"/>
  <c r="F178" i="36"/>
  <c r="E145" i="36"/>
  <c r="E327" i="36"/>
  <c r="F180" i="36"/>
  <c r="E194" i="36"/>
  <c r="F176" i="36"/>
  <c r="F177" i="36"/>
  <c r="E174" i="36"/>
  <c r="F326" i="36"/>
  <c r="F181" i="36"/>
  <c r="K86" i="41"/>
  <c r="F327" i="36"/>
  <c r="E178" i="36"/>
  <c r="K88" i="41"/>
  <c r="J453" i="36"/>
  <c r="K453" i="36" s="1"/>
  <c r="E328" i="36"/>
  <c r="F182" i="36"/>
  <c r="E191" i="36"/>
  <c r="S37" i="6"/>
  <c r="Y37" i="6"/>
  <c r="AJ35" i="14"/>
  <c r="L349" i="36"/>
  <c r="S350" i="41" s="1"/>
  <c r="AK34" i="14"/>
  <c r="G55" i="33"/>
  <c r="H55" i="33" s="1"/>
  <c r="G51" i="32"/>
  <c r="H51" i="32" s="1"/>
  <c r="H112" i="39" s="1"/>
  <c r="K112" i="39" s="1"/>
  <c r="L210" i="36"/>
  <c r="S211" i="41" s="1"/>
  <c r="E6" i="19"/>
  <c r="L215" i="36"/>
  <c r="S216" i="41" s="1"/>
  <c r="E7" i="19"/>
  <c r="L248" i="36"/>
  <c r="S249" i="41" s="1"/>
  <c r="E9" i="19"/>
  <c r="E180" i="32"/>
  <c r="F180" i="32" s="1"/>
  <c r="J164" i="39" s="1"/>
  <c r="K164" i="39" s="1"/>
  <c r="E8" i="19"/>
  <c r="L213" i="36"/>
  <c r="S214" i="41" s="1"/>
  <c r="E5" i="19"/>
  <c r="L212" i="36"/>
  <c r="S213" i="41" s="1"/>
  <c r="E4" i="19"/>
  <c r="G422" i="36"/>
  <c r="D466" i="20"/>
  <c r="C466" i="20" s="1"/>
  <c r="D428" i="36"/>
  <c r="E428" i="36" s="1"/>
  <c r="P70" i="19"/>
  <c r="E179" i="32"/>
  <c r="F179" i="32" s="1"/>
  <c r="J163" i="39" s="1"/>
  <c r="K163" i="39" s="1"/>
  <c r="F470" i="36"/>
  <c r="E178" i="32"/>
  <c r="F178" i="32" s="1"/>
  <c r="J162" i="39" s="1"/>
  <c r="K162" i="39" s="1"/>
  <c r="P53" i="19"/>
  <c r="R53" i="19" s="1"/>
  <c r="G5" i="19"/>
  <c r="H209" i="36" s="1"/>
  <c r="J209" i="36" s="1"/>
  <c r="K209" i="36" s="1"/>
  <c r="P51" i="19"/>
  <c r="Q51" i="19" s="1"/>
  <c r="P37" i="19"/>
  <c r="R37" i="19" s="1"/>
  <c r="P54" i="19"/>
  <c r="Q54" i="19" s="1"/>
  <c r="L247" i="36"/>
  <c r="S248" i="41" s="1"/>
  <c r="P44" i="19"/>
  <c r="P46" i="19"/>
  <c r="D425" i="36"/>
  <c r="P65" i="19"/>
  <c r="R65" i="19" s="1"/>
  <c r="L214" i="36"/>
  <c r="S215" i="41" s="1"/>
  <c r="H7" i="19"/>
  <c r="I7" i="19" s="1"/>
  <c r="J7" i="19" s="1"/>
  <c r="P39" i="19"/>
  <c r="Q39" i="19" s="1"/>
  <c r="L211" i="36"/>
  <c r="S212" i="41" s="1"/>
  <c r="P40" i="19"/>
  <c r="P55" i="19"/>
  <c r="P56" i="19"/>
  <c r="P41" i="19"/>
  <c r="P45" i="19"/>
  <c r="R45" i="19" s="1"/>
  <c r="L209" i="36"/>
  <c r="S210" i="41" s="1"/>
  <c r="P42" i="19"/>
  <c r="D426" i="36"/>
  <c r="P66" i="19"/>
  <c r="D427" i="36"/>
  <c r="P67" i="19"/>
  <c r="D429" i="36"/>
  <c r="P71" i="19"/>
  <c r="L347" i="36"/>
  <c r="S348" i="41" s="1"/>
  <c r="D424" i="36"/>
  <c r="P64" i="19"/>
  <c r="D423" i="36"/>
  <c r="P63" i="19"/>
  <c r="P57" i="19"/>
  <c r="P48" i="19"/>
  <c r="L321" i="36"/>
  <c r="S322" i="41" s="1"/>
  <c r="P47" i="19"/>
  <c r="P58" i="19"/>
  <c r="P49" i="19"/>
  <c r="L367" i="36"/>
  <c r="S368" i="41" s="1"/>
  <c r="L469" i="36"/>
  <c r="S469" i="41" s="1"/>
  <c r="L366" i="36"/>
  <c r="S367" i="41" s="1"/>
  <c r="E21" i="19"/>
  <c r="P62" i="19"/>
  <c r="P38" i="19"/>
  <c r="L319" i="36"/>
  <c r="S320" i="41" s="1"/>
  <c r="L320" i="36"/>
  <c r="S321" i="41" s="1"/>
  <c r="L322" i="36"/>
  <c r="S323" i="41" s="1"/>
  <c r="L208" i="36"/>
  <c r="S209" i="41" s="1"/>
  <c r="P43" i="19"/>
  <c r="P50" i="19"/>
  <c r="L323" i="36"/>
  <c r="S324" i="41" s="1"/>
  <c r="P52" i="19"/>
  <c r="E471" i="36"/>
  <c r="C282" i="20"/>
  <c r="B282" i="20"/>
  <c r="L394" i="36"/>
  <c r="S395" i="41" s="1"/>
  <c r="H91" i="36"/>
  <c r="J91" i="36" s="1"/>
  <c r="K91" i="36" s="1"/>
  <c r="H46" i="36"/>
  <c r="J46" i="36" s="1"/>
  <c r="I46" i="36" s="1"/>
  <c r="G53" i="32"/>
  <c r="H53" i="32" s="1"/>
  <c r="H114" i="39" s="1"/>
  <c r="K114" i="39" s="1"/>
  <c r="V17" i="10"/>
  <c r="U7" i="10"/>
  <c r="G43" i="32"/>
  <c r="H43" i="32" s="1"/>
  <c r="J104" i="39" s="1"/>
  <c r="G57" i="33"/>
  <c r="H57" i="33" s="1"/>
  <c r="G47" i="33"/>
  <c r="H47" i="33" s="1"/>
  <c r="J12" i="42"/>
  <c r="J6" i="42"/>
  <c r="I27" i="6"/>
  <c r="J20" i="42"/>
  <c r="J19" i="42"/>
  <c r="J5" i="42"/>
  <c r="J24" i="42"/>
  <c r="W15" i="10"/>
  <c r="J20" i="18"/>
  <c r="J10" i="42"/>
  <c r="I12" i="6"/>
  <c r="J14" i="42"/>
  <c r="I11" i="6"/>
  <c r="J13" i="42"/>
  <c r="M19" i="9"/>
  <c r="W7" i="10"/>
  <c r="I7" i="6"/>
  <c r="I8" i="6"/>
  <c r="J62" i="18"/>
  <c r="J18" i="42"/>
  <c r="J23" i="42"/>
  <c r="J69" i="18"/>
  <c r="J27" i="42"/>
  <c r="I17" i="6"/>
  <c r="W12" i="10"/>
  <c r="J16" i="42"/>
  <c r="J7" i="42"/>
  <c r="I10" i="6"/>
  <c r="I15" i="6"/>
  <c r="I4" i="6"/>
  <c r="J9" i="42"/>
  <c r="I24" i="6"/>
  <c r="I16" i="6"/>
  <c r="J15" i="42"/>
  <c r="M4" i="9"/>
  <c r="J11" i="18"/>
  <c r="I21" i="6"/>
  <c r="J25" i="42"/>
  <c r="J26" i="42"/>
  <c r="M6" i="9"/>
  <c r="J33" i="18"/>
  <c r="W10" i="10"/>
  <c r="I28" i="6"/>
  <c r="I30" i="6"/>
  <c r="J30" i="6" s="1"/>
  <c r="L30" i="6" s="1"/>
  <c r="I20" i="6"/>
  <c r="I13" i="6"/>
  <c r="I23" i="6"/>
  <c r="J17" i="42"/>
  <c r="J4" i="42"/>
  <c r="M12" i="9"/>
  <c r="I18" i="6"/>
  <c r="I26" i="6"/>
  <c r="I31" i="6"/>
  <c r="J31" i="6" s="1"/>
  <c r="P31" i="6" s="1"/>
  <c r="J11" i="42"/>
  <c r="J22" i="42"/>
  <c r="J8" i="42"/>
  <c r="I9" i="6"/>
  <c r="I126" i="36"/>
  <c r="G52" i="33"/>
  <c r="H52" i="33" s="1"/>
  <c r="AB12" i="9"/>
  <c r="AD12" i="9" s="1"/>
  <c r="G48" i="32"/>
  <c r="H48" i="32" s="1"/>
  <c r="J109" i="39" s="1"/>
  <c r="L44" i="36"/>
  <c r="S45" i="41" s="1"/>
  <c r="U15" i="10"/>
  <c r="H88" i="36" s="1"/>
  <c r="J88" i="36" s="1"/>
  <c r="K88" i="36" s="1"/>
  <c r="L314" i="36"/>
  <c r="S315" i="41" s="1"/>
  <c r="U12" i="10"/>
  <c r="H42" i="36" s="1"/>
  <c r="J42" i="36" s="1"/>
  <c r="K42" i="36" s="1"/>
  <c r="L86" i="36"/>
  <c r="S87" i="41" s="1"/>
  <c r="L13" i="9"/>
  <c r="M13" i="9" s="1"/>
  <c r="N13" i="9" s="1"/>
  <c r="O13" i="9" s="1"/>
  <c r="L10" i="9"/>
  <c r="L14" i="9"/>
  <c r="M14" i="9" s="1"/>
  <c r="N14" i="9" s="1"/>
  <c r="P14" i="9" s="1"/>
  <c r="H107" i="39"/>
  <c r="K107" i="39" s="1"/>
  <c r="I52" i="21"/>
  <c r="J52" i="21" s="1"/>
  <c r="K52" i="21" s="1"/>
  <c r="H52" i="21"/>
  <c r="H50" i="21"/>
  <c r="H148" i="36" s="1"/>
  <c r="I50" i="21"/>
  <c r="J50" i="21" s="1"/>
  <c r="K50" i="21" s="1"/>
  <c r="H51" i="21"/>
  <c r="H151" i="36" s="1"/>
  <c r="I51" i="21"/>
  <c r="J51" i="21" s="1"/>
  <c r="K51" i="21" s="1"/>
  <c r="L16" i="9"/>
  <c r="L18" i="9"/>
  <c r="K4" i="9"/>
  <c r="H67" i="36" s="1"/>
  <c r="J67" i="36" s="1"/>
  <c r="K67" i="36" s="1"/>
  <c r="H74" i="36"/>
  <c r="J74" i="36" s="1"/>
  <c r="I74" i="36" s="1"/>
  <c r="H75" i="36"/>
  <c r="J75" i="36" s="1"/>
  <c r="K75" i="36" s="1"/>
  <c r="H76" i="36"/>
  <c r="J76" i="36" s="1"/>
  <c r="I76" i="36" s="1"/>
  <c r="K9" i="9"/>
  <c r="K15" i="9"/>
  <c r="L5" i="9"/>
  <c r="L9" i="9"/>
  <c r="K17" i="9"/>
  <c r="H325" i="36" s="1"/>
  <c r="J325" i="36" s="1"/>
  <c r="K325" i="36" s="1"/>
  <c r="L11" i="9"/>
  <c r="L8" i="9"/>
  <c r="K12" i="9"/>
  <c r="H79" i="36" s="1"/>
  <c r="J79" i="36" s="1"/>
  <c r="K79" i="36" s="1"/>
  <c r="K19" i="9"/>
  <c r="H77" i="36" s="1"/>
  <c r="J77" i="36" s="1"/>
  <c r="K77" i="36" s="1"/>
  <c r="L368" i="36"/>
  <c r="S369" i="41" s="1"/>
  <c r="D460" i="20"/>
  <c r="B460" i="20" s="1"/>
  <c r="F471" i="36"/>
  <c r="D449" i="20"/>
  <c r="B449" i="20" s="1"/>
  <c r="S21" i="17"/>
  <c r="C476" i="20"/>
  <c r="N4" i="17"/>
  <c r="O4" i="17" s="1"/>
  <c r="B475" i="20"/>
  <c r="S22" i="17"/>
  <c r="G295" i="36"/>
  <c r="Q48" i="21"/>
  <c r="N48" i="21"/>
  <c r="M48" i="21"/>
  <c r="L48" i="21"/>
  <c r="Q47" i="21"/>
  <c r="N47" i="21"/>
  <c r="M47" i="21"/>
  <c r="L47" i="21"/>
  <c r="M49" i="21"/>
  <c r="L49" i="21"/>
  <c r="Q49" i="21"/>
  <c r="N49" i="21"/>
  <c r="I130" i="36"/>
  <c r="I118" i="36"/>
  <c r="K5" i="17"/>
  <c r="D251" i="20"/>
  <c r="D250" i="20"/>
  <c r="C250" i="20" s="1"/>
  <c r="L228" i="36"/>
  <c r="S229" i="41" s="1"/>
  <c r="AH14" i="10"/>
  <c r="AI14" i="10" s="1"/>
  <c r="K8" i="34"/>
  <c r="L240" i="36"/>
  <c r="S241" i="41" s="1"/>
  <c r="N5" i="17"/>
  <c r="O5" i="17" s="1"/>
  <c r="W14" i="42"/>
  <c r="L43" i="36"/>
  <c r="S44" i="41" s="1"/>
  <c r="AH15" i="10"/>
  <c r="AI15" i="10" s="1"/>
  <c r="F155" i="37"/>
  <c r="T43" i="15"/>
  <c r="S43" i="15"/>
  <c r="D297" i="36"/>
  <c r="D244" i="20"/>
  <c r="D292" i="36"/>
  <c r="D457" i="36"/>
  <c r="R48" i="15"/>
  <c r="S48" i="15" s="1"/>
  <c r="D230" i="20"/>
  <c r="D369" i="36" s="1"/>
  <c r="AP9" i="14"/>
  <c r="AQ9" i="14" s="1"/>
  <c r="AR9" i="14" s="1"/>
  <c r="AS9" i="14" s="1"/>
  <c r="D225" i="20"/>
  <c r="D300" i="36" s="1"/>
  <c r="D294" i="36"/>
  <c r="D475" i="36"/>
  <c r="F475" i="36" s="1"/>
  <c r="D248" i="20"/>
  <c r="D298" i="36"/>
  <c r="D232" i="20"/>
  <c r="C232" i="20" s="1"/>
  <c r="D239" i="20"/>
  <c r="D296" i="36" s="1"/>
  <c r="S102" i="15"/>
  <c r="T102" i="15"/>
  <c r="S84" i="15"/>
  <c r="T84" i="15"/>
  <c r="T67" i="15"/>
  <c r="S67" i="15"/>
  <c r="S72" i="15"/>
  <c r="T72" i="15"/>
  <c r="S54" i="15"/>
  <c r="T54" i="15"/>
  <c r="T50" i="15"/>
  <c r="S50" i="15"/>
  <c r="AP5" i="14"/>
  <c r="AQ5" i="14" s="1"/>
  <c r="AR5" i="14" s="1"/>
  <c r="I115" i="36"/>
  <c r="I114" i="36"/>
  <c r="L46" i="36"/>
  <c r="S47" i="41" s="1"/>
  <c r="L91" i="36"/>
  <c r="AH17" i="10"/>
  <c r="AI17" i="10" s="1"/>
  <c r="L42" i="36"/>
  <c r="S43" i="41" s="1"/>
  <c r="AH12" i="10"/>
  <c r="AI12" i="10" s="1"/>
  <c r="AH11" i="10"/>
  <c r="AI11" i="10" s="1"/>
  <c r="L89" i="36"/>
  <c r="L88" i="36"/>
  <c r="AH16" i="10"/>
  <c r="AI16" i="10" s="1"/>
  <c r="L38" i="36"/>
  <c r="S39" i="41" s="1"/>
  <c r="AH7" i="10"/>
  <c r="AI7" i="10" s="1"/>
  <c r="L83" i="36"/>
  <c r="AP13" i="10"/>
  <c r="D227" i="36" s="1"/>
  <c r="G227" i="36" s="1"/>
  <c r="S13" i="34"/>
  <c r="V5" i="34"/>
  <c r="D304" i="36" s="1"/>
  <c r="F304" i="36" s="1"/>
  <c r="P13" i="19"/>
  <c r="R13" i="19" s="1"/>
  <c r="D366" i="20"/>
  <c r="C366" i="20" s="1"/>
  <c r="L5" i="15"/>
  <c r="M5" i="15" s="1"/>
  <c r="U5" i="15"/>
  <c r="K9" i="34"/>
  <c r="R7" i="15"/>
  <c r="L10" i="15"/>
  <c r="M10" i="15" s="1"/>
  <c r="U87" i="15"/>
  <c r="R8" i="15"/>
  <c r="S8" i="15" s="1"/>
  <c r="U11" i="15"/>
  <c r="C273" i="20"/>
  <c r="R9" i="15"/>
  <c r="S9" i="15" s="1"/>
  <c r="R6" i="15"/>
  <c r="S6" i="15" s="1"/>
  <c r="L6" i="15"/>
  <c r="M6" i="15" s="1"/>
  <c r="R21" i="15"/>
  <c r="AN15" i="14"/>
  <c r="AO15" i="14" s="1"/>
  <c r="C276" i="20"/>
  <c r="U22" i="15"/>
  <c r="AN5" i="14"/>
  <c r="AO5" i="14" s="1"/>
  <c r="S293" i="41" s="1"/>
  <c r="T22" i="15"/>
  <c r="S22" i="15"/>
  <c r="T19" i="15"/>
  <c r="S19" i="15"/>
  <c r="R11" i="15"/>
  <c r="L8" i="15"/>
  <c r="M8" i="15" s="1"/>
  <c r="R95" i="15"/>
  <c r="L9" i="15"/>
  <c r="M9" i="15" s="1"/>
  <c r="R20" i="15"/>
  <c r="R18" i="15"/>
  <c r="R10" i="15"/>
  <c r="B273" i="20"/>
  <c r="R5" i="15"/>
  <c r="U10" i="15"/>
  <c r="U6" i="15"/>
  <c r="U19" i="15"/>
  <c r="U3" i="15"/>
  <c r="L6" i="34"/>
  <c r="R32" i="19"/>
  <c r="P8" i="19"/>
  <c r="R8" i="19" s="1"/>
  <c r="AP15" i="14"/>
  <c r="AQ15" i="14" s="1"/>
  <c r="AR15" i="14" s="1"/>
  <c r="F113" i="20"/>
  <c r="F7" i="20" s="1"/>
  <c r="F7" i="37" s="1"/>
  <c r="AA31" i="6"/>
  <c r="D330" i="36" s="1"/>
  <c r="D364" i="20"/>
  <c r="C364" i="20" s="1"/>
  <c r="X31" i="6"/>
  <c r="Y31" i="6" s="1"/>
  <c r="F196" i="37"/>
  <c r="E32" i="19"/>
  <c r="C279" i="20"/>
  <c r="C270" i="20"/>
  <c r="B270" i="20"/>
  <c r="C281" i="20"/>
  <c r="C266" i="20"/>
  <c r="B268" i="20"/>
  <c r="C268" i="20"/>
  <c r="B279" i="20"/>
  <c r="B266" i="20"/>
  <c r="B281" i="20"/>
  <c r="B241" i="20"/>
  <c r="B276" i="20"/>
  <c r="C241" i="20"/>
  <c r="AN6" i="14"/>
  <c r="AO6" i="14" s="1"/>
  <c r="S294" i="41" s="1"/>
  <c r="AN20" i="14"/>
  <c r="AO20" i="14" s="1"/>
  <c r="S298" i="41" s="1"/>
  <c r="W11" i="42"/>
  <c r="X11" i="42"/>
  <c r="I33" i="42"/>
  <c r="H33" i="42"/>
  <c r="I29" i="42"/>
  <c r="H29" i="42"/>
  <c r="I34" i="42"/>
  <c r="L61" i="36"/>
  <c r="S62" i="41" s="1"/>
  <c r="T7" i="21"/>
  <c r="U7" i="21" s="1"/>
  <c r="L53" i="36"/>
  <c r="S54" i="41" s="1"/>
  <c r="T4" i="21"/>
  <c r="U4" i="21" s="1"/>
  <c r="Z38" i="6"/>
  <c r="S38" i="6"/>
  <c r="L101" i="36"/>
  <c r="S102" i="41" s="1"/>
  <c r="Y38" i="6"/>
  <c r="D236" i="20"/>
  <c r="B236" i="20" s="1"/>
  <c r="F120" i="20"/>
  <c r="F14" i="20" s="1"/>
  <c r="F14" i="37" s="1"/>
  <c r="AA13" i="6"/>
  <c r="D10" i="36" s="1"/>
  <c r="AB7" i="9"/>
  <c r="AC7" i="9" s="1"/>
  <c r="R96" i="15"/>
  <c r="V10" i="42"/>
  <c r="W10" i="42" s="1"/>
  <c r="P9" i="19"/>
  <c r="R9" i="19" s="1"/>
  <c r="D363" i="20"/>
  <c r="B363" i="20" s="1"/>
  <c r="U96" i="15"/>
  <c r="AE26" i="14"/>
  <c r="AE13" i="14"/>
  <c r="E55" i="20"/>
  <c r="B55" i="20"/>
  <c r="J442" i="36"/>
  <c r="K442" i="36" s="1"/>
  <c r="H116" i="36"/>
  <c r="J116" i="36" s="1"/>
  <c r="J450" i="36"/>
  <c r="K450" i="36" s="1"/>
  <c r="H124" i="36"/>
  <c r="J124" i="36" s="1"/>
  <c r="J451" i="36"/>
  <c r="K451" i="36" s="1"/>
  <c r="H125" i="36"/>
  <c r="J125" i="36" s="1"/>
  <c r="J454" i="36"/>
  <c r="K454" i="36" s="1"/>
  <c r="H131" i="36"/>
  <c r="J131" i="36" s="1"/>
  <c r="J127" i="36"/>
  <c r="H128" i="36"/>
  <c r="J128" i="36" s="1"/>
  <c r="J445" i="36"/>
  <c r="I445" i="36" s="1"/>
  <c r="H119" i="36"/>
  <c r="J119" i="36" s="1"/>
  <c r="J446" i="36"/>
  <c r="K446" i="36" s="1"/>
  <c r="H120" i="36"/>
  <c r="J120" i="36" s="1"/>
  <c r="J448" i="36"/>
  <c r="K448" i="36" s="1"/>
  <c r="H122" i="36"/>
  <c r="J122" i="36" s="1"/>
  <c r="J455" i="36"/>
  <c r="I455" i="36" s="1"/>
  <c r="H132" i="36"/>
  <c r="J132" i="36" s="1"/>
  <c r="J449" i="36"/>
  <c r="K449" i="36" s="1"/>
  <c r="H123" i="36"/>
  <c r="J123" i="36" s="1"/>
  <c r="J440" i="36"/>
  <c r="K440" i="36" s="1"/>
  <c r="H113" i="36"/>
  <c r="J113" i="36" s="1"/>
  <c r="J439" i="36"/>
  <c r="I439" i="36" s="1"/>
  <c r="H112" i="36"/>
  <c r="J112" i="36" s="1"/>
  <c r="J437" i="36"/>
  <c r="I437" i="36" s="1"/>
  <c r="H109" i="36"/>
  <c r="J436" i="36"/>
  <c r="I436" i="36" s="1"/>
  <c r="J108" i="36"/>
  <c r="I75" i="18"/>
  <c r="J75" i="18" s="1"/>
  <c r="K75" i="18" s="1"/>
  <c r="H75" i="18"/>
  <c r="L462" i="36"/>
  <c r="S462" i="41" s="1"/>
  <c r="L474" i="36"/>
  <c r="S474" i="41" s="1"/>
  <c r="L473" i="36"/>
  <c r="S473" i="41" s="1"/>
  <c r="I79" i="18"/>
  <c r="J79" i="18" s="1"/>
  <c r="H79" i="18"/>
  <c r="H472" i="36" s="1"/>
  <c r="J472" i="36" s="1"/>
  <c r="I472" i="36" s="1"/>
  <c r="AB26" i="21"/>
  <c r="D197" i="36" s="1"/>
  <c r="Y26" i="21"/>
  <c r="F235" i="37"/>
  <c r="I352" i="36"/>
  <c r="I10" i="36"/>
  <c r="I310" i="36"/>
  <c r="K298" i="36"/>
  <c r="I416" i="36"/>
  <c r="K273" i="36"/>
  <c r="I428" i="36"/>
  <c r="I467" i="36"/>
  <c r="K69" i="36"/>
  <c r="K12" i="36"/>
  <c r="I18" i="36"/>
  <c r="K254" i="36"/>
  <c r="K287" i="36"/>
  <c r="K299" i="36"/>
  <c r="K317" i="36"/>
  <c r="K236" i="36"/>
  <c r="K452" i="36"/>
  <c r="K427" i="36"/>
  <c r="I415" i="36"/>
  <c r="I403" i="36"/>
  <c r="K457" i="36"/>
  <c r="K468" i="36"/>
  <c r="I31" i="36"/>
  <c r="K33" i="36"/>
  <c r="K462" i="36"/>
  <c r="I17" i="36"/>
  <c r="I239" i="36"/>
  <c r="I332" i="36"/>
  <c r="K255" i="36"/>
  <c r="K276" i="36"/>
  <c r="K288" i="36"/>
  <c r="I300" i="36"/>
  <c r="K329" i="36"/>
  <c r="K353" i="36"/>
  <c r="K369" i="36"/>
  <c r="K426" i="36"/>
  <c r="I414" i="36"/>
  <c r="I402" i="36"/>
  <c r="I40" i="36"/>
  <c r="I27" i="36"/>
  <c r="K330" i="36"/>
  <c r="I229" i="36"/>
  <c r="I256" i="36"/>
  <c r="I277" i="36"/>
  <c r="I289" i="36"/>
  <c r="I301" i="36"/>
  <c r="K324" i="36"/>
  <c r="K328" i="36"/>
  <c r="K425" i="36"/>
  <c r="I413" i="36"/>
  <c r="K401" i="36"/>
  <c r="K7" i="36"/>
  <c r="I24" i="36"/>
  <c r="I338" i="36"/>
  <c r="K230" i="36"/>
  <c r="K257" i="36"/>
  <c r="K278" i="36"/>
  <c r="I290" i="36"/>
  <c r="K302" i="36"/>
  <c r="K327" i="36"/>
  <c r="I350" i="36"/>
  <c r="I351" i="36"/>
  <c r="I424" i="36"/>
  <c r="K412" i="36"/>
  <c r="I400" i="36"/>
  <c r="I73" i="36"/>
  <c r="K21" i="36"/>
  <c r="K30" i="36"/>
  <c r="K240" i="36"/>
  <c r="I231" i="36"/>
  <c r="K279" i="36"/>
  <c r="K291" i="36"/>
  <c r="K303" i="36"/>
  <c r="I331" i="36"/>
  <c r="K326" i="36"/>
  <c r="I349" i="36"/>
  <c r="K312" i="36"/>
  <c r="K435" i="36"/>
  <c r="K423" i="36"/>
  <c r="I411" i="36"/>
  <c r="K469" i="36"/>
  <c r="I20" i="36"/>
  <c r="K6" i="36"/>
  <c r="K34" i="36"/>
  <c r="I16" i="36"/>
  <c r="K304" i="36"/>
  <c r="K335" i="36"/>
  <c r="K232" i="36"/>
  <c r="K259" i="36"/>
  <c r="I280" i="36"/>
  <c r="K292" i="36"/>
  <c r="I305" i="36"/>
  <c r="I346" i="36"/>
  <c r="I361" i="36"/>
  <c r="K456" i="36"/>
  <c r="K434" i="36"/>
  <c r="I422" i="36"/>
  <c r="K410" i="36"/>
  <c r="K23" i="36"/>
  <c r="I35" i="36"/>
  <c r="K32" i="36"/>
  <c r="K464" i="36"/>
  <c r="K15" i="36"/>
  <c r="K233" i="36"/>
  <c r="I260" i="36"/>
  <c r="I293" i="36"/>
  <c r="K306" i="36"/>
  <c r="K345" i="36"/>
  <c r="K360" i="36"/>
  <c r="I438" i="36"/>
  <c r="K460" i="36"/>
  <c r="K421" i="36"/>
  <c r="K409" i="36"/>
  <c r="K13" i="36"/>
  <c r="I29" i="36"/>
  <c r="K241" i="36"/>
  <c r="I336" i="36"/>
  <c r="I234" i="36"/>
  <c r="I261" i="36"/>
  <c r="K282" i="36"/>
  <c r="K294" i="36"/>
  <c r="I307" i="36"/>
  <c r="I344" i="36"/>
  <c r="K359" i="36"/>
  <c r="I444" i="36"/>
  <c r="I420" i="36"/>
  <c r="I408" i="36"/>
  <c r="K68" i="36"/>
  <c r="K72" i="36"/>
  <c r="K26" i="36"/>
  <c r="K22" i="36"/>
  <c r="I28" i="36"/>
  <c r="K337" i="36"/>
  <c r="K250" i="36"/>
  <c r="K264" i="36"/>
  <c r="K297" i="36"/>
  <c r="K356" i="36"/>
  <c r="K377" i="36"/>
  <c r="K443" i="36"/>
  <c r="K429" i="36"/>
  <c r="K417" i="36"/>
  <c r="I405" i="36"/>
  <c r="I466" i="36"/>
  <c r="I11" i="36"/>
  <c r="K9" i="36"/>
  <c r="K102" i="36"/>
  <c r="K334" i="36"/>
  <c r="I252" i="36"/>
  <c r="K272" i="36"/>
  <c r="I286" i="36"/>
  <c r="K316" i="36"/>
  <c r="K348" i="36"/>
  <c r="I237" i="36"/>
  <c r="K355" i="36"/>
  <c r="K441" i="36"/>
  <c r="I404" i="36"/>
  <c r="I354" i="36"/>
  <c r="K80" i="36"/>
  <c r="I14" i="36"/>
  <c r="K19" i="36"/>
  <c r="K101" i="36"/>
  <c r="I333" i="36"/>
  <c r="I235" i="36"/>
  <c r="I262" i="36"/>
  <c r="I283" i="36"/>
  <c r="K295" i="36"/>
  <c r="K308" i="36"/>
  <c r="I343" i="36"/>
  <c r="K358" i="36"/>
  <c r="I374" i="36"/>
  <c r="I375" i="36"/>
  <c r="I419" i="36"/>
  <c r="I407" i="36"/>
  <c r="I25" i="36"/>
  <c r="I463" i="36"/>
  <c r="K461" i="36"/>
  <c r="K249" i="36"/>
  <c r="K263" i="36"/>
  <c r="K284" i="36"/>
  <c r="K296" i="36"/>
  <c r="K309" i="36"/>
  <c r="I357" i="36"/>
  <c r="I376" i="36"/>
  <c r="K418" i="36"/>
  <c r="I406" i="36"/>
  <c r="K465" i="36"/>
  <c r="D448" i="20"/>
  <c r="C448" i="20" s="1"/>
  <c r="D446" i="20"/>
  <c r="B446" i="20" s="1"/>
  <c r="F174" i="36"/>
  <c r="D459" i="20"/>
  <c r="B459" i="20" s="1"/>
  <c r="D444" i="20"/>
  <c r="B444" i="20" s="1"/>
  <c r="D465" i="20"/>
  <c r="C465" i="20" s="1"/>
  <c r="F143" i="36"/>
  <c r="F201" i="36"/>
  <c r="D457" i="20"/>
  <c r="C457" i="20" s="1"/>
  <c r="E201" i="36"/>
  <c r="F183" i="36"/>
  <c r="D456" i="20"/>
  <c r="C456" i="20" s="1"/>
  <c r="F236" i="36"/>
  <c r="E200" i="36"/>
  <c r="F188" i="36"/>
  <c r="D447" i="20"/>
  <c r="C447" i="20" s="1"/>
  <c r="D445" i="20"/>
  <c r="C445" i="20" s="1"/>
  <c r="F195" i="36"/>
  <c r="D458" i="20"/>
  <c r="C458" i="20" s="1"/>
  <c r="D455" i="20"/>
  <c r="C455" i="20" s="1"/>
  <c r="E143" i="36"/>
  <c r="F199" i="36"/>
  <c r="F200" i="36"/>
  <c r="F189" i="36"/>
  <c r="E190" i="36"/>
  <c r="E195" i="36"/>
  <c r="D454" i="20"/>
  <c r="B454" i="20" s="1"/>
  <c r="F350" i="36"/>
  <c r="F190" i="36"/>
  <c r="F175" i="36"/>
  <c r="E233" i="36"/>
  <c r="E186" i="36"/>
  <c r="D453" i="20"/>
  <c r="C453" i="20" s="1"/>
  <c r="D464" i="20"/>
  <c r="B464" i="20" s="1"/>
  <c r="F184" i="36"/>
  <c r="E188" i="36"/>
  <c r="F233" i="36"/>
  <c r="E184" i="36"/>
  <c r="E234" i="36"/>
  <c r="E235" i="36"/>
  <c r="E236" i="36"/>
  <c r="J5" i="36"/>
  <c r="D452" i="20"/>
  <c r="B452" i="20" s="1"/>
  <c r="D463" i="20"/>
  <c r="C463" i="20" s="1"/>
  <c r="F185" i="36"/>
  <c r="E177" i="36"/>
  <c r="E187" i="36"/>
  <c r="D451" i="20"/>
  <c r="B451" i="20" s="1"/>
  <c r="D462" i="20"/>
  <c r="B462" i="20" s="1"/>
  <c r="F234" i="36"/>
  <c r="E175" i="36"/>
  <c r="E350" i="36"/>
  <c r="F186" i="36"/>
  <c r="E181" i="36"/>
  <c r="E179" i="36"/>
  <c r="D450" i="20"/>
  <c r="C450" i="20" s="1"/>
  <c r="D461" i="20"/>
  <c r="C461" i="20" s="1"/>
  <c r="F235" i="36"/>
  <c r="F187" i="36"/>
  <c r="E185" i="36"/>
  <c r="E470" i="36"/>
  <c r="K466" i="36"/>
  <c r="I427" i="36"/>
  <c r="B119" i="37"/>
  <c r="C119" i="37" s="1"/>
  <c r="C98" i="20"/>
  <c r="D98" i="20"/>
  <c r="D30" i="37"/>
  <c r="B171" i="37"/>
  <c r="C30" i="37"/>
  <c r="D16" i="20"/>
  <c r="D30" i="20"/>
  <c r="C30" i="20"/>
  <c r="B136" i="20"/>
  <c r="C202" i="20"/>
  <c r="B122" i="20"/>
  <c r="B16" i="37"/>
  <c r="N5" i="34"/>
  <c r="O5" i="34" s="1"/>
  <c r="L5" i="34"/>
  <c r="H85" i="36"/>
  <c r="J85" i="36" s="1"/>
  <c r="F165" i="37"/>
  <c r="F130" i="20"/>
  <c r="F24" i="20" s="1"/>
  <c r="E24" i="20" s="1"/>
  <c r="E24" i="37" s="1"/>
  <c r="E165" i="37" s="1"/>
  <c r="AM11" i="10"/>
  <c r="G42" i="36"/>
  <c r="S7" i="34"/>
  <c r="V7" i="34"/>
  <c r="U100" i="15"/>
  <c r="R100" i="15"/>
  <c r="G38" i="36"/>
  <c r="F175" i="37"/>
  <c r="AE9" i="9"/>
  <c r="D71" i="36" s="1"/>
  <c r="D254" i="20"/>
  <c r="B254" i="20" s="1"/>
  <c r="G214" i="36"/>
  <c r="G22" i="36"/>
  <c r="V6" i="42"/>
  <c r="X6" i="42" s="1"/>
  <c r="F132" i="20"/>
  <c r="F26" i="20" s="1"/>
  <c r="E26" i="20" s="1"/>
  <c r="F148" i="37"/>
  <c r="G77" i="36"/>
  <c r="G211" i="36"/>
  <c r="G323" i="36"/>
  <c r="F140" i="20"/>
  <c r="F34" i="20" s="1"/>
  <c r="G106" i="36"/>
  <c r="AB9" i="9"/>
  <c r="V24" i="42"/>
  <c r="X24" i="42" s="1"/>
  <c r="G228" i="36"/>
  <c r="G231" i="36"/>
  <c r="G223" i="36"/>
  <c r="G344" i="36"/>
  <c r="U95" i="15"/>
  <c r="G24" i="36"/>
  <c r="G460" i="36"/>
  <c r="F198" i="36"/>
  <c r="I5" i="14"/>
  <c r="J5" i="14"/>
  <c r="D347" i="36"/>
  <c r="L9" i="34"/>
  <c r="K6" i="34"/>
  <c r="L15" i="36"/>
  <c r="S16" i="41" s="1"/>
  <c r="S16" i="6"/>
  <c r="T16" i="6" s="1"/>
  <c r="L16" i="36"/>
  <c r="S17" i="41" s="1"/>
  <c r="L30" i="36"/>
  <c r="S31" i="41" s="1"/>
  <c r="L12" i="36"/>
  <c r="S13" i="41" s="1"/>
  <c r="L11" i="36"/>
  <c r="S12" i="41" s="1"/>
  <c r="L35" i="36"/>
  <c r="S36" i="41" s="1"/>
  <c r="S28" i="6"/>
  <c r="T28" i="6" s="1"/>
  <c r="L32" i="36"/>
  <c r="S33" i="41" s="1"/>
  <c r="S24" i="6"/>
  <c r="T24" i="6" s="1"/>
  <c r="S11" i="6"/>
  <c r="T11" i="6" s="1"/>
  <c r="S25" i="6"/>
  <c r="T25" i="6" s="1"/>
  <c r="P25" i="6"/>
  <c r="P22" i="6"/>
  <c r="S22" i="6"/>
  <c r="T22" i="6" s="1"/>
  <c r="Y33" i="6"/>
  <c r="Z33" i="6"/>
  <c r="Q33" i="6"/>
  <c r="P33" i="6"/>
  <c r="P32" i="6"/>
  <c r="Q32" i="6"/>
  <c r="L460" i="36"/>
  <c r="S460" i="41" s="1"/>
  <c r="L8" i="36"/>
  <c r="S9" i="41" s="1"/>
  <c r="S10" i="6"/>
  <c r="T10" i="6" s="1"/>
  <c r="S7" i="6"/>
  <c r="T7" i="6" s="1"/>
  <c r="L22" i="36"/>
  <c r="S23" i="41" s="1"/>
  <c r="L34" i="36"/>
  <c r="S35" i="41" s="1"/>
  <c r="S27" i="6"/>
  <c r="T27" i="6" s="1"/>
  <c r="L17" i="36"/>
  <c r="S18" i="41" s="1"/>
  <c r="L23" i="36"/>
  <c r="S24" i="41" s="1"/>
  <c r="L19" i="36"/>
  <c r="S20" i="41" s="1"/>
  <c r="L28" i="36"/>
  <c r="S29" i="41" s="1"/>
  <c r="L18" i="36"/>
  <c r="S19" i="41" s="1"/>
  <c r="S17" i="6"/>
  <c r="T17" i="6" s="1"/>
  <c r="L330" i="36"/>
  <c r="S331" i="41" s="1"/>
  <c r="S18" i="6"/>
  <c r="T18" i="6" s="1"/>
  <c r="S12" i="6"/>
  <c r="T12" i="6" s="1"/>
  <c r="L25" i="36"/>
  <c r="S26" i="41" s="1"/>
  <c r="L6" i="36"/>
  <c r="S7" i="41" s="1"/>
  <c r="D390" i="20"/>
  <c r="B390" i="20" s="1"/>
  <c r="H59" i="18"/>
  <c r="H342" i="36" s="1"/>
  <c r="J342" i="36" s="1"/>
  <c r="V32" i="18"/>
  <c r="X32" i="18" s="1"/>
  <c r="V68" i="18"/>
  <c r="K237" i="36"/>
  <c r="K338" i="36"/>
  <c r="K332" i="36"/>
  <c r="I334" i="36"/>
  <c r="F230" i="36"/>
  <c r="G230" i="36"/>
  <c r="I426" i="36"/>
  <c r="I464" i="36"/>
  <c r="K310" i="36"/>
  <c r="I441" i="36"/>
  <c r="I457" i="36"/>
  <c r="AA37" i="21"/>
  <c r="AF5" i="14"/>
  <c r="AE27" i="14"/>
  <c r="AF26" i="14"/>
  <c r="AE15" i="14"/>
  <c r="AF13" i="14"/>
  <c r="Q25" i="6"/>
  <c r="O22" i="6"/>
  <c r="Q22" i="6" s="1"/>
  <c r="O5" i="6"/>
  <c r="T13" i="34"/>
  <c r="X14" i="42"/>
  <c r="Y28" i="6"/>
  <c r="E460" i="36"/>
  <c r="I469" i="36"/>
  <c r="I23" i="36"/>
  <c r="K262" i="36"/>
  <c r="K283" i="36"/>
  <c r="K235" i="36"/>
  <c r="K307" i="36"/>
  <c r="I460" i="36"/>
  <c r="I468" i="36"/>
  <c r="I287" i="36"/>
  <c r="I353" i="36"/>
  <c r="I32" i="36"/>
  <c r="K351" i="36"/>
  <c r="K31" i="36"/>
  <c r="I401" i="36"/>
  <c r="I12" i="36"/>
  <c r="I425" i="36"/>
  <c r="K25" i="36"/>
  <c r="I461" i="36"/>
  <c r="K352" i="36"/>
  <c r="F191" i="20"/>
  <c r="F87" i="20" s="1"/>
  <c r="E87" i="20" s="1"/>
  <c r="E191" i="20" s="1"/>
  <c r="F241" i="37"/>
  <c r="L375" i="36"/>
  <c r="S376" i="41" s="1"/>
  <c r="L467" i="36"/>
  <c r="S467" i="41" s="1"/>
  <c r="AA45" i="21"/>
  <c r="Z45" i="21"/>
  <c r="AA46" i="21"/>
  <c r="L148" i="36"/>
  <c r="S149" i="41" s="1"/>
  <c r="L151" i="36"/>
  <c r="S152" i="41" s="1"/>
  <c r="E13" i="9"/>
  <c r="F13" i="9" s="1"/>
  <c r="G13" i="9" s="1"/>
  <c r="H13" i="9" s="1"/>
  <c r="L78" i="36" s="1"/>
  <c r="S79" i="41" s="1"/>
  <c r="E17" i="9"/>
  <c r="F17" i="9" s="1"/>
  <c r="G17" i="9" s="1"/>
  <c r="H17" i="9" s="1"/>
  <c r="T17" i="9" s="1"/>
  <c r="H30" i="14"/>
  <c r="I30" i="14" s="1"/>
  <c r="W14" i="9"/>
  <c r="X14" i="9" s="1"/>
  <c r="W12" i="9"/>
  <c r="X12" i="9" s="1"/>
  <c r="R47" i="15"/>
  <c r="AP10" i="14"/>
  <c r="AQ10" i="14" s="1"/>
  <c r="AR10" i="14" s="1"/>
  <c r="U47" i="15"/>
  <c r="V9" i="34"/>
  <c r="S9" i="34"/>
  <c r="AB15" i="9"/>
  <c r="AE15" i="9"/>
  <c r="D271" i="20"/>
  <c r="D238" i="36" s="1"/>
  <c r="V3" i="17"/>
  <c r="I134" i="39"/>
  <c r="S3" i="17"/>
  <c r="U3" i="17" s="1"/>
  <c r="B255" i="20"/>
  <c r="C255" i="20"/>
  <c r="AM17" i="10"/>
  <c r="F238" i="37"/>
  <c r="AP17" i="10"/>
  <c r="D91" i="36" s="1"/>
  <c r="F188" i="20"/>
  <c r="F84" i="20" s="1"/>
  <c r="E84" i="20" s="1"/>
  <c r="V19" i="42"/>
  <c r="X19" i="42" s="1"/>
  <c r="D247" i="20"/>
  <c r="AE8" i="9"/>
  <c r="D265" i="36" s="1"/>
  <c r="AB8" i="9"/>
  <c r="AT22" i="14"/>
  <c r="AS22" i="14"/>
  <c r="AO19" i="10"/>
  <c r="AN19" i="10"/>
  <c r="S4" i="34"/>
  <c r="U4" i="34" s="1"/>
  <c r="V4" i="34"/>
  <c r="T9" i="17"/>
  <c r="U9" i="17"/>
  <c r="U76" i="15"/>
  <c r="AM18" i="10"/>
  <c r="R76" i="15"/>
  <c r="AP19" i="10"/>
  <c r="AP19" i="14"/>
  <c r="AQ19" i="14" s="1"/>
  <c r="AR19" i="14" s="1"/>
  <c r="U98" i="15"/>
  <c r="AE10" i="9"/>
  <c r="D73" i="36" s="1"/>
  <c r="S8" i="34"/>
  <c r="X19" i="6"/>
  <c r="D224" i="20"/>
  <c r="C224" i="20" s="1"/>
  <c r="U42" i="15"/>
  <c r="Z13" i="6"/>
  <c r="U13" i="34"/>
  <c r="R99" i="15"/>
  <c r="R98" i="15"/>
  <c r="AM7" i="10"/>
  <c r="F55" i="37"/>
  <c r="R42" i="15"/>
  <c r="AP18" i="14"/>
  <c r="AQ18" i="14" s="1"/>
  <c r="AR18" i="14" s="1"/>
  <c r="AT18" i="14" s="1"/>
  <c r="S6" i="34"/>
  <c r="T6" i="34" s="1"/>
  <c r="H29" i="21"/>
  <c r="J64" i="33"/>
  <c r="K64" i="33" s="1"/>
  <c r="T25" i="21"/>
  <c r="U25" i="21" s="1"/>
  <c r="H19" i="21"/>
  <c r="H63" i="36" s="1"/>
  <c r="J63" i="36" s="1"/>
  <c r="I19" i="21"/>
  <c r="I76" i="32"/>
  <c r="J76" i="32" s="1"/>
  <c r="J66" i="39" s="1"/>
  <c r="K66" i="39" s="1"/>
  <c r="J78" i="33"/>
  <c r="K78" i="33" s="1"/>
  <c r="I24" i="21"/>
  <c r="I74" i="32"/>
  <c r="J74" i="32" s="1"/>
  <c r="J64" i="39" s="1"/>
  <c r="K64" i="39" s="1"/>
  <c r="H24" i="21"/>
  <c r="H61" i="36" s="1"/>
  <c r="J61" i="36" s="1"/>
  <c r="J76" i="33"/>
  <c r="K76" i="33" s="1"/>
  <c r="I11" i="21"/>
  <c r="J11" i="21" s="1"/>
  <c r="K11" i="21" s="1"/>
  <c r="Q11" i="21" s="1"/>
  <c r="H68" i="39"/>
  <c r="H11" i="21"/>
  <c r="T8" i="21"/>
  <c r="U8" i="21" s="1"/>
  <c r="L60" i="36"/>
  <c r="S61" i="41" s="1"/>
  <c r="L137" i="36"/>
  <c r="S138" i="41" s="1"/>
  <c r="T15" i="21"/>
  <c r="U15" i="21" s="1"/>
  <c r="T9" i="21"/>
  <c r="U9" i="21" s="1"/>
  <c r="L206" i="36"/>
  <c r="S207" i="41" s="1"/>
  <c r="L372" i="36"/>
  <c r="S373" i="41" s="1"/>
  <c r="H70" i="39"/>
  <c r="H16" i="21"/>
  <c r="L271" i="36"/>
  <c r="S272" i="41" s="1"/>
  <c r="L49" i="36"/>
  <c r="S50" i="41" s="1"/>
  <c r="J67" i="33"/>
  <c r="K67" i="33" s="1"/>
  <c r="I34" i="21"/>
  <c r="I73" i="32"/>
  <c r="J73" i="32" s="1"/>
  <c r="J63" i="39" s="1"/>
  <c r="K63" i="39" s="1"/>
  <c r="L258" i="36"/>
  <c r="S259" i="41" s="1"/>
  <c r="I18" i="21"/>
  <c r="L58" i="36"/>
  <c r="S59" i="41" s="1"/>
  <c r="L52" i="36"/>
  <c r="S53" i="41" s="1"/>
  <c r="T13" i="21"/>
  <c r="U13" i="21" s="1"/>
  <c r="T6" i="21"/>
  <c r="U6" i="21" s="1"/>
  <c r="Z29" i="21"/>
  <c r="I7" i="21"/>
  <c r="I63" i="32"/>
  <c r="J63" i="32" s="1"/>
  <c r="J53" i="39" s="1"/>
  <c r="K53" i="39" s="1"/>
  <c r="H7" i="21"/>
  <c r="H53" i="36" s="1"/>
  <c r="J53" i="36" s="1"/>
  <c r="T17" i="21"/>
  <c r="U17" i="21" s="1"/>
  <c r="I27" i="21"/>
  <c r="L202" i="36"/>
  <c r="S203" i="41" s="1"/>
  <c r="T10" i="21"/>
  <c r="U10" i="21" s="1"/>
  <c r="S60" i="41"/>
  <c r="Z39" i="21"/>
  <c r="AA39" i="21"/>
  <c r="AA41" i="21"/>
  <c r="Z41" i="21"/>
  <c r="AA27" i="21"/>
  <c r="Z27" i="21"/>
  <c r="F102" i="37"/>
  <c r="E81" i="20"/>
  <c r="Z42" i="21"/>
  <c r="AA42" i="21"/>
  <c r="Z30" i="21"/>
  <c r="AA30" i="21"/>
  <c r="AB39" i="21"/>
  <c r="Y48" i="21"/>
  <c r="Z46" i="21"/>
  <c r="Y28" i="21"/>
  <c r="Y38" i="21"/>
  <c r="F206" i="20"/>
  <c r="F102" i="20" s="1"/>
  <c r="D243" i="20"/>
  <c r="AE4" i="9"/>
  <c r="D67" i="36" s="1"/>
  <c r="F173" i="20"/>
  <c r="F69" i="20" s="1"/>
  <c r="AB4" i="9"/>
  <c r="AD4" i="9" s="1"/>
  <c r="F223" i="37"/>
  <c r="U4" i="17"/>
  <c r="T4" i="17"/>
  <c r="F207" i="20"/>
  <c r="F103" i="20" s="1"/>
  <c r="V11" i="34"/>
  <c r="D105" i="36" s="1"/>
  <c r="S11" i="34"/>
  <c r="AT14" i="14"/>
  <c r="AS14" i="14"/>
  <c r="F172" i="37"/>
  <c r="F137" i="20"/>
  <c r="F31" i="20" s="1"/>
  <c r="AB16" i="9"/>
  <c r="AD16" i="9" s="1"/>
  <c r="AE16" i="9"/>
  <c r="D80" i="36" s="1"/>
  <c r="F176" i="20"/>
  <c r="F72" i="20" s="1"/>
  <c r="F226" i="37"/>
  <c r="D219" i="20"/>
  <c r="V5" i="42"/>
  <c r="W5" i="42" s="1"/>
  <c r="D242" i="20"/>
  <c r="V17" i="42"/>
  <c r="W17" i="42" s="1"/>
  <c r="D277" i="20"/>
  <c r="D154" i="36" s="1"/>
  <c r="V5" i="17"/>
  <c r="I136" i="39"/>
  <c r="S5" i="17"/>
  <c r="F143" i="20"/>
  <c r="F37" i="20" s="1"/>
  <c r="AM14" i="10"/>
  <c r="F160" i="20"/>
  <c r="F54" i="20" s="1"/>
  <c r="AB18" i="9"/>
  <c r="F195" i="37"/>
  <c r="R71" i="15"/>
  <c r="U71" i="15"/>
  <c r="F208" i="20"/>
  <c r="F104" i="20" s="1"/>
  <c r="S12" i="34"/>
  <c r="V12" i="34"/>
  <c r="D207" i="36" s="1"/>
  <c r="AB5" i="9"/>
  <c r="AD5" i="9" s="1"/>
  <c r="AS7" i="14"/>
  <c r="AT7" i="14"/>
  <c r="AE5" i="9"/>
  <c r="D68" i="36" s="1"/>
  <c r="F178" i="37"/>
  <c r="F124" i="20"/>
  <c r="F18" i="20" s="1"/>
  <c r="AM10" i="10"/>
  <c r="AO13" i="10"/>
  <c r="AN13" i="10"/>
  <c r="AP16" i="14"/>
  <c r="AQ16" i="14" s="1"/>
  <c r="AR16" i="14" s="1"/>
  <c r="R97" i="15"/>
  <c r="U97" i="15"/>
  <c r="T7" i="34"/>
  <c r="U7" i="34"/>
  <c r="F123" i="20"/>
  <c r="F17" i="20" s="1"/>
  <c r="AM9" i="10"/>
  <c r="AO9" i="10" s="1"/>
  <c r="AP9" i="10"/>
  <c r="D39" i="36" s="1"/>
  <c r="C229" i="20"/>
  <c r="B229" i="20"/>
  <c r="AB11" i="9"/>
  <c r="AE11" i="9"/>
  <c r="D75" i="36" s="1"/>
  <c r="F145" i="20"/>
  <c r="F39" i="20" s="1"/>
  <c r="F180" i="37"/>
  <c r="F189" i="20"/>
  <c r="F85" i="20" s="1"/>
  <c r="AP8" i="10"/>
  <c r="D226" i="36" s="1"/>
  <c r="F152" i="37"/>
  <c r="F117" i="20"/>
  <c r="F11" i="20" s="1"/>
  <c r="AM8" i="10"/>
  <c r="V16" i="42"/>
  <c r="D240" i="20"/>
  <c r="D253" i="20"/>
  <c r="U49" i="15"/>
  <c r="AP13" i="14"/>
  <c r="AQ13" i="14" s="1"/>
  <c r="R49" i="15"/>
  <c r="D274" i="20"/>
  <c r="D150" i="36" s="1"/>
  <c r="I135" i="39"/>
  <c r="F248" i="37"/>
  <c r="F198" i="20"/>
  <c r="F94" i="20" s="1"/>
  <c r="AE17" i="9"/>
  <c r="D325" i="36" s="1"/>
  <c r="AB17" i="9"/>
  <c r="R60" i="15"/>
  <c r="U60" i="15"/>
  <c r="AP11" i="14"/>
  <c r="AQ11" i="14" s="1"/>
  <c r="AR11" i="14" s="1"/>
  <c r="V4" i="42"/>
  <c r="X4" i="42" s="1"/>
  <c r="D217" i="20"/>
  <c r="F154" i="37"/>
  <c r="F119" i="20"/>
  <c r="F13" i="20" s="1"/>
  <c r="AE6" i="9"/>
  <c r="D69" i="36" s="1"/>
  <c r="AB6" i="9"/>
  <c r="V18" i="42"/>
  <c r="D245" i="20"/>
  <c r="I137" i="39"/>
  <c r="S6" i="17"/>
  <c r="V25" i="42"/>
  <c r="W25" i="42" s="1"/>
  <c r="D228" i="20"/>
  <c r="U46" i="15"/>
  <c r="R46" i="15"/>
  <c r="V4" i="17"/>
  <c r="B7" i="20"/>
  <c r="F239" i="37"/>
  <c r="AM12" i="10"/>
  <c r="AP10" i="10"/>
  <c r="D40" i="36" s="1"/>
  <c r="F163" i="20"/>
  <c r="F57" i="20" s="1"/>
  <c r="AB19" i="9"/>
  <c r="F198" i="37"/>
  <c r="AP11" i="10"/>
  <c r="D41" i="36" s="1"/>
  <c r="X8" i="42"/>
  <c r="W8" i="42"/>
  <c r="AP21" i="14"/>
  <c r="AQ21" i="14" s="1"/>
  <c r="AR21" i="14" s="1"/>
  <c r="U86" i="15"/>
  <c r="AB13" i="9"/>
  <c r="AE13" i="9"/>
  <c r="F127" i="20"/>
  <c r="F21" i="20" s="1"/>
  <c r="B21" i="20" s="1"/>
  <c r="F162" i="37"/>
  <c r="T5" i="34"/>
  <c r="U5" i="34"/>
  <c r="AP20" i="14"/>
  <c r="AQ20" i="14" s="1"/>
  <c r="AR20" i="14" s="1"/>
  <c r="B222" i="20"/>
  <c r="AB14" i="9"/>
  <c r="AC14" i="9" s="1"/>
  <c r="V7" i="42"/>
  <c r="X7" i="42" s="1"/>
  <c r="V22" i="42"/>
  <c r="X22" i="42" s="1"/>
  <c r="D252" i="20"/>
  <c r="R87" i="15"/>
  <c r="F255" i="37"/>
  <c r="F205" i="20"/>
  <c r="F101" i="20" s="1"/>
  <c r="C221" i="20"/>
  <c r="B221" i="20"/>
  <c r="R86" i="15"/>
  <c r="F209" i="20"/>
  <c r="F105" i="20" s="1"/>
  <c r="X23" i="42"/>
  <c r="W23" i="42"/>
  <c r="U90" i="15"/>
  <c r="R90" i="15"/>
  <c r="F173" i="37"/>
  <c r="F138" i="20"/>
  <c r="F32" i="20" s="1"/>
  <c r="F152" i="20"/>
  <c r="F46" i="20" s="1"/>
  <c r="AE12" i="9"/>
  <c r="D79" i="36" s="1"/>
  <c r="D237" i="20"/>
  <c r="V15" i="42"/>
  <c r="W15" i="42" s="1"/>
  <c r="AP6" i="14"/>
  <c r="AQ6" i="14" s="1"/>
  <c r="AR6" i="14" s="1"/>
  <c r="D265" i="20"/>
  <c r="V9" i="17"/>
  <c r="V13" i="42"/>
  <c r="W13" i="42" s="1"/>
  <c r="D233" i="20"/>
  <c r="V12" i="42"/>
  <c r="X12" i="42" s="1"/>
  <c r="D231" i="20"/>
  <c r="X16" i="21"/>
  <c r="E15" i="9"/>
  <c r="F15" i="9" s="1"/>
  <c r="G15" i="9" s="1"/>
  <c r="H15" i="9" s="1"/>
  <c r="L272" i="36" s="1"/>
  <c r="S273" i="41" s="1"/>
  <c r="W16" i="9"/>
  <c r="X16" i="9" s="1"/>
  <c r="E8" i="9"/>
  <c r="F8" i="9" s="1"/>
  <c r="G8" i="9" s="1"/>
  <c r="H8" i="9" s="1"/>
  <c r="W7" i="9"/>
  <c r="X7" i="9" s="1"/>
  <c r="W5" i="9"/>
  <c r="X5" i="9" s="1"/>
  <c r="E19" i="9"/>
  <c r="F19" i="9" s="1"/>
  <c r="G19" i="9" s="1"/>
  <c r="H19" i="9" s="1"/>
  <c r="L69" i="36"/>
  <c r="S70" i="41" s="1"/>
  <c r="L79" i="36"/>
  <c r="S80" i="41" s="1"/>
  <c r="L80" i="36"/>
  <c r="S81" i="41" s="1"/>
  <c r="L68" i="36"/>
  <c r="S69" i="41" s="1"/>
  <c r="E11" i="9"/>
  <c r="F11" i="9" s="1"/>
  <c r="G11" i="9" s="1"/>
  <c r="H11" i="9" s="1"/>
  <c r="E6" i="9"/>
  <c r="F6" i="9" s="1"/>
  <c r="G6" i="9" s="1"/>
  <c r="H6" i="9" s="1"/>
  <c r="E18" i="9"/>
  <c r="F18" i="9" s="1"/>
  <c r="G18" i="9" s="1"/>
  <c r="H18" i="9" s="1"/>
  <c r="E9" i="9"/>
  <c r="F9" i="9" s="1"/>
  <c r="G9" i="9" s="1"/>
  <c r="H9" i="9" s="1"/>
  <c r="L71" i="36" s="1"/>
  <c r="S72" i="41" s="1"/>
  <c r="E10" i="9"/>
  <c r="F10" i="9" s="1"/>
  <c r="G10" i="9" s="1"/>
  <c r="H10" i="9" s="1"/>
  <c r="L74" i="36" s="1"/>
  <c r="S75" i="41" s="1"/>
  <c r="L67" i="36"/>
  <c r="S68" i="41" s="1"/>
  <c r="W4" i="9"/>
  <c r="X4" i="9" s="1"/>
  <c r="L39" i="36"/>
  <c r="S40" i="41" s="1"/>
  <c r="AH9" i="10"/>
  <c r="AI9" i="10" s="1"/>
  <c r="X18" i="6"/>
  <c r="Z18" i="6" s="1"/>
  <c r="AA18" i="6"/>
  <c r="D25" i="36" s="1"/>
  <c r="K19" i="6"/>
  <c r="L19" i="6"/>
  <c r="P19" i="6"/>
  <c r="M19" i="6"/>
  <c r="X14" i="21"/>
  <c r="AF17" i="14"/>
  <c r="AE17" i="14"/>
  <c r="I4" i="12"/>
  <c r="H4" i="12"/>
  <c r="K4" i="34"/>
  <c r="L4" i="34"/>
  <c r="P17" i="9"/>
  <c r="Q38" i="6"/>
  <c r="O17" i="9"/>
  <c r="H3" i="12"/>
  <c r="AE5" i="14"/>
  <c r="V33" i="18"/>
  <c r="X33" i="18" s="1"/>
  <c r="I156" i="39"/>
  <c r="I153" i="39"/>
  <c r="B419" i="20"/>
  <c r="C419" i="20"/>
  <c r="I150" i="39"/>
  <c r="B380" i="20"/>
  <c r="V43" i="18"/>
  <c r="W43" i="18" s="1"/>
  <c r="C380" i="20"/>
  <c r="I154" i="39"/>
  <c r="L29" i="6"/>
  <c r="M29" i="6"/>
  <c r="X11" i="21"/>
  <c r="L6" i="6"/>
  <c r="M6" i="6"/>
  <c r="P6" i="6"/>
  <c r="K6" i="6"/>
  <c r="Q37" i="6"/>
  <c r="P37" i="6"/>
  <c r="P15" i="9"/>
  <c r="O15" i="9"/>
  <c r="R15" i="9"/>
  <c r="Q15" i="9"/>
  <c r="K29" i="6"/>
  <c r="H4" i="11"/>
  <c r="I4" i="11"/>
  <c r="AA19" i="10"/>
  <c r="Z19" i="10"/>
  <c r="Y19" i="10"/>
  <c r="AE18" i="14"/>
  <c r="AF18" i="14"/>
  <c r="AF27" i="14"/>
  <c r="AF8" i="14"/>
  <c r="AE8" i="14"/>
  <c r="L8" i="34"/>
  <c r="Y18" i="10"/>
  <c r="X35" i="21"/>
  <c r="X8" i="21"/>
  <c r="X33" i="21"/>
  <c r="AB33" i="21" s="1"/>
  <c r="D258" i="36" s="1"/>
  <c r="AA18" i="10"/>
  <c r="L14" i="6"/>
  <c r="K5" i="34"/>
  <c r="X18" i="21"/>
  <c r="X10" i="21"/>
  <c r="K7" i="34"/>
  <c r="L7" i="34"/>
  <c r="R17" i="9"/>
  <c r="Q17" i="9"/>
  <c r="X5" i="21"/>
  <c r="X34" i="21"/>
  <c r="F165" i="20" s="1"/>
  <c r="F59" i="20" s="1"/>
  <c r="AF15" i="14"/>
  <c r="AE21" i="14"/>
  <c r="AF21" i="14"/>
  <c r="AE19" i="14"/>
  <c r="AF19" i="14"/>
  <c r="AE9" i="14"/>
  <c r="AF9" i="14"/>
  <c r="X24" i="21"/>
  <c r="X32" i="21"/>
  <c r="F162" i="20" s="1"/>
  <c r="F56" i="20" s="1"/>
  <c r="AE20" i="14"/>
  <c r="AF20" i="14"/>
  <c r="X20" i="21"/>
  <c r="I233" i="36"/>
  <c r="K239" i="36"/>
  <c r="K375" i="36"/>
  <c r="K400" i="36"/>
  <c r="I15" i="36"/>
  <c r="I306" i="36"/>
  <c r="K376" i="36"/>
  <c r="K438" i="36"/>
  <c r="I462" i="36"/>
  <c r="K16" i="36"/>
  <c r="K331" i="36"/>
  <c r="I296" i="36"/>
  <c r="I309" i="36"/>
  <c r="K260" i="36"/>
  <c r="K403" i="36"/>
  <c r="I360" i="36"/>
  <c r="I279" i="36"/>
  <c r="K234" i="36"/>
  <c r="I26" i="36"/>
  <c r="K305" i="36"/>
  <c r="I294" i="36"/>
  <c r="I249" i="36"/>
  <c r="I284" i="36"/>
  <c r="I304" i="36"/>
  <c r="I264" i="36"/>
  <c r="K280" i="36"/>
  <c r="K374" i="36"/>
  <c r="I465" i="36"/>
  <c r="I250" i="36"/>
  <c r="I240" i="36"/>
  <c r="I297" i="36"/>
  <c r="I429" i="36"/>
  <c r="I69" i="36"/>
  <c r="K14" i="36"/>
  <c r="K261" i="36"/>
  <c r="I369" i="36"/>
  <c r="I435" i="36"/>
  <c r="K428" i="36"/>
  <c r="K414" i="36"/>
  <c r="I299" i="36"/>
  <c r="I328" i="36"/>
  <c r="K354" i="36"/>
  <c r="K416" i="36"/>
  <c r="I72" i="36"/>
  <c r="I417" i="36"/>
  <c r="I291" i="36"/>
  <c r="K415" i="36"/>
  <c r="K10" i="36"/>
  <c r="K467" i="36"/>
  <c r="H35" i="42"/>
  <c r="I35" i="42"/>
  <c r="J35" i="42" s="1"/>
  <c r="K35" i="42" s="1"/>
  <c r="Q35" i="42" s="1"/>
  <c r="H38" i="42"/>
  <c r="I38" i="42"/>
  <c r="H32" i="42"/>
  <c r="I32" i="42"/>
  <c r="H41" i="42"/>
  <c r="I41" i="42"/>
  <c r="H30" i="42"/>
  <c r="I30" i="42"/>
  <c r="L444" i="36"/>
  <c r="S444" i="41" s="1"/>
  <c r="L453" i="36"/>
  <c r="S453" i="41" s="1"/>
  <c r="I39" i="42"/>
  <c r="H40" i="42"/>
  <c r="I40" i="42"/>
  <c r="H37" i="42"/>
  <c r="I37" i="42"/>
  <c r="L436" i="36"/>
  <c r="S436" i="41" s="1"/>
  <c r="W20" i="42"/>
  <c r="L447" i="36"/>
  <c r="S447" i="41" s="1"/>
  <c r="L439" i="36"/>
  <c r="S439" i="41" s="1"/>
  <c r="I31" i="42"/>
  <c r="W9" i="42"/>
  <c r="X9" i="42"/>
  <c r="L445" i="36"/>
  <c r="S445" i="41" s="1"/>
  <c r="L449" i="36"/>
  <c r="S449" i="41" s="1"/>
  <c r="L441" i="36"/>
  <c r="S441" i="41" s="1"/>
  <c r="I36" i="42"/>
  <c r="X20" i="42"/>
  <c r="L399" i="36"/>
  <c r="B418" i="20"/>
  <c r="L217" i="36"/>
  <c r="S218" i="41" s="1"/>
  <c r="V5" i="18"/>
  <c r="X5" i="18" s="1"/>
  <c r="L244" i="36"/>
  <c r="S245" i="41" s="1"/>
  <c r="H5" i="18"/>
  <c r="H217" i="36" s="1"/>
  <c r="J217" i="36" s="1"/>
  <c r="V38" i="18"/>
  <c r="W38" i="18" s="1"/>
  <c r="I10" i="18"/>
  <c r="J10" i="18" s="1"/>
  <c r="M10" i="18" s="1"/>
  <c r="B412" i="20"/>
  <c r="C414" i="20"/>
  <c r="V4" i="18"/>
  <c r="X4" i="18" s="1"/>
  <c r="L216" i="36"/>
  <c r="S217" i="41" s="1"/>
  <c r="C412" i="20"/>
  <c r="C400" i="20"/>
  <c r="L309" i="36"/>
  <c r="S310" i="41" s="1"/>
  <c r="H6" i="18"/>
  <c r="V74" i="18"/>
  <c r="X74" i="18" s="1"/>
  <c r="L270" i="36"/>
  <c r="S271" i="41" s="1"/>
  <c r="H42" i="18"/>
  <c r="H243" i="36" s="1"/>
  <c r="J243" i="36" s="1"/>
  <c r="AA24" i="6"/>
  <c r="D32" i="36" s="1"/>
  <c r="L378" i="36"/>
  <c r="S379" i="41" s="1"/>
  <c r="I41" i="18"/>
  <c r="V11" i="18"/>
  <c r="X11" i="18" s="1"/>
  <c r="L286" i="36"/>
  <c r="S287" i="41" s="1"/>
  <c r="I71" i="18"/>
  <c r="H70" i="18"/>
  <c r="H432" i="36" s="1"/>
  <c r="J432" i="36" s="1"/>
  <c r="H51" i="18"/>
  <c r="H285" i="36" s="1"/>
  <c r="J285" i="36" s="1"/>
  <c r="K285" i="36" s="1"/>
  <c r="B426" i="20"/>
  <c r="L341" i="36"/>
  <c r="S342" i="41" s="1"/>
  <c r="D393" i="20"/>
  <c r="C393" i="20" s="1"/>
  <c r="D416" i="20"/>
  <c r="V49" i="18"/>
  <c r="X49" i="18" s="1"/>
  <c r="V9" i="18"/>
  <c r="W9" i="18" s="1"/>
  <c r="H9" i="18"/>
  <c r="H8" i="18"/>
  <c r="D422" i="20"/>
  <c r="B422" i="20" s="1"/>
  <c r="L308" i="36"/>
  <c r="S309" i="41" s="1"/>
  <c r="X77" i="18"/>
  <c r="V59" i="18"/>
  <c r="W59" i="18" s="1"/>
  <c r="V25" i="18"/>
  <c r="X25" i="18" s="1"/>
  <c r="V45" i="18"/>
  <c r="W45" i="18" s="1"/>
  <c r="B424" i="20"/>
  <c r="D371" i="20"/>
  <c r="B371" i="20" s="1"/>
  <c r="V64" i="18"/>
  <c r="W64" i="18" s="1"/>
  <c r="D373" i="20"/>
  <c r="I140" i="39" s="1"/>
  <c r="V67" i="18"/>
  <c r="X67" i="18" s="1"/>
  <c r="D375" i="20"/>
  <c r="C375" i="20" s="1"/>
  <c r="B400" i="20"/>
  <c r="V27" i="18"/>
  <c r="X27" i="18" s="1"/>
  <c r="L267" i="36"/>
  <c r="S268" i="41" s="1"/>
  <c r="I12" i="18"/>
  <c r="L383" i="36"/>
  <c r="S384" i="41" s="1"/>
  <c r="I19" i="18"/>
  <c r="H35" i="18"/>
  <c r="L374" i="36"/>
  <c r="S375" i="41" s="1"/>
  <c r="L246" i="36"/>
  <c r="S247" i="41" s="1"/>
  <c r="I22" i="18"/>
  <c r="H61" i="18"/>
  <c r="H431" i="36" s="1"/>
  <c r="J431" i="36" s="1"/>
  <c r="I431" i="36" s="1"/>
  <c r="L431" i="36"/>
  <c r="S431" i="41" s="1"/>
  <c r="I36" i="18"/>
  <c r="H36" i="18"/>
  <c r="V17" i="18"/>
  <c r="W17" i="18" s="1"/>
  <c r="C407" i="20"/>
  <c r="D372" i="20"/>
  <c r="B372" i="20" s="1"/>
  <c r="L373" i="36"/>
  <c r="S374" i="41" s="1"/>
  <c r="B396" i="20"/>
  <c r="C396" i="20"/>
  <c r="V35" i="18"/>
  <c r="X35" i="18" s="1"/>
  <c r="B407" i="20"/>
  <c r="V10" i="18"/>
  <c r="W10" i="18" s="1"/>
  <c r="V29" i="18"/>
  <c r="D381" i="20"/>
  <c r="C381" i="20" s="1"/>
  <c r="L370" i="36"/>
  <c r="S371" i="41" s="1"/>
  <c r="D431" i="20"/>
  <c r="C431" i="20" s="1"/>
  <c r="I73" i="18"/>
  <c r="D439" i="20"/>
  <c r="C439" i="20" s="1"/>
  <c r="B401" i="20"/>
  <c r="V26" i="18"/>
  <c r="W26" i="18" s="1"/>
  <c r="V34" i="18"/>
  <c r="X34" i="18" s="1"/>
  <c r="I59" i="18"/>
  <c r="V69" i="18"/>
  <c r="W69" i="18" s="1"/>
  <c r="C401" i="20"/>
  <c r="V6" i="18"/>
  <c r="L311" i="36"/>
  <c r="S312" i="41" s="1"/>
  <c r="V55" i="18"/>
  <c r="W55" i="18" s="1"/>
  <c r="E167" i="32"/>
  <c r="F167" i="32" s="1"/>
  <c r="J157" i="39" s="1"/>
  <c r="K157" i="39" s="1"/>
  <c r="H69" i="18"/>
  <c r="H399" i="36" s="1"/>
  <c r="J399" i="36" s="1"/>
  <c r="B399" i="20"/>
  <c r="C392" i="20"/>
  <c r="V20" i="18"/>
  <c r="W20" i="18" s="1"/>
  <c r="L305" i="36"/>
  <c r="S306" i="41" s="1"/>
  <c r="B402" i="20"/>
  <c r="D387" i="20"/>
  <c r="C387" i="20" s="1"/>
  <c r="V63" i="18"/>
  <c r="W63" i="18" s="1"/>
  <c r="C399" i="20"/>
  <c r="L324" i="36"/>
  <c r="S325" i="41" s="1"/>
  <c r="B405" i="20"/>
  <c r="V22" i="18"/>
  <c r="C405" i="20"/>
  <c r="V13" i="18"/>
  <c r="X13" i="18" s="1"/>
  <c r="V8" i="18"/>
  <c r="W8" i="18" s="1"/>
  <c r="I155" i="39"/>
  <c r="V58" i="18"/>
  <c r="W58" i="18" s="1"/>
  <c r="V39" i="18"/>
  <c r="W39" i="18" s="1"/>
  <c r="D382" i="20"/>
  <c r="C382" i="20" s="1"/>
  <c r="I64" i="18"/>
  <c r="D383" i="20"/>
  <c r="B383" i="20" s="1"/>
  <c r="V79" i="18"/>
  <c r="X79" i="18" s="1"/>
  <c r="C428" i="20"/>
  <c r="B428" i="20"/>
  <c r="L433" i="36"/>
  <c r="S433" i="41" s="1"/>
  <c r="I15" i="18"/>
  <c r="T50" i="18"/>
  <c r="U50" i="18" s="1"/>
  <c r="V50" i="18" s="1"/>
  <c r="W50" i="18" s="1"/>
  <c r="H18" i="18"/>
  <c r="H382" i="36" s="1"/>
  <c r="J382" i="36" s="1"/>
  <c r="L382" i="36"/>
  <c r="S383" i="41" s="1"/>
  <c r="L389" i="36"/>
  <c r="S390" i="41" s="1"/>
  <c r="H28" i="18"/>
  <c r="H219" i="36" s="1"/>
  <c r="J219" i="36" s="1"/>
  <c r="L219" i="36"/>
  <c r="S220" i="41" s="1"/>
  <c r="I32" i="18"/>
  <c r="L395" i="36"/>
  <c r="S396" i="41" s="1"/>
  <c r="D432" i="20"/>
  <c r="V16" i="18"/>
  <c r="D420" i="20"/>
  <c r="B420" i="20" s="1"/>
  <c r="V44" i="18"/>
  <c r="X44" i="18" s="1"/>
  <c r="L371" i="36"/>
  <c r="S372" i="41" s="1"/>
  <c r="L218" i="36"/>
  <c r="S219" i="41" s="1"/>
  <c r="L245" i="36"/>
  <c r="S246" i="41" s="1"/>
  <c r="H26" i="18"/>
  <c r="H221" i="36" s="1"/>
  <c r="J221" i="36" s="1"/>
  <c r="L221" i="36"/>
  <c r="S222" i="41" s="1"/>
  <c r="V30" i="18"/>
  <c r="D415" i="20"/>
  <c r="B415" i="20" s="1"/>
  <c r="D370" i="20"/>
  <c r="C370" i="20" s="1"/>
  <c r="L268" i="36"/>
  <c r="S269" i="41" s="1"/>
  <c r="C418" i="20"/>
  <c r="V12" i="18"/>
  <c r="D411" i="20"/>
  <c r="C411" i="20" s="1"/>
  <c r="L363" i="36"/>
  <c r="S364" i="41" s="1"/>
  <c r="D403" i="20"/>
  <c r="V53" i="18"/>
  <c r="D384" i="20"/>
  <c r="B384" i="20" s="1"/>
  <c r="D413" i="20"/>
  <c r="C413" i="20" s="1"/>
  <c r="H20" i="18"/>
  <c r="H363" i="36" s="1"/>
  <c r="J363" i="36" s="1"/>
  <c r="V41" i="18"/>
  <c r="W41" i="18" s="1"/>
  <c r="L396" i="36"/>
  <c r="D417" i="20"/>
  <c r="V42" i="18"/>
  <c r="W42" i="18" s="1"/>
  <c r="V54" i="18"/>
  <c r="D376" i="20"/>
  <c r="D433" i="20"/>
  <c r="B433" i="20" s="1"/>
  <c r="L380" i="36"/>
  <c r="S381" i="41" s="1"/>
  <c r="V37" i="18"/>
  <c r="B392" i="20"/>
  <c r="V46" i="18"/>
  <c r="X46" i="18" s="1"/>
  <c r="L384" i="36"/>
  <c r="S385" i="41" s="1"/>
  <c r="V52" i="18"/>
  <c r="W52" i="18" s="1"/>
  <c r="V40" i="18"/>
  <c r="V72" i="18"/>
  <c r="B414" i="20"/>
  <c r="V71" i="18"/>
  <c r="H11" i="18"/>
  <c r="H268" i="36" s="1"/>
  <c r="J268" i="36" s="1"/>
  <c r="D389" i="20"/>
  <c r="D379" i="20"/>
  <c r="C379" i="20" s="1"/>
  <c r="L312" i="36"/>
  <c r="S313" i="41" s="1"/>
  <c r="V7" i="18"/>
  <c r="I58" i="18"/>
  <c r="V23" i="18"/>
  <c r="X23" i="18" s="1"/>
  <c r="D388" i="20"/>
  <c r="V48" i="18"/>
  <c r="D394" i="20"/>
  <c r="I377" i="36"/>
  <c r="K256" i="36"/>
  <c r="I412" i="36"/>
  <c r="K424" i="36"/>
  <c r="K231" i="36"/>
  <c r="K411" i="36"/>
  <c r="K289" i="36"/>
  <c r="K301" i="36"/>
  <c r="I421" i="36"/>
  <c r="I423" i="36"/>
  <c r="I337" i="36"/>
  <c r="I292" i="36"/>
  <c r="I327" i="36"/>
  <c r="K420" i="36"/>
  <c r="K333" i="36"/>
  <c r="I232" i="36"/>
  <c r="I230" i="36"/>
  <c r="I30" i="36"/>
  <c r="I282" i="36"/>
  <c r="I276" i="36"/>
  <c r="K277" i="36"/>
  <c r="K406" i="36"/>
  <c r="K28" i="36"/>
  <c r="I324" i="36"/>
  <c r="I257" i="36"/>
  <c r="K405" i="36"/>
  <c r="I303" i="36"/>
  <c r="K293" i="36"/>
  <c r="K343" i="36"/>
  <c r="K20" i="36"/>
  <c r="I288" i="36"/>
  <c r="I22" i="36"/>
  <c r="K357" i="36"/>
  <c r="K11" i="36"/>
  <c r="I34" i="36"/>
  <c r="K35" i="36"/>
  <c r="I295" i="36"/>
  <c r="K229" i="36"/>
  <c r="I452" i="36"/>
  <c r="K407" i="36"/>
  <c r="K24" i="36"/>
  <c r="K290" i="36"/>
  <c r="I443" i="36"/>
  <c r="I409" i="36"/>
  <c r="I80" i="36"/>
  <c r="K73" i="36"/>
  <c r="I6" i="36"/>
  <c r="K17" i="36"/>
  <c r="K27" i="36"/>
  <c r="I330" i="36"/>
  <c r="I317" i="36"/>
  <c r="I278" i="36"/>
  <c r="K349" i="36"/>
  <c r="I358" i="36"/>
  <c r="K419" i="36"/>
  <c r="K18" i="36"/>
  <c r="I316" i="36"/>
  <c r="I259" i="36"/>
  <c r="K344" i="36"/>
  <c r="K252" i="36"/>
  <c r="I326" i="36"/>
  <c r="K350" i="36"/>
  <c r="K408" i="36"/>
  <c r="K404" i="36"/>
  <c r="I335" i="36"/>
  <c r="I329" i="36"/>
  <c r="I434" i="36"/>
  <c r="I7" i="36"/>
  <c r="K336" i="36"/>
  <c r="I272" i="36"/>
  <c r="I101" i="36"/>
  <c r="I241" i="36"/>
  <c r="K346" i="36"/>
  <c r="I236" i="36"/>
  <c r="I410" i="36"/>
  <c r="I68" i="36"/>
  <c r="I273" i="36"/>
  <c r="K40" i="36"/>
  <c r="I33" i="36"/>
  <c r="I298" i="36"/>
  <c r="I356" i="36"/>
  <c r="K422" i="36"/>
  <c r="I102" i="36"/>
  <c r="I254" i="36"/>
  <c r="I255" i="36"/>
  <c r="K300" i="36"/>
  <c r="I348" i="36"/>
  <c r="I355" i="36"/>
  <c r="I418" i="36"/>
  <c r="I21" i="36"/>
  <c r="K29" i="36"/>
  <c r="I345" i="36"/>
  <c r="I308" i="36"/>
  <c r="I312" i="36"/>
  <c r="K286" i="36"/>
  <c r="I359" i="36"/>
  <c r="I456" i="36"/>
  <c r="I13" i="36"/>
  <c r="I19" i="36"/>
  <c r="K463" i="36"/>
  <c r="I9" i="36"/>
  <c r="I302" i="36"/>
  <c r="K361" i="36"/>
  <c r="K444" i="36"/>
  <c r="I263" i="36"/>
  <c r="L365" i="36"/>
  <c r="S366" i="41" s="1"/>
  <c r="L364" i="36"/>
  <c r="S365" i="41" s="1"/>
  <c r="W65" i="18"/>
  <c r="X65" i="18"/>
  <c r="L392" i="36"/>
  <c r="S393" i="41" s="1"/>
  <c r="X75" i="18"/>
  <c r="L461" i="36"/>
  <c r="S461" i="41" s="1"/>
  <c r="L430" i="36"/>
  <c r="S430" i="41" s="1"/>
  <c r="L391" i="36"/>
  <c r="S392" i="41" s="1"/>
  <c r="L274" i="36"/>
  <c r="S275" i="41" s="1"/>
  <c r="L362" i="36"/>
  <c r="S363" i="41" s="1"/>
  <c r="L251" i="36"/>
  <c r="S252" i="41" s="1"/>
  <c r="I25" i="18"/>
  <c r="L222" i="36"/>
  <c r="S223" i="41" s="1"/>
  <c r="I341" i="36"/>
  <c r="K341" i="36"/>
  <c r="L339" i="36"/>
  <c r="S340" i="41" s="1"/>
  <c r="L340" i="36"/>
  <c r="S341" i="41" s="1"/>
  <c r="H7" i="18"/>
  <c r="L458" i="36"/>
  <c r="S458" i="41" s="1"/>
  <c r="W51" i="18"/>
  <c r="X51" i="18"/>
  <c r="W14" i="18"/>
  <c r="X14" i="18"/>
  <c r="W68" i="18"/>
  <c r="X68" i="18"/>
  <c r="N7" i="18"/>
  <c r="M7" i="18"/>
  <c r="L7" i="18"/>
  <c r="K7" i="18"/>
  <c r="L242" i="36"/>
  <c r="S243" i="41" s="1"/>
  <c r="K394" i="36"/>
  <c r="I394" i="36"/>
  <c r="I54" i="18"/>
  <c r="E166" i="32"/>
  <c r="F166" i="32" s="1"/>
  <c r="J156" i="39" s="1"/>
  <c r="K156" i="39" s="1"/>
  <c r="H33" i="18"/>
  <c r="H245" i="36" s="1"/>
  <c r="J245" i="36" s="1"/>
  <c r="L386" i="36"/>
  <c r="S387" i="41" s="1"/>
  <c r="L397" i="36"/>
  <c r="S398" i="41" s="1"/>
  <c r="L253" i="36"/>
  <c r="S254" i="41" s="1"/>
  <c r="L387" i="36"/>
  <c r="S388" i="41" s="1"/>
  <c r="I141" i="39"/>
  <c r="C374" i="20"/>
  <c r="B374" i="20"/>
  <c r="L381" i="36"/>
  <c r="S382" i="41" s="1"/>
  <c r="B430" i="20"/>
  <c r="C430" i="20"/>
  <c r="H17" i="18"/>
  <c r="H373" i="36" s="1"/>
  <c r="J373" i="36" s="1"/>
  <c r="I17" i="18"/>
  <c r="L393" i="36"/>
  <c r="S394" i="41" s="1"/>
  <c r="D380" i="36"/>
  <c r="D421" i="20"/>
  <c r="D394" i="36"/>
  <c r="D438" i="20"/>
  <c r="V73" i="18"/>
  <c r="H53" i="18"/>
  <c r="H244" i="36" s="1"/>
  <c r="J244" i="36" s="1"/>
  <c r="I53" i="18"/>
  <c r="L388" i="36"/>
  <c r="S389" i="41" s="1"/>
  <c r="C429" i="20"/>
  <c r="B429" i="20"/>
  <c r="I31" i="18"/>
  <c r="H31" i="18"/>
  <c r="H388" i="36" s="1"/>
  <c r="J388" i="36" s="1"/>
  <c r="I63" i="18"/>
  <c r="H63" i="18"/>
  <c r="H385" i="36" s="1"/>
  <c r="J385" i="36" s="1"/>
  <c r="X76" i="18"/>
  <c r="W76" i="18"/>
  <c r="D389" i="36"/>
  <c r="V56" i="18"/>
  <c r="D433" i="36"/>
  <c r="V15" i="18"/>
  <c r="C426" i="20"/>
  <c r="I46" i="18"/>
  <c r="H46" i="18"/>
  <c r="H270" i="36" s="1"/>
  <c r="J270" i="36" s="1"/>
  <c r="T47" i="18"/>
  <c r="U47" i="18" s="1"/>
  <c r="D219" i="36"/>
  <c r="V28" i="18"/>
  <c r="D384" i="36"/>
  <c r="V62" i="18"/>
  <c r="D390" i="36"/>
  <c r="V60" i="18"/>
  <c r="D430" i="36"/>
  <c r="V57" i="18"/>
  <c r="C425" i="20"/>
  <c r="D339" i="36"/>
  <c r="C386" i="20"/>
  <c r="D383" i="36"/>
  <c r="V19" i="18"/>
  <c r="D391" i="36"/>
  <c r="D409" i="20"/>
  <c r="V24" i="18"/>
  <c r="D431" i="36"/>
  <c r="V61" i="18"/>
  <c r="C424" i="20"/>
  <c r="C402" i="20"/>
  <c r="L385" i="36"/>
  <c r="S386" i="41" s="1"/>
  <c r="C423" i="20"/>
  <c r="B423" i="20"/>
  <c r="D253" i="36"/>
  <c r="C397" i="20"/>
  <c r="D382" i="36"/>
  <c r="V18" i="18"/>
  <c r="F472" i="36"/>
  <c r="E472" i="36"/>
  <c r="D388" i="36"/>
  <c r="V31" i="18"/>
  <c r="W75" i="18"/>
  <c r="D393" i="36"/>
  <c r="V21" i="18"/>
  <c r="D404" i="20"/>
  <c r="D408" i="20"/>
  <c r="H62" i="18"/>
  <c r="H384" i="36" s="1"/>
  <c r="J384" i="36" s="1"/>
  <c r="H49" i="18"/>
  <c r="H396" i="36" s="1"/>
  <c r="J396" i="36" s="1"/>
  <c r="I49" i="18"/>
  <c r="W77" i="18"/>
  <c r="I65" i="18"/>
  <c r="H65" i="18"/>
  <c r="H380" i="36" s="1"/>
  <c r="J380" i="36" s="1"/>
  <c r="V70" i="18"/>
  <c r="D386" i="36"/>
  <c r="D427" i="20"/>
  <c r="V66" i="18"/>
  <c r="D437" i="20"/>
  <c r="Q5" i="6"/>
  <c r="S9" i="6"/>
  <c r="T9" i="6" s="1"/>
  <c r="Y29" i="6"/>
  <c r="L27" i="36"/>
  <c r="S28" i="41" s="1"/>
  <c r="L29" i="36"/>
  <c r="S30" i="41" s="1"/>
  <c r="Z29" i="6"/>
  <c r="S13" i="6"/>
  <c r="T13" i="6" s="1"/>
  <c r="S14" i="6"/>
  <c r="T14" i="6" s="1"/>
  <c r="S23" i="6"/>
  <c r="T23" i="6" s="1"/>
  <c r="S5" i="6"/>
  <c r="T5" i="6" s="1"/>
  <c r="L5" i="36"/>
  <c r="S6" i="41" s="1"/>
  <c r="L13" i="36"/>
  <c r="S14" i="41" s="1"/>
  <c r="Y13" i="6"/>
  <c r="S20" i="6"/>
  <c r="T20" i="6" s="1"/>
  <c r="P29" i="6"/>
  <c r="L33" i="36"/>
  <c r="S34" i="41" s="1"/>
  <c r="D213" i="36"/>
  <c r="P5" i="19"/>
  <c r="Q5" i="19" s="1"/>
  <c r="F181" i="37"/>
  <c r="P7" i="19"/>
  <c r="Q7" i="19" s="1"/>
  <c r="P26" i="19"/>
  <c r="R26" i="19" s="1"/>
  <c r="F146" i="20"/>
  <c r="F40" i="20" s="1"/>
  <c r="F40" i="37" s="1"/>
  <c r="J18" i="14"/>
  <c r="J8" i="14"/>
  <c r="I6" i="14"/>
  <c r="D442" i="20"/>
  <c r="B442" i="20" s="1"/>
  <c r="D474" i="36"/>
  <c r="G474" i="36" s="1"/>
  <c r="X15" i="6"/>
  <c r="Z15" i="6" s="1"/>
  <c r="F128" i="20"/>
  <c r="F22" i="20" s="1"/>
  <c r="F163" i="37"/>
  <c r="U83" i="15"/>
  <c r="R83" i="15"/>
  <c r="R85" i="15"/>
  <c r="U85" i="15"/>
  <c r="R53" i="15"/>
  <c r="U53" i="15"/>
  <c r="U67" i="15"/>
  <c r="U102" i="15"/>
  <c r="X17" i="6"/>
  <c r="Z17" i="6" s="1"/>
  <c r="F134" i="20"/>
  <c r="F28" i="20" s="1"/>
  <c r="E28" i="20" s="1"/>
  <c r="E134" i="20" s="1"/>
  <c r="R66" i="15"/>
  <c r="U72" i="15"/>
  <c r="E202" i="36"/>
  <c r="E247" i="36"/>
  <c r="F247" i="36"/>
  <c r="E248" i="36"/>
  <c r="F248" i="36"/>
  <c r="E42" i="36"/>
  <c r="F42" i="36"/>
  <c r="F295" i="36"/>
  <c r="E295" i="36"/>
  <c r="D280" i="20"/>
  <c r="D283" i="20"/>
  <c r="E229" i="36"/>
  <c r="F229" i="36"/>
  <c r="F142" i="36"/>
  <c r="E142" i="36"/>
  <c r="E158" i="36"/>
  <c r="F158" i="36"/>
  <c r="E155" i="36"/>
  <c r="F155" i="36"/>
  <c r="E152" i="36"/>
  <c r="F152" i="36"/>
  <c r="E149" i="36"/>
  <c r="F149" i="36"/>
  <c r="E146" i="36"/>
  <c r="F146" i="36"/>
  <c r="E144" i="36"/>
  <c r="F144" i="36"/>
  <c r="F27" i="36"/>
  <c r="E27" i="36"/>
  <c r="D83" i="36"/>
  <c r="E38" i="36"/>
  <c r="F38" i="36"/>
  <c r="L41" i="36"/>
  <c r="S42" i="41" s="1"/>
  <c r="L40" i="36"/>
  <c r="S41" i="41" s="1"/>
  <c r="J23" i="14"/>
  <c r="L109" i="36"/>
  <c r="S110" i="41" s="1"/>
  <c r="L345" i="36"/>
  <c r="S346" i="41" s="1"/>
  <c r="L116" i="36"/>
  <c r="S117" i="41" s="1"/>
  <c r="L343" i="36"/>
  <c r="S344" i="41" s="1"/>
  <c r="L133" i="36"/>
  <c r="S134" i="41" s="1"/>
  <c r="L136" i="36"/>
  <c r="S137" i="41" s="1"/>
  <c r="L344" i="36"/>
  <c r="S345" i="41" s="1"/>
  <c r="J29" i="14"/>
  <c r="I18" i="14"/>
  <c r="S6" i="14"/>
  <c r="E273" i="36"/>
  <c r="F273" i="36"/>
  <c r="E203" i="36"/>
  <c r="F203" i="36"/>
  <c r="AK5" i="14"/>
  <c r="F349" i="36"/>
  <c r="E349" i="36"/>
  <c r="F375" i="36"/>
  <c r="E375" i="36"/>
  <c r="E162" i="36"/>
  <c r="F162" i="36"/>
  <c r="E163" i="36"/>
  <c r="F163" i="36"/>
  <c r="E164" i="36"/>
  <c r="F164" i="36"/>
  <c r="E165" i="36"/>
  <c r="F165" i="36"/>
  <c r="E166" i="36"/>
  <c r="F166" i="36"/>
  <c r="E167" i="36"/>
  <c r="F167" i="36"/>
  <c r="D168" i="36"/>
  <c r="D232" i="36"/>
  <c r="F169" i="36"/>
  <c r="E169" i="36"/>
  <c r="F170" i="36"/>
  <c r="E170" i="36"/>
  <c r="E171" i="36"/>
  <c r="F171" i="36"/>
  <c r="E172" i="36"/>
  <c r="F172" i="36"/>
  <c r="F173" i="36"/>
  <c r="E173" i="36"/>
  <c r="L463" i="36"/>
  <c r="S463" i="41" s="1"/>
  <c r="E84" i="36"/>
  <c r="F84" i="36"/>
  <c r="E87" i="36"/>
  <c r="F87" i="36"/>
  <c r="I28" i="14"/>
  <c r="I24" i="14"/>
  <c r="J21" i="14"/>
  <c r="S5" i="14"/>
  <c r="R19" i="14"/>
  <c r="S18" i="14"/>
  <c r="AJ8" i="14"/>
  <c r="F400" i="36"/>
  <c r="E400" i="36"/>
  <c r="F413" i="36"/>
  <c r="E413" i="36"/>
  <c r="F412" i="36"/>
  <c r="E412" i="36"/>
  <c r="F411" i="36"/>
  <c r="E411" i="36"/>
  <c r="E410" i="36"/>
  <c r="F410" i="36"/>
  <c r="F409" i="36"/>
  <c r="E409" i="36"/>
  <c r="F408" i="36"/>
  <c r="E408" i="36"/>
  <c r="F407" i="36"/>
  <c r="E407" i="36"/>
  <c r="F406" i="36"/>
  <c r="E406" i="36"/>
  <c r="F405" i="36"/>
  <c r="E405" i="36"/>
  <c r="F404" i="36"/>
  <c r="E404" i="36"/>
  <c r="F403" i="36"/>
  <c r="E403" i="36"/>
  <c r="E402" i="36"/>
  <c r="F402" i="36"/>
  <c r="F401" i="36"/>
  <c r="E401" i="36"/>
  <c r="F414" i="36"/>
  <c r="E414" i="36"/>
  <c r="F415" i="36"/>
  <c r="E415" i="36"/>
  <c r="F421" i="36"/>
  <c r="E421" i="36"/>
  <c r="F420" i="36"/>
  <c r="E420" i="36"/>
  <c r="F419" i="36"/>
  <c r="E419" i="36"/>
  <c r="F418" i="36"/>
  <c r="E418" i="36"/>
  <c r="F417" i="36"/>
  <c r="E417" i="36"/>
  <c r="F416" i="36"/>
  <c r="E416" i="36"/>
  <c r="F422" i="36"/>
  <c r="E422" i="36"/>
  <c r="E72" i="36"/>
  <c r="F72" i="36"/>
  <c r="F77" i="36"/>
  <c r="E77" i="36"/>
  <c r="F434" i="36"/>
  <c r="E434" i="36"/>
  <c r="F435" i="36"/>
  <c r="E435" i="36"/>
  <c r="E250" i="36"/>
  <c r="F250" i="36"/>
  <c r="E106" i="36"/>
  <c r="F106" i="36"/>
  <c r="D112" i="36"/>
  <c r="D282" i="36"/>
  <c r="D353" i="36"/>
  <c r="D439" i="36"/>
  <c r="D335" i="36"/>
  <c r="D109" i="36"/>
  <c r="D110" i="36"/>
  <c r="D352" i="36"/>
  <c r="D139" i="36"/>
  <c r="D437" i="36"/>
  <c r="D108" i="36"/>
  <c r="D331" i="36"/>
  <c r="D351" i="36"/>
  <c r="D256" i="36"/>
  <c r="D436" i="36"/>
  <c r="D456" i="36"/>
  <c r="D115" i="36"/>
  <c r="D284" i="36"/>
  <c r="D354" i="36"/>
  <c r="D455" i="36"/>
  <c r="D132" i="36"/>
  <c r="D260" i="36"/>
  <c r="D454" i="36"/>
  <c r="D131" i="36"/>
  <c r="D259" i="36"/>
  <c r="D334" i="36"/>
  <c r="D453" i="36"/>
  <c r="D130" i="36"/>
  <c r="D291" i="36"/>
  <c r="D452" i="36"/>
  <c r="D127" i="36"/>
  <c r="D128" i="36"/>
  <c r="D129" i="36"/>
  <c r="D451" i="36"/>
  <c r="D125" i="36"/>
  <c r="D290" i="36"/>
  <c r="D356" i="36"/>
  <c r="D450" i="36"/>
  <c r="D124" i="36"/>
  <c r="D277" i="36"/>
  <c r="D355" i="36"/>
  <c r="D338" i="36"/>
  <c r="D449" i="36"/>
  <c r="D123" i="36"/>
  <c r="D205" i="36"/>
  <c r="D361" i="36"/>
  <c r="D122" i="36"/>
  <c r="D254" i="36"/>
  <c r="D225" i="36"/>
  <c r="D360" i="36"/>
  <c r="D448" i="36"/>
  <c r="D336" i="36"/>
  <c r="D121" i="36"/>
  <c r="D276" i="36"/>
  <c r="D359" i="36"/>
  <c r="D447" i="36"/>
  <c r="D337" i="36"/>
  <c r="D332" i="36"/>
  <c r="D446" i="36"/>
  <c r="D120" i="36"/>
  <c r="D445" i="36"/>
  <c r="D119" i="36"/>
  <c r="D289" i="36"/>
  <c r="D358" i="36"/>
  <c r="D444" i="36"/>
  <c r="D118" i="36"/>
  <c r="D443" i="36"/>
  <c r="D117" i="36"/>
  <c r="D126" i="36"/>
  <c r="D357" i="36"/>
  <c r="D441" i="36"/>
  <c r="D114" i="36"/>
  <c r="D224" i="36"/>
  <c r="D287" i="36"/>
  <c r="D226" i="20"/>
  <c r="D440" i="36"/>
  <c r="D113" i="36"/>
  <c r="D283" i="36"/>
  <c r="F467" i="36"/>
  <c r="E467" i="36"/>
  <c r="F468" i="36"/>
  <c r="E468" i="36"/>
  <c r="F465" i="36"/>
  <c r="E465" i="36"/>
  <c r="D111" i="36"/>
  <c r="D438" i="36"/>
  <c r="D333" i="36"/>
  <c r="D348" i="36"/>
  <c r="D345" i="36"/>
  <c r="D442" i="36"/>
  <c r="D116" i="36"/>
  <c r="D288" i="36"/>
  <c r="D343" i="36"/>
  <c r="D314" i="36"/>
  <c r="E228" i="36"/>
  <c r="F228" i="36"/>
  <c r="D473" i="36"/>
  <c r="G473" i="36" s="1"/>
  <c r="D441" i="20"/>
  <c r="E251" i="36"/>
  <c r="F251" i="36"/>
  <c r="E243" i="36"/>
  <c r="F243" i="36"/>
  <c r="F270" i="36"/>
  <c r="E270" i="36"/>
  <c r="F245" i="36"/>
  <c r="E245" i="36"/>
  <c r="E217" i="36"/>
  <c r="F217" i="36"/>
  <c r="F216" i="36"/>
  <c r="E216" i="36"/>
  <c r="E363" i="36"/>
  <c r="F363" i="36"/>
  <c r="E309" i="36"/>
  <c r="F309" i="36"/>
  <c r="E305" i="36"/>
  <c r="F305" i="36"/>
  <c r="F324" i="36"/>
  <c r="E324" i="36"/>
  <c r="E308" i="36"/>
  <c r="F308" i="36"/>
  <c r="F311" i="36"/>
  <c r="E311" i="36"/>
  <c r="E307" i="36"/>
  <c r="F307" i="36"/>
  <c r="F242" i="36"/>
  <c r="E242" i="36"/>
  <c r="E267" i="36"/>
  <c r="F267" i="36"/>
  <c r="F312" i="36"/>
  <c r="E312" i="36"/>
  <c r="E246" i="36"/>
  <c r="F246" i="36"/>
  <c r="E274" i="36"/>
  <c r="F274" i="36"/>
  <c r="E221" i="36"/>
  <c r="F221" i="36"/>
  <c r="E218" i="36"/>
  <c r="F218" i="36"/>
  <c r="E220" i="36"/>
  <c r="F220" i="36"/>
  <c r="F222" i="36"/>
  <c r="E222" i="36"/>
  <c r="E269" i="36"/>
  <c r="F269" i="36"/>
  <c r="F268" i="36"/>
  <c r="E268" i="36"/>
  <c r="E244" i="36"/>
  <c r="F244" i="36"/>
  <c r="Z12" i="6"/>
  <c r="Y27" i="6"/>
  <c r="E342" i="36"/>
  <c r="F342" i="36"/>
  <c r="E341" i="36"/>
  <c r="F341" i="36"/>
  <c r="F362" i="36"/>
  <c r="E362" i="36"/>
  <c r="F365" i="36"/>
  <c r="E365" i="36"/>
  <c r="F364" i="36"/>
  <c r="E364" i="36"/>
  <c r="F370" i="36"/>
  <c r="E370" i="36"/>
  <c r="F371" i="36"/>
  <c r="E371" i="36"/>
  <c r="F373" i="36"/>
  <c r="E373" i="36"/>
  <c r="F374" i="36"/>
  <c r="E374" i="36"/>
  <c r="F381" i="36"/>
  <c r="E381" i="36"/>
  <c r="F379" i="36"/>
  <c r="E379" i="36"/>
  <c r="F378" i="36"/>
  <c r="E378" i="36"/>
  <c r="F385" i="36"/>
  <c r="E385" i="36"/>
  <c r="F387" i="36"/>
  <c r="E387" i="36"/>
  <c r="F392" i="36"/>
  <c r="E392" i="36"/>
  <c r="F395" i="36"/>
  <c r="E395" i="36"/>
  <c r="F398" i="36"/>
  <c r="E398" i="36"/>
  <c r="F397" i="36"/>
  <c r="E397" i="36"/>
  <c r="F396" i="36"/>
  <c r="E396" i="36"/>
  <c r="F399" i="36"/>
  <c r="E399" i="36"/>
  <c r="F432" i="36"/>
  <c r="E432" i="36"/>
  <c r="F458" i="36"/>
  <c r="E458" i="36"/>
  <c r="E459" i="36"/>
  <c r="F459" i="36"/>
  <c r="D440" i="20"/>
  <c r="D462" i="36"/>
  <c r="D377" i="20"/>
  <c r="D461" i="36"/>
  <c r="E27" i="19"/>
  <c r="R27" i="19"/>
  <c r="W78" i="18"/>
  <c r="X78" i="18"/>
  <c r="L472" i="36"/>
  <c r="S472" i="41" s="1"/>
  <c r="I122" i="39"/>
  <c r="AI13" i="14"/>
  <c r="R105" i="15"/>
  <c r="U105" i="15"/>
  <c r="U56" i="15"/>
  <c r="R56" i="15"/>
  <c r="U91" i="15"/>
  <c r="R91" i="15"/>
  <c r="J19" i="14"/>
  <c r="I19" i="14"/>
  <c r="AA23" i="6"/>
  <c r="D31" i="36" s="1"/>
  <c r="X23" i="6"/>
  <c r="Z23" i="6" s="1"/>
  <c r="AI21" i="14"/>
  <c r="I128" i="39"/>
  <c r="Z20" i="6"/>
  <c r="Y20" i="6"/>
  <c r="J9" i="14"/>
  <c r="I9" i="14"/>
  <c r="J14" i="14"/>
  <c r="I14" i="14"/>
  <c r="F323" i="36"/>
  <c r="Z44" i="21"/>
  <c r="AA44" i="21"/>
  <c r="I11" i="14"/>
  <c r="J11" i="14"/>
  <c r="R21" i="14"/>
  <c r="S21" i="14"/>
  <c r="I130" i="39"/>
  <c r="AI27" i="14"/>
  <c r="R94" i="15"/>
  <c r="U94" i="15"/>
  <c r="X21" i="6"/>
  <c r="Y21" i="6" s="1"/>
  <c r="F236" i="37"/>
  <c r="AA21" i="6"/>
  <c r="D30" i="36" s="1"/>
  <c r="F186" i="20"/>
  <c r="F82" i="20" s="1"/>
  <c r="B82" i="20" s="1"/>
  <c r="J22" i="14"/>
  <c r="I22" i="14"/>
  <c r="U70" i="15"/>
  <c r="R70" i="15"/>
  <c r="U93" i="15"/>
  <c r="R93" i="15"/>
  <c r="I20" i="14"/>
  <c r="J20" i="14"/>
  <c r="R55" i="15"/>
  <c r="U55" i="15"/>
  <c r="I10" i="14"/>
  <c r="J10" i="14"/>
  <c r="AP16" i="10"/>
  <c r="D44" i="36" s="1"/>
  <c r="F149" i="20"/>
  <c r="F43" i="20" s="1"/>
  <c r="AM16" i="10"/>
  <c r="F184" i="37"/>
  <c r="F156" i="20"/>
  <c r="F50" i="20" s="1"/>
  <c r="E50" i="20" s="1"/>
  <c r="R6" i="14"/>
  <c r="R57" i="15"/>
  <c r="X24" i="6"/>
  <c r="I8" i="14"/>
  <c r="R101" i="15"/>
  <c r="P15" i="19"/>
  <c r="R15" i="19" s="1"/>
  <c r="F230" i="37"/>
  <c r="F192" i="20"/>
  <c r="F88" i="20" s="1"/>
  <c r="B88" i="20" s="1"/>
  <c r="D88" i="20" s="1"/>
  <c r="AI9" i="14"/>
  <c r="D362" i="20"/>
  <c r="R65" i="15"/>
  <c r="I23" i="14"/>
  <c r="AJ5" i="14"/>
  <c r="AI15" i="14"/>
  <c r="F245" i="37"/>
  <c r="AA15" i="6"/>
  <c r="D12" i="36" s="1"/>
  <c r="D365" i="20"/>
  <c r="R88" i="15"/>
  <c r="X7" i="6"/>
  <c r="D307" i="20"/>
  <c r="D367" i="20"/>
  <c r="F195" i="20"/>
  <c r="F91" i="20" s="1"/>
  <c r="F112" i="37" s="1"/>
  <c r="P10" i="19"/>
  <c r="D368" i="20"/>
  <c r="I118" i="39"/>
  <c r="D209" i="36"/>
  <c r="D23" i="36"/>
  <c r="F460" i="36"/>
  <c r="D215" i="36"/>
  <c r="D360" i="20"/>
  <c r="P14" i="19"/>
  <c r="R14" i="19" s="1"/>
  <c r="X10" i="6"/>
  <c r="D310" i="20"/>
  <c r="B310" i="20" s="1"/>
  <c r="F180" i="20"/>
  <c r="F76" i="20" s="1"/>
  <c r="F97" i="37" s="1"/>
  <c r="AA27" i="6"/>
  <c r="D34" i="36" s="1"/>
  <c r="D256" i="20"/>
  <c r="D135" i="36" s="1"/>
  <c r="I15" i="14"/>
  <c r="J15" i="14"/>
  <c r="R79" i="15"/>
  <c r="U79" i="15"/>
  <c r="R63" i="15"/>
  <c r="U63" i="15"/>
  <c r="I125" i="39"/>
  <c r="AI18" i="14"/>
  <c r="U62" i="15"/>
  <c r="R62" i="15"/>
  <c r="F115" i="20"/>
  <c r="F9" i="20" s="1"/>
  <c r="F150" i="37"/>
  <c r="AA11" i="6"/>
  <c r="D9" i="36" s="1"/>
  <c r="X11" i="6"/>
  <c r="E214" i="36"/>
  <c r="F214" i="36"/>
  <c r="R45" i="15"/>
  <c r="U45" i="15"/>
  <c r="D319" i="36"/>
  <c r="P23" i="19"/>
  <c r="D304" i="20"/>
  <c r="R81" i="15"/>
  <c r="U81" i="15"/>
  <c r="R51" i="15"/>
  <c r="U51" i="15"/>
  <c r="Z28" i="6"/>
  <c r="R52" i="15"/>
  <c r="R104" i="15"/>
  <c r="U104" i="15"/>
  <c r="I32" i="14"/>
  <c r="J32" i="14"/>
  <c r="F178" i="20"/>
  <c r="F74" i="20" s="1"/>
  <c r="F228" i="37"/>
  <c r="AA12" i="6"/>
  <c r="AA26" i="6"/>
  <c r="D33" i="36" s="1"/>
  <c r="F194" i="20"/>
  <c r="F90" i="20" s="1"/>
  <c r="X26" i="6"/>
  <c r="F203" i="20"/>
  <c r="F99" i="20" s="1"/>
  <c r="F253" i="37"/>
  <c r="X32" i="6"/>
  <c r="F189" i="37"/>
  <c r="AM15" i="10"/>
  <c r="AP15" i="10"/>
  <c r="D43" i="36" s="1"/>
  <c r="F154" i="20"/>
  <c r="F48" i="20" s="1"/>
  <c r="AI19" i="14"/>
  <c r="R69" i="15"/>
  <c r="U69" i="15"/>
  <c r="J6" i="14"/>
  <c r="I129" i="39"/>
  <c r="AI26" i="14"/>
  <c r="I25" i="14"/>
  <c r="J25" i="14"/>
  <c r="S23" i="14"/>
  <c r="R23" i="14"/>
  <c r="I124" i="39"/>
  <c r="AI17" i="14"/>
  <c r="R77" i="15"/>
  <c r="U77" i="15"/>
  <c r="R61" i="15"/>
  <c r="U61" i="15"/>
  <c r="D302" i="20"/>
  <c r="P21" i="19"/>
  <c r="D318" i="36"/>
  <c r="D15" i="36"/>
  <c r="D16" i="36"/>
  <c r="I16" i="14"/>
  <c r="J16" i="14"/>
  <c r="S27" i="14"/>
  <c r="R27" i="14"/>
  <c r="R78" i="15"/>
  <c r="U78" i="15"/>
  <c r="Q29" i="19"/>
  <c r="R29" i="19"/>
  <c r="F211" i="36"/>
  <c r="Y12" i="6"/>
  <c r="U54" i="15"/>
  <c r="U50" i="15"/>
  <c r="I119" i="39"/>
  <c r="J12" i="14"/>
  <c r="I12" i="14"/>
  <c r="R22" i="14"/>
  <c r="S22" i="14"/>
  <c r="R75" i="15"/>
  <c r="U75" i="15"/>
  <c r="U59" i="15"/>
  <c r="R59" i="15"/>
  <c r="R44" i="15"/>
  <c r="U44" i="15"/>
  <c r="F158" i="20"/>
  <c r="F52" i="20" s="1"/>
  <c r="F193" i="37"/>
  <c r="X30" i="6"/>
  <c r="AA30" i="6"/>
  <c r="D19" i="36" s="1"/>
  <c r="D366" i="36"/>
  <c r="U84" i="15"/>
  <c r="R18" i="14"/>
  <c r="I17" i="14"/>
  <c r="J17" i="14"/>
  <c r="I120" i="39"/>
  <c r="P6" i="19"/>
  <c r="D210" i="36"/>
  <c r="D361" i="20"/>
  <c r="AK8" i="14"/>
  <c r="R82" i="15"/>
  <c r="S19" i="14"/>
  <c r="R5" i="14"/>
  <c r="U48" i="15"/>
  <c r="R25" i="19"/>
  <c r="Q25" i="19"/>
  <c r="D309" i="20"/>
  <c r="Z27" i="6"/>
  <c r="R68" i="15"/>
  <c r="U68" i="15"/>
  <c r="Z8" i="6"/>
  <c r="Y8" i="6"/>
  <c r="J13" i="14"/>
  <c r="I13" i="14"/>
  <c r="R64" i="15"/>
  <c r="U64" i="15"/>
  <c r="AA14" i="6"/>
  <c r="F133" i="20"/>
  <c r="F27" i="20" s="1"/>
  <c r="F168" i="37"/>
  <c r="X14" i="6"/>
  <c r="F142" i="20"/>
  <c r="F36" i="20" s="1"/>
  <c r="B36" i="20" s="1"/>
  <c r="F177" i="37"/>
  <c r="F175" i="20"/>
  <c r="F71" i="20" s="1"/>
  <c r="F225" i="37"/>
  <c r="AA9" i="6"/>
  <c r="D5" i="36" s="1"/>
  <c r="X9" i="6"/>
  <c r="AI20" i="14"/>
  <c r="U58" i="15"/>
  <c r="R58" i="15"/>
  <c r="X16" i="6"/>
  <c r="I29" i="14"/>
  <c r="J27" i="14"/>
  <c r="I27" i="14"/>
  <c r="D368" i="36"/>
  <c r="P31" i="19"/>
  <c r="D311" i="20"/>
  <c r="D469" i="36"/>
  <c r="G469" i="36" s="1"/>
  <c r="E211" i="36"/>
  <c r="J28" i="14"/>
  <c r="I26" i="14"/>
  <c r="J26" i="14"/>
  <c r="R24" i="14"/>
  <c r="S24" i="14"/>
  <c r="R103" i="15"/>
  <c r="U103" i="15"/>
  <c r="R92" i="15"/>
  <c r="U92" i="15"/>
  <c r="S9" i="14"/>
  <c r="R9" i="14"/>
  <c r="D208" i="36"/>
  <c r="D212" i="36"/>
  <c r="P4" i="19"/>
  <c r="D359" i="20"/>
  <c r="E231" i="36"/>
  <c r="F231" i="36"/>
  <c r="E22" i="36"/>
  <c r="F22" i="36"/>
  <c r="AA32" i="6"/>
  <c r="D316" i="36" s="1"/>
  <c r="D306" i="20"/>
  <c r="D322" i="36"/>
  <c r="D305" i="20"/>
  <c r="R20" i="14"/>
  <c r="S20" i="14"/>
  <c r="F151" i="20"/>
  <c r="F45" i="20" s="1"/>
  <c r="F186" i="37"/>
  <c r="AA20" i="6"/>
  <c r="D29" i="36" s="1"/>
  <c r="D367" i="36"/>
  <c r="J24" i="14"/>
  <c r="E223" i="36"/>
  <c r="F223" i="36"/>
  <c r="AA28" i="6"/>
  <c r="D35" i="36" s="1"/>
  <c r="F196" i="20"/>
  <c r="F92" i="20" s="1"/>
  <c r="F246" i="37"/>
  <c r="D376" i="36"/>
  <c r="AB44" i="21"/>
  <c r="D238" i="20"/>
  <c r="P24" i="19"/>
  <c r="F182" i="20"/>
  <c r="F78" i="20" s="1"/>
  <c r="F232" i="37"/>
  <c r="F190" i="20"/>
  <c r="F86" i="20" s="1"/>
  <c r="F240" i="37"/>
  <c r="I21" i="14"/>
  <c r="I31" i="14"/>
  <c r="D321" i="36"/>
  <c r="E24" i="36"/>
  <c r="F24" i="36"/>
  <c r="E344" i="36"/>
  <c r="F344" i="36"/>
  <c r="E323" i="36"/>
  <c r="AA4" i="6"/>
  <c r="X4" i="6"/>
  <c r="AA8" i="6"/>
  <c r="D28" i="36" s="1"/>
  <c r="F191" i="37"/>
  <c r="P22" i="19"/>
  <c r="D320" i="36"/>
  <c r="D303" i="20"/>
  <c r="Q30" i="19"/>
  <c r="R30" i="19"/>
  <c r="D148" i="36"/>
  <c r="Y50" i="21"/>
  <c r="D272" i="20"/>
  <c r="E230" i="36"/>
  <c r="P14" i="6" l="1"/>
  <c r="M14" i="6"/>
  <c r="C278" i="20"/>
  <c r="E304" i="36"/>
  <c r="G264" i="36"/>
  <c r="F262" i="36"/>
  <c r="B278" i="20"/>
  <c r="E262" i="36"/>
  <c r="F255" i="36"/>
  <c r="E466" i="36"/>
  <c r="E261" i="36"/>
  <c r="E202" i="20"/>
  <c r="E119" i="37"/>
  <c r="E252" i="37" s="1"/>
  <c r="E255" i="36"/>
  <c r="E96" i="20"/>
  <c r="E117" i="37" s="1"/>
  <c r="E250" i="37" s="1"/>
  <c r="B204" i="20"/>
  <c r="C204" i="20" s="1"/>
  <c r="F264" i="36"/>
  <c r="D121" i="37"/>
  <c r="B254" i="37"/>
  <c r="C254" i="37" s="1"/>
  <c r="D100" i="20"/>
  <c r="B96" i="20"/>
  <c r="C100" i="20"/>
  <c r="E136" i="20"/>
  <c r="E30" i="37"/>
  <c r="E171" i="37" s="1"/>
  <c r="F466" i="36"/>
  <c r="B436" i="20"/>
  <c r="C436" i="20"/>
  <c r="F263" i="36"/>
  <c r="E377" i="36"/>
  <c r="F377" i="36"/>
  <c r="E263" i="36"/>
  <c r="G261" i="36"/>
  <c r="B275" i="20"/>
  <c r="C275" i="20"/>
  <c r="E16" i="37"/>
  <c r="E157" i="37" s="1"/>
  <c r="E122" i="20"/>
  <c r="E204" i="20"/>
  <c r="E121" i="37"/>
  <c r="E254" i="37" s="1"/>
  <c r="B232" i="20"/>
  <c r="J9" i="6"/>
  <c r="M9" i="6" s="1"/>
  <c r="K33" i="18"/>
  <c r="J15" i="6"/>
  <c r="M15" i="6" s="1"/>
  <c r="J7" i="6"/>
  <c r="K7" i="6" s="1"/>
  <c r="K19" i="42"/>
  <c r="L19" i="42" s="1"/>
  <c r="M27" i="42"/>
  <c r="K8" i="42"/>
  <c r="L8" i="42" s="1"/>
  <c r="K18" i="42"/>
  <c r="L18" i="42" s="1"/>
  <c r="O22" i="42"/>
  <c r="K24" i="42"/>
  <c r="L24" i="42" s="1"/>
  <c r="K11" i="42"/>
  <c r="Q11" i="42" s="1"/>
  <c r="N5" i="42"/>
  <c r="J26" i="6"/>
  <c r="K26" i="6" s="1"/>
  <c r="N6" i="9"/>
  <c r="P6" i="9" s="1"/>
  <c r="J10" i="6"/>
  <c r="L10" i="6" s="1"/>
  <c r="X7" i="10"/>
  <c r="AA7" i="10" s="1"/>
  <c r="K20" i="42"/>
  <c r="L20" i="42" s="1"/>
  <c r="J16" i="6"/>
  <c r="K16" i="6" s="1"/>
  <c r="AE15" i="10"/>
  <c r="K62" i="18"/>
  <c r="AE10" i="10"/>
  <c r="J18" i="6"/>
  <c r="P18" i="6" s="1"/>
  <c r="M26" i="42"/>
  <c r="N7" i="42"/>
  <c r="N19" i="9"/>
  <c r="R19" i="9" s="1"/>
  <c r="J27" i="6"/>
  <c r="K27" i="6" s="1"/>
  <c r="N20" i="18"/>
  <c r="N12" i="9"/>
  <c r="O12" i="9" s="1"/>
  <c r="N25" i="42"/>
  <c r="O16" i="42"/>
  <c r="K13" i="42"/>
  <c r="L13" i="42" s="1"/>
  <c r="M6" i="42"/>
  <c r="N4" i="9"/>
  <c r="T4" i="9" s="1"/>
  <c r="J13" i="6"/>
  <c r="K13" i="6" s="1"/>
  <c r="K69" i="18"/>
  <c r="N23" i="42"/>
  <c r="J24" i="6"/>
  <c r="L24" i="6" s="1"/>
  <c r="J28" i="6"/>
  <c r="L28" i="6" s="1"/>
  <c r="J4" i="6"/>
  <c r="M4" i="6" s="1"/>
  <c r="O4" i="42"/>
  <c r="J21" i="6"/>
  <c r="L21" i="6" s="1"/>
  <c r="X12" i="10"/>
  <c r="Y12" i="10" s="1"/>
  <c r="J11" i="6"/>
  <c r="P11" i="6" s="1"/>
  <c r="K12" i="42"/>
  <c r="L12" i="42" s="1"/>
  <c r="J23" i="6"/>
  <c r="K23" i="6" s="1"/>
  <c r="J12" i="6"/>
  <c r="K12" i="6" s="1"/>
  <c r="K15" i="42"/>
  <c r="L15" i="42" s="1"/>
  <c r="K10" i="42"/>
  <c r="L10" i="42" s="1"/>
  <c r="J20" i="6"/>
  <c r="K20" i="6" s="1"/>
  <c r="O9" i="42"/>
  <c r="J8" i="6"/>
  <c r="P8" i="6" s="1"/>
  <c r="K17" i="42"/>
  <c r="L17" i="42" s="1"/>
  <c r="N11" i="18"/>
  <c r="J17" i="6"/>
  <c r="M17" i="6" s="1"/>
  <c r="O14" i="42"/>
  <c r="J41" i="42"/>
  <c r="O41" i="42" s="1"/>
  <c r="J36" i="42"/>
  <c r="M36" i="42" s="1"/>
  <c r="J38" i="42"/>
  <c r="O38" i="42" s="1"/>
  <c r="J40" i="42"/>
  <c r="K40" i="42" s="1"/>
  <c r="J39" i="42"/>
  <c r="M39" i="42" s="1"/>
  <c r="J34" i="42"/>
  <c r="O34" i="42" s="1"/>
  <c r="J37" i="42"/>
  <c r="M37" i="42" s="1"/>
  <c r="J33" i="42"/>
  <c r="O33" i="42" s="1"/>
  <c r="J32" i="42"/>
  <c r="N32" i="42" s="1"/>
  <c r="J31" i="42"/>
  <c r="K31" i="42" s="1"/>
  <c r="J30" i="42"/>
  <c r="K30" i="42" s="1"/>
  <c r="J29" i="42"/>
  <c r="O29" i="42" s="1"/>
  <c r="L197" i="36"/>
  <c r="S198" i="41" s="1"/>
  <c r="G26" i="21"/>
  <c r="G3" i="17"/>
  <c r="H3" i="17" s="1"/>
  <c r="K3" i="17" s="1"/>
  <c r="I99" i="32"/>
  <c r="J99" i="32" s="1"/>
  <c r="J134" i="39" s="1"/>
  <c r="K134" i="39" s="1"/>
  <c r="F3" i="17"/>
  <c r="H238" i="36" s="1"/>
  <c r="J238" i="36" s="1"/>
  <c r="D472" i="20"/>
  <c r="B472" i="20" s="1"/>
  <c r="F428" i="36"/>
  <c r="P7" i="9"/>
  <c r="I3" i="17"/>
  <c r="J3" i="17" s="1"/>
  <c r="L3" i="17" s="1"/>
  <c r="I6" i="17"/>
  <c r="J6" i="17" s="1"/>
  <c r="L6" i="17" s="1"/>
  <c r="O7" i="9"/>
  <c r="R7" i="9"/>
  <c r="N16" i="21"/>
  <c r="L16" i="21"/>
  <c r="Q16" i="21"/>
  <c r="M30" i="6"/>
  <c r="Q29" i="21"/>
  <c r="P30" i="6"/>
  <c r="N29" i="21"/>
  <c r="K30" i="6"/>
  <c r="M29" i="21"/>
  <c r="W17" i="10"/>
  <c r="Q7" i="9"/>
  <c r="J27" i="21"/>
  <c r="K265" i="36"/>
  <c r="I453" i="36"/>
  <c r="Z43" i="21"/>
  <c r="C234" i="20"/>
  <c r="P44" i="21"/>
  <c r="R44" i="21" s="1"/>
  <c r="F22" i="37"/>
  <c r="B22" i="20"/>
  <c r="AA26" i="21"/>
  <c r="AE23" i="9"/>
  <c r="AB23" i="9"/>
  <c r="AE25" i="9"/>
  <c r="AB25" i="9"/>
  <c r="AE26" i="9"/>
  <c r="AB26" i="9"/>
  <c r="AB22" i="9"/>
  <c r="AE22" i="9"/>
  <c r="AD28" i="9"/>
  <c r="AC28" i="9"/>
  <c r="AE29" i="9"/>
  <c r="AB29" i="9"/>
  <c r="V13" i="10"/>
  <c r="U13" i="10"/>
  <c r="G49" i="32"/>
  <c r="H49" i="32" s="1"/>
  <c r="G53" i="33"/>
  <c r="H53" i="33" s="1"/>
  <c r="U8" i="10"/>
  <c r="G44" i="32"/>
  <c r="H44" i="32" s="1"/>
  <c r="V8" i="10"/>
  <c r="G48" i="33"/>
  <c r="H48" i="33" s="1"/>
  <c r="H71" i="36"/>
  <c r="J71" i="36" s="1"/>
  <c r="I71" i="36" s="1"/>
  <c r="H266" i="36"/>
  <c r="J266" i="36" s="1"/>
  <c r="K70" i="36"/>
  <c r="G232" i="36"/>
  <c r="G148" i="36"/>
  <c r="G430" i="36"/>
  <c r="G433" i="36"/>
  <c r="G258" i="36"/>
  <c r="E39" i="36"/>
  <c r="G376" i="36"/>
  <c r="G19" i="36"/>
  <c r="G388" i="36"/>
  <c r="G427" i="36"/>
  <c r="E347" i="36"/>
  <c r="G10" i="36"/>
  <c r="G423" i="36"/>
  <c r="G425" i="36"/>
  <c r="G461" i="36"/>
  <c r="G357" i="36"/>
  <c r="G219" i="36"/>
  <c r="G380" i="36"/>
  <c r="K447" i="36"/>
  <c r="K46" i="36"/>
  <c r="G428" i="36"/>
  <c r="G390" i="36"/>
  <c r="F67" i="36"/>
  <c r="G16" i="36"/>
  <c r="G384" i="36"/>
  <c r="G394" i="36"/>
  <c r="G79" i="36"/>
  <c r="F5" i="36"/>
  <c r="G431" i="36"/>
  <c r="G426" i="36"/>
  <c r="G382" i="36"/>
  <c r="G28" i="36"/>
  <c r="G129" i="36"/>
  <c r="G197" i="36"/>
  <c r="G424" i="36"/>
  <c r="G462" i="36"/>
  <c r="G128" i="36"/>
  <c r="G75" i="36"/>
  <c r="G443" i="36"/>
  <c r="G127" i="36"/>
  <c r="G339" i="36"/>
  <c r="G304" i="36"/>
  <c r="G389" i="36"/>
  <c r="G168" i="36"/>
  <c r="F40" i="36"/>
  <c r="G15" i="36"/>
  <c r="G391" i="36"/>
  <c r="G126" i="36"/>
  <c r="G383" i="36"/>
  <c r="D313" i="36"/>
  <c r="G313" i="36" s="1"/>
  <c r="G117" i="36"/>
  <c r="E105" i="36"/>
  <c r="G452" i="36"/>
  <c r="G393" i="36"/>
  <c r="G330" i="36"/>
  <c r="E197" i="36"/>
  <c r="G386" i="36"/>
  <c r="G429" i="36"/>
  <c r="D119" i="37"/>
  <c r="B252" i="37"/>
  <c r="D252" i="37" s="1"/>
  <c r="W32" i="18"/>
  <c r="Z26" i="21"/>
  <c r="C390" i="20"/>
  <c r="Y11" i="6"/>
  <c r="Z11" i="6"/>
  <c r="F227" i="36"/>
  <c r="E227" i="36"/>
  <c r="I91" i="36"/>
  <c r="N13" i="42"/>
  <c r="N24" i="42"/>
  <c r="O24" i="42"/>
  <c r="O19" i="9"/>
  <c r="M5" i="42"/>
  <c r="M24" i="42"/>
  <c r="K16" i="42"/>
  <c r="L16" i="42" s="1"/>
  <c r="N16" i="42"/>
  <c r="M7" i="42"/>
  <c r="K5" i="42"/>
  <c r="L5" i="42" s="1"/>
  <c r="B466" i="20"/>
  <c r="K472" i="36"/>
  <c r="J114" i="39"/>
  <c r="J112" i="39"/>
  <c r="H8" i="19"/>
  <c r="I8" i="19" s="1"/>
  <c r="J8" i="19" s="1"/>
  <c r="G8" i="19"/>
  <c r="H247" i="36" s="1"/>
  <c r="J247" i="36" s="1"/>
  <c r="I247" i="36" s="1"/>
  <c r="Q37" i="19"/>
  <c r="Q65" i="19"/>
  <c r="D470" i="20"/>
  <c r="B470" i="20" s="1"/>
  <c r="G6" i="19"/>
  <c r="H214" i="36" s="1"/>
  <c r="J214" i="36" s="1"/>
  <c r="G7" i="19"/>
  <c r="H211" i="36" s="1"/>
  <c r="J211" i="36" s="1"/>
  <c r="Q53" i="19"/>
  <c r="R51" i="19"/>
  <c r="R54" i="19"/>
  <c r="H5" i="19"/>
  <c r="I5" i="19" s="1"/>
  <c r="K5" i="19" s="1"/>
  <c r="E177" i="32"/>
  <c r="F177" i="32" s="1"/>
  <c r="J161" i="39" s="1"/>
  <c r="K161" i="39" s="1"/>
  <c r="Q70" i="19"/>
  <c r="R70" i="19"/>
  <c r="F425" i="36"/>
  <c r="H6" i="19"/>
  <c r="I6" i="19" s="1"/>
  <c r="J6" i="19" s="1"/>
  <c r="H213" i="36"/>
  <c r="J213" i="36" s="1"/>
  <c r="I213" i="36" s="1"/>
  <c r="K7" i="19"/>
  <c r="I209" i="36"/>
  <c r="D469" i="20"/>
  <c r="C469" i="20" s="1"/>
  <c r="E425" i="36"/>
  <c r="Q46" i="19"/>
  <c r="R46" i="19"/>
  <c r="F429" i="36"/>
  <c r="E424" i="36"/>
  <c r="E429" i="36"/>
  <c r="F424" i="36"/>
  <c r="D473" i="20"/>
  <c r="B473" i="20" s="1"/>
  <c r="Q13" i="19"/>
  <c r="Q44" i="19"/>
  <c r="R44" i="19"/>
  <c r="Q45" i="19"/>
  <c r="E427" i="36"/>
  <c r="E426" i="36"/>
  <c r="D471" i="20"/>
  <c r="C471" i="20" s="1"/>
  <c r="Q56" i="19"/>
  <c r="R56" i="19"/>
  <c r="Q42" i="19"/>
  <c r="R42" i="19"/>
  <c r="R55" i="19"/>
  <c r="Q55" i="19"/>
  <c r="R40" i="19"/>
  <c r="Q40" i="19"/>
  <c r="I4" i="19"/>
  <c r="G4" i="19"/>
  <c r="E176" i="32"/>
  <c r="F176" i="32" s="1"/>
  <c r="J160" i="39" s="1"/>
  <c r="K160" i="39" s="1"/>
  <c r="D467" i="20"/>
  <c r="B467" i="20" s="1"/>
  <c r="E423" i="36"/>
  <c r="F423" i="36"/>
  <c r="R39" i="19"/>
  <c r="R41" i="19"/>
  <c r="Q41" i="19"/>
  <c r="F426" i="36"/>
  <c r="D468" i="20"/>
  <c r="C468" i="20" s="1"/>
  <c r="F427" i="36"/>
  <c r="H215" i="36"/>
  <c r="J215" i="36" s="1"/>
  <c r="H21" i="19"/>
  <c r="G21" i="19"/>
  <c r="H318" i="36" s="1"/>
  <c r="J318" i="36" s="1"/>
  <c r="R64" i="19"/>
  <c r="Q64" i="19"/>
  <c r="G27" i="19"/>
  <c r="H471" i="36" s="1"/>
  <c r="J471" i="36" s="1"/>
  <c r="H27" i="19"/>
  <c r="I27" i="19" s="1"/>
  <c r="K27" i="19" s="1"/>
  <c r="Q32" i="19"/>
  <c r="Q50" i="19"/>
  <c r="R50" i="19"/>
  <c r="L318" i="36"/>
  <c r="S319" i="41" s="1"/>
  <c r="H24" i="19"/>
  <c r="G24" i="19"/>
  <c r="H321" i="36" s="1"/>
  <c r="J321" i="36" s="1"/>
  <c r="G29" i="19"/>
  <c r="H366" i="36" s="1"/>
  <c r="J366" i="36" s="1"/>
  <c r="H29" i="19"/>
  <c r="Q57" i="19"/>
  <c r="R57" i="19"/>
  <c r="H22" i="19"/>
  <c r="G22" i="19"/>
  <c r="H320" i="36" s="1"/>
  <c r="J320" i="36" s="1"/>
  <c r="G30" i="19"/>
  <c r="H367" i="36" s="1"/>
  <c r="J367" i="36" s="1"/>
  <c r="H30" i="19"/>
  <c r="R71" i="19"/>
  <c r="Q71" i="19"/>
  <c r="Q43" i="19"/>
  <c r="R43" i="19"/>
  <c r="H28" i="19"/>
  <c r="G28" i="19"/>
  <c r="H347" i="36" s="1"/>
  <c r="J347" i="36" s="1"/>
  <c r="G31" i="19"/>
  <c r="H368" i="36" s="1"/>
  <c r="J368" i="36" s="1"/>
  <c r="H31" i="19"/>
  <c r="R49" i="19"/>
  <c r="Q49" i="19"/>
  <c r="Q67" i="19"/>
  <c r="R67" i="19"/>
  <c r="Q48" i="19"/>
  <c r="R48" i="19"/>
  <c r="H23" i="19"/>
  <c r="G23" i="19"/>
  <c r="H319" i="36" s="1"/>
  <c r="J319" i="36" s="1"/>
  <c r="H9" i="19"/>
  <c r="I9" i="19" s="1"/>
  <c r="E181" i="32"/>
  <c r="F181" i="32" s="1"/>
  <c r="J165" i="39" s="1"/>
  <c r="K165" i="39" s="1"/>
  <c r="G9" i="19"/>
  <c r="H248" i="36" s="1"/>
  <c r="J248" i="36" s="1"/>
  <c r="R58" i="19"/>
  <c r="Q58" i="19"/>
  <c r="H25" i="19"/>
  <c r="G25" i="19"/>
  <c r="H322" i="36" s="1"/>
  <c r="J322" i="36" s="1"/>
  <c r="R52" i="19"/>
  <c r="Q52" i="19"/>
  <c r="R38" i="19"/>
  <c r="Q38" i="19"/>
  <c r="R63" i="19"/>
  <c r="Q63" i="19"/>
  <c r="R66" i="19"/>
  <c r="Q66" i="19"/>
  <c r="H26" i="19"/>
  <c r="G26" i="19"/>
  <c r="H323" i="36" s="1"/>
  <c r="J323" i="36" s="1"/>
  <c r="R62" i="19"/>
  <c r="Q62" i="19"/>
  <c r="Q47" i="19"/>
  <c r="R47" i="19"/>
  <c r="Q8" i="19"/>
  <c r="H109" i="39"/>
  <c r="K109" i="39" s="1"/>
  <c r="AC12" i="9"/>
  <c r="B250" i="20"/>
  <c r="H87" i="36"/>
  <c r="J87" i="36" s="1"/>
  <c r="K87" i="36" s="1"/>
  <c r="H83" i="36"/>
  <c r="J83" i="36" s="1"/>
  <c r="H38" i="36"/>
  <c r="J38" i="36" s="1"/>
  <c r="K87" i="41"/>
  <c r="H104" i="39"/>
  <c r="K104" i="39" s="1"/>
  <c r="O7" i="42"/>
  <c r="M16" i="42"/>
  <c r="L11" i="18"/>
  <c r="M13" i="42"/>
  <c r="K11" i="18"/>
  <c r="M11" i="18"/>
  <c r="O5" i="42"/>
  <c r="AE7" i="10"/>
  <c r="K14" i="42"/>
  <c r="Q14" i="42" s="1"/>
  <c r="M12" i="42"/>
  <c r="P4" i="6"/>
  <c r="M23" i="42"/>
  <c r="L11" i="6"/>
  <c r="N12" i="42"/>
  <c r="O23" i="42"/>
  <c r="K6" i="42"/>
  <c r="L6" i="42" s="1"/>
  <c r="K23" i="42"/>
  <c r="L23" i="42" s="1"/>
  <c r="K4" i="42"/>
  <c r="L4" i="42" s="1"/>
  <c r="K26" i="42"/>
  <c r="L26" i="42" s="1"/>
  <c r="O6" i="9"/>
  <c r="M9" i="42"/>
  <c r="M4" i="42"/>
  <c r="O26" i="42"/>
  <c r="Q12" i="42"/>
  <c r="N4" i="42"/>
  <c r="N26" i="42"/>
  <c r="M14" i="42"/>
  <c r="L69" i="18"/>
  <c r="N14" i="42"/>
  <c r="N18" i="42"/>
  <c r="P15" i="6"/>
  <c r="X15" i="10"/>
  <c r="Y15" i="10" s="1"/>
  <c r="R6" i="9"/>
  <c r="P28" i="6"/>
  <c r="T6" i="9"/>
  <c r="O13" i="42"/>
  <c r="K25" i="42"/>
  <c r="L25" i="42" s="1"/>
  <c r="O25" i="42"/>
  <c r="O17" i="42"/>
  <c r="M25" i="42"/>
  <c r="K9" i="42"/>
  <c r="L9" i="42" s="1"/>
  <c r="M18" i="42"/>
  <c r="K7" i="42"/>
  <c r="L7" i="42" s="1"/>
  <c r="P12" i="9"/>
  <c r="N11" i="42"/>
  <c r="K22" i="42"/>
  <c r="L22" i="42" s="1"/>
  <c r="N17" i="42"/>
  <c r="O11" i="42"/>
  <c r="O12" i="42"/>
  <c r="M11" i="42"/>
  <c r="M17" i="42"/>
  <c r="L15" i="6"/>
  <c r="O18" i="42"/>
  <c r="P26" i="6"/>
  <c r="N9" i="42"/>
  <c r="N22" i="42"/>
  <c r="N8" i="42"/>
  <c r="M22" i="42"/>
  <c r="AE12" i="10"/>
  <c r="N62" i="18"/>
  <c r="M62" i="18"/>
  <c r="M26" i="6"/>
  <c r="P24" i="6"/>
  <c r="P20" i="6"/>
  <c r="K27" i="42"/>
  <c r="Q27" i="42" s="1"/>
  <c r="L7" i="6"/>
  <c r="M33" i="18"/>
  <c r="N33" i="18"/>
  <c r="M69" i="18"/>
  <c r="O6" i="42"/>
  <c r="M24" i="6"/>
  <c r="K9" i="6"/>
  <c r="L20" i="18"/>
  <c r="N69" i="18"/>
  <c r="R13" i="9"/>
  <c r="L33" i="18"/>
  <c r="M20" i="18"/>
  <c r="M16" i="6"/>
  <c r="N6" i="42"/>
  <c r="O8" i="42"/>
  <c r="P13" i="9"/>
  <c r="Q13" i="9"/>
  <c r="J59" i="18"/>
  <c r="J49" i="18"/>
  <c r="J15" i="18"/>
  <c r="M9" i="9"/>
  <c r="Q14" i="9"/>
  <c r="M10" i="9"/>
  <c r="X10" i="10"/>
  <c r="Z10" i="10" s="1"/>
  <c r="L23" i="6"/>
  <c r="J24" i="21"/>
  <c r="J71" i="18"/>
  <c r="L31" i="6"/>
  <c r="O14" i="9"/>
  <c r="O27" i="42"/>
  <c r="M19" i="42"/>
  <c r="K24" i="6"/>
  <c r="M31" i="6"/>
  <c r="P27" i="6"/>
  <c r="J63" i="18"/>
  <c r="J54" i="18"/>
  <c r="J36" i="18"/>
  <c r="K31" i="6"/>
  <c r="N27" i="42"/>
  <c r="O19" i="42"/>
  <c r="J34" i="21"/>
  <c r="P9" i="6"/>
  <c r="M20" i="42"/>
  <c r="M20" i="6"/>
  <c r="L27" i="6"/>
  <c r="N19" i="42"/>
  <c r="J19" i="21"/>
  <c r="K19" i="21" s="1"/>
  <c r="M19" i="21" s="1"/>
  <c r="M18" i="9"/>
  <c r="T14" i="9"/>
  <c r="M15" i="42"/>
  <c r="J73" i="18"/>
  <c r="O15" i="42"/>
  <c r="O20" i="42"/>
  <c r="J31" i="18"/>
  <c r="L62" i="18"/>
  <c r="J64" i="18"/>
  <c r="J41" i="18"/>
  <c r="N20" i="42"/>
  <c r="M27" i="6"/>
  <c r="J7" i="21"/>
  <c r="M16" i="9"/>
  <c r="J53" i="18"/>
  <c r="M5" i="9"/>
  <c r="J19" i="18"/>
  <c r="R14" i="9"/>
  <c r="N10" i="42"/>
  <c r="K20" i="18"/>
  <c r="J32" i="18"/>
  <c r="N15" i="42"/>
  <c r="J18" i="21"/>
  <c r="J12" i="18"/>
  <c r="O10" i="42"/>
  <c r="J65" i="18"/>
  <c r="J46" i="18"/>
  <c r="K46" i="18" s="1"/>
  <c r="J17" i="18"/>
  <c r="J58" i="18"/>
  <c r="J22" i="18"/>
  <c r="M8" i="42"/>
  <c r="M10" i="42"/>
  <c r="M11" i="9"/>
  <c r="N29" i="42"/>
  <c r="I454" i="36"/>
  <c r="I451" i="36"/>
  <c r="C449" i="20"/>
  <c r="K76" i="36"/>
  <c r="I88" i="36"/>
  <c r="K74" i="36"/>
  <c r="K436" i="36"/>
  <c r="C460" i="20"/>
  <c r="I440" i="36"/>
  <c r="I448" i="36"/>
  <c r="I75" i="36"/>
  <c r="I42" i="36"/>
  <c r="H43" i="36"/>
  <c r="J43" i="36" s="1"/>
  <c r="K43" i="36" s="1"/>
  <c r="G56" i="33"/>
  <c r="H56" i="33" s="1"/>
  <c r="U16" i="10"/>
  <c r="G52" i="32"/>
  <c r="H52" i="32" s="1"/>
  <c r="V16" i="10"/>
  <c r="G54" i="33"/>
  <c r="H54" i="33" s="1"/>
  <c r="U14" i="10"/>
  <c r="V14" i="10"/>
  <c r="G50" i="32"/>
  <c r="H50" i="32" s="1"/>
  <c r="G47" i="32"/>
  <c r="H47" i="32" s="1"/>
  <c r="G51" i="33"/>
  <c r="H51" i="33" s="1"/>
  <c r="V11" i="10"/>
  <c r="U11" i="10"/>
  <c r="I77" i="36"/>
  <c r="M8" i="9"/>
  <c r="I67" i="36"/>
  <c r="Q51" i="21"/>
  <c r="N51" i="21"/>
  <c r="L51" i="21"/>
  <c r="M51" i="21"/>
  <c r="M50" i="21"/>
  <c r="Q50" i="21"/>
  <c r="N50" i="21"/>
  <c r="L50" i="21"/>
  <c r="M52" i="21"/>
  <c r="L52" i="21"/>
  <c r="Q52" i="21"/>
  <c r="N52" i="21"/>
  <c r="P47" i="21"/>
  <c r="R47" i="21" s="1"/>
  <c r="I325" i="36"/>
  <c r="I79" i="36"/>
  <c r="U22" i="17"/>
  <c r="T22" i="17"/>
  <c r="U21" i="17"/>
  <c r="T21" i="17"/>
  <c r="P49" i="21"/>
  <c r="R49" i="21" s="1"/>
  <c r="P48" i="21"/>
  <c r="R48" i="21" s="1"/>
  <c r="I442" i="36"/>
  <c r="K445" i="36"/>
  <c r="K437" i="36"/>
  <c r="K439" i="36"/>
  <c r="I449" i="36"/>
  <c r="I285" i="36"/>
  <c r="K431" i="36"/>
  <c r="I450" i="36"/>
  <c r="AD14" i="9"/>
  <c r="B251" i="20"/>
  <c r="C251" i="20"/>
  <c r="D266" i="36"/>
  <c r="W6" i="42"/>
  <c r="F330" i="36"/>
  <c r="B366" i="20"/>
  <c r="E10" i="36"/>
  <c r="E7" i="20"/>
  <c r="E113" i="20" s="1"/>
  <c r="E330" i="36"/>
  <c r="Z31" i="6"/>
  <c r="C239" i="20"/>
  <c r="E475" i="36"/>
  <c r="T48" i="15"/>
  <c r="G475" i="36"/>
  <c r="AT9" i="14"/>
  <c r="S78" i="15"/>
  <c r="T78" i="15"/>
  <c r="T53" i="15"/>
  <c r="S53" i="15"/>
  <c r="S47" i="15"/>
  <c r="T47" i="15"/>
  <c r="T81" i="15"/>
  <c r="S81" i="15"/>
  <c r="S96" i="15"/>
  <c r="T96" i="15"/>
  <c r="T101" i="15"/>
  <c r="S101" i="15"/>
  <c r="T92" i="15"/>
  <c r="S92" i="15"/>
  <c r="T104" i="15"/>
  <c r="S104" i="15"/>
  <c r="T55" i="15"/>
  <c r="S55" i="15"/>
  <c r="T91" i="15"/>
  <c r="S91" i="15"/>
  <c r="T86" i="15"/>
  <c r="S86" i="15"/>
  <c r="S46" i="15"/>
  <c r="T46" i="15"/>
  <c r="T75" i="15"/>
  <c r="S75" i="15"/>
  <c r="T69" i="15"/>
  <c r="S69" i="15"/>
  <c r="T85" i="15"/>
  <c r="S85" i="15"/>
  <c r="S49" i="15"/>
  <c r="T49" i="15"/>
  <c r="S97" i="15"/>
  <c r="T97" i="15"/>
  <c r="S95" i="15"/>
  <c r="T95" i="15"/>
  <c r="S58" i="15"/>
  <c r="T58" i="15"/>
  <c r="S70" i="15"/>
  <c r="T70" i="15"/>
  <c r="S71" i="15"/>
  <c r="T71" i="15"/>
  <c r="T64" i="15"/>
  <c r="S64" i="15"/>
  <c r="S82" i="15"/>
  <c r="T82" i="15"/>
  <c r="T100" i="15"/>
  <c r="S100" i="15"/>
  <c r="T44" i="15"/>
  <c r="S44" i="15"/>
  <c r="T103" i="15"/>
  <c r="S103" i="15"/>
  <c r="S59" i="15"/>
  <c r="T59" i="15"/>
  <c r="T57" i="15"/>
  <c r="S57" i="15"/>
  <c r="S94" i="15"/>
  <c r="T94" i="15"/>
  <c r="T56" i="15"/>
  <c r="S56" i="15"/>
  <c r="S83" i="15"/>
  <c r="T83" i="15"/>
  <c r="T98" i="15"/>
  <c r="S98" i="15"/>
  <c r="S65" i="15"/>
  <c r="T65" i="15"/>
  <c r="T105" i="15"/>
  <c r="S105" i="15"/>
  <c r="T87" i="15"/>
  <c r="S87" i="15"/>
  <c r="S60" i="15"/>
  <c r="T60" i="15"/>
  <c r="T62" i="15"/>
  <c r="S62" i="15"/>
  <c r="T88" i="15"/>
  <c r="S88" i="15"/>
  <c r="T45" i="15"/>
  <c r="S45" i="15"/>
  <c r="T52" i="15"/>
  <c r="S52" i="15"/>
  <c r="T93" i="15"/>
  <c r="S93" i="15"/>
  <c r="T99" i="15"/>
  <c r="S99" i="15"/>
  <c r="T76" i="15"/>
  <c r="S76" i="15"/>
  <c r="S61" i="15"/>
  <c r="T61" i="15"/>
  <c r="T66" i="15"/>
  <c r="S66" i="15"/>
  <c r="T77" i="15"/>
  <c r="S77" i="15"/>
  <c r="T90" i="15"/>
  <c r="S90" i="15"/>
  <c r="T63" i="15"/>
  <c r="S63" i="15"/>
  <c r="T68" i="15"/>
  <c r="S68" i="15"/>
  <c r="T79" i="15"/>
  <c r="S79" i="15"/>
  <c r="T51" i="15"/>
  <c r="S51" i="15"/>
  <c r="T42" i="15"/>
  <c r="S42" i="15"/>
  <c r="B239" i="20"/>
  <c r="E296" i="36"/>
  <c r="I446" i="36"/>
  <c r="K455" i="36"/>
  <c r="C462" i="20"/>
  <c r="K92" i="41"/>
  <c r="S92" i="41"/>
  <c r="K90" i="41"/>
  <c r="S90" i="41"/>
  <c r="K89" i="41"/>
  <c r="S89" i="41"/>
  <c r="S84" i="41"/>
  <c r="K84" i="41"/>
  <c r="X17" i="42"/>
  <c r="T9" i="15"/>
  <c r="T6" i="15"/>
  <c r="T8" i="15"/>
  <c r="AT15" i="14"/>
  <c r="AS15" i="14"/>
  <c r="T21" i="15"/>
  <c r="S21" i="15"/>
  <c r="AT5" i="14"/>
  <c r="AS5" i="14"/>
  <c r="T10" i="15"/>
  <c r="S10" i="15"/>
  <c r="S18" i="15"/>
  <c r="T18" i="15"/>
  <c r="T20" i="15"/>
  <c r="S20" i="15"/>
  <c r="T11" i="15"/>
  <c r="S11" i="15"/>
  <c r="T5" i="15"/>
  <c r="S5" i="15"/>
  <c r="L470" i="36"/>
  <c r="S470" i="41" s="1"/>
  <c r="E14" i="20"/>
  <c r="E120" i="20" s="1"/>
  <c r="C236" i="20"/>
  <c r="B14" i="20"/>
  <c r="C14" i="20" s="1"/>
  <c r="F10" i="36"/>
  <c r="W24" i="42"/>
  <c r="B364" i="20"/>
  <c r="I164" i="39"/>
  <c r="F26" i="37"/>
  <c r="B26" i="20"/>
  <c r="C26" i="20" s="1"/>
  <c r="AC4" i="9"/>
  <c r="W4" i="42"/>
  <c r="D240" i="36"/>
  <c r="D153" i="36"/>
  <c r="D252" i="36"/>
  <c r="E130" i="20"/>
  <c r="B24" i="20"/>
  <c r="C24" i="20" s="1"/>
  <c r="F24" i="37"/>
  <c r="D70" i="36"/>
  <c r="AD7" i="9"/>
  <c r="X10" i="42"/>
  <c r="C363" i="20"/>
  <c r="I165" i="39"/>
  <c r="Q9" i="19"/>
  <c r="I432" i="36"/>
  <c r="K432" i="36"/>
  <c r="K79" i="18"/>
  <c r="O79" i="18" s="1"/>
  <c r="I77" i="18"/>
  <c r="J77" i="18" s="1"/>
  <c r="H77" i="18"/>
  <c r="H473" i="36" s="1"/>
  <c r="J473" i="36" s="1"/>
  <c r="I78" i="18"/>
  <c r="J78" i="18" s="1"/>
  <c r="H78" i="18"/>
  <c r="H474" i="36" s="1"/>
  <c r="J474" i="36" s="1"/>
  <c r="I76" i="18"/>
  <c r="J76" i="18" s="1"/>
  <c r="H76" i="18"/>
  <c r="O75" i="18"/>
  <c r="K108" i="36"/>
  <c r="I108" i="36"/>
  <c r="J109" i="36"/>
  <c r="H111" i="36"/>
  <c r="J111" i="36" s="1"/>
  <c r="H110" i="36"/>
  <c r="J110" i="36" s="1"/>
  <c r="K112" i="36"/>
  <c r="I112" i="36"/>
  <c r="K113" i="36"/>
  <c r="I113" i="36"/>
  <c r="K123" i="36"/>
  <c r="I123" i="36"/>
  <c r="K132" i="36"/>
  <c r="I132" i="36"/>
  <c r="K122" i="36"/>
  <c r="I122" i="36"/>
  <c r="K120" i="36"/>
  <c r="I120" i="36"/>
  <c r="K119" i="36"/>
  <c r="I119" i="36"/>
  <c r="K128" i="36"/>
  <c r="I128" i="36"/>
  <c r="K127" i="36"/>
  <c r="I127" i="36"/>
  <c r="K131" i="36"/>
  <c r="I131" i="36"/>
  <c r="K125" i="36"/>
  <c r="I125" i="36"/>
  <c r="K124" i="36"/>
  <c r="I124" i="36"/>
  <c r="K116" i="36"/>
  <c r="I116" i="36"/>
  <c r="E161" i="20"/>
  <c r="E55" i="37"/>
  <c r="E196" i="37" s="1"/>
  <c r="E108" i="37"/>
  <c r="E241" i="37" s="1"/>
  <c r="F108" i="37"/>
  <c r="K61" i="36"/>
  <c r="C459" i="20"/>
  <c r="K53" i="36"/>
  <c r="K268" i="36"/>
  <c r="I399" i="36"/>
  <c r="I5" i="36"/>
  <c r="B456" i="20"/>
  <c r="C446" i="20"/>
  <c r="C464" i="20"/>
  <c r="C452" i="20"/>
  <c r="B448" i="20"/>
  <c r="K342" i="36"/>
  <c r="K5" i="36"/>
  <c r="K363" i="36"/>
  <c r="I243" i="36"/>
  <c r="K63" i="36"/>
  <c r="K85" i="36"/>
  <c r="B450" i="20"/>
  <c r="B458" i="20"/>
  <c r="B455" i="20"/>
  <c r="C454" i="20"/>
  <c r="B465" i="20"/>
  <c r="B447" i="20"/>
  <c r="C444" i="20"/>
  <c r="B457" i="20"/>
  <c r="B445" i="20"/>
  <c r="B453" i="20"/>
  <c r="C451" i="20"/>
  <c r="B461" i="20"/>
  <c r="B463" i="20"/>
  <c r="I85" i="36"/>
  <c r="D171" i="37"/>
  <c r="C171" i="37"/>
  <c r="C136" i="20"/>
  <c r="D136" i="20"/>
  <c r="C122" i="20"/>
  <c r="D122" i="20"/>
  <c r="D16" i="37"/>
  <c r="B157" i="37"/>
  <c r="C16" i="37"/>
  <c r="F347" i="36"/>
  <c r="G71" i="36"/>
  <c r="G238" i="36"/>
  <c r="G73" i="36"/>
  <c r="G44" i="36"/>
  <c r="G289" i="36"/>
  <c r="G124" i="36"/>
  <c r="G436" i="36"/>
  <c r="G353" i="36"/>
  <c r="G35" i="36"/>
  <c r="G287" i="36"/>
  <c r="G360" i="36"/>
  <c r="G256" i="36"/>
  <c r="G154" i="36"/>
  <c r="G116" i="36"/>
  <c r="G225" i="36"/>
  <c r="G112" i="36"/>
  <c r="G368" i="36"/>
  <c r="G215" i="36"/>
  <c r="G31" i="36"/>
  <c r="G442" i="36"/>
  <c r="G254" i="36"/>
  <c r="G290" i="36"/>
  <c r="G331" i="36"/>
  <c r="G68" i="36"/>
  <c r="G12" i="36"/>
  <c r="G30" i="36"/>
  <c r="G441" i="36"/>
  <c r="G454" i="36"/>
  <c r="G318" i="36"/>
  <c r="G23" i="36"/>
  <c r="G348" i="36"/>
  <c r="G332" i="36"/>
  <c r="G457" i="36"/>
  <c r="G325" i="36"/>
  <c r="G80" i="36"/>
  <c r="G209" i="36"/>
  <c r="G132" i="36"/>
  <c r="G25" i="36"/>
  <c r="G9" i="36"/>
  <c r="G455" i="36"/>
  <c r="E68" i="36"/>
  <c r="G111" i="36"/>
  <c r="G449" i="36"/>
  <c r="G110" i="36"/>
  <c r="T3" i="17"/>
  <c r="C254" i="20"/>
  <c r="AS18" i="14"/>
  <c r="G33" i="36"/>
  <c r="G34" i="36"/>
  <c r="G283" i="36"/>
  <c r="G118" i="36"/>
  <c r="G276" i="36"/>
  <c r="G338" i="36"/>
  <c r="G284" i="36"/>
  <c r="G109" i="36"/>
  <c r="D151" i="36"/>
  <c r="X25" i="42"/>
  <c r="AN9" i="10"/>
  <c r="B224" i="20"/>
  <c r="AO11" i="10"/>
  <c r="AN11" i="10"/>
  <c r="G320" i="36"/>
  <c r="G5" i="36"/>
  <c r="G343" i="36"/>
  <c r="G448" i="36"/>
  <c r="G453" i="36"/>
  <c r="G265" i="36"/>
  <c r="G347" i="36"/>
  <c r="B34" i="20"/>
  <c r="F34" i="37"/>
  <c r="E34" i="20"/>
  <c r="G334" i="36"/>
  <c r="U6" i="34"/>
  <c r="G224" i="36"/>
  <c r="G356" i="36"/>
  <c r="G351" i="36"/>
  <c r="G316" i="36"/>
  <c r="G210" i="36"/>
  <c r="G114" i="36"/>
  <c r="G345" i="36"/>
  <c r="G446" i="36"/>
  <c r="G122" i="36"/>
  <c r="G125" i="36"/>
  <c r="G108" i="36"/>
  <c r="G105" i="36"/>
  <c r="G451" i="36"/>
  <c r="F105" i="36"/>
  <c r="G29" i="36"/>
  <c r="G337" i="36"/>
  <c r="G139" i="36"/>
  <c r="G438" i="36"/>
  <c r="G447" i="36"/>
  <c r="G352" i="36"/>
  <c r="G69" i="36"/>
  <c r="G359" i="36"/>
  <c r="G113" i="36"/>
  <c r="G444" i="36"/>
  <c r="G121" i="36"/>
  <c r="G355" i="36"/>
  <c r="G291" i="36"/>
  <c r="G115" i="36"/>
  <c r="G335" i="36"/>
  <c r="D74" i="36"/>
  <c r="G91" i="36"/>
  <c r="G226" i="36"/>
  <c r="G322" i="36"/>
  <c r="G43" i="36"/>
  <c r="G319" i="36"/>
  <c r="G288" i="36"/>
  <c r="G119" i="36"/>
  <c r="G450" i="36"/>
  <c r="G282" i="36"/>
  <c r="G32" i="36"/>
  <c r="G40" i="36"/>
  <c r="G150" i="36"/>
  <c r="G346" i="36"/>
  <c r="D308" i="20"/>
  <c r="B308" i="20" s="1"/>
  <c r="G445" i="36"/>
  <c r="G259" i="36"/>
  <c r="G120" i="36"/>
  <c r="G131" i="36"/>
  <c r="G367" i="36"/>
  <c r="G361" i="36"/>
  <c r="G260" i="36"/>
  <c r="G437" i="36"/>
  <c r="G41" i="36"/>
  <c r="G333" i="36"/>
  <c r="G205" i="36"/>
  <c r="G123" i="36"/>
  <c r="G207" i="36"/>
  <c r="G354" i="36"/>
  <c r="G212" i="36"/>
  <c r="G366" i="36"/>
  <c r="G321" i="36"/>
  <c r="G208" i="36"/>
  <c r="F226" i="36"/>
  <c r="G440" i="36"/>
  <c r="G358" i="36"/>
  <c r="G336" i="36"/>
  <c r="G277" i="36"/>
  <c r="G130" i="36"/>
  <c r="G456" i="36"/>
  <c r="G439" i="36"/>
  <c r="G39" i="36"/>
  <c r="G67" i="36"/>
  <c r="G314" i="36"/>
  <c r="G83" i="36"/>
  <c r="J30" i="14"/>
  <c r="P28" i="19"/>
  <c r="I342" i="36"/>
  <c r="O19" i="6"/>
  <c r="Q19" i="6" s="1"/>
  <c r="Q24" i="42"/>
  <c r="W5" i="18"/>
  <c r="X43" i="18"/>
  <c r="F135" i="36"/>
  <c r="G135" i="36"/>
  <c r="E213" i="36"/>
  <c r="G213" i="36"/>
  <c r="E253" i="36"/>
  <c r="G253" i="36"/>
  <c r="AC17" i="9"/>
  <c r="L77" i="36"/>
  <c r="S78" i="41" s="1"/>
  <c r="F32" i="36"/>
  <c r="D86" i="36"/>
  <c r="D315" i="36"/>
  <c r="F39" i="36"/>
  <c r="E207" i="36"/>
  <c r="E67" i="36"/>
  <c r="AC13" i="9"/>
  <c r="E79" i="36"/>
  <c r="L325" i="36"/>
  <c r="S326" i="41" s="1"/>
  <c r="AD13" i="9"/>
  <c r="T13" i="9"/>
  <c r="AC19" i="9"/>
  <c r="Y18" i="6"/>
  <c r="T15" i="9"/>
  <c r="AC19" i="10"/>
  <c r="L73" i="36"/>
  <c r="S74" i="41" s="1"/>
  <c r="T8" i="34"/>
  <c r="U8" i="34"/>
  <c r="F68" i="36"/>
  <c r="W22" i="42"/>
  <c r="W19" i="42"/>
  <c r="C55" i="20"/>
  <c r="B55" i="37"/>
  <c r="D55" i="20"/>
  <c r="B161" i="20"/>
  <c r="AS19" i="14"/>
  <c r="AT19" i="14"/>
  <c r="F325" i="36"/>
  <c r="D46" i="36"/>
  <c r="E325" i="36"/>
  <c r="AC5" i="9"/>
  <c r="Z19" i="6"/>
  <c r="Y19" i="6"/>
  <c r="B271" i="20"/>
  <c r="C271" i="20"/>
  <c r="T4" i="34"/>
  <c r="AO17" i="10"/>
  <c r="AN17" i="10"/>
  <c r="AT10" i="14"/>
  <c r="AS10" i="14"/>
  <c r="D239" i="36"/>
  <c r="X5" i="42"/>
  <c r="AD17" i="9"/>
  <c r="AN18" i="10"/>
  <c r="AO18" i="10"/>
  <c r="E346" i="36"/>
  <c r="B84" i="20"/>
  <c r="F105" i="37"/>
  <c r="U9" i="34"/>
  <c r="T9" i="34"/>
  <c r="D147" i="36"/>
  <c r="AO7" i="10"/>
  <c r="AN7" i="10"/>
  <c r="B247" i="20"/>
  <c r="C247" i="20"/>
  <c r="B225" i="20"/>
  <c r="C225" i="20"/>
  <c r="I63" i="36"/>
  <c r="L56" i="36"/>
  <c r="S57" i="41" s="1"/>
  <c r="L65" i="36"/>
  <c r="S66" i="41" s="1"/>
  <c r="H18" i="21"/>
  <c r="H50" i="36" s="1"/>
  <c r="J50" i="36" s="1"/>
  <c r="I60" i="32"/>
  <c r="J60" i="32" s="1"/>
  <c r="J50" i="39" s="1"/>
  <c r="K50" i="39" s="1"/>
  <c r="L64" i="36"/>
  <c r="S65" i="41" s="1"/>
  <c r="I61" i="36"/>
  <c r="L66" i="36"/>
  <c r="S67" i="41" s="1"/>
  <c r="H14" i="21"/>
  <c r="H372" i="36" s="1"/>
  <c r="J372" i="36" s="1"/>
  <c r="I14" i="21"/>
  <c r="J14" i="21" s="1"/>
  <c r="K14" i="21" s="1"/>
  <c r="H69" i="39"/>
  <c r="H32" i="21"/>
  <c r="H60" i="36" s="1"/>
  <c r="J60" i="36" s="1"/>
  <c r="J75" i="33"/>
  <c r="K75" i="33" s="1"/>
  <c r="I72" i="32"/>
  <c r="J72" i="32" s="1"/>
  <c r="J62" i="39" s="1"/>
  <c r="K62" i="39" s="1"/>
  <c r="I32" i="21"/>
  <c r="H30" i="21"/>
  <c r="I30" i="21"/>
  <c r="J30" i="21" s="1"/>
  <c r="K30" i="21" s="1"/>
  <c r="L62" i="36"/>
  <c r="S63" i="41" s="1"/>
  <c r="J59" i="36"/>
  <c r="I26" i="21"/>
  <c r="J26" i="21" s="1"/>
  <c r="K26" i="21" s="1"/>
  <c r="I79" i="32"/>
  <c r="J79" i="32" s="1"/>
  <c r="J69" i="39" s="1"/>
  <c r="K69" i="39" s="1"/>
  <c r="H26" i="21"/>
  <c r="H197" i="36" s="1"/>
  <c r="J197" i="36" s="1"/>
  <c r="J80" i="33"/>
  <c r="K80" i="33" s="1"/>
  <c r="I6" i="21"/>
  <c r="H49" i="39"/>
  <c r="I62" i="32"/>
  <c r="J62" i="32" s="1"/>
  <c r="J52" i="39" s="1"/>
  <c r="K52" i="39" s="1"/>
  <c r="H6" i="21"/>
  <c r="H52" i="36" s="1"/>
  <c r="J52" i="36" s="1"/>
  <c r="J66" i="33"/>
  <c r="K66" i="33" s="1"/>
  <c r="I28" i="21"/>
  <c r="J28" i="21" s="1"/>
  <c r="K28" i="21" s="1"/>
  <c r="J81" i="33"/>
  <c r="K81" i="33" s="1"/>
  <c r="I80" i="32"/>
  <c r="J80" i="32" s="1"/>
  <c r="J70" i="39" s="1"/>
  <c r="K70" i="39" s="1"/>
  <c r="H28" i="21"/>
  <c r="H202" i="36" s="1"/>
  <c r="J202" i="36" s="1"/>
  <c r="L281" i="36"/>
  <c r="S282" i="41" s="1"/>
  <c r="L11" i="21"/>
  <c r="L57" i="36"/>
  <c r="S58" i="41" s="1"/>
  <c r="M11" i="21"/>
  <c r="I35" i="21"/>
  <c r="I81" i="32"/>
  <c r="J81" i="32" s="1"/>
  <c r="J71" i="39" s="1"/>
  <c r="K71" i="39" s="1"/>
  <c r="H35" i="21"/>
  <c r="H137" i="36" s="1"/>
  <c r="J137" i="36" s="1"/>
  <c r="J82" i="33"/>
  <c r="K82" i="33" s="1"/>
  <c r="I33" i="21"/>
  <c r="I71" i="32"/>
  <c r="J71" i="32" s="1"/>
  <c r="J61" i="39" s="1"/>
  <c r="K61" i="39" s="1"/>
  <c r="H33" i="21"/>
  <c r="H258" i="36" s="1"/>
  <c r="J258" i="36" s="1"/>
  <c r="J74" i="33"/>
  <c r="K74" i="33" s="1"/>
  <c r="H5" i="21"/>
  <c r="H51" i="36" s="1"/>
  <c r="J51" i="36" s="1"/>
  <c r="I61" i="32"/>
  <c r="J61" i="32" s="1"/>
  <c r="J51" i="39" s="1"/>
  <c r="K51" i="39" s="1"/>
  <c r="J65" i="33"/>
  <c r="K65" i="33" s="1"/>
  <c r="L54" i="36"/>
  <c r="S55" i="41" s="1"/>
  <c r="I21" i="21"/>
  <c r="I70" i="32"/>
  <c r="J70" i="32" s="1"/>
  <c r="J60" i="39" s="1"/>
  <c r="K60" i="39" s="1"/>
  <c r="H21" i="21"/>
  <c r="H58" i="36" s="1"/>
  <c r="J58" i="36" s="1"/>
  <c r="J73" i="33"/>
  <c r="K73" i="33" s="1"/>
  <c r="I17" i="21"/>
  <c r="H71" i="39"/>
  <c r="I59" i="32"/>
  <c r="J59" i="32" s="1"/>
  <c r="J49" i="39" s="1"/>
  <c r="K49" i="39" s="1"/>
  <c r="H17" i="21"/>
  <c r="H49" i="36" s="1"/>
  <c r="J49" i="36" s="1"/>
  <c r="J63" i="33"/>
  <c r="K63" i="33" s="1"/>
  <c r="I13" i="21"/>
  <c r="I68" i="32"/>
  <c r="J68" i="32" s="1"/>
  <c r="J58" i="39" s="1"/>
  <c r="K58" i="39" s="1"/>
  <c r="H13" i="21"/>
  <c r="H271" i="36" s="1"/>
  <c r="J271" i="36" s="1"/>
  <c r="J71" i="33"/>
  <c r="K71" i="33" s="1"/>
  <c r="H65" i="39"/>
  <c r="N11" i="21"/>
  <c r="I53" i="36"/>
  <c r="L55" i="36"/>
  <c r="S56" i="41" s="1"/>
  <c r="X22" i="21"/>
  <c r="B102" i="20"/>
  <c r="F123" i="37"/>
  <c r="E102" i="20"/>
  <c r="B243" i="20"/>
  <c r="C243" i="20"/>
  <c r="Z48" i="21"/>
  <c r="AA48" i="21"/>
  <c r="D81" i="20"/>
  <c r="B185" i="20"/>
  <c r="C81" i="20"/>
  <c r="B102" i="37"/>
  <c r="AA38" i="21"/>
  <c r="Z38" i="21"/>
  <c r="E102" i="37"/>
  <c r="E235" i="37" s="1"/>
  <c r="E185" i="20"/>
  <c r="Z28" i="21"/>
  <c r="AA28" i="21"/>
  <c r="B108" i="37"/>
  <c r="D87" i="20"/>
  <c r="B191" i="20"/>
  <c r="C87" i="20"/>
  <c r="B240" i="20"/>
  <c r="C240" i="20"/>
  <c r="B72" i="20"/>
  <c r="F93" i="37"/>
  <c r="E72" i="20"/>
  <c r="B231" i="20"/>
  <c r="C231" i="20"/>
  <c r="B13" i="20"/>
  <c r="E13" i="20"/>
  <c r="F13" i="37"/>
  <c r="U11" i="34"/>
  <c r="T11" i="34"/>
  <c r="D464" i="36"/>
  <c r="G464" i="36" s="1"/>
  <c r="AT16" i="14"/>
  <c r="AS16" i="14"/>
  <c r="D26" i="36"/>
  <c r="D85" i="36"/>
  <c r="F79" i="36"/>
  <c r="AO12" i="10"/>
  <c r="AN12" i="10"/>
  <c r="B228" i="20"/>
  <c r="C228" i="20"/>
  <c r="B31" i="20"/>
  <c r="F31" i="37"/>
  <c r="E31" i="20"/>
  <c r="E188" i="20"/>
  <c r="E105" i="37"/>
  <c r="E238" i="37" s="1"/>
  <c r="B274" i="20"/>
  <c r="C274" i="20"/>
  <c r="C249" i="20"/>
  <c r="B249" i="20"/>
  <c r="B277" i="20"/>
  <c r="C277" i="20"/>
  <c r="E226" i="36"/>
  <c r="F80" i="36"/>
  <c r="B248" i="20"/>
  <c r="C248" i="20"/>
  <c r="AD15" i="9"/>
  <c r="B252" i="20"/>
  <c r="C252" i="20"/>
  <c r="E57" i="20"/>
  <c r="B57" i="20"/>
  <c r="F57" i="37"/>
  <c r="W12" i="42"/>
  <c r="AC15" i="9"/>
  <c r="B237" i="20"/>
  <c r="C237" i="20"/>
  <c r="C244" i="20"/>
  <c r="B244" i="20"/>
  <c r="AS21" i="14"/>
  <c r="AT21" i="14"/>
  <c r="W18" i="42"/>
  <c r="X18" i="42"/>
  <c r="B85" i="20"/>
  <c r="E85" i="20"/>
  <c r="F106" i="37"/>
  <c r="C219" i="20"/>
  <c r="B219" i="20"/>
  <c r="F39" i="37"/>
  <c r="B39" i="20"/>
  <c r="E39" i="20"/>
  <c r="E54" i="20"/>
  <c r="B54" i="20"/>
  <c r="F54" i="37"/>
  <c r="B46" i="20"/>
  <c r="E46" i="20"/>
  <c r="F46" i="37"/>
  <c r="W16" i="42"/>
  <c r="X16" i="42"/>
  <c r="AN14" i="10"/>
  <c r="AO14" i="10"/>
  <c r="D76" i="36"/>
  <c r="F37" i="37"/>
  <c r="E37" i="20"/>
  <c r="B37" i="20"/>
  <c r="E40" i="36"/>
  <c r="AC16" i="9"/>
  <c r="C233" i="20"/>
  <c r="B233" i="20"/>
  <c r="C217" i="20"/>
  <c r="B217" i="20"/>
  <c r="C235" i="20"/>
  <c r="B235" i="20"/>
  <c r="U5" i="17"/>
  <c r="T5" i="17"/>
  <c r="B103" i="20"/>
  <c r="F124" i="37"/>
  <c r="E103" i="20"/>
  <c r="F122" i="37"/>
  <c r="B101" i="20"/>
  <c r="E101" i="20"/>
  <c r="C223" i="20"/>
  <c r="B223" i="20"/>
  <c r="AN8" i="10"/>
  <c r="AO8" i="10"/>
  <c r="T12" i="34"/>
  <c r="U12" i="34"/>
  <c r="W7" i="42"/>
  <c r="F32" i="37"/>
  <c r="E32" i="20"/>
  <c r="B32" i="20"/>
  <c r="AS11" i="14"/>
  <c r="AT11" i="14"/>
  <c r="E11" i="20"/>
  <c r="F11" i="37"/>
  <c r="B11" i="20"/>
  <c r="B104" i="20"/>
  <c r="E104" i="20"/>
  <c r="F125" i="37"/>
  <c r="L70" i="36"/>
  <c r="S71" i="41" s="1"/>
  <c r="C265" i="20"/>
  <c r="B265" i="20"/>
  <c r="F21" i="37"/>
  <c r="E21" i="20"/>
  <c r="F41" i="36"/>
  <c r="L265" i="36"/>
  <c r="S266" i="41" s="1"/>
  <c r="X13" i="42"/>
  <c r="AS6" i="14"/>
  <c r="AT6" i="14"/>
  <c r="T6" i="17"/>
  <c r="U6" i="17"/>
  <c r="E132" i="20"/>
  <c r="E26" i="37"/>
  <c r="E167" i="37" s="1"/>
  <c r="E41" i="36"/>
  <c r="C220" i="20"/>
  <c r="B220" i="20"/>
  <c r="C7" i="20"/>
  <c r="B113" i="20"/>
  <c r="B7" i="37"/>
  <c r="D7" i="20"/>
  <c r="B227" i="20"/>
  <c r="C227" i="20"/>
  <c r="AR13" i="14"/>
  <c r="AO10" i="10"/>
  <c r="AN10" i="10"/>
  <c r="C242" i="20"/>
  <c r="B242" i="20"/>
  <c r="F90" i="37"/>
  <c r="B69" i="20"/>
  <c r="E69" i="20"/>
  <c r="D141" i="36"/>
  <c r="E80" i="36"/>
  <c r="AT20" i="14"/>
  <c r="AS20" i="14"/>
  <c r="B245" i="20"/>
  <c r="C245" i="20"/>
  <c r="B230" i="20"/>
  <c r="C230" i="20"/>
  <c r="F17" i="37"/>
  <c r="B17" i="20"/>
  <c r="E17" i="20"/>
  <c r="B18" i="20"/>
  <c r="E18" i="20"/>
  <c r="F18" i="37"/>
  <c r="F207" i="36"/>
  <c r="D237" i="36"/>
  <c r="F346" i="36"/>
  <c r="X15" i="42"/>
  <c r="B105" i="20"/>
  <c r="F126" i="37"/>
  <c r="E105" i="20"/>
  <c r="C246" i="20"/>
  <c r="B246" i="20"/>
  <c r="E94" i="20"/>
  <c r="B94" i="20"/>
  <c r="F115" i="37"/>
  <c r="B253" i="20"/>
  <c r="C253" i="20"/>
  <c r="AC18" i="10"/>
  <c r="X19" i="21"/>
  <c r="O14" i="6"/>
  <c r="Q14" i="6" s="1"/>
  <c r="S15" i="9"/>
  <c r="U15" i="9" s="1"/>
  <c r="L76" i="36"/>
  <c r="S77" i="41" s="1"/>
  <c r="AD19" i="9"/>
  <c r="AC8" i="9"/>
  <c r="AD8" i="9"/>
  <c r="Q26" i="19"/>
  <c r="AC10" i="9"/>
  <c r="AD10" i="9"/>
  <c r="AC9" i="9"/>
  <c r="AD9" i="9"/>
  <c r="L266" i="36"/>
  <c r="S267" i="41" s="1"/>
  <c r="L72" i="36"/>
  <c r="S73" i="41" s="1"/>
  <c r="AC18" i="9"/>
  <c r="AD18" i="9"/>
  <c r="AC6" i="9"/>
  <c r="AD6" i="9"/>
  <c r="L464" i="36"/>
  <c r="S464" i="41" s="1"/>
  <c r="AC11" i="9"/>
  <c r="AD11" i="9"/>
  <c r="L75" i="36"/>
  <c r="S76" i="41" s="1"/>
  <c r="G45" i="32"/>
  <c r="H45" i="32" s="1"/>
  <c r="V9" i="10"/>
  <c r="U9" i="10"/>
  <c r="G49" i="33"/>
  <c r="H49" i="33" s="1"/>
  <c r="E22" i="20"/>
  <c r="E22" i="37" s="1"/>
  <c r="E163" i="37" s="1"/>
  <c r="B128" i="20"/>
  <c r="E209" i="36"/>
  <c r="D11" i="36"/>
  <c r="B109" i="37"/>
  <c r="D109" i="37" s="1"/>
  <c r="D89" i="36"/>
  <c r="F213" i="36"/>
  <c r="O6" i="6"/>
  <c r="Q6" i="6" s="1"/>
  <c r="AB32" i="21"/>
  <c r="D60" i="36" s="1"/>
  <c r="W33" i="18"/>
  <c r="S17" i="9"/>
  <c r="U17" i="9" s="1"/>
  <c r="O35" i="42"/>
  <c r="N35" i="42"/>
  <c r="I142" i="39"/>
  <c r="AB10" i="21"/>
  <c r="D55" i="36" s="1"/>
  <c r="Y10" i="21"/>
  <c r="F166" i="37"/>
  <c r="F131" i="20"/>
  <c r="F25" i="20" s="1"/>
  <c r="AB8" i="21"/>
  <c r="D54" i="36" s="1"/>
  <c r="F161" i="37"/>
  <c r="Y8" i="21"/>
  <c r="F126" i="20"/>
  <c r="F20" i="20" s="1"/>
  <c r="D257" i="20"/>
  <c r="Y35" i="21"/>
  <c r="AB35" i="21"/>
  <c r="F200" i="37"/>
  <c r="Y34" i="21"/>
  <c r="AB5" i="21"/>
  <c r="D51" i="36" s="1"/>
  <c r="F114" i="20"/>
  <c r="F8" i="20" s="1"/>
  <c r="E8" i="20" s="1"/>
  <c r="Y5" i="21"/>
  <c r="AA5" i="21" s="1"/>
  <c r="F149" i="37"/>
  <c r="F197" i="37"/>
  <c r="Y32" i="21"/>
  <c r="C19" i="20"/>
  <c r="B125" i="20"/>
  <c r="D19" i="20"/>
  <c r="B19" i="37"/>
  <c r="F199" i="37"/>
  <c r="Y33" i="21"/>
  <c r="F164" i="20"/>
  <c r="F58" i="20" s="1"/>
  <c r="L35" i="42"/>
  <c r="AB20" i="21"/>
  <c r="D64" i="36" s="1"/>
  <c r="Y20" i="21"/>
  <c r="AB18" i="21"/>
  <c r="D50" i="36" s="1"/>
  <c r="Y18" i="21"/>
  <c r="F227" i="37"/>
  <c r="F177" i="20"/>
  <c r="F73" i="20" s="1"/>
  <c r="O29" i="6"/>
  <c r="Q29" i="6" s="1"/>
  <c r="AB34" i="21"/>
  <c r="D299" i="36" s="1"/>
  <c r="M35" i="42"/>
  <c r="AB24" i="21"/>
  <c r="D61" i="36" s="1"/>
  <c r="Y24" i="21"/>
  <c r="F155" i="20"/>
  <c r="F49" i="20" s="1"/>
  <c r="F190" i="37"/>
  <c r="E32" i="36"/>
  <c r="Q15" i="19"/>
  <c r="N37" i="42"/>
  <c r="K37" i="42"/>
  <c r="K10" i="18"/>
  <c r="X52" i="18"/>
  <c r="L10" i="18"/>
  <c r="X38" i="18"/>
  <c r="N10" i="18"/>
  <c r="H10" i="18"/>
  <c r="E172" i="32"/>
  <c r="F172" i="32" s="1"/>
  <c r="I151" i="39"/>
  <c r="I70" i="18"/>
  <c r="I8" i="18"/>
  <c r="J8" i="18" s="1"/>
  <c r="L8" i="18" s="1"/>
  <c r="I5" i="18"/>
  <c r="J5" i="18" s="1"/>
  <c r="L5" i="18" s="1"/>
  <c r="E430" i="36"/>
  <c r="W74" i="18"/>
  <c r="C415" i="20"/>
  <c r="W11" i="18"/>
  <c r="I9" i="18"/>
  <c r="J9" i="18" s="1"/>
  <c r="M9" i="18" s="1"/>
  <c r="I61" i="18"/>
  <c r="W67" i="18"/>
  <c r="X9" i="18"/>
  <c r="I6" i="18"/>
  <c r="J6" i="18" s="1"/>
  <c r="M6" i="18" s="1"/>
  <c r="B370" i="20"/>
  <c r="F253" i="36"/>
  <c r="X55" i="18"/>
  <c r="C372" i="20"/>
  <c r="E161" i="32"/>
  <c r="F161" i="32" s="1"/>
  <c r="J151" i="39" s="1"/>
  <c r="K151" i="39" s="1"/>
  <c r="I363" i="36"/>
  <c r="C384" i="20"/>
  <c r="I42" i="18"/>
  <c r="J42" i="18" s="1"/>
  <c r="L42" i="18" s="1"/>
  <c r="W25" i="18"/>
  <c r="W4" i="18"/>
  <c r="C383" i="20"/>
  <c r="F393" i="36"/>
  <c r="E391" i="36"/>
  <c r="W79" i="18"/>
  <c r="X41" i="18"/>
  <c r="F219" i="36"/>
  <c r="I35" i="18"/>
  <c r="I147" i="39"/>
  <c r="F394" i="36"/>
  <c r="X64" i="18"/>
  <c r="K243" i="36"/>
  <c r="W49" i="18"/>
  <c r="C422" i="20"/>
  <c r="F109" i="37"/>
  <c r="E215" i="36"/>
  <c r="F28" i="37"/>
  <c r="R7" i="19"/>
  <c r="E76" i="20"/>
  <c r="E97" i="37" s="1"/>
  <c r="E230" i="37" s="1"/>
  <c r="F215" i="36"/>
  <c r="B28" i="20"/>
  <c r="C28" i="20" s="1"/>
  <c r="Y15" i="6"/>
  <c r="R5" i="19"/>
  <c r="E88" i="20"/>
  <c r="E109" i="37" s="1"/>
  <c r="E242" i="37" s="1"/>
  <c r="Q14" i="19"/>
  <c r="E28" i="37"/>
  <c r="E169" i="37" s="1"/>
  <c r="H19" i="18"/>
  <c r="H383" i="36" s="1"/>
  <c r="J383" i="36" s="1"/>
  <c r="C373" i="20"/>
  <c r="C371" i="20"/>
  <c r="H64" i="18"/>
  <c r="H311" i="36" s="1"/>
  <c r="J311" i="36" s="1"/>
  <c r="I146" i="39"/>
  <c r="B373" i="20"/>
  <c r="I51" i="18"/>
  <c r="K399" i="36"/>
  <c r="H41" i="18"/>
  <c r="H378" i="36" s="1"/>
  <c r="J378" i="36" s="1"/>
  <c r="I16" i="18"/>
  <c r="H16" i="18"/>
  <c r="H275" i="36" s="1"/>
  <c r="J275" i="36" s="1"/>
  <c r="B382" i="20"/>
  <c r="B439" i="20"/>
  <c r="B393" i="20"/>
  <c r="H15" i="18"/>
  <c r="H433" i="36" s="1"/>
  <c r="J433" i="36" s="1"/>
  <c r="B381" i="20"/>
  <c r="W27" i="18"/>
  <c r="B387" i="20"/>
  <c r="E157" i="32"/>
  <c r="F157" i="32" s="1"/>
  <c r="J147" i="39" s="1"/>
  <c r="K147" i="39" s="1"/>
  <c r="X10" i="18"/>
  <c r="X63" i="18"/>
  <c r="X17" i="18"/>
  <c r="F430" i="36"/>
  <c r="B379" i="20"/>
  <c r="X59" i="18"/>
  <c r="B431" i="20"/>
  <c r="I26" i="18"/>
  <c r="H12" i="18"/>
  <c r="H267" i="36" s="1"/>
  <c r="J267" i="36" s="1"/>
  <c r="X39" i="18"/>
  <c r="X45" i="18"/>
  <c r="B375" i="20"/>
  <c r="X58" i="18"/>
  <c r="B416" i="20"/>
  <c r="C416" i="20"/>
  <c r="E389" i="36"/>
  <c r="W23" i="18"/>
  <c r="X69" i="18"/>
  <c r="X29" i="18"/>
  <c r="W29" i="18"/>
  <c r="X8" i="18"/>
  <c r="E394" i="36"/>
  <c r="W34" i="18"/>
  <c r="E339" i="36"/>
  <c r="X20" i="18"/>
  <c r="X26" i="18"/>
  <c r="W22" i="18"/>
  <c r="X22" i="18"/>
  <c r="C433" i="20"/>
  <c r="W35" i="18"/>
  <c r="E433" i="36"/>
  <c r="E383" i="36"/>
  <c r="F383" i="36"/>
  <c r="F339" i="36"/>
  <c r="F433" i="36"/>
  <c r="H22" i="18"/>
  <c r="H246" i="36" s="1"/>
  <c r="J246" i="36" s="1"/>
  <c r="W46" i="18"/>
  <c r="H32" i="18"/>
  <c r="H395" i="36" s="1"/>
  <c r="J395" i="36" s="1"/>
  <c r="W13" i="18"/>
  <c r="X6" i="18"/>
  <c r="W6" i="18"/>
  <c r="I18" i="18"/>
  <c r="B417" i="20"/>
  <c r="C417" i="20"/>
  <c r="W44" i="18"/>
  <c r="C394" i="20"/>
  <c r="B394" i="20"/>
  <c r="X71" i="18"/>
  <c r="W71" i="18"/>
  <c r="X54" i="18"/>
  <c r="W54" i="18"/>
  <c r="W30" i="18"/>
  <c r="X30" i="18"/>
  <c r="I29" i="18"/>
  <c r="E152" i="32"/>
  <c r="F152" i="32" s="1"/>
  <c r="J142" i="39" s="1"/>
  <c r="K142" i="39" s="1"/>
  <c r="H29" i="18"/>
  <c r="H218" i="36" s="1"/>
  <c r="J218" i="36" s="1"/>
  <c r="E388" i="36"/>
  <c r="B388" i="20"/>
  <c r="C388" i="20"/>
  <c r="I72" i="18"/>
  <c r="H72" i="18"/>
  <c r="I268" i="36"/>
  <c r="E382" i="36"/>
  <c r="W37" i="18"/>
  <c r="X37" i="18"/>
  <c r="I152" i="39"/>
  <c r="B411" i="20"/>
  <c r="B389" i="20"/>
  <c r="C389" i="20"/>
  <c r="B376" i="20"/>
  <c r="I143" i="39"/>
  <c r="C376" i="20"/>
  <c r="I50" i="18"/>
  <c r="H50" i="18"/>
  <c r="O7" i="18"/>
  <c r="P7" i="18" s="1"/>
  <c r="B413" i="20"/>
  <c r="W53" i="18"/>
  <c r="X53" i="18"/>
  <c r="W16" i="18"/>
  <c r="X16" i="18"/>
  <c r="X72" i="18"/>
  <c r="W72" i="18"/>
  <c r="B403" i="20"/>
  <c r="C403" i="20"/>
  <c r="W7" i="18"/>
  <c r="X7" i="18"/>
  <c r="E390" i="36"/>
  <c r="F382" i="36"/>
  <c r="E219" i="36"/>
  <c r="E393" i="36"/>
  <c r="C420" i="20"/>
  <c r="X50" i="18"/>
  <c r="X12" i="18"/>
  <c r="W12" i="18"/>
  <c r="E151" i="32"/>
  <c r="F151" i="32" s="1"/>
  <c r="J141" i="39" s="1"/>
  <c r="K141" i="39" s="1"/>
  <c r="I28" i="18"/>
  <c r="F391" i="36"/>
  <c r="W48" i="18"/>
  <c r="X48" i="18"/>
  <c r="F388" i="36"/>
  <c r="D275" i="36"/>
  <c r="B432" i="20"/>
  <c r="C432" i="20"/>
  <c r="I157" i="39"/>
  <c r="X42" i="18"/>
  <c r="I56" i="18"/>
  <c r="H56" i="18"/>
  <c r="H389" i="36" s="1"/>
  <c r="J389" i="36" s="1"/>
  <c r="F389" i="36"/>
  <c r="X40" i="18"/>
  <c r="W40" i="18"/>
  <c r="F390" i="36"/>
  <c r="E431" i="36"/>
  <c r="D340" i="36"/>
  <c r="E171" i="32"/>
  <c r="F171" i="32" s="1"/>
  <c r="I4" i="18"/>
  <c r="J4" i="18" s="1"/>
  <c r="H4" i="18"/>
  <c r="I385" i="36"/>
  <c r="K385" i="36"/>
  <c r="B437" i="20"/>
  <c r="C437" i="20"/>
  <c r="W60" i="18"/>
  <c r="X60" i="18"/>
  <c r="K270" i="36"/>
  <c r="I270" i="36"/>
  <c r="W56" i="18"/>
  <c r="X56" i="18"/>
  <c r="I57" i="18"/>
  <c r="H57" i="18"/>
  <c r="H430" i="36" s="1"/>
  <c r="J430" i="36" s="1"/>
  <c r="B427" i="20"/>
  <c r="C427" i="20"/>
  <c r="I68" i="18"/>
  <c r="H68" i="18"/>
  <c r="H459" i="36" s="1"/>
  <c r="J459" i="36" s="1"/>
  <c r="W21" i="18"/>
  <c r="X21" i="18"/>
  <c r="X66" i="18"/>
  <c r="W66" i="18"/>
  <c r="E153" i="32"/>
  <c r="F153" i="32" s="1"/>
  <c r="J143" i="39" s="1"/>
  <c r="K143" i="39" s="1"/>
  <c r="I30" i="18"/>
  <c r="H30" i="18"/>
  <c r="H269" i="36" s="1"/>
  <c r="J269" i="36" s="1"/>
  <c r="C421" i="20"/>
  <c r="B421" i="20"/>
  <c r="I373" i="36"/>
  <c r="K373" i="36"/>
  <c r="J25" i="18"/>
  <c r="H25" i="18"/>
  <c r="H222" i="36" s="1"/>
  <c r="J222" i="36" s="1"/>
  <c r="E156" i="32"/>
  <c r="F156" i="32" s="1"/>
  <c r="J146" i="39" s="1"/>
  <c r="K146" i="39" s="1"/>
  <c r="W62" i="18"/>
  <c r="X62" i="18"/>
  <c r="X61" i="18"/>
  <c r="W61" i="18"/>
  <c r="H45" i="18"/>
  <c r="H387" i="36" s="1"/>
  <c r="J387" i="36" s="1"/>
  <c r="I45" i="18"/>
  <c r="I74" i="18"/>
  <c r="H74" i="18"/>
  <c r="H397" i="36" s="1"/>
  <c r="J397" i="36" s="1"/>
  <c r="W24" i="18"/>
  <c r="X24" i="18"/>
  <c r="I244" i="36"/>
  <c r="K244" i="36"/>
  <c r="I219" i="36"/>
  <c r="K219" i="36"/>
  <c r="H14" i="18"/>
  <c r="H386" i="36" s="1"/>
  <c r="J386" i="36" s="1"/>
  <c r="I14" i="18"/>
  <c r="I221" i="36"/>
  <c r="K221" i="36"/>
  <c r="I13" i="18"/>
  <c r="H13" i="18"/>
  <c r="H251" i="36" s="1"/>
  <c r="J251" i="36" s="1"/>
  <c r="I24" i="18"/>
  <c r="H24" i="18"/>
  <c r="H391" i="36" s="1"/>
  <c r="J391" i="36" s="1"/>
  <c r="I382" i="36"/>
  <c r="K382" i="36"/>
  <c r="F431" i="36"/>
  <c r="H48" i="18"/>
  <c r="H398" i="36" s="1"/>
  <c r="J398" i="36" s="1"/>
  <c r="I48" i="18"/>
  <c r="I37" i="18"/>
  <c r="H37" i="18"/>
  <c r="H379" i="36" s="1"/>
  <c r="J379" i="36" s="1"/>
  <c r="B409" i="20"/>
  <c r="C409" i="20"/>
  <c r="X28" i="18"/>
  <c r="W28" i="18"/>
  <c r="I388" i="36"/>
  <c r="K388" i="36"/>
  <c r="I52" i="18"/>
  <c r="H52" i="18"/>
  <c r="H253" i="36" s="1"/>
  <c r="J253" i="36" s="1"/>
  <c r="E164" i="32"/>
  <c r="F164" i="32" s="1"/>
  <c r="J154" i="39" s="1"/>
  <c r="K154" i="39" s="1"/>
  <c r="X70" i="18"/>
  <c r="W70" i="18"/>
  <c r="I384" i="36"/>
  <c r="K384" i="36"/>
  <c r="I23" i="18"/>
  <c r="H23" i="18"/>
  <c r="H381" i="36" s="1"/>
  <c r="J381" i="36" s="1"/>
  <c r="K245" i="36"/>
  <c r="I245" i="36"/>
  <c r="I66" i="18"/>
  <c r="H66" i="18"/>
  <c r="H392" i="36" s="1"/>
  <c r="J392" i="36" s="1"/>
  <c r="H38" i="18"/>
  <c r="H364" i="36" s="1"/>
  <c r="J364" i="36" s="1"/>
  <c r="I38" i="18"/>
  <c r="W31" i="18"/>
  <c r="X31" i="18"/>
  <c r="I21" i="18"/>
  <c r="H21" i="18"/>
  <c r="H393" i="36" s="1"/>
  <c r="J393" i="36" s="1"/>
  <c r="E386" i="36"/>
  <c r="E384" i="36"/>
  <c r="I217" i="36"/>
  <c r="K217" i="36"/>
  <c r="F384" i="36"/>
  <c r="D395" i="20"/>
  <c r="V47" i="18"/>
  <c r="I44" i="18"/>
  <c r="H44" i="18"/>
  <c r="H340" i="36" s="1"/>
  <c r="J340" i="36" s="1"/>
  <c r="H55" i="18"/>
  <c r="H274" i="36" s="1"/>
  <c r="J274" i="36" s="1"/>
  <c r="I55" i="18"/>
  <c r="E165" i="32"/>
  <c r="F165" i="32" s="1"/>
  <c r="J155" i="39" s="1"/>
  <c r="K155" i="39" s="1"/>
  <c r="X57" i="18"/>
  <c r="W57" i="18"/>
  <c r="W15" i="18"/>
  <c r="X15" i="18"/>
  <c r="X73" i="18"/>
  <c r="W73" i="18"/>
  <c r="I43" i="18"/>
  <c r="E160" i="32"/>
  <c r="F160" i="32" s="1"/>
  <c r="J150" i="39" s="1"/>
  <c r="K150" i="39" s="1"/>
  <c r="H43" i="18"/>
  <c r="H242" i="36" s="1"/>
  <c r="J242" i="36" s="1"/>
  <c r="H40" i="18"/>
  <c r="H339" i="36" s="1"/>
  <c r="J339" i="36" s="1"/>
  <c r="I40" i="18"/>
  <c r="K396" i="36"/>
  <c r="I396" i="36"/>
  <c r="W18" i="18"/>
  <c r="X18" i="18"/>
  <c r="E380" i="36"/>
  <c r="K380" i="36"/>
  <c r="I380" i="36"/>
  <c r="H60" i="18"/>
  <c r="H390" i="36" s="1"/>
  <c r="J390" i="36" s="1"/>
  <c r="I60" i="18"/>
  <c r="W19" i="18"/>
  <c r="X19" i="18"/>
  <c r="I47" i="18"/>
  <c r="H47" i="18"/>
  <c r="I67" i="18"/>
  <c r="H67" i="18"/>
  <c r="H458" i="36" s="1"/>
  <c r="J458" i="36" s="1"/>
  <c r="H34" i="18"/>
  <c r="H362" i="36" s="1"/>
  <c r="J362" i="36" s="1"/>
  <c r="I34" i="18"/>
  <c r="F386" i="36"/>
  <c r="F380" i="36"/>
  <c r="H39" i="18"/>
  <c r="H365" i="36" s="1"/>
  <c r="J365" i="36" s="1"/>
  <c r="I39" i="18"/>
  <c r="C442" i="20"/>
  <c r="C408" i="20"/>
  <c r="B408" i="20"/>
  <c r="B404" i="20"/>
  <c r="C404" i="20"/>
  <c r="C438" i="20"/>
  <c r="B438" i="20"/>
  <c r="H27" i="18"/>
  <c r="H220" i="36" s="1"/>
  <c r="J220" i="36" s="1"/>
  <c r="I27" i="18"/>
  <c r="E150" i="32"/>
  <c r="F150" i="32" s="1"/>
  <c r="J140" i="39" s="1"/>
  <c r="K140" i="39" s="1"/>
  <c r="B40" i="20"/>
  <c r="C40" i="20" s="1"/>
  <c r="F30" i="36"/>
  <c r="C310" i="20"/>
  <c r="B91" i="20"/>
  <c r="C91" i="20" s="1"/>
  <c r="E40" i="20"/>
  <c r="E40" i="37" s="1"/>
  <c r="E181" i="37" s="1"/>
  <c r="F31" i="36"/>
  <c r="E91" i="20"/>
  <c r="E195" i="20" s="1"/>
  <c r="B50" i="20"/>
  <c r="B156" i="20" s="1"/>
  <c r="F474" i="36"/>
  <c r="E474" i="36"/>
  <c r="E82" i="20"/>
  <c r="E186" i="20" s="1"/>
  <c r="E30" i="36"/>
  <c r="Y17" i="6"/>
  <c r="F103" i="37"/>
  <c r="F23" i="36"/>
  <c r="E31" i="36"/>
  <c r="D136" i="36"/>
  <c r="F209" i="36"/>
  <c r="L471" i="36"/>
  <c r="S471" i="41" s="1"/>
  <c r="Q27" i="19"/>
  <c r="F461" i="36"/>
  <c r="E461" i="36"/>
  <c r="C377" i="20"/>
  <c r="B377" i="20"/>
  <c r="F462" i="36"/>
  <c r="E462" i="36"/>
  <c r="B440" i="20"/>
  <c r="C440" i="20"/>
  <c r="B441" i="20"/>
  <c r="C441" i="20"/>
  <c r="F473" i="36"/>
  <c r="E473" i="36"/>
  <c r="E314" i="36"/>
  <c r="F314" i="36"/>
  <c r="E343" i="36"/>
  <c r="F343" i="36"/>
  <c r="E288" i="36"/>
  <c r="F288" i="36"/>
  <c r="E116" i="36"/>
  <c r="F116" i="36"/>
  <c r="F442" i="36"/>
  <c r="E442" i="36"/>
  <c r="E345" i="36"/>
  <c r="F345" i="36"/>
  <c r="E348" i="36"/>
  <c r="F348" i="36"/>
  <c r="E333" i="36"/>
  <c r="F333" i="36"/>
  <c r="F438" i="36"/>
  <c r="E438" i="36"/>
  <c r="F111" i="36"/>
  <c r="E111" i="36"/>
  <c r="E283" i="36"/>
  <c r="F283" i="36"/>
  <c r="E113" i="36"/>
  <c r="F113" i="36"/>
  <c r="F440" i="36"/>
  <c r="E440" i="36"/>
  <c r="D329" i="36"/>
  <c r="D138" i="36"/>
  <c r="C226" i="20"/>
  <c r="B226" i="20"/>
  <c r="E287" i="36"/>
  <c r="F287" i="36"/>
  <c r="E224" i="36"/>
  <c r="F224" i="36"/>
  <c r="E114" i="36"/>
  <c r="F114" i="36"/>
  <c r="E441" i="36"/>
  <c r="F441" i="36"/>
  <c r="F357" i="36"/>
  <c r="E357" i="36"/>
  <c r="E126" i="36"/>
  <c r="F126" i="36"/>
  <c r="E117" i="36"/>
  <c r="F117" i="36"/>
  <c r="E443" i="36"/>
  <c r="F443" i="36"/>
  <c r="E118" i="36"/>
  <c r="F118" i="36"/>
  <c r="E444" i="36"/>
  <c r="F444" i="36"/>
  <c r="E358" i="36"/>
  <c r="F358" i="36"/>
  <c r="F289" i="36"/>
  <c r="E289" i="36"/>
  <c r="E119" i="36"/>
  <c r="F119" i="36"/>
  <c r="E445" i="36"/>
  <c r="F445" i="36"/>
  <c r="F120" i="36"/>
  <c r="E120" i="36"/>
  <c r="F446" i="36"/>
  <c r="E446" i="36"/>
  <c r="F332" i="36"/>
  <c r="E332" i="36"/>
  <c r="E337" i="36"/>
  <c r="F337" i="36"/>
  <c r="F447" i="36"/>
  <c r="E447" i="36"/>
  <c r="F359" i="36"/>
  <c r="E359" i="36"/>
  <c r="E276" i="36"/>
  <c r="F276" i="36"/>
  <c r="E121" i="36"/>
  <c r="F121" i="36"/>
  <c r="F336" i="36"/>
  <c r="E336" i="36"/>
  <c r="F448" i="36"/>
  <c r="E448" i="36"/>
  <c r="E360" i="36"/>
  <c r="F360" i="36"/>
  <c r="E225" i="36"/>
  <c r="F225" i="36"/>
  <c r="F254" i="36"/>
  <c r="E254" i="36"/>
  <c r="E122" i="36"/>
  <c r="F122" i="36"/>
  <c r="E361" i="36"/>
  <c r="F361" i="36"/>
  <c r="F205" i="36"/>
  <c r="E205" i="36"/>
  <c r="F123" i="36"/>
  <c r="E123" i="36"/>
  <c r="E449" i="36"/>
  <c r="F449" i="36"/>
  <c r="F338" i="36"/>
  <c r="E338" i="36"/>
  <c r="E355" i="36"/>
  <c r="F355" i="36"/>
  <c r="E277" i="36"/>
  <c r="F277" i="36"/>
  <c r="E124" i="36"/>
  <c r="F124" i="36"/>
  <c r="F450" i="36"/>
  <c r="E450" i="36"/>
  <c r="E356" i="36"/>
  <c r="F356" i="36"/>
  <c r="E290" i="36"/>
  <c r="F290" i="36"/>
  <c r="F125" i="36"/>
  <c r="E125" i="36"/>
  <c r="F451" i="36"/>
  <c r="E451" i="36"/>
  <c r="E129" i="36"/>
  <c r="F129" i="36"/>
  <c r="F128" i="36"/>
  <c r="E128" i="36"/>
  <c r="F127" i="36"/>
  <c r="E127" i="36"/>
  <c r="E452" i="36"/>
  <c r="F452" i="36"/>
  <c r="E291" i="36"/>
  <c r="F291" i="36"/>
  <c r="E130" i="36"/>
  <c r="F130" i="36"/>
  <c r="E453" i="36"/>
  <c r="F453" i="36"/>
  <c r="F334" i="36"/>
  <c r="E334" i="36"/>
  <c r="E259" i="36"/>
  <c r="F259" i="36"/>
  <c r="E131" i="36"/>
  <c r="F131" i="36"/>
  <c r="F454" i="36"/>
  <c r="E454" i="36"/>
  <c r="E260" i="36"/>
  <c r="F260" i="36"/>
  <c r="E132" i="36"/>
  <c r="F132" i="36"/>
  <c r="F455" i="36"/>
  <c r="E455" i="36"/>
  <c r="E354" i="36"/>
  <c r="F354" i="36"/>
  <c r="F284" i="36"/>
  <c r="E284" i="36"/>
  <c r="F115" i="36"/>
  <c r="E115" i="36"/>
  <c r="F456" i="36"/>
  <c r="E456" i="36"/>
  <c r="E436" i="36"/>
  <c r="F436" i="36"/>
  <c r="F256" i="36"/>
  <c r="E256" i="36"/>
  <c r="F351" i="36"/>
  <c r="E351" i="36"/>
  <c r="F331" i="36"/>
  <c r="E331" i="36"/>
  <c r="E108" i="36"/>
  <c r="F108" i="36"/>
  <c r="E437" i="36"/>
  <c r="F437" i="36"/>
  <c r="F139" i="36"/>
  <c r="E139" i="36"/>
  <c r="F352" i="36"/>
  <c r="E352" i="36"/>
  <c r="E110" i="36"/>
  <c r="F110" i="36"/>
  <c r="E109" i="36"/>
  <c r="F109" i="36"/>
  <c r="F335" i="36"/>
  <c r="E335" i="36"/>
  <c r="F439" i="36"/>
  <c r="E439" i="36"/>
  <c r="E353" i="36"/>
  <c r="F353" i="36"/>
  <c r="F282" i="36"/>
  <c r="E282" i="36"/>
  <c r="F112" i="36"/>
  <c r="E112" i="36"/>
  <c r="E69" i="36"/>
  <c r="F69" i="36"/>
  <c r="F232" i="36"/>
  <c r="E232" i="36"/>
  <c r="E168" i="36"/>
  <c r="F168" i="36"/>
  <c r="E83" i="36"/>
  <c r="F83" i="36"/>
  <c r="F238" i="36"/>
  <c r="E238" i="36"/>
  <c r="E150" i="36"/>
  <c r="F150" i="36"/>
  <c r="E154" i="36"/>
  <c r="F154" i="36"/>
  <c r="D161" i="36"/>
  <c r="C283" i="20"/>
  <c r="B283" i="20"/>
  <c r="D156" i="36"/>
  <c r="D157" i="36"/>
  <c r="D241" i="36"/>
  <c r="C280" i="20"/>
  <c r="B280" i="20"/>
  <c r="B218" i="20"/>
  <c r="C218" i="20"/>
  <c r="F457" i="36"/>
  <c r="E457" i="36"/>
  <c r="E56" i="20"/>
  <c r="F56" i="37"/>
  <c r="E59" i="20"/>
  <c r="F59" i="37"/>
  <c r="E258" i="36"/>
  <c r="F91" i="36"/>
  <c r="E91" i="36"/>
  <c r="F73" i="36"/>
  <c r="E73" i="36"/>
  <c r="E265" i="36"/>
  <c r="F265" i="36"/>
  <c r="F75" i="36"/>
  <c r="E75" i="36"/>
  <c r="E71" i="36"/>
  <c r="F71" i="36"/>
  <c r="AJ15" i="14"/>
  <c r="AK15" i="14"/>
  <c r="Y24" i="6"/>
  <c r="Z24" i="6"/>
  <c r="Z21" i="6"/>
  <c r="C307" i="20"/>
  <c r="B307" i="20"/>
  <c r="AJ9" i="14"/>
  <c r="AK9" i="14"/>
  <c r="AN16" i="10"/>
  <c r="AO16" i="10"/>
  <c r="B360" i="20"/>
  <c r="I161" i="39"/>
  <c r="C360" i="20"/>
  <c r="Z7" i="6"/>
  <c r="Y7" i="6"/>
  <c r="F43" i="37"/>
  <c r="B43" i="20"/>
  <c r="E43" i="20"/>
  <c r="E34" i="36"/>
  <c r="E135" i="36"/>
  <c r="F34" i="36"/>
  <c r="C365" i="20"/>
  <c r="B365" i="20"/>
  <c r="AJ13" i="14"/>
  <c r="AK13" i="14"/>
  <c r="Y23" i="6"/>
  <c r="B192" i="20"/>
  <c r="C192" i="20" s="1"/>
  <c r="AK21" i="14"/>
  <c r="AJ21" i="14"/>
  <c r="D133" i="36"/>
  <c r="B368" i="20"/>
  <c r="C368" i="20"/>
  <c r="Y10" i="6"/>
  <c r="Z10" i="6"/>
  <c r="C367" i="20"/>
  <c r="B367" i="20"/>
  <c r="B362" i="20"/>
  <c r="I163" i="39"/>
  <c r="C362" i="20"/>
  <c r="AK27" i="14"/>
  <c r="AJ27" i="14"/>
  <c r="F50" i="37"/>
  <c r="B256" i="20"/>
  <c r="C88" i="20"/>
  <c r="B76" i="20"/>
  <c r="B97" i="37" s="1"/>
  <c r="E23" i="36"/>
  <c r="C256" i="20"/>
  <c r="Z16" i="6"/>
  <c r="Y16" i="6"/>
  <c r="Z26" i="6"/>
  <c r="Y26" i="6"/>
  <c r="F45" i="37"/>
  <c r="E45" i="20"/>
  <c r="B45" i="20"/>
  <c r="B90" i="20"/>
  <c r="E90" i="20"/>
  <c r="F111" i="37"/>
  <c r="B311" i="20"/>
  <c r="C311" i="20"/>
  <c r="F27" i="37"/>
  <c r="E27" i="20"/>
  <c r="B27" i="20"/>
  <c r="E86" i="20"/>
  <c r="F107" i="37"/>
  <c r="B86" i="20"/>
  <c r="E12" i="36"/>
  <c r="F12" i="36"/>
  <c r="AN15" i="10"/>
  <c r="AO15" i="10"/>
  <c r="E74" i="20"/>
  <c r="B74" i="20"/>
  <c r="F95" i="37"/>
  <c r="E320" i="36"/>
  <c r="F320" i="36"/>
  <c r="B78" i="20"/>
  <c r="E78" i="20"/>
  <c r="F99" i="37"/>
  <c r="C305" i="20"/>
  <c r="B305" i="20"/>
  <c r="B361" i="20"/>
  <c r="C361" i="20"/>
  <c r="I162" i="39"/>
  <c r="R24" i="19"/>
  <c r="Q24" i="19"/>
  <c r="Q4" i="19"/>
  <c r="R4" i="19"/>
  <c r="E44" i="36"/>
  <c r="F44" i="36"/>
  <c r="E5" i="36"/>
  <c r="E210" i="36"/>
  <c r="F210" i="36"/>
  <c r="E366" i="36"/>
  <c r="F366" i="36"/>
  <c r="E16" i="36"/>
  <c r="F16" i="36"/>
  <c r="F36" i="37"/>
  <c r="E36" i="20"/>
  <c r="F52" i="37"/>
  <c r="B52" i="20"/>
  <c r="E52" i="20"/>
  <c r="AK19" i="14"/>
  <c r="AJ19" i="14"/>
  <c r="Q23" i="19"/>
  <c r="R23" i="19"/>
  <c r="Z50" i="21"/>
  <c r="AA50" i="21"/>
  <c r="Y14" i="6"/>
  <c r="Z14" i="6"/>
  <c r="F9" i="37"/>
  <c r="B9" i="20"/>
  <c r="E9" i="20"/>
  <c r="E148" i="36"/>
  <c r="F148" i="36"/>
  <c r="B92" i="20"/>
  <c r="F113" i="37"/>
  <c r="E92" i="20"/>
  <c r="F33" i="36"/>
  <c r="E33" i="36"/>
  <c r="AK20" i="14"/>
  <c r="AJ20" i="14"/>
  <c r="B48" i="20"/>
  <c r="E48" i="20"/>
  <c r="F48" i="37"/>
  <c r="F368" i="36"/>
  <c r="E368" i="36"/>
  <c r="D14" i="36"/>
  <c r="D13" i="36"/>
  <c r="R21" i="19"/>
  <c r="Q21" i="19"/>
  <c r="C309" i="20"/>
  <c r="B309" i="20"/>
  <c r="AK26" i="14"/>
  <c r="AJ26" i="14"/>
  <c r="R22" i="19"/>
  <c r="Q22" i="19"/>
  <c r="B359" i="20"/>
  <c r="C359" i="20"/>
  <c r="I160" i="39"/>
  <c r="Z9" i="6"/>
  <c r="Y9" i="6"/>
  <c r="F28" i="36"/>
  <c r="E28" i="36"/>
  <c r="E321" i="36"/>
  <c r="F321" i="36"/>
  <c r="F367" i="36"/>
  <c r="E367" i="36"/>
  <c r="F212" i="36"/>
  <c r="E212" i="36"/>
  <c r="R6" i="19"/>
  <c r="Q6" i="19"/>
  <c r="E19" i="36"/>
  <c r="F19" i="36"/>
  <c r="E15" i="36"/>
  <c r="F15" i="36"/>
  <c r="Z32" i="6"/>
  <c r="Y32" i="6"/>
  <c r="B272" i="20"/>
  <c r="C272" i="20"/>
  <c r="F316" i="36"/>
  <c r="E316" i="36"/>
  <c r="AJ17" i="14"/>
  <c r="AK17" i="14"/>
  <c r="D6" i="36"/>
  <c r="D7" i="36"/>
  <c r="B103" i="37"/>
  <c r="C82" i="20"/>
  <c r="B186" i="20"/>
  <c r="D82" i="20"/>
  <c r="F376" i="36"/>
  <c r="E376" i="36"/>
  <c r="F469" i="36"/>
  <c r="E469" i="36"/>
  <c r="F319" i="36"/>
  <c r="E319" i="36"/>
  <c r="F35" i="36"/>
  <c r="E35" i="36"/>
  <c r="R31" i="19"/>
  <c r="Q31" i="19"/>
  <c r="E318" i="36"/>
  <c r="F318" i="36"/>
  <c r="E43" i="36"/>
  <c r="F43" i="36"/>
  <c r="D88" i="36"/>
  <c r="AK18" i="14"/>
  <c r="AJ18" i="14"/>
  <c r="C303" i="20"/>
  <c r="B303" i="20"/>
  <c r="F25" i="36"/>
  <c r="E25" i="36"/>
  <c r="B302" i="20"/>
  <c r="C302" i="20"/>
  <c r="Z4" i="6"/>
  <c r="Y4" i="6"/>
  <c r="C238" i="20"/>
  <c r="B238" i="20"/>
  <c r="F322" i="36"/>
  <c r="E322" i="36"/>
  <c r="F208" i="36"/>
  <c r="E208" i="36"/>
  <c r="B71" i="20"/>
  <c r="F92" i="37"/>
  <c r="E71" i="20"/>
  <c r="Z30" i="6"/>
  <c r="Y30" i="6"/>
  <c r="D17" i="36"/>
  <c r="D18" i="36"/>
  <c r="E29" i="36"/>
  <c r="F29" i="36"/>
  <c r="B306" i="20"/>
  <c r="C306" i="20"/>
  <c r="E156" i="20"/>
  <c r="E50" i="37"/>
  <c r="E191" i="37" s="1"/>
  <c r="B99" i="20"/>
  <c r="F120" i="37"/>
  <c r="E99" i="20"/>
  <c r="C304" i="20"/>
  <c r="B304" i="20"/>
  <c r="F9" i="36"/>
  <c r="E9" i="36"/>
  <c r="N36" i="42" l="1"/>
  <c r="M29" i="42"/>
  <c r="Q13" i="42"/>
  <c r="Q18" i="42"/>
  <c r="M32" i="42"/>
  <c r="M41" i="42"/>
  <c r="N41" i="42"/>
  <c r="O32" i="42"/>
  <c r="L26" i="6"/>
  <c r="O26" i="6" s="1"/>
  <c r="Q26" i="6" s="1"/>
  <c r="L20" i="6"/>
  <c r="O20" i="6" s="1"/>
  <c r="Q20" i="6" s="1"/>
  <c r="P19" i="9"/>
  <c r="M11" i="6"/>
  <c r="Q19" i="9"/>
  <c r="K29" i="42"/>
  <c r="Q29" i="42" s="1"/>
  <c r="Q8" i="42"/>
  <c r="K41" i="42"/>
  <c r="L41" i="42" s="1"/>
  <c r="P41" i="42" s="1"/>
  <c r="R41" i="42" s="1"/>
  <c r="Q6" i="9"/>
  <c r="O4" i="9"/>
  <c r="S4" i="9" s="1"/>
  <c r="U4" i="9" s="1"/>
  <c r="K28" i="6"/>
  <c r="L9" i="6"/>
  <c r="M10" i="6"/>
  <c r="T19" i="9"/>
  <c r="K11" i="6"/>
  <c r="O11" i="6" s="1"/>
  <c r="Q11" i="6" s="1"/>
  <c r="D204" i="20"/>
  <c r="C472" i="20"/>
  <c r="E200" i="20"/>
  <c r="B117" i="37"/>
  <c r="B200" i="20"/>
  <c r="D96" i="20"/>
  <c r="C96" i="20"/>
  <c r="D254" i="37"/>
  <c r="E7" i="37"/>
  <c r="E148" i="37" s="1"/>
  <c r="C252" i="37"/>
  <c r="L4" i="6"/>
  <c r="Q4" i="9"/>
  <c r="K15" i="6"/>
  <c r="O15" i="6" s="1"/>
  <c r="Q15" i="6" s="1"/>
  <c r="Q20" i="42"/>
  <c r="M28" i="6"/>
  <c r="R4" i="9"/>
  <c r="I29" i="19"/>
  <c r="J29" i="19" s="1"/>
  <c r="M33" i="42"/>
  <c r="O31" i="42"/>
  <c r="I24" i="19"/>
  <c r="J24" i="19" s="1"/>
  <c r="O36" i="42"/>
  <c r="K8" i="6"/>
  <c r="P4" i="9"/>
  <c r="K36" i="42"/>
  <c r="Q36" i="42" s="1"/>
  <c r="M13" i="6"/>
  <c r="Q12" i="9"/>
  <c r="I28" i="19"/>
  <c r="J28" i="19" s="1"/>
  <c r="I21" i="19"/>
  <c r="K21" i="19" s="1"/>
  <c r="I23" i="19"/>
  <c r="K23" i="19" s="1"/>
  <c r="I30" i="19"/>
  <c r="K30" i="19" s="1"/>
  <c r="P23" i="6"/>
  <c r="P10" i="6"/>
  <c r="P12" i="6"/>
  <c r="I25" i="19"/>
  <c r="J25" i="19" s="1"/>
  <c r="O37" i="42"/>
  <c r="N33" i="42"/>
  <c r="K18" i="6"/>
  <c r="M8" i="6"/>
  <c r="L8" i="6"/>
  <c r="P7" i="6"/>
  <c r="K4" i="6"/>
  <c r="I22" i="19"/>
  <c r="K33" i="42"/>
  <c r="L33" i="42" s="1"/>
  <c r="M23" i="6"/>
  <c r="O23" i="6" s="1"/>
  <c r="Q23" i="6" s="1"/>
  <c r="P21" i="6"/>
  <c r="K10" i="6"/>
  <c r="O10" i="6" s="1"/>
  <c r="Q10" i="6" s="1"/>
  <c r="I26" i="19"/>
  <c r="K26" i="19" s="1"/>
  <c r="I31" i="19"/>
  <c r="J31" i="19" s="1"/>
  <c r="K22" i="18"/>
  <c r="N17" i="18"/>
  <c r="L19" i="18"/>
  <c r="L18" i="6"/>
  <c r="L59" i="18"/>
  <c r="P13" i="6"/>
  <c r="M12" i="6"/>
  <c r="L11" i="42"/>
  <c r="P11" i="42" s="1"/>
  <c r="R11" i="42" s="1"/>
  <c r="N10" i="9"/>
  <c r="T10" i="9" s="1"/>
  <c r="N8" i="9"/>
  <c r="P8" i="9" s="1"/>
  <c r="N5" i="9"/>
  <c r="O5" i="9" s="1"/>
  <c r="K31" i="18"/>
  <c r="L13" i="6"/>
  <c r="O13" i="6" s="1"/>
  <c r="Q13" i="6" s="1"/>
  <c r="M32" i="18"/>
  <c r="K34" i="21"/>
  <c r="N34" i="21" s="1"/>
  <c r="P16" i="6"/>
  <c r="N18" i="9"/>
  <c r="R18" i="9" s="1"/>
  <c r="M21" i="6"/>
  <c r="N65" i="18"/>
  <c r="N53" i="18"/>
  <c r="L71" i="18"/>
  <c r="T12" i="9"/>
  <c r="P16" i="21"/>
  <c r="R16" i="21" s="1"/>
  <c r="L58" i="18"/>
  <c r="Z7" i="10"/>
  <c r="N16" i="9"/>
  <c r="T16" i="9" s="1"/>
  <c r="M18" i="6"/>
  <c r="N36" i="18"/>
  <c r="K24" i="21"/>
  <c r="M24" i="21" s="1"/>
  <c r="M7" i="6"/>
  <c r="L12" i="6"/>
  <c r="O12" i="6" s="1"/>
  <c r="Q12" i="6" s="1"/>
  <c r="Q17" i="42"/>
  <c r="K27" i="21"/>
  <c r="L27" i="21" s="1"/>
  <c r="Z12" i="10"/>
  <c r="N9" i="9"/>
  <c r="O9" i="9" s="1"/>
  <c r="K15" i="18"/>
  <c r="Y7" i="10"/>
  <c r="AC7" i="10" s="1"/>
  <c r="AF7" i="10" s="1"/>
  <c r="M12" i="18"/>
  <c r="K7" i="21"/>
  <c r="X7" i="21" s="1"/>
  <c r="Y7" i="21" s="1"/>
  <c r="Q10" i="42"/>
  <c r="L54" i="18"/>
  <c r="K17" i="6"/>
  <c r="L16" i="6"/>
  <c r="O16" i="6" s="1"/>
  <c r="Q16" i="6" s="1"/>
  <c r="N11" i="9"/>
  <c r="P11" i="9" s="1"/>
  <c r="L73" i="18"/>
  <c r="AA12" i="10"/>
  <c r="L17" i="6"/>
  <c r="M41" i="18"/>
  <c r="K64" i="18"/>
  <c r="L49" i="18"/>
  <c r="Q19" i="42"/>
  <c r="N30" i="42"/>
  <c r="K18" i="21"/>
  <c r="L18" i="21" s="1"/>
  <c r="K21" i="6"/>
  <c r="O21" i="6" s="1"/>
  <c r="Q21" i="6" s="1"/>
  <c r="K63" i="18"/>
  <c r="Q15" i="42"/>
  <c r="P17" i="6"/>
  <c r="R12" i="9"/>
  <c r="AE17" i="10"/>
  <c r="N39" i="42"/>
  <c r="O39" i="42"/>
  <c r="N31" i="42"/>
  <c r="M31" i="42"/>
  <c r="M30" i="42"/>
  <c r="N38" i="42"/>
  <c r="K34" i="42"/>
  <c r="L34" i="42" s="1"/>
  <c r="O30" i="42"/>
  <c r="N40" i="42"/>
  <c r="K32" i="42"/>
  <c r="Q32" i="42" s="1"/>
  <c r="N34" i="42"/>
  <c r="M40" i="42"/>
  <c r="O40" i="42"/>
  <c r="M38" i="42"/>
  <c r="M34" i="42"/>
  <c r="K38" i="42"/>
  <c r="Q38" i="42" s="1"/>
  <c r="K39" i="42"/>
  <c r="Q39" i="42" s="1"/>
  <c r="K238" i="36"/>
  <c r="I238" i="36"/>
  <c r="S7" i="9"/>
  <c r="U7" i="9" s="1"/>
  <c r="X17" i="10"/>
  <c r="Z17" i="10" s="1"/>
  <c r="O30" i="6"/>
  <c r="Q30" i="6" s="1"/>
  <c r="P29" i="21"/>
  <c r="R29" i="21" s="1"/>
  <c r="W13" i="10"/>
  <c r="W8" i="10"/>
  <c r="N27" i="21"/>
  <c r="F313" i="36"/>
  <c r="K71" i="36"/>
  <c r="AB7" i="21"/>
  <c r="D53" i="36" s="1"/>
  <c r="G53" i="36" s="1"/>
  <c r="F125" i="20"/>
  <c r="F19" i="20" s="1"/>
  <c r="F160" i="37"/>
  <c r="J105" i="39"/>
  <c r="H105" i="39"/>
  <c r="K105" i="39" s="1"/>
  <c r="H226" i="36"/>
  <c r="J226" i="36" s="1"/>
  <c r="H315" i="36"/>
  <c r="J315" i="36" s="1"/>
  <c r="J110" i="39"/>
  <c r="H110" i="39"/>
  <c r="K110" i="39" s="1"/>
  <c r="H313" i="36"/>
  <c r="J313" i="36" s="1"/>
  <c r="H227" i="36"/>
  <c r="J227" i="36" s="1"/>
  <c r="AD29" i="9"/>
  <c r="AC29" i="9"/>
  <c r="AD22" i="9"/>
  <c r="AC22" i="9"/>
  <c r="AD26" i="9"/>
  <c r="AC26" i="9"/>
  <c r="AD25" i="9"/>
  <c r="AC25" i="9"/>
  <c r="AD23" i="9"/>
  <c r="AC23" i="9"/>
  <c r="I266" i="36"/>
  <c r="K266" i="36"/>
  <c r="G61" i="36"/>
  <c r="G51" i="36"/>
  <c r="G340" i="36"/>
  <c r="G55" i="36"/>
  <c r="G60" i="36"/>
  <c r="G275" i="36"/>
  <c r="G50" i="36"/>
  <c r="E151" i="36"/>
  <c r="G70" i="36"/>
  <c r="G299" i="36"/>
  <c r="E153" i="36"/>
  <c r="F46" i="36"/>
  <c r="F74" i="36"/>
  <c r="G76" i="36"/>
  <c r="F252" i="36"/>
  <c r="G240" i="36"/>
  <c r="G64" i="36"/>
  <c r="G54" i="36"/>
  <c r="E313" i="36"/>
  <c r="E266" i="36"/>
  <c r="B120" i="20"/>
  <c r="C120" i="20" s="1"/>
  <c r="B14" i="37"/>
  <c r="B155" i="37" s="1"/>
  <c r="D14" i="20"/>
  <c r="P24" i="42"/>
  <c r="R24" i="42" s="1"/>
  <c r="P13" i="42"/>
  <c r="R13" i="42" s="1"/>
  <c r="K8" i="19"/>
  <c r="Q5" i="42"/>
  <c r="G266" i="36"/>
  <c r="K247" i="36"/>
  <c r="F266" i="36"/>
  <c r="P16" i="42"/>
  <c r="R16" i="42" s="1"/>
  <c r="O4" i="6"/>
  <c r="Q4" i="6" s="1"/>
  <c r="R9" i="9"/>
  <c r="T9" i="9"/>
  <c r="P5" i="42"/>
  <c r="R5" i="42" s="1"/>
  <c r="P7" i="42"/>
  <c r="R7" i="42" s="1"/>
  <c r="Q16" i="42"/>
  <c r="Q26" i="42"/>
  <c r="C470" i="20"/>
  <c r="I87" i="36"/>
  <c r="H210" i="36"/>
  <c r="J210" i="36" s="1"/>
  <c r="I210" i="36" s="1"/>
  <c r="J23" i="19"/>
  <c r="J5" i="19"/>
  <c r="K6" i="19"/>
  <c r="K213" i="36"/>
  <c r="K31" i="19"/>
  <c r="B471" i="20"/>
  <c r="B469" i="20"/>
  <c r="B468" i="20"/>
  <c r="C467" i="20"/>
  <c r="C473" i="20"/>
  <c r="K215" i="36"/>
  <c r="I215" i="36"/>
  <c r="K211" i="36"/>
  <c r="I211" i="36"/>
  <c r="J4" i="19"/>
  <c r="K4" i="19"/>
  <c r="J27" i="19"/>
  <c r="I214" i="36"/>
  <c r="K214" i="36"/>
  <c r="H212" i="36"/>
  <c r="J212" i="36" s="1"/>
  <c r="H208" i="36"/>
  <c r="J208" i="36" s="1"/>
  <c r="K323" i="36"/>
  <c r="I323" i="36"/>
  <c r="I367" i="36"/>
  <c r="K367" i="36"/>
  <c r="K22" i="19"/>
  <c r="J22" i="19"/>
  <c r="K248" i="36"/>
  <c r="I248" i="36"/>
  <c r="K347" i="36"/>
  <c r="I347" i="36"/>
  <c r="I320" i="36"/>
  <c r="K320" i="36"/>
  <c r="K368" i="36"/>
  <c r="I368" i="36"/>
  <c r="J9" i="19"/>
  <c r="K9" i="19"/>
  <c r="I322" i="36"/>
  <c r="K322" i="36"/>
  <c r="G32" i="19"/>
  <c r="H470" i="36" s="1"/>
  <c r="J470" i="36" s="1"/>
  <c r="H32" i="19"/>
  <c r="I319" i="36"/>
  <c r="K319" i="36"/>
  <c r="K366" i="36"/>
  <c r="I366" i="36"/>
  <c r="I318" i="36"/>
  <c r="K318" i="36"/>
  <c r="I471" i="36"/>
  <c r="K471" i="36"/>
  <c r="K321" i="36"/>
  <c r="I321" i="36"/>
  <c r="I311" i="36"/>
  <c r="K311" i="36"/>
  <c r="I433" i="36"/>
  <c r="K433" i="36"/>
  <c r="O11" i="18"/>
  <c r="P11" i="18" s="1"/>
  <c r="F70" i="36"/>
  <c r="K38" i="36"/>
  <c r="I38" i="36"/>
  <c r="K83" i="36"/>
  <c r="I83" i="36"/>
  <c r="P25" i="42"/>
  <c r="R25" i="42" s="1"/>
  <c r="S19" i="9"/>
  <c r="U19" i="9" s="1"/>
  <c r="L14" i="42"/>
  <c r="P14" i="42" s="1"/>
  <c r="R14" i="42" s="1"/>
  <c r="Q23" i="42"/>
  <c r="P9" i="42"/>
  <c r="R9" i="42" s="1"/>
  <c r="P26" i="42"/>
  <c r="R26" i="42" s="1"/>
  <c r="P18" i="42"/>
  <c r="R18" i="42" s="1"/>
  <c r="P12" i="42"/>
  <c r="R12" i="42" s="1"/>
  <c r="Q9" i="42"/>
  <c r="M19" i="18"/>
  <c r="L22" i="18"/>
  <c r="O31" i="6"/>
  <c r="Q31" i="6" s="1"/>
  <c r="P4" i="42"/>
  <c r="R4" i="42" s="1"/>
  <c r="P17" i="42"/>
  <c r="R17" i="42" s="1"/>
  <c r="N24" i="21"/>
  <c r="Q7" i="42"/>
  <c r="Q6" i="42"/>
  <c r="Q4" i="42"/>
  <c r="K59" i="18"/>
  <c r="S6" i="9"/>
  <c r="U6" i="9" s="1"/>
  <c r="P23" i="42"/>
  <c r="R23" i="42" s="1"/>
  <c r="O9" i="6"/>
  <c r="Q9" i="6" s="1"/>
  <c r="P10" i="42"/>
  <c r="R10" i="42" s="1"/>
  <c r="L12" i="18"/>
  <c r="Z15" i="10"/>
  <c r="N15" i="18"/>
  <c r="AA15" i="10"/>
  <c r="P22" i="42"/>
  <c r="R22" i="42" s="1"/>
  <c r="O62" i="18"/>
  <c r="Q62" i="18" s="1"/>
  <c r="N12" i="18"/>
  <c r="Q25" i="42"/>
  <c r="K12" i="18"/>
  <c r="Q22" i="42"/>
  <c r="N59" i="18"/>
  <c r="M15" i="18"/>
  <c r="O33" i="18"/>
  <c r="P33" i="18" s="1"/>
  <c r="M34" i="21"/>
  <c r="L65" i="18"/>
  <c r="K17" i="18"/>
  <c r="P8" i="42"/>
  <c r="R8" i="42" s="1"/>
  <c r="M17" i="18"/>
  <c r="M54" i="18"/>
  <c r="S13" i="9"/>
  <c r="U13" i="9" s="1"/>
  <c r="L34" i="21"/>
  <c r="M65" i="18"/>
  <c r="N54" i="18"/>
  <c r="K54" i="18"/>
  <c r="P6" i="42"/>
  <c r="R6" i="42" s="1"/>
  <c r="O7" i="6"/>
  <c r="Q7" i="6" s="1"/>
  <c r="Q7" i="21"/>
  <c r="O20" i="18"/>
  <c r="P20" i="18" s="1"/>
  <c r="S14" i="9"/>
  <c r="U14" i="9" s="1"/>
  <c r="O69" i="18"/>
  <c r="Q69" i="18" s="1"/>
  <c r="L17" i="18"/>
  <c r="N19" i="18"/>
  <c r="Q34" i="21"/>
  <c r="P20" i="42"/>
  <c r="R20" i="42" s="1"/>
  <c r="O24" i="6"/>
  <c r="Q24" i="6" s="1"/>
  <c r="K65" i="18"/>
  <c r="L31" i="18"/>
  <c r="M59" i="18"/>
  <c r="K53" i="18"/>
  <c r="M31" i="18"/>
  <c r="L7" i="21"/>
  <c r="L53" i="18"/>
  <c r="N31" i="18"/>
  <c r="M63" i="18"/>
  <c r="K32" i="18"/>
  <c r="L46" i="18"/>
  <c r="L27" i="42"/>
  <c r="P27" i="42" s="1"/>
  <c r="R27" i="42" s="1"/>
  <c r="Q24" i="21"/>
  <c r="O27" i="6"/>
  <c r="Q27" i="6" s="1"/>
  <c r="M7" i="21"/>
  <c r="N32" i="18"/>
  <c r="Q19" i="21"/>
  <c r="M53" i="18"/>
  <c r="L63" i="18"/>
  <c r="L32" i="18"/>
  <c r="L19" i="21"/>
  <c r="N7" i="21"/>
  <c r="L24" i="21"/>
  <c r="N63" i="18"/>
  <c r="P19" i="42"/>
  <c r="R19" i="42" s="1"/>
  <c r="P15" i="42"/>
  <c r="R15" i="42" s="1"/>
  <c r="J60" i="18"/>
  <c r="J44" i="18"/>
  <c r="J38" i="18"/>
  <c r="J45" i="18"/>
  <c r="J51" i="18"/>
  <c r="J61" i="18"/>
  <c r="J13" i="21"/>
  <c r="J35" i="21"/>
  <c r="K35" i="21" s="1"/>
  <c r="N35" i="21" s="1"/>
  <c r="J40" i="18"/>
  <c r="J57" i="18"/>
  <c r="J26" i="18"/>
  <c r="J35" i="18"/>
  <c r="M71" i="18"/>
  <c r="J32" i="21"/>
  <c r="K32" i="21" s="1"/>
  <c r="Q32" i="21" s="1"/>
  <c r="P50" i="21"/>
  <c r="R50" i="21" s="1"/>
  <c r="J5" i="21"/>
  <c r="J66" i="18"/>
  <c r="J34" i="18"/>
  <c r="K58" i="18"/>
  <c r="M64" i="18"/>
  <c r="J13" i="18"/>
  <c r="M49" i="18"/>
  <c r="J56" i="18"/>
  <c r="K73" i="18"/>
  <c r="J16" i="18"/>
  <c r="Y10" i="10"/>
  <c r="J39" i="18"/>
  <c r="L64" i="18"/>
  <c r="N22" i="18"/>
  <c r="L15" i="18"/>
  <c r="M36" i="18"/>
  <c r="K41" i="18"/>
  <c r="J70" i="18"/>
  <c r="AA10" i="10"/>
  <c r="N19" i="21"/>
  <c r="J33" i="21"/>
  <c r="K33" i="21" s="1"/>
  <c r="N33" i="21" s="1"/>
  <c r="T5" i="9"/>
  <c r="J30" i="18"/>
  <c r="N49" i="18"/>
  <c r="J29" i="18"/>
  <c r="K36" i="18"/>
  <c r="N73" i="18"/>
  <c r="N41" i="18"/>
  <c r="J50" i="18"/>
  <c r="W16" i="10"/>
  <c r="J55" i="18"/>
  <c r="M46" i="18"/>
  <c r="J72" i="18"/>
  <c r="K71" i="18"/>
  <c r="W9" i="10"/>
  <c r="J21" i="21"/>
  <c r="J52" i="18"/>
  <c r="W14" i="10"/>
  <c r="J18" i="18"/>
  <c r="J43" i="18"/>
  <c r="J24" i="18"/>
  <c r="J17" i="21"/>
  <c r="N64" i="18"/>
  <c r="K49" i="18"/>
  <c r="M73" i="18"/>
  <c r="J27" i="18"/>
  <c r="J21" i="18"/>
  <c r="J68" i="18"/>
  <c r="M22" i="18"/>
  <c r="J37" i="18"/>
  <c r="J14" i="18"/>
  <c r="N46" i="18"/>
  <c r="M58" i="18"/>
  <c r="J6" i="21"/>
  <c r="K19" i="18"/>
  <c r="N58" i="18"/>
  <c r="J28" i="18"/>
  <c r="L36" i="18"/>
  <c r="L41" i="18"/>
  <c r="J67" i="18"/>
  <c r="J23" i="18"/>
  <c r="J47" i="18"/>
  <c r="L47" i="18" s="1"/>
  <c r="J48" i="18"/>
  <c r="J74" i="18"/>
  <c r="N71" i="18"/>
  <c r="W11" i="10"/>
  <c r="P51" i="21"/>
  <c r="R51" i="21" s="1"/>
  <c r="I43" i="36"/>
  <c r="H44" i="36"/>
  <c r="J44" i="36" s="1"/>
  <c r="H89" i="36"/>
  <c r="J89" i="36" s="1"/>
  <c r="H314" i="36"/>
  <c r="J314" i="36" s="1"/>
  <c r="H228" i="36"/>
  <c r="J228" i="36" s="1"/>
  <c r="J113" i="39"/>
  <c r="H113" i="39"/>
  <c r="K113" i="39" s="1"/>
  <c r="H41" i="36"/>
  <c r="J41" i="36" s="1"/>
  <c r="H86" i="36"/>
  <c r="J86" i="36" s="1"/>
  <c r="J108" i="39"/>
  <c r="H108" i="39"/>
  <c r="K108" i="39" s="1"/>
  <c r="J111" i="39"/>
  <c r="H111" i="39"/>
  <c r="K111" i="39" s="1"/>
  <c r="P52" i="21"/>
  <c r="R52" i="21" s="1"/>
  <c r="I372" i="36"/>
  <c r="K372" i="36"/>
  <c r="E70" i="36"/>
  <c r="L29" i="42"/>
  <c r="P29" i="42" s="1"/>
  <c r="R29" i="42" s="1"/>
  <c r="E14" i="37"/>
  <c r="E155" i="37" s="1"/>
  <c r="F296" i="36"/>
  <c r="G296" i="36"/>
  <c r="B130" i="20"/>
  <c r="D130" i="20" s="1"/>
  <c r="B132" i="20"/>
  <c r="D132" i="20" s="1"/>
  <c r="G153" i="36"/>
  <c r="B26" i="37"/>
  <c r="D26" i="37" s="1"/>
  <c r="E252" i="36"/>
  <c r="F153" i="36"/>
  <c r="G252" i="36"/>
  <c r="F240" i="36"/>
  <c r="F464" i="36"/>
  <c r="E240" i="36"/>
  <c r="D24" i="20"/>
  <c r="D26" i="20"/>
  <c r="B24" i="37"/>
  <c r="D24" i="37" s="1"/>
  <c r="I430" i="36"/>
  <c r="K430" i="36"/>
  <c r="K258" i="36"/>
  <c r="I258" i="36"/>
  <c r="K59" i="36"/>
  <c r="I59" i="36"/>
  <c r="K110" i="36"/>
  <c r="I110" i="36"/>
  <c r="K111" i="36"/>
  <c r="I111" i="36"/>
  <c r="K109" i="36"/>
  <c r="I109" i="36"/>
  <c r="Q75" i="18"/>
  <c r="P75" i="18"/>
  <c r="K76" i="18"/>
  <c r="O76" i="18" s="1"/>
  <c r="I474" i="36"/>
  <c r="K474" i="36"/>
  <c r="K78" i="18"/>
  <c r="O78" i="18" s="1"/>
  <c r="K473" i="36"/>
  <c r="I473" i="36"/>
  <c r="K77" i="18"/>
  <c r="O77" i="18" s="1"/>
  <c r="Q79" i="18"/>
  <c r="P79" i="18"/>
  <c r="K395" i="36"/>
  <c r="I267" i="36"/>
  <c r="I246" i="36"/>
  <c r="I50" i="36"/>
  <c r="K275" i="36"/>
  <c r="K383" i="36"/>
  <c r="E74" i="36"/>
  <c r="F151" i="36"/>
  <c r="C157" i="37"/>
  <c r="D157" i="37"/>
  <c r="G156" i="36"/>
  <c r="G6" i="36"/>
  <c r="G14" i="36"/>
  <c r="G141" i="36"/>
  <c r="C308" i="20"/>
  <c r="G17" i="36"/>
  <c r="G300" i="36"/>
  <c r="G46" i="36"/>
  <c r="G293" i="36"/>
  <c r="G298" i="36"/>
  <c r="B34" i="37"/>
  <c r="B140" i="20"/>
  <c r="C34" i="20"/>
  <c r="D34" i="20"/>
  <c r="G13" i="36"/>
  <c r="G369" i="36"/>
  <c r="G161" i="36"/>
  <c r="G18" i="36"/>
  <c r="G292" i="36"/>
  <c r="F141" i="36"/>
  <c r="G89" i="36"/>
  <c r="G138" i="36"/>
  <c r="G151" i="36"/>
  <c r="G241" i="36"/>
  <c r="G329" i="36"/>
  <c r="G11" i="36"/>
  <c r="G303" i="36"/>
  <c r="G26" i="36"/>
  <c r="G147" i="36"/>
  <c r="G7" i="36"/>
  <c r="G302" i="36"/>
  <c r="G301" i="36"/>
  <c r="G74" i="36"/>
  <c r="E46" i="36"/>
  <c r="G157" i="36"/>
  <c r="G294" i="36"/>
  <c r="G297" i="36"/>
  <c r="E34" i="37"/>
  <c r="E175" i="37" s="1"/>
  <c r="E140" i="20"/>
  <c r="G88" i="36"/>
  <c r="G315" i="36"/>
  <c r="G85" i="36"/>
  <c r="G86" i="36"/>
  <c r="Q28" i="19"/>
  <c r="R28" i="19"/>
  <c r="K50" i="36"/>
  <c r="E86" i="36"/>
  <c r="F86" i="36"/>
  <c r="E133" i="36"/>
  <c r="G133" i="36"/>
  <c r="E136" i="36"/>
  <c r="G136" i="36"/>
  <c r="E237" i="36"/>
  <c r="G237" i="36"/>
  <c r="E239" i="36"/>
  <c r="G239" i="36"/>
  <c r="F315" i="36"/>
  <c r="E315" i="36"/>
  <c r="F7" i="36"/>
  <c r="F89" i="36"/>
  <c r="E11" i="36"/>
  <c r="E85" i="36"/>
  <c r="AB22" i="21"/>
  <c r="D65" i="36" s="1"/>
  <c r="F181" i="20"/>
  <c r="F77" i="20" s="1"/>
  <c r="F231" i="37"/>
  <c r="Y22" i="21"/>
  <c r="AA7" i="21"/>
  <c r="Z7" i="21"/>
  <c r="E26" i="36"/>
  <c r="F26" i="36"/>
  <c r="F147" i="36"/>
  <c r="F239" i="36"/>
  <c r="D84" i="20"/>
  <c r="C84" i="20"/>
  <c r="B188" i="20"/>
  <c r="B105" i="37"/>
  <c r="F85" i="36"/>
  <c r="F300" i="36"/>
  <c r="E300" i="36"/>
  <c r="D161" i="20"/>
  <c r="C161" i="20"/>
  <c r="E147" i="36"/>
  <c r="B196" i="37"/>
  <c r="D55" i="37"/>
  <c r="C55" i="37"/>
  <c r="D14" i="37"/>
  <c r="I20" i="21"/>
  <c r="H62" i="39"/>
  <c r="H20" i="21"/>
  <c r="H64" i="36" s="1"/>
  <c r="J64" i="36" s="1"/>
  <c r="J70" i="33"/>
  <c r="K70" i="33" s="1"/>
  <c r="I67" i="32"/>
  <c r="J67" i="32" s="1"/>
  <c r="J57" i="39" s="1"/>
  <c r="K57" i="39" s="1"/>
  <c r="H12" i="21"/>
  <c r="H56" i="36" s="1"/>
  <c r="J56" i="36" s="1"/>
  <c r="I12" i="21"/>
  <c r="I22" i="21"/>
  <c r="H61" i="39"/>
  <c r="I77" i="32"/>
  <c r="J77" i="32" s="1"/>
  <c r="J67" i="39" s="1"/>
  <c r="K67" i="39" s="1"/>
  <c r="H22" i="21"/>
  <c r="H65" i="36" s="1"/>
  <c r="J65" i="36" s="1"/>
  <c r="J79" i="33"/>
  <c r="K79" i="33" s="1"/>
  <c r="P11" i="21"/>
  <c r="R11" i="21" s="1"/>
  <c r="X17" i="21"/>
  <c r="I25" i="21"/>
  <c r="I75" i="32"/>
  <c r="J75" i="32" s="1"/>
  <c r="J65" i="39" s="1"/>
  <c r="K65" i="39" s="1"/>
  <c r="H25" i="21"/>
  <c r="H62" i="36" s="1"/>
  <c r="J62" i="36" s="1"/>
  <c r="J77" i="33"/>
  <c r="K77" i="33" s="1"/>
  <c r="N30" i="21"/>
  <c r="Q30" i="21"/>
  <c r="M30" i="21"/>
  <c r="L30" i="21"/>
  <c r="K202" i="36"/>
  <c r="I202" i="36"/>
  <c r="X13" i="21"/>
  <c r="K137" i="36"/>
  <c r="I137" i="36"/>
  <c r="I15" i="21"/>
  <c r="I69" i="32"/>
  <c r="J69" i="32" s="1"/>
  <c r="J59" i="39" s="1"/>
  <c r="K59" i="39" s="1"/>
  <c r="H15" i="21"/>
  <c r="H57" i="36" s="1"/>
  <c r="J57" i="36" s="1"/>
  <c r="J72" i="33"/>
  <c r="K72" i="33" s="1"/>
  <c r="I9" i="21"/>
  <c r="J9" i="21" s="1"/>
  <c r="K9" i="21" s="1"/>
  <c r="I65" i="32"/>
  <c r="J65" i="32" s="1"/>
  <c r="J55" i="39" s="1"/>
  <c r="K55" i="39" s="1"/>
  <c r="J69" i="33"/>
  <c r="K69" i="33" s="1"/>
  <c r="H9" i="21"/>
  <c r="H281" i="36" s="1"/>
  <c r="J281" i="36" s="1"/>
  <c r="X21" i="21"/>
  <c r="H8" i="21"/>
  <c r="H54" i="36" s="1"/>
  <c r="J54" i="36" s="1"/>
  <c r="H66" i="39"/>
  <c r="I64" i="32"/>
  <c r="J64" i="32" s="1"/>
  <c r="J54" i="39" s="1"/>
  <c r="K54" i="39" s="1"/>
  <c r="J68" i="33"/>
  <c r="K68" i="33" s="1"/>
  <c r="Q26" i="21"/>
  <c r="N26" i="21"/>
  <c r="L26" i="21"/>
  <c r="M26" i="21"/>
  <c r="N28" i="21"/>
  <c r="Q28" i="21"/>
  <c r="M28" i="21"/>
  <c r="L28" i="21"/>
  <c r="N14" i="21"/>
  <c r="M14" i="21"/>
  <c r="Q14" i="21"/>
  <c r="L14" i="21"/>
  <c r="I23" i="21"/>
  <c r="J23" i="21" s="1"/>
  <c r="K23" i="21" s="1"/>
  <c r="I78" i="32"/>
  <c r="J78" i="32" s="1"/>
  <c r="J68" i="39" s="1"/>
  <c r="K68" i="39" s="1"/>
  <c r="H23" i="21"/>
  <c r="H66" i="36" s="1"/>
  <c r="J66" i="36" s="1"/>
  <c r="K58" i="36"/>
  <c r="I58" i="36"/>
  <c r="K271" i="36"/>
  <c r="I271" i="36"/>
  <c r="I10" i="21"/>
  <c r="H10" i="21"/>
  <c r="H55" i="36" s="1"/>
  <c r="J55" i="36" s="1"/>
  <c r="H67" i="39"/>
  <c r="I66" i="32"/>
  <c r="J66" i="32" s="1"/>
  <c r="J56" i="39" s="1"/>
  <c r="K56" i="39" s="1"/>
  <c r="I49" i="36"/>
  <c r="K49" i="36"/>
  <c r="K51" i="36"/>
  <c r="I51" i="36"/>
  <c r="K60" i="36"/>
  <c r="I60" i="36"/>
  <c r="I52" i="36"/>
  <c r="K52" i="36"/>
  <c r="X6" i="21"/>
  <c r="I197" i="36"/>
  <c r="K197" i="36"/>
  <c r="C185" i="20"/>
  <c r="D185" i="20"/>
  <c r="F58" i="37"/>
  <c r="C108" i="37"/>
  <c r="B241" i="37"/>
  <c r="D108" i="37"/>
  <c r="E58" i="20"/>
  <c r="E164" i="20" s="1"/>
  <c r="D191" i="20"/>
  <c r="C191" i="20"/>
  <c r="E206" i="20"/>
  <c r="E123" i="37"/>
  <c r="E256" i="37" s="1"/>
  <c r="B235" i="37"/>
  <c r="D102" i="37"/>
  <c r="C102" i="37"/>
  <c r="C102" i="20"/>
  <c r="D102" i="20"/>
  <c r="B206" i="20"/>
  <c r="B123" i="37"/>
  <c r="C113" i="20"/>
  <c r="D113" i="20"/>
  <c r="E127" i="20"/>
  <c r="E21" i="37"/>
  <c r="E162" i="37" s="1"/>
  <c r="B11" i="37"/>
  <c r="C11" i="20"/>
  <c r="D11" i="20"/>
  <c r="B117" i="20"/>
  <c r="E143" i="20"/>
  <c r="E37" i="37"/>
  <c r="E178" i="37" s="1"/>
  <c r="E106" i="37"/>
  <c r="E239" i="37" s="1"/>
  <c r="E189" i="20"/>
  <c r="E152" i="20"/>
  <c r="E46" i="37"/>
  <c r="E187" i="37" s="1"/>
  <c r="B106" i="37"/>
  <c r="B189" i="20"/>
  <c r="D85" i="20"/>
  <c r="C85" i="20"/>
  <c r="D94" i="20"/>
  <c r="B198" i="20"/>
  <c r="C94" i="20"/>
  <c r="B115" i="37"/>
  <c r="D21" i="20"/>
  <c r="B127" i="20"/>
  <c r="B21" i="37"/>
  <c r="C21" i="20"/>
  <c r="B46" i="37"/>
  <c r="C46" i="20"/>
  <c r="B152" i="20"/>
  <c r="D46" i="20"/>
  <c r="C57" i="20"/>
  <c r="D57" i="20"/>
  <c r="B57" i="37"/>
  <c r="B163" i="20"/>
  <c r="E31" i="37"/>
  <c r="E172" i="37" s="1"/>
  <c r="E137" i="20"/>
  <c r="F76" i="36"/>
  <c r="E198" i="20"/>
  <c r="E115" i="37"/>
  <c r="E248" i="37" s="1"/>
  <c r="E163" i="20"/>
  <c r="E57" i="37"/>
  <c r="E198" i="37" s="1"/>
  <c r="E76" i="36"/>
  <c r="E293" i="36"/>
  <c r="F293" i="36"/>
  <c r="E303" i="36"/>
  <c r="F303" i="36"/>
  <c r="E123" i="20"/>
  <c r="E17" i="37"/>
  <c r="E158" i="37" s="1"/>
  <c r="AT13" i="14"/>
  <c r="AS13" i="14"/>
  <c r="D32" i="20"/>
  <c r="B32" i="37"/>
  <c r="B138" i="20"/>
  <c r="C32" i="20"/>
  <c r="E294" i="36"/>
  <c r="F294" i="36"/>
  <c r="E160" i="20"/>
  <c r="E54" i="37"/>
  <c r="E195" i="37" s="1"/>
  <c r="E93" i="37"/>
  <c r="E226" i="37" s="1"/>
  <c r="E176" i="20"/>
  <c r="C17" i="20"/>
  <c r="B123" i="20"/>
  <c r="D17" i="20"/>
  <c r="B17" i="37"/>
  <c r="E369" i="36"/>
  <c r="F369" i="36"/>
  <c r="E32" i="37"/>
  <c r="E173" i="37" s="1"/>
  <c r="E138" i="20"/>
  <c r="E205" i="20"/>
  <c r="E122" i="37"/>
  <c r="E255" i="37" s="1"/>
  <c r="E145" i="20"/>
  <c r="E39" i="37"/>
  <c r="E180" i="37" s="1"/>
  <c r="E141" i="36"/>
  <c r="E209" i="20"/>
  <c r="E126" i="37"/>
  <c r="E259" i="37" s="1"/>
  <c r="D101" i="20"/>
  <c r="B122" i="37"/>
  <c r="B205" i="20"/>
  <c r="C101" i="20"/>
  <c r="D39" i="20"/>
  <c r="B145" i="20"/>
  <c r="B39" i="37"/>
  <c r="C39" i="20"/>
  <c r="C72" i="20"/>
  <c r="D72" i="20"/>
  <c r="B93" i="37"/>
  <c r="B176" i="20"/>
  <c r="F302" i="36"/>
  <c r="E302" i="36"/>
  <c r="E464" i="36"/>
  <c r="E173" i="20"/>
  <c r="E90" i="37"/>
  <c r="E223" i="37" s="1"/>
  <c r="F297" i="36"/>
  <c r="E297" i="36"/>
  <c r="E119" i="20"/>
  <c r="E13" i="37"/>
  <c r="E154" i="37" s="1"/>
  <c r="E11" i="37"/>
  <c r="E152" i="37" s="1"/>
  <c r="E117" i="20"/>
  <c r="D13" i="20"/>
  <c r="C13" i="20"/>
  <c r="B13" i="37"/>
  <c r="B119" i="20"/>
  <c r="F237" i="36"/>
  <c r="E18" i="37"/>
  <c r="E159" i="37" s="1"/>
  <c r="E124" i="20"/>
  <c r="B18" i="37"/>
  <c r="D18" i="20"/>
  <c r="C18" i="20"/>
  <c r="B124" i="20"/>
  <c r="B54" i="37"/>
  <c r="B160" i="20"/>
  <c r="C54" i="20"/>
  <c r="D54" i="20"/>
  <c r="B31" i="37"/>
  <c r="C31" i="20"/>
  <c r="B137" i="20"/>
  <c r="D31" i="20"/>
  <c r="D105" i="20"/>
  <c r="C105" i="20"/>
  <c r="B209" i="20"/>
  <c r="B126" i="37"/>
  <c r="B173" i="20"/>
  <c r="B90" i="37"/>
  <c r="D69" i="20"/>
  <c r="C69" i="20"/>
  <c r="F301" i="36"/>
  <c r="E301" i="36"/>
  <c r="E124" i="37"/>
  <c r="E257" i="37" s="1"/>
  <c r="E207" i="20"/>
  <c r="E208" i="20"/>
  <c r="E125" i="37"/>
  <c r="E258" i="37" s="1"/>
  <c r="E298" i="36"/>
  <c r="F298" i="36"/>
  <c r="C7" i="37"/>
  <c r="D7" i="37"/>
  <c r="B148" i="37"/>
  <c r="C104" i="20"/>
  <c r="B125" i="37"/>
  <c r="D104" i="20"/>
  <c r="B208" i="20"/>
  <c r="B124" i="37"/>
  <c r="B207" i="20"/>
  <c r="C103" i="20"/>
  <c r="D103" i="20"/>
  <c r="B37" i="37"/>
  <c r="C37" i="20"/>
  <c r="B143" i="20"/>
  <c r="D37" i="20"/>
  <c r="Y19" i="21"/>
  <c r="F179" i="20"/>
  <c r="F75" i="20" s="1"/>
  <c r="AB19" i="21"/>
  <c r="D63" i="36" s="1"/>
  <c r="F229" i="37"/>
  <c r="E60" i="36"/>
  <c r="F11" i="36"/>
  <c r="B242" i="37"/>
  <c r="D242" i="37" s="1"/>
  <c r="E128" i="20"/>
  <c r="B22" i="37"/>
  <c r="D22" i="37" s="1"/>
  <c r="D22" i="20"/>
  <c r="C22" i="20"/>
  <c r="H39" i="36"/>
  <c r="J39" i="36" s="1"/>
  <c r="H84" i="36"/>
  <c r="J84" i="36" s="1"/>
  <c r="H106" i="39"/>
  <c r="K106" i="39" s="1"/>
  <c r="J106" i="39"/>
  <c r="C109" i="37"/>
  <c r="E89" i="36"/>
  <c r="D192" i="20"/>
  <c r="D40" i="20"/>
  <c r="B112" i="37"/>
  <c r="C112" i="37" s="1"/>
  <c r="D91" i="20"/>
  <c r="E180" i="20"/>
  <c r="B195" i="20"/>
  <c r="D195" i="20" s="1"/>
  <c r="P35" i="42"/>
  <c r="R35" i="42" s="1"/>
  <c r="E299" i="36"/>
  <c r="O10" i="18"/>
  <c r="Q10" i="18" s="1"/>
  <c r="AA35" i="21"/>
  <c r="Z35" i="21"/>
  <c r="F8" i="37"/>
  <c r="Q41" i="42"/>
  <c r="E51" i="36"/>
  <c r="Z33" i="21"/>
  <c r="AA33" i="21"/>
  <c r="N8" i="18"/>
  <c r="B160" i="37"/>
  <c r="C19" i="37"/>
  <c r="D19" i="37"/>
  <c r="E61" i="36"/>
  <c r="Z5" i="21"/>
  <c r="D137" i="36"/>
  <c r="I71" i="39"/>
  <c r="C257" i="20"/>
  <c r="AA8" i="21"/>
  <c r="Z8" i="21"/>
  <c r="E54" i="36"/>
  <c r="F25" i="37"/>
  <c r="E25" i="20"/>
  <c r="AA10" i="21"/>
  <c r="Z10" i="21"/>
  <c r="Z18" i="21"/>
  <c r="AA18" i="21"/>
  <c r="Z32" i="21"/>
  <c r="AA32" i="21"/>
  <c r="E50" i="36"/>
  <c r="AA20" i="21"/>
  <c r="Z20" i="21"/>
  <c r="E49" i="20"/>
  <c r="F49" i="37"/>
  <c r="D125" i="20"/>
  <c r="C125" i="20"/>
  <c r="E55" i="36"/>
  <c r="E73" i="20"/>
  <c r="F94" i="37"/>
  <c r="F20" i="37"/>
  <c r="E20" i="20"/>
  <c r="E64" i="36"/>
  <c r="AA24" i="21"/>
  <c r="Z24" i="21"/>
  <c r="AA34" i="21"/>
  <c r="Z34" i="21"/>
  <c r="E146" i="20"/>
  <c r="E192" i="20"/>
  <c r="F136" i="36"/>
  <c r="L30" i="42"/>
  <c r="Q30" i="42"/>
  <c r="Q37" i="42"/>
  <c r="L37" i="42"/>
  <c r="Q31" i="42"/>
  <c r="L31" i="42"/>
  <c r="Q40" i="42"/>
  <c r="L40" i="42"/>
  <c r="K267" i="36"/>
  <c r="N9" i="18"/>
  <c r="K6" i="18"/>
  <c r="L9" i="18"/>
  <c r="K8" i="18"/>
  <c r="M42" i="18"/>
  <c r="M5" i="18"/>
  <c r="N42" i="18"/>
  <c r="N5" i="18"/>
  <c r="K5" i="18"/>
  <c r="M8" i="18"/>
  <c r="K9" i="18"/>
  <c r="K42" i="18"/>
  <c r="L6" i="18"/>
  <c r="N6" i="18"/>
  <c r="Q7" i="18"/>
  <c r="B28" i="37"/>
  <c r="B169" i="37" s="1"/>
  <c r="B40" i="37"/>
  <c r="C40" i="37" s="1"/>
  <c r="D28" i="20"/>
  <c r="B134" i="20"/>
  <c r="C134" i="20" s="1"/>
  <c r="B146" i="20"/>
  <c r="D146" i="20" s="1"/>
  <c r="I383" i="36"/>
  <c r="I275" i="36"/>
  <c r="K246" i="36"/>
  <c r="K378" i="36"/>
  <c r="I378" i="36"/>
  <c r="I395" i="36"/>
  <c r="K4" i="18"/>
  <c r="N4" i="18"/>
  <c r="M4" i="18"/>
  <c r="L4" i="18"/>
  <c r="K218" i="36"/>
  <c r="I218" i="36"/>
  <c r="E275" i="36"/>
  <c r="F275" i="36"/>
  <c r="F340" i="36"/>
  <c r="E340" i="36"/>
  <c r="H371" i="36"/>
  <c r="J371" i="36" s="1"/>
  <c r="J370" i="36"/>
  <c r="K389" i="36"/>
  <c r="I389" i="36"/>
  <c r="K379" i="36"/>
  <c r="I379" i="36"/>
  <c r="I220" i="36"/>
  <c r="K220" i="36"/>
  <c r="K364" i="36"/>
  <c r="I364" i="36"/>
  <c r="M25" i="18"/>
  <c r="K25" i="18"/>
  <c r="L25" i="18"/>
  <c r="N25" i="18"/>
  <c r="K392" i="36"/>
  <c r="I392" i="36"/>
  <c r="K253" i="36"/>
  <c r="I253" i="36"/>
  <c r="K390" i="36"/>
  <c r="I390" i="36"/>
  <c r="I274" i="36"/>
  <c r="K274" i="36"/>
  <c r="I381" i="36"/>
  <c r="K381" i="36"/>
  <c r="I398" i="36"/>
  <c r="K398" i="36"/>
  <c r="I269" i="36"/>
  <c r="K269" i="36"/>
  <c r="K340" i="36"/>
  <c r="I340" i="36"/>
  <c r="K365" i="36"/>
  <c r="I365" i="36"/>
  <c r="I339" i="36"/>
  <c r="K339" i="36"/>
  <c r="K387" i="36"/>
  <c r="I387" i="36"/>
  <c r="I362" i="36"/>
  <c r="K362" i="36"/>
  <c r="D286" i="36"/>
  <c r="B395" i="20"/>
  <c r="C395" i="20"/>
  <c r="I391" i="36"/>
  <c r="K391" i="36"/>
  <c r="K393" i="36"/>
  <c r="I393" i="36"/>
  <c r="I386" i="36"/>
  <c r="K386" i="36"/>
  <c r="W47" i="18"/>
  <c r="X47" i="18"/>
  <c r="I458" i="36"/>
  <c r="K458" i="36"/>
  <c r="I459" i="36"/>
  <c r="K459" i="36"/>
  <c r="K397" i="36"/>
  <c r="I397" i="36"/>
  <c r="I242" i="36"/>
  <c r="K242" i="36"/>
  <c r="K251" i="36"/>
  <c r="I251" i="36"/>
  <c r="K222" i="36"/>
  <c r="I222" i="36"/>
  <c r="E103" i="37"/>
  <c r="E236" i="37" s="1"/>
  <c r="C50" i="20"/>
  <c r="D50" i="20"/>
  <c r="F133" i="36"/>
  <c r="B50" i="37"/>
  <c r="B191" i="37" s="1"/>
  <c r="E112" i="37"/>
  <c r="E245" i="37" s="1"/>
  <c r="C58" i="20"/>
  <c r="B164" i="20"/>
  <c r="B58" i="37"/>
  <c r="D58" i="20"/>
  <c r="B165" i="20"/>
  <c r="D59" i="20"/>
  <c r="B59" i="37"/>
  <c r="C59" i="20"/>
  <c r="E165" i="20"/>
  <c r="E59" i="37"/>
  <c r="E200" i="37" s="1"/>
  <c r="B56" i="37"/>
  <c r="B162" i="20"/>
  <c r="C56" i="20"/>
  <c r="D56" i="20"/>
  <c r="E162" i="20"/>
  <c r="E56" i="37"/>
  <c r="E197" i="37" s="1"/>
  <c r="E292" i="36"/>
  <c r="F292" i="36"/>
  <c r="E241" i="36"/>
  <c r="F241" i="36"/>
  <c r="E157" i="36"/>
  <c r="F157" i="36"/>
  <c r="E156" i="36"/>
  <c r="F156" i="36"/>
  <c r="E161" i="36"/>
  <c r="F161" i="36"/>
  <c r="E138" i="36"/>
  <c r="F138" i="36"/>
  <c r="E329" i="36"/>
  <c r="F329" i="36"/>
  <c r="C76" i="20"/>
  <c r="D76" i="20"/>
  <c r="C43" i="20"/>
  <c r="B149" i="20"/>
  <c r="B43" i="37"/>
  <c r="D43" i="20"/>
  <c r="B180" i="20"/>
  <c r="C180" i="20" s="1"/>
  <c r="E149" i="20"/>
  <c r="E43" i="37"/>
  <c r="E184" i="37" s="1"/>
  <c r="E182" i="20"/>
  <c r="E99" i="37"/>
  <c r="E232" i="37" s="1"/>
  <c r="E142" i="20"/>
  <c r="E36" i="37"/>
  <c r="E177" i="37" s="1"/>
  <c r="E196" i="20"/>
  <c r="E113" i="37"/>
  <c r="E246" i="37" s="1"/>
  <c r="E194" i="20"/>
  <c r="E111" i="37"/>
  <c r="E244" i="37" s="1"/>
  <c r="D99" i="20"/>
  <c r="B203" i="20"/>
  <c r="B120" i="37"/>
  <c r="C99" i="20"/>
  <c r="E88" i="36"/>
  <c r="F88" i="36"/>
  <c r="B154" i="20"/>
  <c r="B48" i="37"/>
  <c r="C48" i="20"/>
  <c r="D48" i="20"/>
  <c r="C45" i="20"/>
  <c r="B45" i="37"/>
  <c r="D45" i="20"/>
  <c r="B151" i="20"/>
  <c r="D9" i="20"/>
  <c r="B115" i="20"/>
  <c r="B9" i="37"/>
  <c r="C9" i="20"/>
  <c r="E52" i="37"/>
  <c r="E193" i="37" s="1"/>
  <c r="E158" i="20"/>
  <c r="D74" i="20"/>
  <c r="B95" i="37"/>
  <c r="C74" i="20"/>
  <c r="B178" i="20"/>
  <c r="E45" i="37"/>
  <c r="E186" i="37" s="1"/>
  <c r="E151" i="20"/>
  <c r="C128" i="20"/>
  <c r="D128" i="20"/>
  <c r="D36" i="20"/>
  <c r="B36" i="37"/>
  <c r="C36" i="20"/>
  <c r="B142" i="20"/>
  <c r="D186" i="20"/>
  <c r="C186" i="20"/>
  <c r="C156" i="20"/>
  <c r="D156" i="20"/>
  <c r="E120" i="37"/>
  <c r="E253" i="37" s="1"/>
  <c r="E203" i="20"/>
  <c r="D103" i="37"/>
  <c r="C103" i="37"/>
  <c r="B236" i="37"/>
  <c r="D92" i="20"/>
  <c r="C92" i="20"/>
  <c r="B196" i="20"/>
  <c r="B113" i="37"/>
  <c r="B107" i="37"/>
  <c r="C86" i="20"/>
  <c r="B190" i="20"/>
  <c r="D86" i="20"/>
  <c r="E7" i="36"/>
  <c r="E133" i="20"/>
  <c r="E27" i="37"/>
  <c r="E168" i="37" s="1"/>
  <c r="E18" i="36"/>
  <c r="F18" i="36"/>
  <c r="B175" i="20"/>
  <c r="D71" i="20"/>
  <c r="B92" i="37"/>
  <c r="C71" i="20"/>
  <c r="F13" i="36"/>
  <c r="E13" i="36"/>
  <c r="C52" i="20"/>
  <c r="D52" i="20"/>
  <c r="B52" i="37"/>
  <c r="B158" i="20"/>
  <c r="E95" i="37"/>
  <c r="E228" i="37" s="1"/>
  <c r="E178" i="20"/>
  <c r="D78" i="20"/>
  <c r="B182" i="20"/>
  <c r="C78" i="20"/>
  <c r="B99" i="37"/>
  <c r="B111" i="37"/>
  <c r="C90" i="20"/>
  <c r="D90" i="20"/>
  <c r="B194" i="20"/>
  <c r="C97" i="37"/>
  <c r="B230" i="37"/>
  <c r="D97" i="37"/>
  <c r="F6" i="36"/>
  <c r="E6" i="36"/>
  <c r="E107" i="37"/>
  <c r="E240" i="37" s="1"/>
  <c r="E190" i="20"/>
  <c r="E154" i="20"/>
  <c r="E48" i="37"/>
  <c r="E189" i="37" s="1"/>
  <c r="C27" i="20"/>
  <c r="D27" i="20"/>
  <c r="B133" i="20"/>
  <c r="B27" i="37"/>
  <c r="E175" i="20"/>
  <c r="E92" i="37"/>
  <c r="E225" i="37" s="1"/>
  <c r="E115" i="20"/>
  <c r="E9" i="37"/>
  <c r="E150" i="37" s="1"/>
  <c r="E17" i="36"/>
  <c r="F17" i="36"/>
  <c r="F14" i="36"/>
  <c r="E14" i="36"/>
  <c r="Q9" i="9" l="1"/>
  <c r="L36" i="42"/>
  <c r="P36" i="42" s="1"/>
  <c r="R36" i="42" s="1"/>
  <c r="P9" i="9"/>
  <c r="K25" i="19"/>
  <c r="Y17" i="10"/>
  <c r="O8" i="9"/>
  <c r="O11" i="9"/>
  <c r="T8" i="9"/>
  <c r="R8" i="9"/>
  <c r="S8" i="9" s="1"/>
  <c r="U8" i="9" s="1"/>
  <c r="P5" i="9"/>
  <c r="S5" i="9" s="1"/>
  <c r="U5" i="9" s="1"/>
  <c r="O8" i="6"/>
  <c r="Q8" i="6" s="1"/>
  <c r="O28" i="6"/>
  <c r="Q28" i="6" s="1"/>
  <c r="Q8" i="9"/>
  <c r="R5" i="9"/>
  <c r="T11" i="9"/>
  <c r="J30" i="19"/>
  <c r="M27" i="21"/>
  <c r="P27" i="21" s="1"/>
  <c r="R27" i="21" s="1"/>
  <c r="O17" i="6"/>
  <c r="Q17" i="6" s="1"/>
  <c r="AC12" i="10"/>
  <c r="AF12" i="10" s="1"/>
  <c r="O18" i="6"/>
  <c r="Q18" i="6" s="1"/>
  <c r="S12" i="9"/>
  <c r="U12" i="9" s="1"/>
  <c r="P33" i="42"/>
  <c r="R33" i="42" s="1"/>
  <c r="D120" i="20"/>
  <c r="C14" i="37"/>
  <c r="C200" i="20"/>
  <c r="D200" i="20"/>
  <c r="C117" i="37"/>
  <c r="D117" i="37"/>
  <c r="B250" i="37"/>
  <c r="Q33" i="42"/>
  <c r="T18" i="9"/>
  <c r="P34" i="42"/>
  <c r="R34" i="42" s="1"/>
  <c r="R10" i="9"/>
  <c r="N18" i="21"/>
  <c r="O10" i="9"/>
  <c r="M18" i="21"/>
  <c r="P18" i="21" s="1"/>
  <c r="R18" i="21" s="1"/>
  <c r="P31" i="42"/>
  <c r="R31" i="42" s="1"/>
  <c r="Q10" i="9"/>
  <c r="Q27" i="21"/>
  <c r="K29" i="19"/>
  <c r="K24" i="19"/>
  <c r="J21" i="19"/>
  <c r="J26" i="19"/>
  <c r="K28" i="19"/>
  <c r="P37" i="42"/>
  <c r="R37" i="42" s="1"/>
  <c r="I32" i="19"/>
  <c r="K32" i="19" s="1"/>
  <c r="K16" i="18"/>
  <c r="M23" i="18"/>
  <c r="K21" i="18"/>
  <c r="N52" i="18"/>
  <c r="N70" i="18"/>
  <c r="K13" i="18"/>
  <c r="M57" i="18"/>
  <c r="L24" i="18"/>
  <c r="M38" i="18"/>
  <c r="K18" i="18"/>
  <c r="K51" i="18"/>
  <c r="L45" i="18"/>
  <c r="L50" i="18"/>
  <c r="L28" i="18"/>
  <c r="Q16" i="9"/>
  <c r="AE9" i="10"/>
  <c r="R11" i="9"/>
  <c r="Q34" i="42"/>
  <c r="P10" i="9"/>
  <c r="K68" i="18"/>
  <c r="L74" i="18"/>
  <c r="P16" i="9"/>
  <c r="K29" i="18"/>
  <c r="M34" i="18"/>
  <c r="Q11" i="9"/>
  <c r="S11" i="9" s="1"/>
  <c r="U11" i="9" s="1"/>
  <c r="N55" i="18"/>
  <c r="K17" i="21"/>
  <c r="M17" i="21" s="1"/>
  <c r="L14" i="18"/>
  <c r="N37" i="18"/>
  <c r="M35" i="18"/>
  <c r="N67" i="18"/>
  <c r="M26" i="18"/>
  <c r="R16" i="9"/>
  <c r="K21" i="21"/>
  <c r="M21" i="21" s="1"/>
  <c r="O18" i="9"/>
  <c r="K48" i="18"/>
  <c r="K72" i="18"/>
  <c r="K66" i="18"/>
  <c r="K13" i="21"/>
  <c r="N13" i="21" s="1"/>
  <c r="Q5" i="9"/>
  <c r="Q18" i="21"/>
  <c r="K39" i="18"/>
  <c r="X16" i="10"/>
  <c r="Y16" i="10" s="1"/>
  <c r="K43" i="18"/>
  <c r="N44" i="18"/>
  <c r="K56" i="18"/>
  <c r="N60" i="18"/>
  <c r="X14" i="10"/>
  <c r="Y14" i="10" s="1"/>
  <c r="AE11" i="10"/>
  <c r="N27" i="18"/>
  <c r="N40" i="18"/>
  <c r="P18" i="9"/>
  <c r="P40" i="42"/>
  <c r="R40" i="42" s="1"/>
  <c r="K6" i="21"/>
  <c r="M6" i="21" s="1"/>
  <c r="K30" i="18"/>
  <c r="K5" i="21"/>
  <c r="N5" i="21" s="1"/>
  <c r="K61" i="18"/>
  <c r="Q18" i="9"/>
  <c r="O16" i="9"/>
  <c r="P30" i="42"/>
  <c r="R30" i="42" s="1"/>
  <c r="L32" i="42"/>
  <c r="P32" i="42" s="1"/>
  <c r="R32" i="42" s="1"/>
  <c r="L39" i="42"/>
  <c r="P39" i="42" s="1"/>
  <c r="R39" i="42" s="1"/>
  <c r="L38" i="42"/>
  <c r="P38" i="42" s="1"/>
  <c r="R38" i="42" s="1"/>
  <c r="AA17" i="10"/>
  <c r="J20" i="21"/>
  <c r="K20" i="21" s="1"/>
  <c r="M20" i="21" s="1"/>
  <c r="X8" i="10"/>
  <c r="AE8" i="10"/>
  <c r="AE13" i="10"/>
  <c r="X13" i="10"/>
  <c r="E53" i="36"/>
  <c r="K227" i="36"/>
  <c r="I227" i="36"/>
  <c r="K313" i="36"/>
  <c r="I313" i="36"/>
  <c r="K315" i="36"/>
  <c r="I315" i="36"/>
  <c r="I226" i="36"/>
  <c r="K226" i="36"/>
  <c r="F19" i="37"/>
  <c r="E19" i="20"/>
  <c r="G63" i="36"/>
  <c r="G65" i="36"/>
  <c r="G286" i="36"/>
  <c r="G137" i="36"/>
  <c r="C130" i="20"/>
  <c r="L34" i="18"/>
  <c r="Q11" i="18"/>
  <c r="K210" i="36"/>
  <c r="I208" i="36"/>
  <c r="K208" i="36"/>
  <c r="K212" i="36"/>
  <c r="I212" i="36"/>
  <c r="K470" i="36"/>
  <c r="I470" i="36"/>
  <c r="K44" i="18"/>
  <c r="K34" i="18"/>
  <c r="M61" i="18"/>
  <c r="O54" i="18"/>
  <c r="Q54" i="18" s="1"/>
  <c r="M60" i="18"/>
  <c r="P7" i="21"/>
  <c r="R7" i="21" s="1"/>
  <c r="Q33" i="18"/>
  <c r="O15" i="18"/>
  <c r="Q15" i="18" s="1"/>
  <c r="M24" i="18"/>
  <c r="N24" i="18"/>
  <c r="O12" i="18"/>
  <c r="Q12" i="18" s="1"/>
  <c r="P24" i="21"/>
  <c r="R24" i="21" s="1"/>
  <c r="AC15" i="10"/>
  <c r="AF15" i="10" s="1"/>
  <c r="O59" i="18"/>
  <c r="P59" i="18" s="1"/>
  <c r="L51" i="18"/>
  <c r="N57" i="18"/>
  <c r="M52" i="18"/>
  <c r="K70" i="18"/>
  <c r="O49" i="18"/>
  <c r="P49" i="18" s="1"/>
  <c r="P62" i="18"/>
  <c r="N35" i="18"/>
  <c r="N21" i="18"/>
  <c r="M50" i="18"/>
  <c r="L61" i="18"/>
  <c r="X9" i="10"/>
  <c r="Y9" i="10" s="1"/>
  <c r="AE16" i="10"/>
  <c r="L52" i="18"/>
  <c r="K27" i="18"/>
  <c r="N61" i="18"/>
  <c r="O32" i="18"/>
  <c r="Q32" i="18" s="1"/>
  <c r="P34" i="21"/>
  <c r="R34" i="21" s="1"/>
  <c r="P19" i="21"/>
  <c r="R19" i="21" s="1"/>
  <c r="L44" i="18"/>
  <c r="O65" i="18"/>
  <c r="Q65" i="18" s="1"/>
  <c r="Q20" i="18"/>
  <c r="M32" i="21"/>
  <c r="L60" i="18"/>
  <c r="N34" i="18"/>
  <c r="N30" i="18"/>
  <c r="N6" i="21"/>
  <c r="AC10" i="10"/>
  <c r="AF10" i="10" s="1"/>
  <c r="O31" i="18"/>
  <c r="P31" i="18" s="1"/>
  <c r="O19" i="18"/>
  <c r="Q19" i="18" s="1"/>
  <c r="L30" i="18"/>
  <c r="M30" i="18"/>
  <c r="O41" i="18"/>
  <c r="Q41" i="18" s="1"/>
  <c r="O53" i="18"/>
  <c r="Q53" i="18" s="1"/>
  <c r="K24" i="18"/>
  <c r="K60" i="18"/>
  <c r="O63" i="18"/>
  <c r="P63" i="18" s="1"/>
  <c r="O17" i="18"/>
  <c r="Q17" i="18" s="1"/>
  <c r="L32" i="21"/>
  <c r="N50" i="18"/>
  <c r="K50" i="18"/>
  <c r="O64" i="18"/>
  <c r="Q64" i="18" s="1"/>
  <c r="M21" i="18"/>
  <c r="L23" i="18"/>
  <c r="M18" i="18"/>
  <c r="L21" i="18"/>
  <c r="N23" i="18"/>
  <c r="L13" i="18"/>
  <c r="L35" i="18"/>
  <c r="X11" i="10"/>
  <c r="Y11" i="10" s="1"/>
  <c r="O22" i="18"/>
  <c r="Q22" i="18" s="1"/>
  <c r="M13" i="18"/>
  <c r="N32" i="21"/>
  <c r="M35" i="21"/>
  <c r="K40" i="18"/>
  <c r="M40" i="18"/>
  <c r="N13" i="18"/>
  <c r="P69" i="18"/>
  <c r="Q35" i="21"/>
  <c r="L17" i="21"/>
  <c r="L35" i="21"/>
  <c r="S9" i="9"/>
  <c r="U9" i="9" s="1"/>
  <c r="L40" i="18"/>
  <c r="L68" i="18"/>
  <c r="O73" i="18"/>
  <c r="Q73" i="18" s="1"/>
  <c r="M70" i="18"/>
  <c r="O46" i="18"/>
  <c r="Q46" i="18" s="1"/>
  <c r="O36" i="18"/>
  <c r="Q36" i="18" s="1"/>
  <c r="L72" i="18"/>
  <c r="K38" i="18"/>
  <c r="M45" i="18"/>
  <c r="L38" i="18"/>
  <c r="N68" i="18"/>
  <c r="M44" i="18"/>
  <c r="N45" i="18"/>
  <c r="M48" i="18"/>
  <c r="L57" i="18"/>
  <c r="K57" i="18"/>
  <c r="N14" i="18"/>
  <c r="K45" i="18"/>
  <c r="K47" i="18"/>
  <c r="L48" i="18"/>
  <c r="N38" i="18"/>
  <c r="M68" i="18"/>
  <c r="N48" i="18"/>
  <c r="O71" i="18"/>
  <c r="Q71" i="18" s="1"/>
  <c r="M14" i="18"/>
  <c r="M72" i="18"/>
  <c r="M74" i="18"/>
  <c r="M67" i="18"/>
  <c r="K52" i="18"/>
  <c r="L70" i="18"/>
  <c r="O58" i="18"/>
  <c r="P58" i="18" s="1"/>
  <c r="J15" i="21"/>
  <c r="K14" i="18"/>
  <c r="N74" i="18"/>
  <c r="N72" i="18"/>
  <c r="N26" i="18"/>
  <c r="L67" i="18"/>
  <c r="M39" i="18"/>
  <c r="M66" i="18"/>
  <c r="L26" i="18"/>
  <c r="M51" i="18"/>
  <c r="N39" i="18"/>
  <c r="L27" i="18"/>
  <c r="L55" i="18"/>
  <c r="L43" i="18"/>
  <c r="K23" i="18"/>
  <c r="K37" i="18"/>
  <c r="M47" i="18"/>
  <c r="M28" i="18"/>
  <c r="N29" i="18"/>
  <c r="N56" i="18"/>
  <c r="K35" i="18"/>
  <c r="Q33" i="21"/>
  <c r="J22" i="21"/>
  <c r="K26" i="18"/>
  <c r="M43" i="18"/>
  <c r="L66" i="18"/>
  <c r="N43" i="18"/>
  <c r="L39" i="18"/>
  <c r="N66" i="18"/>
  <c r="M27" i="18"/>
  <c r="M55" i="18"/>
  <c r="L37" i="18"/>
  <c r="N47" i="18"/>
  <c r="N28" i="18"/>
  <c r="M29" i="18"/>
  <c r="M56" i="18"/>
  <c r="N18" i="18"/>
  <c r="L33" i="21"/>
  <c r="J25" i="21"/>
  <c r="K25" i="21" s="1"/>
  <c r="L25" i="21" s="1"/>
  <c r="J12" i="21"/>
  <c r="AE14" i="10"/>
  <c r="K67" i="18"/>
  <c r="K55" i="18"/>
  <c r="L56" i="18"/>
  <c r="K74" i="18"/>
  <c r="M37" i="18"/>
  <c r="K28" i="18"/>
  <c r="L29" i="18"/>
  <c r="N51" i="18"/>
  <c r="L18" i="18"/>
  <c r="M16" i="18"/>
  <c r="M33" i="21"/>
  <c r="J10" i="21"/>
  <c r="L16" i="18"/>
  <c r="N16" i="18"/>
  <c r="J8" i="21"/>
  <c r="I86" i="36"/>
  <c r="K86" i="36"/>
  <c r="I228" i="36"/>
  <c r="K228" i="36"/>
  <c r="I41" i="36"/>
  <c r="K41" i="36"/>
  <c r="Z16" i="10"/>
  <c r="K314" i="36"/>
  <c r="I314" i="36"/>
  <c r="C132" i="20"/>
  <c r="K89" i="36"/>
  <c r="I89" i="36"/>
  <c r="K44" i="36"/>
  <c r="I44" i="36"/>
  <c r="C26" i="37"/>
  <c r="B167" i="37"/>
  <c r="D167" i="37" s="1"/>
  <c r="B165" i="37"/>
  <c r="D165" i="37" s="1"/>
  <c r="C24" i="37"/>
  <c r="I281" i="36"/>
  <c r="K281" i="36"/>
  <c r="Q77" i="18"/>
  <c r="P77" i="18"/>
  <c r="Q78" i="18"/>
  <c r="P78" i="18"/>
  <c r="Q76" i="18"/>
  <c r="P76" i="18"/>
  <c r="C140" i="20"/>
  <c r="D140" i="20"/>
  <c r="B175" i="37"/>
  <c r="D34" i="37"/>
  <c r="C34" i="37"/>
  <c r="P28" i="21"/>
  <c r="R28" i="21" s="1"/>
  <c r="Z22" i="21"/>
  <c r="AA22" i="21"/>
  <c r="E77" i="20"/>
  <c r="F98" i="37"/>
  <c r="E65" i="36"/>
  <c r="AB17" i="21"/>
  <c r="D49" i="36" s="1"/>
  <c r="F174" i="20"/>
  <c r="F70" i="20" s="1"/>
  <c r="F224" i="37"/>
  <c r="Y17" i="21"/>
  <c r="AB21" i="21"/>
  <c r="D58" i="36" s="1"/>
  <c r="Y21" i="21"/>
  <c r="F182" i="37"/>
  <c r="F147" i="20"/>
  <c r="F41" i="20" s="1"/>
  <c r="AB13" i="21"/>
  <c r="F141" i="20"/>
  <c r="F35" i="20" s="1"/>
  <c r="F176" i="37"/>
  <c r="Y13" i="21"/>
  <c r="AB6" i="21"/>
  <c r="D52" i="36" s="1"/>
  <c r="F118" i="20"/>
  <c r="F12" i="20" s="1"/>
  <c r="Y6" i="21"/>
  <c r="F153" i="37"/>
  <c r="D155" i="37"/>
  <c r="C155" i="37"/>
  <c r="D50" i="37"/>
  <c r="B238" i="37"/>
  <c r="D105" i="37"/>
  <c r="C105" i="37"/>
  <c r="C50" i="37"/>
  <c r="D188" i="20"/>
  <c r="C188" i="20"/>
  <c r="D196" i="37"/>
  <c r="C196" i="37"/>
  <c r="F194" i="37"/>
  <c r="F53" i="20"/>
  <c r="I65" i="36"/>
  <c r="K65" i="36"/>
  <c r="X12" i="21"/>
  <c r="I56" i="36"/>
  <c r="K56" i="36"/>
  <c r="K64" i="36"/>
  <c r="I64" i="36"/>
  <c r="P26" i="21"/>
  <c r="R26" i="21" s="1"/>
  <c r="P14" i="21"/>
  <c r="R14" i="21" s="1"/>
  <c r="I62" i="36"/>
  <c r="K62" i="36"/>
  <c r="I54" i="36"/>
  <c r="K54" i="36"/>
  <c r="K66" i="36"/>
  <c r="I66" i="36"/>
  <c r="K55" i="36"/>
  <c r="I55" i="36"/>
  <c r="X15" i="21"/>
  <c r="P30" i="21"/>
  <c r="R30" i="21" s="1"/>
  <c r="K57" i="36"/>
  <c r="I57" i="36"/>
  <c r="X23" i="21"/>
  <c r="M23" i="21"/>
  <c r="L23" i="21"/>
  <c r="Q23" i="21"/>
  <c r="N23" i="21"/>
  <c r="X9" i="21"/>
  <c r="N9" i="21"/>
  <c r="M9" i="21"/>
  <c r="L9" i="21"/>
  <c r="Q9" i="21"/>
  <c r="X25" i="21"/>
  <c r="D206" i="20"/>
  <c r="C206" i="20"/>
  <c r="C123" i="37"/>
  <c r="B256" i="37"/>
  <c r="D123" i="37"/>
  <c r="D241" i="37"/>
  <c r="C241" i="37"/>
  <c r="E58" i="37"/>
  <c r="E199" i="37" s="1"/>
  <c r="D235" i="37"/>
  <c r="C235" i="37"/>
  <c r="D127" i="20"/>
  <c r="C127" i="20"/>
  <c r="C148" i="37"/>
  <c r="D148" i="37"/>
  <c r="C163" i="20"/>
  <c r="D163" i="20"/>
  <c r="D32" i="37"/>
  <c r="C32" i="37"/>
  <c r="B173" i="37"/>
  <c r="B178" i="37"/>
  <c r="D37" i="37"/>
  <c r="C37" i="37"/>
  <c r="C39" i="37"/>
  <c r="B180" i="37"/>
  <c r="D39" i="37"/>
  <c r="D143" i="20"/>
  <c r="C143" i="20"/>
  <c r="D57" i="37"/>
  <c r="C57" i="37"/>
  <c r="B198" i="37"/>
  <c r="D160" i="20"/>
  <c r="C160" i="20"/>
  <c r="B152" i="37"/>
  <c r="D11" i="37"/>
  <c r="C11" i="37"/>
  <c r="B257" i="37"/>
  <c r="D124" i="37"/>
  <c r="C124" i="37"/>
  <c r="D126" i="37"/>
  <c r="B259" i="37"/>
  <c r="C126" i="37"/>
  <c r="C124" i="20"/>
  <c r="D124" i="20"/>
  <c r="C176" i="20"/>
  <c r="D176" i="20"/>
  <c r="C205" i="20"/>
  <c r="D205" i="20"/>
  <c r="C46" i="37"/>
  <c r="B187" i="37"/>
  <c r="D46" i="37"/>
  <c r="D106" i="37"/>
  <c r="C106" i="37"/>
  <c r="B239" i="37"/>
  <c r="D125" i="37"/>
  <c r="B258" i="37"/>
  <c r="C125" i="37"/>
  <c r="D137" i="20"/>
  <c r="C137" i="20"/>
  <c r="B158" i="37"/>
  <c r="C17" i="37"/>
  <c r="D17" i="37"/>
  <c r="C119" i="20"/>
  <c r="D119" i="20"/>
  <c r="C198" i="20"/>
  <c r="D198" i="20"/>
  <c r="B154" i="37"/>
  <c r="C13" i="37"/>
  <c r="D13" i="37"/>
  <c r="D145" i="20"/>
  <c r="C145" i="20"/>
  <c r="C242" i="37"/>
  <c r="C90" i="37"/>
  <c r="B223" i="37"/>
  <c r="D90" i="37"/>
  <c r="C207" i="20"/>
  <c r="D207" i="20"/>
  <c r="B195" i="37"/>
  <c r="C54" i="37"/>
  <c r="D54" i="37"/>
  <c r="C208" i="20"/>
  <c r="D208" i="20"/>
  <c r="C209" i="20"/>
  <c r="D209" i="20"/>
  <c r="C93" i="37"/>
  <c r="D93" i="37"/>
  <c r="B226" i="37"/>
  <c r="B255" i="37"/>
  <c r="C122" i="37"/>
  <c r="D122" i="37"/>
  <c r="C18" i="37"/>
  <c r="B159" i="37"/>
  <c r="D18" i="37"/>
  <c r="D138" i="20"/>
  <c r="C138" i="20"/>
  <c r="D115" i="37"/>
  <c r="C115" i="37"/>
  <c r="B248" i="37"/>
  <c r="C31" i="37"/>
  <c r="B172" i="37"/>
  <c r="D31" i="37"/>
  <c r="D123" i="20"/>
  <c r="C123" i="20"/>
  <c r="D117" i="20"/>
  <c r="C117" i="20"/>
  <c r="D152" i="20"/>
  <c r="C152" i="20"/>
  <c r="C173" i="20"/>
  <c r="D173" i="20"/>
  <c r="D189" i="20"/>
  <c r="C189" i="20"/>
  <c r="B162" i="37"/>
  <c r="C21" i="37"/>
  <c r="D21" i="37"/>
  <c r="E63" i="36"/>
  <c r="F96" i="37"/>
  <c r="E75" i="20"/>
  <c r="Z19" i="21"/>
  <c r="AA19" i="21"/>
  <c r="C22" i="37"/>
  <c r="B163" i="37"/>
  <c r="D163" i="37" s="1"/>
  <c r="K84" i="36"/>
  <c r="I84" i="36"/>
  <c r="K39" i="36"/>
  <c r="I39" i="36"/>
  <c r="D28" i="37"/>
  <c r="D112" i="37"/>
  <c r="B181" i="37"/>
  <c r="D181" i="37" s="1"/>
  <c r="D40" i="37"/>
  <c r="B245" i="37"/>
  <c r="C245" i="37" s="1"/>
  <c r="C195" i="20"/>
  <c r="O8" i="18"/>
  <c r="Q8" i="18" s="1"/>
  <c r="P10" i="18"/>
  <c r="B126" i="20"/>
  <c r="D20" i="20"/>
  <c r="C20" i="20"/>
  <c r="B20" i="37"/>
  <c r="O5" i="18"/>
  <c r="Q5" i="18" s="1"/>
  <c r="E155" i="20"/>
  <c r="E49" i="37"/>
  <c r="E190" i="37" s="1"/>
  <c r="E177" i="20"/>
  <c r="E94" i="37"/>
  <c r="E227" i="37" s="1"/>
  <c r="C73" i="20"/>
  <c r="B94" i="37"/>
  <c r="B177" i="20"/>
  <c r="D73" i="20"/>
  <c r="C160" i="37"/>
  <c r="D160" i="37"/>
  <c r="O9" i="18"/>
  <c r="Q9" i="18" s="1"/>
  <c r="D25" i="20"/>
  <c r="C25" i="20"/>
  <c r="B25" i="37"/>
  <c r="B131" i="20"/>
  <c r="E131" i="20"/>
  <c r="E25" i="37"/>
  <c r="E166" i="37" s="1"/>
  <c r="B8" i="37"/>
  <c r="C8" i="20"/>
  <c r="D8" i="20"/>
  <c r="O42" i="18"/>
  <c r="P42" i="18" s="1"/>
  <c r="D49" i="20"/>
  <c r="B155" i="20"/>
  <c r="B49" i="37"/>
  <c r="C49" i="20"/>
  <c r="E114" i="20"/>
  <c r="E8" i="37"/>
  <c r="E149" i="37" s="1"/>
  <c r="E137" i="36"/>
  <c r="E20" i="37"/>
  <c r="E161" i="37" s="1"/>
  <c r="E126" i="20"/>
  <c r="C146" i="20"/>
  <c r="C28" i="37"/>
  <c r="O6" i="18"/>
  <c r="P6" i="18" s="1"/>
  <c r="D134" i="20"/>
  <c r="O25" i="18"/>
  <c r="P25" i="18" s="1"/>
  <c r="O4" i="18"/>
  <c r="P4" i="18" s="1"/>
  <c r="K370" i="36"/>
  <c r="I370" i="36"/>
  <c r="K371" i="36"/>
  <c r="I371" i="36"/>
  <c r="E286" i="36"/>
  <c r="F286" i="36"/>
  <c r="D180" i="20"/>
  <c r="D162" i="20"/>
  <c r="C162" i="20"/>
  <c r="B197" i="37"/>
  <c r="D56" i="37"/>
  <c r="C56" i="37"/>
  <c r="B200" i="37"/>
  <c r="D59" i="37"/>
  <c r="C59" i="37"/>
  <c r="C165" i="20"/>
  <c r="D165" i="20"/>
  <c r="B199" i="37"/>
  <c r="C58" i="37"/>
  <c r="D58" i="37"/>
  <c r="C164" i="20"/>
  <c r="D164" i="20"/>
  <c r="B184" i="37"/>
  <c r="D43" i="37"/>
  <c r="C43" i="37"/>
  <c r="C149" i="20"/>
  <c r="D149" i="20"/>
  <c r="C196" i="20"/>
  <c r="D196" i="20"/>
  <c r="B232" i="37"/>
  <c r="C99" i="37"/>
  <c r="D99" i="37"/>
  <c r="C36" i="37"/>
  <c r="D36" i="37"/>
  <c r="B177" i="37"/>
  <c r="D194" i="20"/>
  <c r="C194" i="20"/>
  <c r="D115" i="20"/>
  <c r="C115" i="20"/>
  <c r="C111" i="37"/>
  <c r="D111" i="37"/>
  <c r="B244" i="37"/>
  <c r="D158" i="20"/>
  <c r="C158" i="20"/>
  <c r="D191" i="37"/>
  <c r="C191" i="37"/>
  <c r="D169" i="37"/>
  <c r="C169" i="37"/>
  <c r="B193" i="37"/>
  <c r="D52" i="37"/>
  <c r="C52" i="37"/>
  <c r="C175" i="20"/>
  <c r="D175" i="20"/>
  <c r="D190" i="20"/>
  <c r="C190" i="20"/>
  <c r="C178" i="20"/>
  <c r="D178" i="20"/>
  <c r="C92" i="37"/>
  <c r="D92" i="37"/>
  <c r="B225" i="37"/>
  <c r="C27" i="37"/>
  <c r="B168" i="37"/>
  <c r="D27" i="37"/>
  <c r="C142" i="20"/>
  <c r="D142" i="20"/>
  <c r="D45" i="37"/>
  <c r="C45" i="37"/>
  <c r="B186" i="37"/>
  <c r="C182" i="20"/>
  <c r="D182" i="20"/>
  <c r="D236" i="37"/>
  <c r="C236" i="37"/>
  <c r="C9" i="37"/>
  <c r="B150" i="37"/>
  <c r="D9" i="37"/>
  <c r="D48" i="37"/>
  <c r="C48" i="37"/>
  <c r="B189" i="37"/>
  <c r="D154" i="20"/>
  <c r="C154" i="20"/>
  <c r="C133" i="20"/>
  <c r="D133" i="20"/>
  <c r="D107" i="37"/>
  <c r="C107" i="37"/>
  <c r="B240" i="37"/>
  <c r="D95" i="37"/>
  <c r="B228" i="37"/>
  <c r="C95" i="37"/>
  <c r="D151" i="20"/>
  <c r="C151" i="20"/>
  <c r="D120" i="37"/>
  <c r="C120" i="37"/>
  <c r="B253" i="37"/>
  <c r="D230" i="37"/>
  <c r="C230" i="37"/>
  <c r="B246" i="37"/>
  <c r="C113" i="37"/>
  <c r="D113" i="37"/>
  <c r="D203" i="20"/>
  <c r="C203" i="20"/>
  <c r="J32" i="19" l="1"/>
  <c r="AA16" i="10"/>
  <c r="AC16" i="10" s="1"/>
  <c r="AF16" i="10" s="1"/>
  <c r="Q5" i="21"/>
  <c r="M5" i="21"/>
  <c r="AC17" i="10"/>
  <c r="AF17" i="10" s="1"/>
  <c r="C250" i="37"/>
  <c r="D250" i="37"/>
  <c r="C165" i="37"/>
  <c r="Z14" i="10"/>
  <c r="AC14" i="10" s="1"/>
  <c r="AF14" i="10" s="1"/>
  <c r="S10" i="9"/>
  <c r="U10" i="9" s="1"/>
  <c r="L20" i="21"/>
  <c r="AA14" i="10"/>
  <c r="S18" i="9"/>
  <c r="U18" i="9" s="1"/>
  <c r="L5" i="21"/>
  <c r="P5" i="21" s="1"/>
  <c r="R5" i="21" s="1"/>
  <c r="S16" i="9"/>
  <c r="U16" i="9" s="1"/>
  <c r="N20" i="21"/>
  <c r="K8" i="21"/>
  <c r="M8" i="21" s="1"/>
  <c r="K10" i="21"/>
  <c r="N10" i="21" s="1"/>
  <c r="K12" i="21"/>
  <c r="M12" i="21" s="1"/>
  <c r="N17" i="21"/>
  <c r="P17" i="21" s="1"/>
  <c r="R17" i="21" s="1"/>
  <c r="L6" i="21"/>
  <c r="P6" i="21" s="1"/>
  <c r="R6" i="21" s="1"/>
  <c r="M13" i="21"/>
  <c r="K15" i="21"/>
  <c r="M15" i="21" s="1"/>
  <c r="Q20" i="21"/>
  <c r="K22" i="21"/>
  <c r="M22" i="21" s="1"/>
  <c r="Q21" i="21"/>
  <c r="Q6" i="21"/>
  <c r="L21" i="21"/>
  <c r="L13" i="21"/>
  <c r="N21" i="21"/>
  <c r="Q17" i="21"/>
  <c r="Q13" i="21"/>
  <c r="O34" i="18"/>
  <c r="P34" i="18" s="1"/>
  <c r="Y8" i="10"/>
  <c r="AA8" i="10"/>
  <c r="Z8" i="10"/>
  <c r="Y13" i="10"/>
  <c r="Z13" i="10"/>
  <c r="AA13" i="10"/>
  <c r="E125" i="20"/>
  <c r="E19" i="37"/>
  <c r="E160" i="37" s="1"/>
  <c r="G49" i="36"/>
  <c r="G58" i="36"/>
  <c r="G52" i="36"/>
  <c r="G59" i="36"/>
  <c r="O50" i="18"/>
  <c r="P50" i="18" s="1"/>
  <c r="C167" i="37"/>
  <c r="P15" i="18"/>
  <c r="O44" i="18"/>
  <c r="P44" i="18" s="1"/>
  <c r="P54" i="18"/>
  <c r="O24" i="18"/>
  <c r="Q24" i="18" s="1"/>
  <c r="P35" i="21"/>
  <c r="R35" i="21" s="1"/>
  <c r="O61" i="18"/>
  <c r="P61" i="18" s="1"/>
  <c r="O35" i="18"/>
  <c r="P35" i="18" s="1"/>
  <c r="P12" i="18"/>
  <c r="Q59" i="18"/>
  <c r="O60" i="18"/>
  <c r="P60" i="18" s="1"/>
  <c r="Q49" i="18"/>
  <c r="AA9" i="10"/>
  <c r="Z9" i="10"/>
  <c r="Q31" i="18"/>
  <c r="P32" i="21"/>
  <c r="R32" i="21" s="1"/>
  <c r="P32" i="18"/>
  <c r="Z11" i="10"/>
  <c r="P65" i="18"/>
  <c r="P33" i="21"/>
  <c r="R33" i="21" s="1"/>
  <c r="P19" i="18"/>
  <c r="AA11" i="10"/>
  <c r="P17" i="18"/>
  <c r="O67" i="18"/>
  <c r="Q67" i="18" s="1"/>
  <c r="O57" i="18"/>
  <c r="Q57" i="18" s="1"/>
  <c r="O13" i="18"/>
  <c r="Q13" i="18" s="1"/>
  <c r="O21" i="18"/>
  <c r="P21" i="18" s="1"/>
  <c r="O52" i="18"/>
  <c r="Q52" i="18" s="1"/>
  <c r="P22" i="18"/>
  <c r="Q58" i="18"/>
  <c r="P41" i="18"/>
  <c r="O40" i="18"/>
  <c r="Q40" i="18" s="1"/>
  <c r="O30" i="18"/>
  <c r="P30" i="18" s="1"/>
  <c r="P73" i="18"/>
  <c r="P53" i="18"/>
  <c r="O66" i="18"/>
  <c r="Q66" i="18" s="1"/>
  <c r="O45" i="18"/>
  <c r="Q45" i="18" s="1"/>
  <c r="O72" i="18"/>
  <c r="Q72" i="18" s="1"/>
  <c r="Q63" i="18"/>
  <c r="O39" i="18"/>
  <c r="Q39" i="18" s="1"/>
  <c r="O23" i="18"/>
  <c r="P23" i="18" s="1"/>
  <c r="O38" i="18"/>
  <c r="P38" i="18" s="1"/>
  <c r="P64" i="18"/>
  <c r="O26" i="18"/>
  <c r="Q26" i="18" s="1"/>
  <c r="O43" i="18"/>
  <c r="Q43" i="18" s="1"/>
  <c r="N25" i="21"/>
  <c r="P71" i="18"/>
  <c r="O74" i="18"/>
  <c r="P74" i="18" s="1"/>
  <c r="O29" i="18"/>
  <c r="Q29" i="18" s="1"/>
  <c r="O27" i="18"/>
  <c r="P27" i="18" s="1"/>
  <c r="O68" i="18"/>
  <c r="Q68" i="18" s="1"/>
  <c r="P36" i="18"/>
  <c r="O14" i="18"/>
  <c r="P14" i="18" s="1"/>
  <c r="M25" i="21"/>
  <c r="O56" i="18"/>
  <c r="Q56" i="18" s="1"/>
  <c r="P46" i="18"/>
  <c r="Q25" i="21"/>
  <c r="O55" i="18"/>
  <c r="P55" i="18" s="1"/>
  <c r="O47" i="18"/>
  <c r="P47" i="18" s="1"/>
  <c r="O51" i="18"/>
  <c r="Q51" i="18" s="1"/>
  <c r="O70" i="18"/>
  <c r="Q70" i="18" s="1"/>
  <c r="O48" i="18"/>
  <c r="Q48" i="18" s="1"/>
  <c r="O18" i="18"/>
  <c r="P18" i="18" s="1"/>
  <c r="O16" i="18"/>
  <c r="Q16" i="18" s="1"/>
  <c r="O28" i="18"/>
  <c r="P28" i="18" s="1"/>
  <c r="Q8" i="21"/>
  <c r="O37" i="18"/>
  <c r="Q37" i="18" s="1"/>
  <c r="N22" i="21"/>
  <c r="L10" i="21"/>
  <c r="L12" i="21"/>
  <c r="D175" i="37"/>
  <c r="C175" i="37"/>
  <c r="Q4" i="18"/>
  <c r="P8" i="18"/>
  <c r="AB25" i="21"/>
  <c r="D62" i="36" s="1"/>
  <c r="F150" i="20"/>
  <c r="F44" i="20" s="1"/>
  <c r="Y25" i="21"/>
  <c r="F185" i="37"/>
  <c r="Y23" i="21"/>
  <c r="F233" i="37"/>
  <c r="F183" i="20"/>
  <c r="F79" i="20" s="1"/>
  <c r="D272" i="36"/>
  <c r="AB23" i="21"/>
  <c r="D66" i="36" s="1"/>
  <c r="C77" i="20"/>
  <c r="B98" i="37"/>
  <c r="D77" i="20"/>
  <c r="B181" i="20"/>
  <c r="E181" i="20"/>
  <c r="E98" i="37"/>
  <c r="E231" i="37" s="1"/>
  <c r="Z17" i="21"/>
  <c r="AA17" i="21"/>
  <c r="E70" i="20"/>
  <c r="F91" i="37"/>
  <c r="E49" i="36"/>
  <c r="Z21" i="21"/>
  <c r="AA21" i="21"/>
  <c r="E58" i="36"/>
  <c r="F41" i="37"/>
  <c r="E41" i="20"/>
  <c r="F179" i="37"/>
  <c r="F144" i="20"/>
  <c r="F38" i="20" s="1"/>
  <c r="Y15" i="21"/>
  <c r="Z15" i="21" s="1"/>
  <c r="AB15" i="21"/>
  <c r="D57" i="36" s="1"/>
  <c r="AA13" i="21"/>
  <c r="Z13" i="21"/>
  <c r="E35" i="20"/>
  <c r="F35" i="37"/>
  <c r="D271" i="36"/>
  <c r="D372" i="36"/>
  <c r="AB12" i="21"/>
  <c r="D56" i="36" s="1"/>
  <c r="F139" i="20"/>
  <c r="F33" i="20" s="1"/>
  <c r="Y12" i="21"/>
  <c r="F174" i="37"/>
  <c r="AB9" i="21"/>
  <c r="D281" i="36" s="1"/>
  <c r="Y9" i="21"/>
  <c r="Z6" i="21"/>
  <c r="AA6" i="21"/>
  <c r="F12" i="37"/>
  <c r="E12" i="20"/>
  <c r="E52" i="36"/>
  <c r="P9" i="21"/>
  <c r="R9" i="21" s="1"/>
  <c r="C238" i="37"/>
  <c r="D238" i="37"/>
  <c r="C163" i="37"/>
  <c r="E59" i="36"/>
  <c r="E53" i="20"/>
  <c r="F53" i="37"/>
  <c r="P23" i="21"/>
  <c r="R23" i="21" s="1"/>
  <c r="D256" i="37"/>
  <c r="C256" i="37"/>
  <c r="C178" i="37"/>
  <c r="D178" i="37"/>
  <c r="C258" i="37"/>
  <c r="D258" i="37"/>
  <c r="C198" i="37"/>
  <c r="D198" i="37"/>
  <c r="C162" i="37"/>
  <c r="D162" i="37"/>
  <c r="D248" i="37"/>
  <c r="C248" i="37"/>
  <c r="C255" i="37"/>
  <c r="D255" i="37"/>
  <c r="C152" i="37"/>
  <c r="D152" i="37"/>
  <c r="D239" i="37"/>
  <c r="C239" i="37"/>
  <c r="C259" i="37"/>
  <c r="D259" i="37"/>
  <c r="D226" i="37"/>
  <c r="C226" i="37"/>
  <c r="D159" i="37"/>
  <c r="C159" i="37"/>
  <c r="D173" i="37"/>
  <c r="C173" i="37"/>
  <c r="D172" i="37"/>
  <c r="C172" i="37"/>
  <c r="C195" i="37"/>
  <c r="D195" i="37"/>
  <c r="C154" i="37"/>
  <c r="D154" i="37"/>
  <c r="D223" i="37"/>
  <c r="C223" i="37"/>
  <c r="D187" i="37"/>
  <c r="C187" i="37"/>
  <c r="D257" i="37"/>
  <c r="C257" i="37"/>
  <c r="C180" i="37"/>
  <c r="D180" i="37"/>
  <c r="C158" i="37"/>
  <c r="D158" i="37"/>
  <c r="E179" i="20"/>
  <c r="E96" i="37"/>
  <c r="E229" i="37" s="1"/>
  <c r="B96" i="37"/>
  <c r="B179" i="20"/>
  <c r="C75" i="20"/>
  <c r="D75" i="20"/>
  <c r="D245" i="37"/>
  <c r="C181" i="37"/>
  <c r="P9" i="18"/>
  <c r="Q42" i="18"/>
  <c r="C25" i="37"/>
  <c r="B166" i="37"/>
  <c r="D25" i="37"/>
  <c r="P5" i="18"/>
  <c r="B161" i="37"/>
  <c r="D20" i="37"/>
  <c r="C20" i="37"/>
  <c r="C8" i="37"/>
  <c r="B149" i="37"/>
  <c r="D8" i="37"/>
  <c r="Q6" i="18"/>
  <c r="D177" i="20"/>
  <c r="C177" i="20"/>
  <c r="C94" i="37"/>
  <c r="B227" i="37"/>
  <c r="D94" i="37"/>
  <c r="D131" i="20"/>
  <c r="C131" i="20"/>
  <c r="C114" i="20"/>
  <c r="D114" i="20"/>
  <c r="C49" i="37"/>
  <c r="B190" i="37"/>
  <c r="D49" i="37"/>
  <c r="D155" i="20"/>
  <c r="C155" i="20"/>
  <c r="D126" i="20"/>
  <c r="C126" i="20"/>
  <c r="Q25" i="18"/>
  <c r="C199" i="37"/>
  <c r="D199" i="37"/>
  <c r="C200" i="37"/>
  <c r="D200" i="37"/>
  <c r="D197" i="37"/>
  <c r="C197" i="37"/>
  <c r="D184" i="37"/>
  <c r="C184" i="37"/>
  <c r="D177" i="37"/>
  <c r="C177" i="37"/>
  <c r="C186" i="37"/>
  <c r="D186" i="37"/>
  <c r="C246" i="37"/>
  <c r="D246" i="37"/>
  <c r="C232" i="37"/>
  <c r="D232" i="37"/>
  <c r="C193" i="37"/>
  <c r="D193" i="37"/>
  <c r="D225" i="37"/>
  <c r="C225" i="37"/>
  <c r="D253" i="37"/>
  <c r="C253" i="37"/>
  <c r="C244" i="37"/>
  <c r="D244" i="37"/>
  <c r="D240" i="37"/>
  <c r="C240" i="37"/>
  <c r="C189" i="37"/>
  <c r="D189" i="37"/>
  <c r="D228" i="37"/>
  <c r="C228" i="37"/>
  <c r="D150" i="37"/>
  <c r="C150" i="37"/>
  <c r="C168" i="37"/>
  <c r="D168" i="37"/>
  <c r="P20" i="21" l="1"/>
  <c r="R20" i="21" s="1"/>
  <c r="N8" i="21"/>
  <c r="Q22" i="21"/>
  <c r="L8" i="21"/>
  <c r="L22" i="21"/>
  <c r="Q15" i="21"/>
  <c r="L15" i="21"/>
  <c r="P13" i="21"/>
  <c r="R13" i="21" s="1"/>
  <c r="Q10" i="21"/>
  <c r="P21" i="21"/>
  <c r="R21" i="21" s="1"/>
  <c r="M10" i="21"/>
  <c r="P10" i="21" s="1"/>
  <c r="R10" i="21" s="1"/>
  <c r="N12" i="21"/>
  <c r="P12" i="21" s="1"/>
  <c r="R12" i="21" s="1"/>
  <c r="N15" i="21"/>
  <c r="Q12" i="21"/>
  <c r="Q34" i="18"/>
  <c r="Q50" i="18"/>
  <c r="AC13" i="10"/>
  <c r="AF13" i="10" s="1"/>
  <c r="Q61" i="18"/>
  <c r="AC8" i="10"/>
  <c r="AF8" i="10" s="1"/>
  <c r="Q47" i="18"/>
  <c r="G57" i="36"/>
  <c r="G281" i="36"/>
  <c r="G62" i="36"/>
  <c r="G372" i="36"/>
  <c r="G56" i="36"/>
  <c r="G271" i="36"/>
  <c r="G66" i="36"/>
  <c r="G272" i="36"/>
  <c r="P24" i="18"/>
  <c r="P45" i="18"/>
  <c r="Q44" i="18"/>
  <c r="AC9" i="10"/>
  <c r="AF9" i="10" s="1"/>
  <c r="P13" i="18"/>
  <c r="Q60" i="18"/>
  <c r="Q35" i="18"/>
  <c r="P67" i="18"/>
  <c r="P70" i="18"/>
  <c r="P25" i="21"/>
  <c r="R25" i="21" s="1"/>
  <c r="P72" i="18"/>
  <c r="P29" i="18"/>
  <c r="P37" i="18"/>
  <c r="P57" i="18"/>
  <c r="P26" i="18"/>
  <c r="P8" i="21"/>
  <c r="R8" i="21" s="1"/>
  <c r="P66" i="18"/>
  <c r="AC11" i="10"/>
  <c r="AF11" i="10" s="1"/>
  <c r="Q21" i="18"/>
  <c r="Q74" i="18"/>
  <c r="Q30" i="18"/>
  <c r="Q28" i="18"/>
  <c r="P43" i="18"/>
  <c r="P40" i="18"/>
  <c r="P39" i="18"/>
  <c r="P52" i="18"/>
  <c r="P16" i="18"/>
  <c r="Q38" i="18"/>
  <c r="Q23" i="18"/>
  <c r="Q14" i="18"/>
  <c r="P68" i="18"/>
  <c r="P56" i="18"/>
  <c r="Q18" i="18"/>
  <c r="P48" i="18"/>
  <c r="Q55" i="18"/>
  <c r="Q27" i="18"/>
  <c r="P51" i="18"/>
  <c r="P22" i="21"/>
  <c r="R22" i="21" s="1"/>
  <c r="F372" i="36"/>
  <c r="F271" i="36"/>
  <c r="AA25" i="21"/>
  <c r="Z25" i="21"/>
  <c r="E44" i="20"/>
  <c r="F44" i="37"/>
  <c r="E62" i="36"/>
  <c r="E66" i="36"/>
  <c r="AA23" i="21"/>
  <c r="Z23" i="21"/>
  <c r="E272" i="36"/>
  <c r="F272" i="36"/>
  <c r="B79" i="20"/>
  <c r="F100" i="37"/>
  <c r="E79" i="20"/>
  <c r="C181" i="20"/>
  <c r="D181" i="20"/>
  <c r="D98" i="37"/>
  <c r="B231" i="37"/>
  <c r="C98" i="37"/>
  <c r="E91" i="37"/>
  <c r="E224" i="37" s="1"/>
  <c r="E174" i="20"/>
  <c r="C70" i="20"/>
  <c r="D70" i="20"/>
  <c r="B174" i="20"/>
  <c r="B91" i="37"/>
  <c r="B41" i="37"/>
  <c r="C41" i="20"/>
  <c r="D41" i="20"/>
  <c r="B147" i="20"/>
  <c r="E147" i="20"/>
  <c r="E41" i="37"/>
  <c r="E182" i="37" s="1"/>
  <c r="F38" i="37"/>
  <c r="E38" i="20"/>
  <c r="E57" i="36"/>
  <c r="AA15" i="21"/>
  <c r="E372" i="36"/>
  <c r="E271" i="36"/>
  <c r="E35" i="37"/>
  <c r="E176" i="37" s="1"/>
  <c r="E141" i="20"/>
  <c r="D35" i="20"/>
  <c r="C35" i="20"/>
  <c r="B141" i="20"/>
  <c r="B35" i="37"/>
  <c r="Z12" i="21"/>
  <c r="AA12" i="21"/>
  <c r="F33" i="37"/>
  <c r="E33" i="20"/>
  <c r="E56" i="36"/>
  <c r="AA9" i="21"/>
  <c r="Z9" i="21"/>
  <c r="E281" i="36"/>
  <c r="E118" i="20"/>
  <c r="E12" i="37"/>
  <c r="E153" i="37" s="1"/>
  <c r="D12" i="20"/>
  <c r="C12" i="20"/>
  <c r="B12" i="37"/>
  <c r="B118" i="20"/>
  <c r="B159" i="20"/>
  <c r="B53" i="37"/>
  <c r="C53" i="20"/>
  <c r="D53" i="20"/>
  <c r="E159" i="20"/>
  <c r="E53" i="37"/>
  <c r="E194" i="37" s="1"/>
  <c r="D179" i="20"/>
  <c r="C179" i="20"/>
  <c r="D96" i="37"/>
  <c r="B229" i="37"/>
  <c r="C96" i="37"/>
  <c r="D161" i="37"/>
  <c r="C161" i="37"/>
  <c r="D190" i="37"/>
  <c r="C190" i="37"/>
  <c r="D149" i="37"/>
  <c r="C149" i="37"/>
  <c r="C227" i="37"/>
  <c r="D227" i="37"/>
  <c r="D166" i="37"/>
  <c r="C166" i="37"/>
  <c r="P15" i="21" l="1"/>
  <c r="R15" i="21" s="1"/>
  <c r="B44" i="37"/>
  <c r="B150" i="20"/>
  <c r="C44" i="20"/>
  <c r="D44" i="20"/>
  <c r="E150" i="20"/>
  <c r="E44" i="37"/>
  <c r="E185" i="37" s="1"/>
  <c r="C79" i="20"/>
  <c r="B183" i="20"/>
  <c r="D79" i="20"/>
  <c r="B100" i="37"/>
  <c r="E100" i="37"/>
  <c r="E233" i="37" s="1"/>
  <c r="E183" i="20"/>
  <c r="C231" i="37"/>
  <c r="D231" i="37"/>
  <c r="C91" i="37"/>
  <c r="D91" i="37"/>
  <c r="B224" i="37"/>
  <c r="C174" i="20"/>
  <c r="D174" i="20"/>
  <c r="C41" i="37"/>
  <c r="D41" i="37"/>
  <c r="B182" i="37"/>
  <c r="C147" i="20"/>
  <c r="D147" i="20"/>
  <c r="D38" i="20"/>
  <c r="C38" i="20"/>
  <c r="B144" i="20"/>
  <c r="B38" i="37"/>
  <c r="E38" i="37"/>
  <c r="E179" i="37" s="1"/>
  <c r="E144" i="20"/>
  <c r="C35" i="37"/>
  <c r="D35" i="37"/>
  <c r="B176" i="37"/>
  <c r="D141" i="20"/>
  <c r="C141" i="20"/>
  <c r="E139" i="20"/>
  <c r="E33" i="37"/>
  <c r="E174" i="37" s="1"/>
  <c r="C33" i="20"/>
  <c r="B33" i="37"/>
  <c r="D33" i="20"/>
  <c r="B139" i="20"/>
  <c r="C12" i="37"/>
  <c r="D12" i="37"/>
  <c r="B153" i="37"/>
  <c r="D118" i="20"/>
  <c r="C118" i="20"/>
  <c r="D53" i="37"/>
  <c r="B194" i="37"/>
  <c r="C53" i="37"/>
  <c r="D159" i="20"/>
  <c r="C159" i="20"/>
  <c r="D229" i="37"/>
  <c r="C229" i="37"/>
  <c r="C44" i="37" l="1"/>
  <c r="B185" i="37"/>
  <c r="D44" i="37"/>
  <c r="D150" i="20"/>
  <c r="C150" i="20"/>
  <c r="C183" i="20"/>
  <c r="D183" i="20"/>
  <c r="C100" i="37"/>
  <c r="D100" i="37"/>
  <c r="B233" i="37"/>
  <c r="D224" i="37"/>
  <c r="C224" i="37"/>
  <c r="D182" i="37"/>
  <c r="C182" i="37"/>
  <c r="B179" i="37"/>
  <c r="D38" i="37"/>
  <c r="C38" i="37"/>
  <c r="C144" i="20"/>
  <c r="D144" i="20"/>
  <c r="C176" i="37"/>
  <c r="D176" i="37"/>
  <c r="C139" i="20"/>
  <c r="D139" i="20"/>
  <c r="C33" i="37"/>
  <c r="B174" i="37"/>
  <c r="D33" i="37"/>
  <c r="C153" i="37"/>
  <c r="D153" i="37"/>
  <c r="D194" i="37"/>
  <c r="C194" i="37"/>
  <c r="C185" i="37" l="1"/>
  <c r="D185" i="37"/>
  <c r="D233" i="37"/>
  <c r="C233" i="37"/>
  <c r="D179" i="37"/>
  <c r="C179" i="37"/>
  <c r="D174" i="37"/>
  <c r="C17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tc={B579866D-CDF8-416F-9780-49EAC8946C12}</author>
  </authors>
  <commentList>
    <comment ref="D287" authorId="0" shapeId="0" xr:uid="{B579866D-CDF8-416F-9780-49EAC8946C1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 el erp se le subió el precio ya que la lista de publico, al tomar otra celda, tenia un valor más caro. Eventualmente se corrigió eso. Ver a la vuelta de Ari.</t>
        </r>
      </text>
    </comment>
  </commentList>
</comments>
</file>

<file path=xl/sharedStrings.xml><?xml version="1.0" encoding="utf-8"?>
<sst xmlns="http://schemas.openxmlformats.org/spreadsheetml/2006/main" count="8692" uniqueCount="2583">
  <si>
    <t>Codigo</t>
  </si>
  <si>
    <t>P. Final + iva</t>
  </si>
  <si>
    <t>P. Mayorista Iva inc.</t>
  </si>
  <si>
    <t>Tasa</t>
  </si>
  <si>
    <t>P. Publico Iva inc.</t>
  </si>
  <si>
    <t>VARTA</t>
  </si>
  <si>
    <t>impo directa</t>
  </si>
  <si>
    <t>descuento</t>
  </si>
  <si>
    <t>contado</t>
  </si>
  <si>
    <t>extra</t>
  </si>
  <si>
    <t>IIBB</t>
  </si>
  <si>
    <t>Logistica</t>
  </si>
  <si>
    <t>Comisiones</t>
  </si>
  <si>
    <t>Dias Finan</t>
  </si>
  <si>
    <t>Publico</t>
  </si>
  <si>
    <t>Neto</t>
  </si>
  <si>
    <t>Mark-UP</t>
  </si>
  <si>
    <t>Rentabilidad</t>
  </si>
  <si>
    <t>Publico redondeado + scrap</t>
  </si>
  <si>
    <t>Modelo</t>
  </si>
  <si>
    <t>MB</t>
  </si>
  <si>
    <t>Mak-up</t>
  </si>
  <si>
    <t>rentabili</t>
  </si>
  <si>
    <t>VGM60HD/E</t>
  </si>
  <si>
    <t>Descuento por Bateria Usada:</t>
  </si>
  <si>
    <t xml:space="preserve">Auto </t>
  </si>
  <si>
    <t>VDA65DD/E</t>
  </si>
  <si>
    <t>Utilitario</t>
  </si>
  <si>
    <t>VDA70ND/E</t>
  </si>
  <si>
    <t>Camiones</t>
  </si>
  <si>
    <t>VDA75PD</t>
  </si>
  <si>
    <t>VDA95MD</t>
  </si>
  <si>
    <t xml:space="preserve">Descuentos </t>
  </si>
  <si>
    <t>VA38JD</t>
  </si>
  <si>
    <t>Grandes</t>
  </si>
  <si>
    <t>VA34JD</t>
  </si>
  <si>
    <t>Talleres</t>
  </si>
  <si>
    <t>VA45BD</t>
  </si>
  <si>
    <t>Leon /coorporativos</t>
  </si>
  <si>
    <t>VA45JD/E</t>
  </si>
  <si>
    <t>Contado</t>
  </si>
  <si>
    <t>VA50GD</t>
  </si>
  <si>
    <t>30 dias</t>
  </si>
  <si>
    <t>VA60HD/E</t>
  </si>
  <si>
    <t>Volumen</t>
  </si>
  <si>
    <t>VA60DD/E</t>
  </si>
  <si>
    <t>VA70ND/E</t>
  </si>
  <si>
    <t>VA75LD/E</t>
  </si>
  <si>
    <t>VA90LD/E</t>
  </si>
  <si>
    <t>VAF90MD</t>
  </si>
  <si>
    <t>VPA100LE</t>
  </si>
  <si>
    <t>VA150TD</t>
  </si>
  <si>
    <t>VPA150TD</t>
  </si>
  <si>
    <t>VA180TD</t>
  </si>
  <si>
    <t>VPA180TD</t>
  </si>
  <si>
    <t>VFA180TD</t>
  </si>
  <si>
    <t>VFA180TE</t>
  </si>
  <si>
    <t>VA200TD</t>
  </si>
  <si>
    <t>VA225TE</t>
  </si>
  <si>
    <t>VTA135TD</t>
  </si>
  <si>
    <t>VFB60HD</t>
  </si>
  <si>
    <t>VFB72PD</t>
  </si>
  <si>
    <t>57 AGM</t>
  </si>
  <si>
    <t>88 AGM</t>
  </si>
  <si>
    <t>FREEDOM</t>
  </si>
  <si>
    <t>Mark-up</t>
  </si>
  <si>
    <t>Rent</t>
  </si>
  <si>
    <t>DF1000</t>
  </si>
  <si>
    <t>DF2000</t>
  </si>
  <si>
    <t>ACUBAT / LUBECK</t>
  </si>
  <si>
    <t>Sermat</t>
  </si>
  <si>
    <t>Garcia</t>
  </si>
  <si>
    <t>Dinasty</t>
  </si>
  <si>
    <t>Diba</t>
  </si>
  <si>
    <t>Edna</t>
  </si>
  <si>
    <t>Elpra</t>
  </si>
  <si>
    <t>MODELOS</t>
  </si>
  <si>
    <t>DEN. ANTERIOR</t>
  </si>
  <si>
    <t>PRECIO + IVA</t>
  </si>
  <si>
    <t>D F</t>
  </si>
  <si>
    <t>55-60%</t>
  </si>
  <si>
    <t>NS40</t>
  </si>
  <si>
    <t>(12-40)</t>
  </si>
  <si>
    <t>EN50</t>
  </si>
  <si>
    <t>(12-50)</t>
  </si>
  <si>
    <t>EN300</t>
  </si>
  <si>
    <t>(12-45)</t>
  </si>
  <si>
    <t>EN44</t>
  </si>
  <si>
    <t>EN350</t>
  </si>
  <si>
    <t>(12-65)</t>
  </si>
  <si>
    <t>EN350 Gold</t>
  </si>
  <si>
    <t>(12-65 Sellada)</t>
  </si>
  <si>
    <t>EN57</t>
  </si>
  <si>
    <t>(12-70)</t>
  </si>
  <si>
    <t>EN600</t>
  </si>
  <si>
    <t>(12-75)</t>
  </si>
  <si>
    <t>EN600 Gold</t>
  </si>
  <si>
    <t>EN600 Alta</t>
  </si>
  <si>
    <t>EN88</t>
  </si>
  <si>
    <t>(12-100)</t>
  </si>
  <si>
    <t>EN110</t>
  </si>
  <si>
    <t>(12-110)</t>
  </si>
  <si>
    <t>EN180</t>
  </si>
  <si>
    <t>(12-180)</t>
  </si>
  <si>
    <t>EN6-140</t>
  </si>
  <si>
    <t>(6-140)</t>
  </si>
  <si>
    <t>EN6-200</t>
  </si>
  <si>
    <t>(6-200)</t>
  </si>
  <si>
    <t>12x65</t>
  </si>
  <si>
    <t>volta</t>
  </si>
  <si>
    <t>12x75</t>
  </si>
  <si>
    <t>12x180</t>
  </si>
  <si>
    <t>P. Base</t>
  </si>
  <si>
    <t>MOURA</t>
  </si>
  <si>
    <t>Descuento</t>
  </si>
  <si>
    <t>adicional</t>
  </si>
  <si>
    <r>
      <rPr>
        <b/>
        <sz val="7.5"/>
        <rFont val="Calibri"/>
        <family val="1"/>
      </rPr>
      <t>M40FD</t>
    </r>
  </si>
  <si>
    <r>
      <rPr>
        <b/>
        <sz val="7.5"/>
        <rFont val="Calibri"/>
        <family val="1"/>
      </rPr>
      <t>M18FD</t>
    </r>
    <r>
      <rPr>
        <b/>
        <sz val="7.5"/>
        <rFont val="Calibri"/>
        <family val="2"/>
      </rPr>
      <t xml:space="preserve"> (100)</t>
    </r>
  </si>
  <si>
    <r>
      <rPr>
        <b/>
        <sz val="7.5"/>
        <rFont val="Calibri"/>
        <family val="1"/>
      </rPr>
      <t>M22ED</t>
    </r>
    <r>
      <rPr>
        <b/>
        <sz val="7.5"/>
        <rFont val="Calibri"/>
        <family val="2"/>
      </rPr>
      <t xml:space="preserve"> (100)</t>
    </r>
  </si>
  <si>
    <r>
      <rPr>
        <b/>
        <sz val="7.5"/>
        <rFont val="Calibri"/>
        <family val="1"/>
      </rPr>
      <t>M20GD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</si>
  <si>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M22GD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</si>
  <si>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M22GI</t>
    </r>
  </si>
  <si>
    <r>
      <rPr>
        <b/>
        <sz val="7.5"/>
        <rFont val="Calibri"/>
        <family val="1"/>
      </rPr>
      <t>M26AD</t>
    </r>
    <r>
      <rPr>
        <b/>
        <sz val="7.5"/>
        <rFont val="Calibri"/>
        <family val="2"/>
      </rPr>
      <t xml:space="preserve"> (80)</t>
    </r>
  </si>
  <si>
    <r>
      <rPr>
        <b/>
        <sz val="7.5"/>
        <rFont val="Calibri"/>
        <family val="1"/>
      </rPr>
      <t>M26AI</t>
    </r>
  </si>
  <si>
    <r>
      <rPr>
        <b/>
        <sz val="7.5"/>
        <rFont val="Calibri"/>
        <family val="1"/>
      </rPr>
      <t>M24KD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</si>
  <si>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M28KD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</si>
  <si>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M28KI</t>
    </r>
  </si>
  <si>
    <r>
      <rPr>
        <b/>
        <sz val="7.5"/>
        <rFont val="Calibri"/>
        <family val="1"/>
      </rPr>
      <t>M30LD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</si>
  <si>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M30LI</t>
    </r>
  </si>
  <si>
    <r>
      <rPr>
        <b/>
        <sz val="7.5"/>
        <rFont val="Calibri"/>
        <family val="1"/>
      </rPr>
      <t>M18SD</t>
    </r>
    <r>
      <rPr>
        <b/>
        <sz val="7.5"/>
        <rFont val="Calibri"/>
        <family val="2"/>
      </rPr>
      <t xml:space="preserve"> (105)</t>
    </r>
  </si>
  <si>
    <r>
      <rPr>
        <b/>
        <sz val="7.5"/>
        <rFont val="Calibri"/>
        <family val="1"/>
      </rPr>
      <t>M22JD</t>
    </r>
    <r>
      <rPr>
        <b/>
        <sz val="7.5"/>
        <rFont val="Calibri"/>
        <family val="2"/>
      </rPr>
      <t xml:space="preserve"> (84)</t>
    </r>
  </si>
  <si>
    <r>
      <rPr>
        <b/>
        <sz val="7.5"/>
        <rFont val="Calibri"/>
        <family val="1"/>
      </rPr>
      <t>M22RD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</si>
  <si>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M22RI</t>
    </r>
  </si>
  <si>
    <r>
      <rPr>
        <b/>
        <sz val="7.5"/>
        <rFont val="Calibri"/>
        <family val="1"/>
      </rPr>
      <t>ME80CD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</si>
  <si>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ME90TD</t>
    </r>
    <r>
      <rPr>
        <b/>
        <sz val="7.5"/>
        <rFont val="Calibri"/>
        <family val="2"/>
      </rPr>
      <t xml:space="preserve"> (45)</t>
    </r>
  </si>
  <si>
    <r>
      <rPr>
        <b/>
        <sz val="7.5"/>
        <rFont val="Calibri"/>
        <family val="1"/>
      </rPr>
      <t>ME90TI</t>
    </r>
  </si>
  <si>
    <r>
      <rPr>
        <b/>
        <sz val="7.5"/>
        <rFont val="Calibri"/>
        <family val="1"/>
      </rPr>
      <t>ME95QD</t>
    </r>
    <r>
      <rPr>
        <b/>
        <sz val="7.5"/>
        <rFont val="Calibri"/>
        <family val="2"/>
      </rPr>
      <t xml:space="preserve"> (60)</t>
    </r>
  </si>
  <si>
    <r>
      <rPr>
        <b/>
        <sz val="7.5"/>
        <rFont val="Calibri"/>
        <family val="1"/>
      </rPr>
      <t>ME100HA</t>
    </r>
  </si>
  <si>
    <r>
      <rPr>
        <b/>
        <sz val="7.5"/>
        <rFont val="Calibri"/>
        <family val="1"/>
      </rPr>
      <t>ME135BD</t>
    </r>
  </si>
  <si>
    <r>
      <rPr>
        <b/>
        <sz val="7.5"/>
        <rFont val="Calibri"/>
        <family val="1"/>
      </rPr>
      <t>ME150BD</t>
    </r>
  </si>
  <si>
    <r>
      <rPr>
        <b/>
        <sz val="7.5"/>
        <rFont val="Calibri"/>
        <family val="1"/>
      </rPr>
      <t>ME180BD</t>
    </r>
  </si>
  <si>
    <r>
      <rPr>
        <b/>
        <sz val="7.5"/>
        <rFont val="Calibri"/>
        <family val="1"/>
      </rPr>
      <t>ME180BI</t>
    </r>
  </si>
  <si>
    <r>
      <rPr>
        <b/>
        <sz val="7.5"/>
        <rFont val="Calibri"/>
        <family val="1"/>
      </rPr>
      <t>ME220PD/I</t>
    </r>
  </si>
  <si>
    <r>
      <rPr>
        <b/>
        <sz val="7.5"/>
        <rFont val="Calibri"/>
        <family val="1"/>
      </rPr>
      <t>MF60AD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</si>
  <si>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MF72LD</t>
    </r>
    <r>
      <rPr>
        <b/>
        <sz val="7.5"/>
        <rFont val="Calibri"/>
        <family val="2"/>
      </rPr>
      <t xml:space="preserve"> (72)</t>
    </r>
  </si>
  <si>
    <r>
      <rPr>
        <b/>
        <sz val="7.5"/>
        <rFont val="Calibri"/>
        <family val="1"/>
      </rPr>
      <t>MF80CD</t>
    </r>
    <r>
      <rPr>
        <b/>
        <sz val="7.5"/>
        <rFont val="Calibri"/>
        <family val="2"/>
      </rPr>
      <t xml:space="preserve"> (60)</t>
    </r>
  </si>
  <si>
    <t>MA80CD AGM (60)</t>
  </si>
  <si>
    <r>
      <rPr>
        <b/>
        <sz val="7.5"/>
        <rFont val="Calibri"/>
        <family val="1"/>
      </rPr>
      <t>ME23UI</t>
    </r>
  </si>
  <si>
    <r>
      <rPr>
        <b/>
        <sz val="7.5"/>
        <rFont val="Calibri"/>
        <family val="1"/>
      </rPr>
      <t>Z45</t>
    </r>
  </si>
  <si>
    <r>
      <rPr>
        <b/>
        <sz val="7.5"/>
        <rFont val="Calibri"/>
        <family val="1"/>
      </rPr>
      <t>Z65</t>
    </r>
  </si>
  <si>
    <r>
      <rPr>
        <b/>
        <sz val="7.5"/>
        <rFont val="Calibri"/>
        <family val="1"/>
      </rPr>
      <t>Z75</t>
    </r>
  </si>
  <si>
    <t>Moto</t>
  </si>
  <si>
    <t>MA3-AD(ytx4)</t>
  </si>
  <si>
    <t>MA5-AD(yb5)</t>
  </si>
  <si>
    <t>MA5-D (ytx5)</t>
  </si>
  <si>
    <t>MA6-D (ytx7l)</t>
  </si>
  <si>
    <t>MA6-I (ytx7a)</t>
  </si>
  <si>
    <t>MA8-I (ytx9)</t>
  </si>
  <si>
    <t>Traccion</t>
  </si>
  <si>
    <t>6ML225 (T-105)</t>
  </si>
  <si>
    <t>VRLA</t>
  </si>
  <si>
    <t>12v7ah</t>
  </si>
  <si>
    <t>12V12ah</t>
  </si>
  <si>
    <t>12v5ah</t>
  </si>
  <si>
    <t>12v18ah</t>
  </si>
  <si>
    <t>WILLARD</t>
  </si>
  <si>
    <t>Gtia</t>
  </si>
  <si>
    <t>Pago</t>
  </si>
  <si>
    <t>Extra</t>
  </si>
  <si>
    <t>UB 325 Ag</t>
  </si>
  <si>
    <t>UB 425 Ag</t>
  </si>
  <si>
    <t>UB 550 Ag</t>
  </si>
  <si>
    <t>UB 670 Ag</t>
  </si>
  <si>
    <t>UB 620 Ag</t>
  </si>
  <si>
    <t>UB 730 Ag</t>
  </si>
  <si>
    <t>UB 740 Ag</t>
  </si>
  <si>
    <t>UB 840 Ag</t>
  </si>
  <si>
    <t>UB 920 Ag</t>
  </si>
  <si>
    <t>UB 1030</t>
  </si>
  <si>
    <t>UB710</t>
  </si>
  <si>
    <t>UB930</t>
  </si>
  <si>
    <t>UB 1240</t>
  </si>
  <si>
    <t>UB1400</t>
  </si>
  <si>
    <t>UB730 EFB</t>
  </si>
  <si>
    <t>UB840 EFB</t>
  </si>
  <si>
    <t>12-100 VRLA</t>
  </si>
  <si>
    <t>12-120 Ciclo</t>
  </si>
  <si>
    <t>12-12 Ciclo</t>
  </si>
  <si>
    <t>12-22 Ciclo</t>
  </si>
  <si>
    <t>Monopatin</t>
  </si>
  <si>
    <t>Casco</t>
  </si>
  <si>
    <t>Valor Poweroad</t>
  </si>
  <si>
    <t>Valor Triangulando</t>
  </si>
  <si>
    <t>Precio</t>
  </si>
  <si>
    <t>GEL-YB5L-B</t>
  </si>
  <si>
    <t>12N5-3B AGM without acid pack</t>
    <phoneticPr fontId="23" type="noConversion"/>
  </si>
  <si>
    <t>GEL-YB7-A</t>
  </si>
  <si>
    <t>12N7-4B AGM without acid pack</t>
  </si>
  <si>
    <t>GEL-YB7B-B</t>
  </si>
  <si>
    <t>12N7A-3A AGM without acid pack</t>
  </si>
  <si>
    <t>GEL-YB9L-B</t>
  </si>
  <si>
    <t>12N9-4B-1 AGM without acid pack</t>
  </si>
  <si>
    <t>GEL-YB10L-A2</t>
    <phoneticPr fontId="24" type="noConversion"/>
  </si>
  <si>
    <t>YB10L-A2 AGM without acid pack</t>
    <phoneticPr fontId="23" type="noConversion"/>
  </si>
  <si>
    <t>GEL-YB12AL-A</t>
  </si>
  <si>
    <t>YB12A-A AGM without acid pack</t>
  </si>
  <si>
    <t>GEL-YB14L-A2</t>
    <phoneticPr fontId="23" type="noConversion"/>
  </si>
  <si>
    <t>12N14A-3A AGM without acid pack</t>
  </si>
  <si>
    <t>GEL-YTX19CL-BS</t>
  </si>
  <si>
    <t>YB16CL-B AGM without acid pack</t>
    <phoneticPr fontId="23" type="noConversion"/>
  </si>
  <si>
    <t>GEL-YTX4L-BS</t>
  </si>
  <si>
    <t>YTX4L-BS AGM without acid pack</t>
  </si>
  <si>
    <t>GEL-YTX5L-BS</t>
  </si>
  <si>
    <t>YTX5L-BS AGM without acid pack</t>
  </si>
  <si>
    <t>GEL-12N6.5-3B</t>
  </si>
  <si>
    <t>YTX6.5L-BS AGM without acid pack</t>
  </si>
  <si>
    <t>GEL-YTX7L-BS</t>
  </si>
  <si>
    <t>YTX7L-BS AGM without acid pack</t>
  </si>
  <si>
    <t>GEL-YTZ10S</t>
  </si>
  <si>
    <t>YTX7A-BS AGM without acid pack</t>
  </si>
  <si>
    <t>GEL-YTX9-BS</t>
  </si>
  <si>
    <t>YTX9-BS AGM without acid pack</t>
  </si>
  <si>
    <t>GEL-YTX12-BS</t>
  </si>
  <si>
    <t>YTX12-BS AGM without acid pack</t>
  </si>
  <si>
    <t>GEL-YTX14-BS</t>
  </si>
  <si>
    <t>YTX14-BS AGM without acid pack</t>
  </si>
  <si>
    <t>GEL-YTX20-BS</t>
  </si>
  <si>
    <t>YTX20-BS AGM without acid pack</t>
  </si>
  <si>
    <t>GEL-YTX20L-BS</t>
  </si>
  <si>
    <t>GEL-YTZ7S</t>
    <phoneticPr fontId="23" type="noConversion"/>
  </si>
  <si>
    <t>YTZ7S AGM without acid pack</t>
  </si>
  <si>
    <t>GEL-YTX12A-BS</t>
    <phoneticPr fontId="23" type="noConversion"/>
  </si>
  <si>
    <t>YTZ12S AGM without acid pack</t>
  </si>
  <si>
    <t>GEL-YTZ14S</t>
  </si>
  <si>
    <t>YTZ14S AGM without acid pack</t>
    <phoneticPr fontId="23" type="noConversion"/>
  </si>
  <si>
    <t>GEL-YT12B-4</t>
    <phoneticPr fontId="23" type="noConversion"/>
  </si>
  <si>
    <t>YT12B-4 AGM without acid pack</t>
    <phoneticPr fontId="23" type="noConversion"/>
  </si>
  <si>
    <t>GEL 12N24-4</t>
  </si>
  <si>
    <t>GEL YTX30</t>
  </si>
  <si>
    <t>6x4 alarm</t>
  </si>
  <si>
    <t>6x10 alarm</t>
  </si>
  <si>
    <t>12x7 alarm</t>
  </si>
  <si>
    <t>12x12 alarm</t>
  </si>
  <si>
    <t>12x18 alarm</t>
  </si>
  <si>
    <t>12x26 alarm</t>
  </si>
  <si>
    <t>12x12 deep cycle</t>
  </si>
  <si>
    <t>12x20 deep cycle</t>
  </si>
  <si>
    <t>12x26 deep cycle</t>
  </si>
  <si>
    <t>12x100 deep cycle</t>
  </si>
  <si>
    <t>12x120 deep cycle</t>
  </si>
  <si>
    <t>12x200 deep cycle</t>
  </si>
  <si>
    <t>OPTIMA</t>
  </si>
  <si>
    <t>Red 34 i</t>
  </si>
  <si>
    <t>Yellow 34 i</t>
  </si>
  <si>
    <t>Pioneiro</t>
  </si>
  <si>
    <t>Auto</t>
  </si>
  <si>
    <t>F40pd (300)</t>
  </si>
  <si>
    <t>12x45</t>
  </si>
  <si>
    <t>F52gd (44)</t>
  </si>
  <si>
    <t>12x50</t>
  </si>
  <si>
    <t>F50d (350)</t>
  </si>
  <si>
    <t>F60dx (57)</t>
  </si>
  <si>
    <t>12x70</t>
  </si>
  <si>
    <t>F70d (600)</t>
  </si>
  <si>
    <t>F70dg (600g)</t>
  </si>
  <si>
    <t>12x75 ref</t>
  </si>
  <si>
    <t>F75dx (600 alta)</t>
  </si>
  <si>
    <t>1x75 alta</t>
  </si>
  <si>
    <t>F100ds (88)</t>
  </si>
  <si>
    <t>12x90</t>
  </si>
  <si>
    <t>F42df (ns40)</t>
  </si>
  <si>
    <t>12x40</t>
  </si>
  <si>
    <t>F52dc (en50)</t>
  </si>
  <si>
    <t>F90cd/e (nr)</t>
  </si>
  <si>
    <t>F110e (110)</t>
  </si>
  <si>
    <t>12x110</t>
  </si>
  <si>
    <t>F150dx</t>
  </si>
  <si>
    <t>EFB60D</t>
  </si>
  <si>
    <t>EFB72D</t>
  </si>
  <si>
    <t>EFB95D</t>
  </si>
  <si>
    <t>MBR5VP</t>
  </si>
  <si>
    <t>12n5</t>
  </si>
  <si>
    <t>MBR5BS</t>
  </si>
  <si>
    <t>ytx5</t>
  </si>
  <si>
    <t>MBR7ABS</t>
  </si>
  <si>
    <t>ytx7a</t>
  </si>
  <si>
    <t>MBR7BS</t>
  </si>
  <si>
    <t>ytx7l</t>
  </si>
  <si>
    <t>MBR8VP</t>
  </si>
  <si>
    <t>ytx9</t>
  </si>
  <si>
    <t>MBR11VP</t>
  </si>
  <si>
    <t>ytx12</t>
  </si>
  <si>
    <t>MBR14BS</t>
  </si>
  <si>
    <t>ytx14</t>
  </si>
  <si>
    <t>MBR16LBS</t>
  </si>
  <si>
    <t>ytx16</t>
  </si>
  <si>
    <t>MBR18LBS</t>
  </si>
  <si>
    <t>ytx20</t>
  </si>
  <si>
    <t>MBR12LVP</t>
  </si>
  <si>
    <t>ytz12a</t>
  </si>
  <si>
    <t>MBR10BS</t>
  </si>
  <si>
    <t>ytz10</t>
  </si>
  <si>
    <t>MBR7VP</t>
  </si>
  <si>
    <t>12n7-4</t>
  </si>
  <si>
    <t>MBR9AYS</t>
  </si>
  <si>
    <t>12n9-4</t>
  </si>
  <si>
    <t>Bronco</t>
  </si>
  <si>
    <t>Kage</t>
  </si>
  <si>
    <t>Moura</t>
  </si>
  <si>
    <t>Dolares</t>
  </si>
  <si>
    <t>CORREGIDO</t>
  </si>
  <si>
    <t>Mark-Up</t>
  </si>
  <si>
    <t>12N5-3B AGM</t>
  </si>
  <si>
    <t>KG5AL (10)</t>
  </si>
  <si>
    <t xml:space="preserve"> 12N5-3B</t>
  </si>
  <si>
    <t>12N7-4B AGM</t>
  </si>
  <si>
    <t>12N7-4A</t>
  </si>
  <si>
    <t>12N7-3B AGM</t>
  </si>
  <si>
    <t>12N7-3B</t>
  </si>
  <si>
    <t>12N7A-3A AGM</t>
  </si>
  <si>
    <t>KG7D</t>
  </si>
  <si>
    <t>12N9-4B-1 AGM</t>
  </si>
  <si>
    <t>MF12V9-2A (10)</t>
  </si>
  <si>
    <t>12N9-4B-1</t>
  </si>
  <si>
    <t>12N10-3B AGM</t>
  </si>
  <si>
    <t>12N10-3B</t>
  </si>
  <si>
    <t>YB12A-A</t>
  </si>
  <si>
    <t>YT12B-4</t>
  </si>
  <si>
    <t>12N14A-3A AGM</t>
  </si>
  <si>
    <t>MF12V14-3A (4)</t>
  </si>
  <si>
    <t>12N14-3A</t>
  </si>
  <si>
    <t>YB16CL-B</t>
  </si>
  <si>
    <t xml:space="preserve"> YB16CL-B</t>
  </si>
  <si>
    <t>YTX4L-BS</t>
  </si>
  <si>
    <t>KGZ5S (10)</t>
  </si>
  <si>
    <t>YTZ4V-WET(YTX4)</t>
  </si>
  <si>
    <t>YTX5L-BS</t>
  </si>
  <si>
    <t>YTZ6V-WET (YTX5)</t>
  </si>
  <si>
    <t>MA5-D</t>
  </si>
  <si>
    <t>YTX6.5L-BS</t>
  </si>
  <si>
    <t>KG6.5L (10)</t>
  </si>
  <si>
    <t>YTX7L-BS</t>
  </si>
  <si>
    <t>KG7L (10)</t>
  </si>
  <si>
    <t>YT7A (YTX7L)</t>
  </si>
  <si>
    <t>MA6-D</t>
  </si>
  <si>
    <t>YTX7A-BS</t>
  </si>
  <si>
    <t>KG7A (10)</t>
  </si>
  <si>
    <t>YTX9-BS</t>
  </si>
  <si>
    <t>KG9A (10)</t>
  </si>
  <si>
    <t>YT9A (YTX9)</t>
  </si>
  <si>
    <t>YTX12-BS</t>
  </si>
  <si>
    <t>GT12-A (4)</t>
  </si>
  <si>
    <t xml:space="preserve"> YTX12-BS</t>
  </si>
  <si>
    <t>YTX14-BS</t>
  </si>
  <si>
    <t xml:space="preserve">YTX14-BS </t>
  </si>
  <si>
    <t>YTX16CL-BS</t>
  </si>
  <si>
    <t>YTX20-BS</t>
  </si>
  <si>
    <t>YTX20L-BS</t>
  </si>
  <si>
    <t>YTZ7S</t>
  </si>
  <si>
    <t>KGZ7S (10)</t>
  </si>
  <si>
    <t>YTZ10S</t>
  </si>
  <si>
    <t>GTZ10S (10)</t>
  </si>
  <si>
    <t>YTZ12S</t>
  </si>
  <si>
    <t>YTZ14S</t>
  </si>
  <si>
    <t>12N24-3 / U1R-250</t>
  </si>
  <si>
    <t>GS CB12AL2</t>
  </si>
  <si>
    <t>GS 12n73a</t>
  </si>
  <si>
    <t xml:space="preserve">Fixit Moto S0020 </t>
  </si>
  <si>
    <t xml:space="preserve">Fixit Auto S0021 </t>
  </si>
  <si>
    <t>Dólar</t>
  </si>
  <si>
    <t>Marca</t>
  </si>
  <si>
    <t>ARTICULO</t>
  </si>
  <si>
    <t>CODIGO</t>
  </si>
  <si>
    <t>Costo USD</t>
  </si>
  <si>
    <t>Kushiro</t>
  </si>
  <si>
    <t>Cargador de Baterias 25A  (CHICO)</t>
  </si>
  <si>
    <t>Cargador Arrancador 120A (GRANDE)</t>
  </si>
  <si>
    <t>Juego de tubos 60 piezas JU60</t>
  </si>
  <si>
    <t>Set de 4 herramientas 44 piezas JUH44</t>
  </si>
  <si>
    <t>Generador Electrico Kushiro 6000W</t>
  </si>
  <si>
    <t>Generador Electrico Kushiro 3100W</t>
  </si>
  <si>
    <t>Generador Electrico Kushiro 750W</t>
  </si>
  <si>
    <t>Trupper</t>
  </si>
  <si>
    <t>Juego de destornilladores truper 20220</t>
  </si>
  <si>
    <t>Pinzas y destornilladores truper 18200</t>
  </si>
  <si>
    <t>Sujetador con criquet 19282</t>
  </si>
  <si>
    <t xml:space="preserve">Sujetador con criquet reforzado </t>
  </si>
  <si>
    <t>Candado para moto 49622</t>
  </si>
  <si>
    <t>Lusqtoff</t>
  </si>
  <si>
    <t xml:space="preserve">Tester digital Escolar </t>
  </si>
  <si>
    <t>mut-830</t>
  </si>
  <si>
    <t>Pretul</t>
  </si>
  <si>
    <t>Juego de 109 herramientas 27168</t>
  </si>
  <si>
    <t xml:space="preserve">Manguera 1/2 Reforzada </t>
  </si>
  <si>
    <t>Candado con Cadena Forrada</t>
  </si>
  <si>
    <t>Minicompresor 12V</t>
  </si>
  <si>
    <t>Mini Compresor 12V 150 PSI</t>
  </si>
  <si>
    <t>MCL150-8</t>
  </si>
  <si>
    <t xml:space="preserve">Aspiradora Auto </t>
  </si>
  <si>
    <t>Aspiradora 15LTS Acero Inox</t>
  </si>
  <si>
    <t>LA-1500MM</t>
  </si>
  <si>
    <t>Aspiradora a bateria</t>
  </si>
  <si>
    <t>LA3.8-8B</t>
  </si>
  <si>
    <t>Cargador Lusqtoff 20A LCC-20(CHICO)</t>
  </si>
  <si>
    <t>LCC-20</t>
  </si>
  <si>
    <t>Cargador Lusqtoff 30A LCC-45(GRANDE)</t>
  </si>
  <si>
    <t>LCC-45</t>
  </si>
  <si>
    <t>Arrancador Portatil PB-100</t>
  </si>
  <si>
    <t>PB-100</t>
  </si>
  <si>
    <t>Arrancador Portatil PI-300</t>
  </si>
  <si>
    <t>PI-300</t>
  </si>
  <si>
    <t>Arrancador Portatil PQ-500</t>
  </si>
  <si>
    <t>PQ-500</t>
  </si>
  <si>
    <t>Arrancador e inflador AI150L-BK</t>
  </si>
  <si>
    <t>AI150L-BK</t>
  </si>
  <si>
    <t>Inflador a bateria</t>
  </si>
  <si>
    <t>IL150-8</t>
  </si>
  <si>
    <t>Termo Inoxidable 750 ML</t>
  </si>
  <si>
    <t>TL750-9</t>
  </si>
  <si>
    <t xml:space="preserve">Termo Inoxidable 1 Litro </t>
  </si>
  <si>
    <t>TL1-9</t>
  </si>
  <si>
    <t xml:space="preserve">Termo Inoxidable 1.3 Litro </t>
  </si>
  <si>
    <t>TL1.3-9</t>
  </si>
  <si>
    <t>Mate 300ml verde</t>
  </si>
  <si>
    <t>matlv-9</t>
  </si>
  <si>
    <t>Bombilla lusqtoff 18cm</t>
  </si>
  <si>
    <t>boml18-9</t>
  </si>
  <si>
    <t>Botella Termica 500ML</t>
  </si>
  <si>
    <t>BOTL500-8V</t>
  </si>
  <si>
    <t>Botella Termica BOTL750-9</t>
  </si>
  <si>
    <t>BOTL750-9</t>
  </si>
  <si>
    <t>Vaso con Tapa</t>
  </si>
  <si>
    <t>VTL530-9B</t>
  </si>
  <si>
    <t>Vaso Termico VTL430-8A</t>
  </si>
  <si>
    <t>VTL430-8A</t>
  </si>
  <si>
    <t>Vaso Fernetero 700ML</t>
  </si>
  <si>
    <t>VFL700-8N</t>
  </si>
  <si>
    <t>Set Herramientas SET129</t>
  </si>
  <si>
    <t>SET129</t>
  </si>
  <si>
    <t>Maletin LQCT107-8K</t>
  </si>
  <si>
    <t>LQCT107-8K</t>
  </si>
  <si>
    <t>Set 150 piezas racing SHL150-9 (set150)</t>
  </si>
  <si>
    <t>SHL150-9</t>
  </si>
  <si>
    <t>Mesa Porta Herramientas</t>
  </si>
  <si>
    <t>TC-1350</t>
  </si>
  <si>
    <t>Soldador Iron - Megairon100</t>
  </si>
  <si>
    <t>MEGAIRON100</t>
  </si>
  <si>
    <t>Kit Soldador Iron - + 1 bolsa de electrodos</t>
  </si>
  <si>
    <t>Mega Kit Soldador 100</t>
  </si>
  <si>
    <t>MEGAIRON100-8</t>
  </si>
  <si>
    <t>Soldador Iron - Megairon140-9</t>
  </si>
  <si>
    <t>MEGAIRON140-9</t>
  </si>
  <si>
    <t>Caja de electrodos LQ6013-200</t>
  </si>
  <si>
    <t>LQE6013-200</t>
  </si>
  <si>
    <t>Bolsa de electrodos</t>
  </si>
  <si>
    <t>Hidrolavadora HL-120</t>
  </si>
  <si>
    <t>HL-120</t>
  </si>
  <si>
    <t>Taladro a bateria con percutor ATL18-8B</t>
  </si>
  <si>
    <t>ATL18-8B</t>
  </si>
  <si>
    <t>Taladro percutor TPL710-8</t>
  </si>
  <si>
    <t>TPL710-8</t>
  </si>
  <si>
    <t>Amoladora angular AML850-8</t>
  </si>
  <si>
    <t>AML850-8</t>
  </si>
  <si>
    <t>Amoladora 2200W</t>
  </si>
  <si>
    <t>AML2200-9</t>
  </si>
  <si>
    <t>Amoladora Ang Inalambrica AML115-9BK</t>
  </si>
  <si>
    <t>AML115-9BK</t>
  </si>
  <si>
    <t>Generador 2.8KW LG3000</t>
  </si>
  <si>
    <t>LG3000</t>
  </si>
  <si>
    <t>Compresor Aire 2HP LC-2025BK</t>
  </si>
  <si>
    <t>LC-2025BK</t>
  </si>
  <si>
    <t>Llave de impacto inalambrica</t>
  </si>
  <si>
    <t>LIL800-9BK</t>
  </si>
  <si>
    <t>Electrosierra a bateria MML40-9BK</t>
  </si>
  <si>
    <t>MML40-9BK</t>
  </si>
  <si>
    <t>Crique Carrito Gato 2 Ton</t>
  </si>
  <si>
    <t>LQ-C2</t>
  </si>
  <si>
    <t>Soporte para Auto 3 Ton</t>
  </si>
  <si>
    <t>SAL3TON-7</t>
  </si>
  <si>
    <t>Pistola de Calor PC20M-AS</t>
  </si>
  <si>
    <t>PC20M-AS</t>
  </si>
  <si>
    <t>Juego Mechas y Puntas</t>
  </si>
  <si>
    <t>JMPL100-8</t>
  </si>
  <si>
    <t>Carro Aluminio Plegable Reforzado</t>
  </si>
  <si>
    <t>LQC-100</t>
  </si>
  <si>
    <t>Combo Hidrolavadora + Aspiradora</t>
  </si>
  <si>
    <t>SD1</t>
  </si>
  <si>
    <t>Reflector Led a Bateria AL30-9B</t>
  </si>
  <si>
    <t>RL30-9B</t>
  </si>
  <si>
    <t>Sombrilla con pie LQ50-04N</t>
  </si>
  <si>
    <t>LQ50-04N</t>
  </si>
  <si>
    <t>Carpa Himalaya 4 personas CGNL4-8</t>
  </si>
  <si>
    <t>CGNL4-8</t>
  </si>
  <si>
    <t>Arranca Motores ARMOTL-8</t>
  </si>
  <si>
    <t>armotl-8</t>
  </si>
  <si>
    <t>Kit Matero YAL250N-9K</t>
  </si>
  <si>
    <t>yal250n-9k</t>
  </si>
  <si>
    <t>Guantes de Aramida GRCL800-10</t>
  </si>
  <si>
    <t>GRCL800-10</t>
  </si>
  <si>
    <t>Aerosol Lubricante ACL40</t>
  </si>
  <si>
    <t>ACL40</t>
  </si>
  <si>
    <t>Cargador inteligente Smart 2 LCT-7000</t>
  </si>
  <si>
    <t>LCT-7000</t>
  </si>
  <si>
    <t>Destornillador de Impacto L1039</t>
  </si>
  <si>
    <t>L1039</t>
  </si>
  <si>
    <t>Set Cargador + Bateria 2.0AH LBC1820-8</t>
  </si>
  <si>
    <t>LBC1820-8</t>
  </si>
  <si>
    <t>Cepillo 620W CEL620-8</t>
  </si>
  <si>
    <t>CEL620-8</t>
  </si>
  <si>
    <t>Mate Verde con bombilla MATLV-8B</t>
  </si>
  <si>
    <t>MATLV-8B</t>
  </si>
  <si>
    <t>Llave Cruz</t>
  </si>
  <si>
    <t>Set de herramientas 108 piezas SET108LQ</t>
  </si>
  <si>
    <t>SET108LQ</t>
  </si>
  <si>
    <t>Set 9 piezas SHL9-7</t>
  </si>
  <si>
    <t>SHL9-7</t>
  </si>
  <si>
    <t>Tomar ultimo precio compra</t>
  </si>
  <si>
    <t>ID ERP</t>
  </si>
  <si>
    <t>Artículo</t>
  </si>
  <si>
    <t>Codigo bateria</t>
  </si>
  <si>
    <t>Hasta 31/7/2024</t>
  </si>
  <si>
    <t>Varta</t>
  </si>
  <si>
    <t>Varta 350 Blue(vta55dd)</t>
  </si>
  <si>
    <t>350B</t>
  </si>
  <si>
    <t>Varta 450 Blue(vta63nd)</t>
  </si>
  <si>
    <t>450b</t>
  </si>
  <si>
    <t>Varta 600 Blue(vta65nd)</t>
  </si>
  <si>
    <t>600b</t>
  </si>
  <si>
    <t>Varta NS40 Blue(va38jd)</t>
  </si>
  <si>
    <t>Varta EN50 Blue(va45jd)</t>
  </si>
  <si>
    <t>Varta EN50 Blue(i)(va45je)</t>
  </si>
  <si>
    <t>EN50I</t>
  </si>
  <si>
    <t>Varta 40 Silver(va40fd)</t>
  </si>
  <si>
    <t>40s</t>
  </si>
  <si>
    <t>Varta 300 Silver(va45bd)</t>
  </si>
  <si>
    <t>300s</t>
  </si>
  <si>
    <t>Varta 44 Silver(va50gd)</t>
  </si>
  <si>
    <t>44s</t>
  </si>
  <si>
    <t>Varta 350 Silver(va60dd)</t>
  </si>
  <si>
    <t>350s</t>
  </si>
  <si>
    <t>Varta 350 Silver(i)(va60de)</t>
  </si>
  <si>
    <t>350si</t>
  </si>
  <si>
    <t>Varta 57 Silver(va60hd)</t>
  </si>
  <si>
    <t>57s</t>
  </si>
  <si>
    <t>Varta 57 Silver(i)(va60he)</t>
  </si>
  <si>
    <t>57si</t>
  </si>
  <si>
    <t>Varta 600 Silver(va70nd)</t>
  </si>
  <si>
    <t>600s</t>
  </si>
  <si>
    <t>Varta 600 Silver(i)(va70ne)</t>
  </si>
  <si>
    <t>600si</t>
  </si>
  <si>
    <t>Varta 57 Plus(vgm60hd)</t>
  </si>
  <si>
    <t>57p</t>
  </si>
  <si>
    <t>Varta 57 Plus(i)(vgm60he)</t>
  </si>
  <si>
    <t>57pi</t>
  </si>
  <si>
    <t>Varta 57 EFB(vfb60hd)</t>
  </si>
  <si>
    <t>57EFB</t>
  </si>
  <si>
    <t>Varta 600 Plus(vda75nd)</t>
  </si>
  <si>
    <t>600p</t>
  </si>
  <si>
    <t>Varta 600 Plus(i)(vda75ne)</t>
  </si>
  <si>
    <t>600pi</t>
  </si>
  <si>
    <t>Varta 600 Plus Alta(vda75pd)</t>
  </si>
  <si>
    <t>600PA</t>
  </si>
  <si>
    <t>Varta NS70 Blue(d)(va75ld)</t>
  </si>
  <si>
    <t>NS70D</t>
  </si>
  <si>
    <t>Varta NS70 Silver(i)(va75le)</t>
  </si>
  <si>
    <t>ns70i</t>
  </si>
  <si>
    <t>Varta NR70 Blue(d)(va90ld)</t>
  </si>
  <si>
    <t>NR70D</t>
  </si>
  <si>
    <t>Varta NR70 Blue(i)(va90le)</t>
  </si>
  <si>
    <t>NR70I</t>
  </si>
  <si>
    <t>Varta 88 Silver(va90md)</t>
  </si>
  <si>
    <t>88s</t>
  </si>
  <si>
    <t>Varta 88 Plus(vda95md)</t>
  </si>
  <si>
    <t>88p</t>
  </si>
  <si>
    <t>Varta 110 Silver(vpa100le)</t>
  </si>
  <si>
    <t>110s</t>
  </si>
  <si>
    <t>Varta 160 Blue(vta135td)</t>
  </si>
  <si>
    <t>160b</t>
  </si>
  <si>
    <t>Varta 180 Silver(va170td)</t>
  </si>
  <si>
    <t>180s</t>
  </si>
  <si>
    <t>Varta 180 Sellada(vpa170td)</t>
  </si>
  <si>
    <t>180sel</t>
  </si>
  <si>
    <t>Varta 190 Scania(va190te)</t>
  </si>
  <si>
    <t>190s</t>
  </si>
  <si>
    <t>Varta 200 Silver(va200td)</t>
  </si>
  <si>
    <t>200s</t>
  </si>
  <si>
    <t>Varta 225 Silver(va225te)</t>
  </si>
  <si>
    <t>225s</t>
  </si>
  <si>
    <t>Acubat</t>
  </si>
  <si>
    <t>Acubat NS40</t>
  </si>
  <si>
    <t>ns40a</t>
  </si>
  <si>
    <t>Acubat EN50</t>
  </si>
  <si>
    <t>en50a</t>
  </si>
  <si>
    <t>Acubat 300</t>
  </si>
  <si>
    <t>300A</t>
  </si>
  <si>
    <t>Acubat 350</t>
  </si>
  <si>
    <t>350a</t>
  </si>
  <si>
    <t>Acubat 350 Gold</t>
  </si>
  <si>
    <t>350ag</t>
  </si>
  <si>
    <t>Acubat 57</t>
  </si>
  <si>
    <t>57a</t>
  </si>
  <si>
    <t>Acubat 600</t>
  </si>
  <si>
    <t>600a</t>
  </si>
  <si>
    <t>Acubat 88</t>
  </si>
  <si>
    <t>88a</t>
  </si>
  <si>
    <t>Acubat 110</t>
  </si>
  <si>
    <t>110A</t>
  </si>
  <si>
    <t>Acubat 160</t>
  </si>
  <si>
    <t>160A</t>
  </si>
  <si>
    <t>Acubat 180</t>
  </si>
  <si>
    <t>180a</t>
  </si>
  <si>
    <t>Acubat 6-160</t>
  </si>
  <si>
    <t>6-160a</t>
  </si>
  <si>
    <t>Acubat 6-200</t>
  </si>
  <si>
    <t>6-200a</t>
  </si>
  <si>
    <t>Moura NS40 (m-18sd)</t>
  </si>
  <si>
    <t>m18sd</t>
  </si>
  <si>
    <t>Moura EN50 (m-22jd)</t>
  </si>
  <si>
    <t>m22jd</t>
  </si>
  <si>
    <t>Moura 300 (m-18fd)</t>
  </si>
  <si>
    <t>m18fd</t>
  </si>
  <si>
    <t>Moura 44 (m-22ed)</t>
  </si>
  <si>
    <t>m22ed</t>
  </si>
  <si>
    <t>Moura 20 (m-20gd)</t>
  </si>
  <si>
    <t>m20gd</t>
  </si>
  <si>
    <t>Moura 350 (m-22gd)</t>
  </si>
  <si>
    <t>m22gd</t>
  </si>
  <si>
    <t>Moura 57 (m-26ad)</t>
  </si>
  <si>
    <t>m26ad</t>
  </si>
  <si>
    <t>Moura 600 (m-24kd)</t>
  </si>
  <si>
    <t>m24kd</t>
  </si>
  <si>
    <t>Moura 600 Alta(M30LD)</t>
  </si>
  <si>
    <t>m30ld</t>
  </si>
  <si>
    <t>Moura 600 Larga(me-80cd)</t>
  </si>
  <si>
    <t>me80cd</t>
  </si>
  <si>
    <t>Moura 57 EFB(mf-60ad)</t>
  </si>
  <si>
    <t>mf60ad</t>
  </si>
  <si>
    <t>Moura 600 EFB(mf-72ld)</t>
  </si>
  <si>
    <t>mf72ld</t>
  </si>
  <si>
    <t>Moura 88 (me-95qd)</t>
  </si>
  <si>
    <t>me95qd</t>
  </si>
  <si>
    <t>Moura 110 (me-100ha)</t>
  </si>
  <si>
    <t>me100ha</t>
  </si>
  <si>
    <t>Moura M22RD</t>
  </si>
  <si>
    <t>m22rd</t>
  </si>
  <si>
    <t>Moura M22RI</t>
  </si>
  <si>
    <t>m22ri</t>
  </si>
  <si>
    <t>Moura ME90TD</t>
  </si>
  <si>
    <t>me90td</t>
  </si>
  <si>
    <t>Moura ME90TI</t>
  </si>
  <si>
    <t>me90ti</t>
  </si>
  <si>
    <t>Willard</t>
  </si>
  <si>
    <t>Willard UB325</t>
  </si>
  <si>
    <t>ub325</t>
  </si>
  <si>
    <t>Willard UB425</t>
  </si>
  <si>
    <t>ub425</t>
  </si>
  <si>
    <t>Willard UB670</t>
  </si>
  <si>
    <t>ub670</t>
  </si>
  <si>
    <t>Willard UB620</t>
  </si>
  <si>
    <t>ub620</t>
  </si>
  <si>
    <t>Willard UB730</t>
  </si>
  <si>
    <t>ub730</t>
  </si>
  <si>
    <t>Willard UB730 EFB</t>
  </si>
  <si>
    <t>ub730efb</t>
  </si>
  <si>
    <t>Willard UB740</t>
  </si>
  <si>
    <t>ub740</t>
  </si>
  <si>
    <t>Willard UB740 (i)</t>
  </si>
  <si>
    <t>UB740I</t>
  </si>
  <si>
    <t>Willard UB840</t>
  </si>
  <si>
    <t>ub840</t>
  </si>
  <si>
    <t>Willard UB840 (i)</t>
  </si>
  <si>
    <t>ub840i</t>
  </si>
  <si>
    <t>Willard UB840 EFB</t>
  </si>
  <si>
    <t>ub840efb</t>
  </si>
  <si>
    <t>Willard UB1030</t>
  </si>
  <si>
    <t>ub1030</t>
  </si>
  <si>
    <t>Willard UB920</t>
  </si>
  <si>
    <t>ub920</t>
  </si>
  <si>
    <t>Willard UB1240</t>
  </si>
  <si>
    <t>ub1240</t>
  </si>
  <si>
    <t>Lubeck</t>
  </si>
  <si>
    <t>NS40 Lubeck</t>
  </si>
  <si>
    <t>ns40l</t>
  </si>
  <si>
    <t>En50 Lubeck</t>
  </si>
  <si>
    <t>en50l</t>
  </si>
  <si>
    <t>Lubeck 300</t>
  </si>
  <si>
    <t>300l</t>
  </si>
  <si>
    <t>Lubeck 350</t>
  </si>
  <si>
    <t>350l</t>
  </si>
  <si>
    <t>Lubeck 350 Gold</t>
  </si>
  <si>
    <t>350g</t>
  </si>
  <si>
    <t>Lubeck 57</t>
  </si>
  <si>
    <t>57l</t>
  </si>
  <si>
    <t>Lubeck 600</t>
  </si>
  <si>
    <t>600l</t>
  </si>
  <si>
    <t>Lubeck 88</t>
  </si>
  <si>
    <t>88l</t>
  </si>
  <si>
    <t>Lubeck 110</t>
  </si>
  <si>
    <t>110l</t>
  </si>
  <si>
    <t>Lubeck 160</t>
  </si>
  <si>
    <t>160l</t>
  </si>
  <si>
    <t>Lubeck 180</t>
  </si>
  <si>
    <t>180l</t>
  </si>
  <si>
    <t>Lubeck 6-160</t>
  </si>
  <si>
    <t>6-160l</t>
  </si>
  <si>
    <t>Lubeck 6-200</t>
  </si>
  <si>
    <t>6-200l</t>
  </si>
  <si>
    <t>Optima</t>
  </si>
  <si>
    <t>Optima Red 34</t>
  </si>
  <si>
    <t>red</t>
  </si>
  <si>
    <t>Optima Yellow 34</t>
  </si>
  <si>
    <t>yell</t>
  </si>
  <si>
    <t>Everlite</t>
  </si>
  <si>
    <t>Everlite EV45BD</t>
  </si>
  <si>
    <t>45E</t>
  </si>
  <si>
    <t>Everlite EV60DD</t>
  </si>
  <si>
    <t>350E</t>
  </si>
  <si>
    <t>Everlite EV60ND</t>
  </si>
  <si>
    <t>600E</t>
  </si>
  <si>
    <t>Everlite EV95LE</t>
  </si>
  <si>
    <t>110E</t>
  </si>
  <si>
    <t>Everlite EV135TD</t>
  </si>
  <si>
    <t>180E</t>
  </si>
  <si>
    <t>Freedom</t>
  </si>
  <si>
    <t>Freedom DF1000</t>
  </si>
  <si>
    <t>350f</t>
  </si>
  <si>
    <t>Freedom DF2000</t>
  </si>
  <si>
    <t>110f</t>
  </si>
  <si>
    <t>Newmax</t>
  </si>
  <si>
    <t>Newmax BM12165 (T-1275)</t>
  </si>
  <si>
    <t>nt1275</t>
  </si>
  <si>
    <t>Newmax BM6225 (T-105)</t>
  </si>
  <si>
    <t>nt105</t>
  </si>
  <si>
    <t>Newmax SG-1200H AGM</t>
  </si>
  <si>
    <t>sg120</t>
  </si>
  <si>
    <t>Newmax SG-2000H AGM</t>
  </si>
  <si>
    <t>sg200</t>
  </si>
  <si>
    <t>Bronco 12-100</t>
  </si>
  <si>
    <t>b12-100</t>
  </si>
  <si>
    <t>Br 12n5-3b</t>
  </si>
  <si>
    <t>Br 12n7-4b</t>
  </si>
  <si>
    <t>12n74b</t>
  </si>
  <si>
    <t>Megabat 12n7-4a</t>
  </si>
  <si>
    <t>m12n74a</t>
  </si>
  <si>
    <t>Br 12n7a-3a</t>
  </si>
  <si>
    <t>12n73a</t>
  </si>
  <si>
    <t>Br 12n9-4b-1</t>
  </si>
  <si>
    <t>12n9</t>
  </si>
  <si>
    <t>Br 12n10-3b</t>
  </si>
  <si>
    <t>12n10</t>
  </si>
  <si>
    <t>Br YB12a-a</t>
  </si>
  <si>
    <t>yb12</t>
  </si>
  <si>
    <t>Br YT12B-4</t>
  </si>
  <si>
    <t>yt12</t>
  </si>
  <si>
    <t>Br 12n14a-3a</t>
  </si>
  <si>
    <t>12n14</t>
  </si>
  <si>
    <t>CB16cl-b</t>
  </si>
  <si>
    <t>cb16</t>
  </si>
  <si>
    <t>Br YTX4L-BS</t>
  </si>
  <si>
    <t>ytx4</t>
  </si>
  <si>
    <t>Br YTX5L-BS</t>
  </si>
  <si>
    <t>Br YTX6.5-BS</t>
  </si>
  <si>
    <t>ytx6.5</t>
  </si>
  <si>
    <t>Br YTX7L-BS</t>
  </si>
  <si>
    <t>Br YTX7A-BS</t>
  </si>
  <si>
    <t>Br YTX9-BS</t>
  </si>
  <si>
    <t>Br YTX12-BS</t>
  </si>
  <si>
    <t>Br YTX14-BS</t>
  </si>
  <si>
    <t>Br YTX16CL-BS</t>
  </si>
  <si>
    <t>Br YTX20-BS</t>
  </si>
  <si>
    <t>Br YTX20L-BS</t>
  </si>
  <si>
    <t>ytx20l</t>
  </si>
  <si>
    <t>Megabat</t>
  </si>
  <si>
    <t>Megabat YTX20L-BS</t>
  </si>
  <si>
    <t>mytx20l</t>
  </si>
  <si>
    <t>Br YTZ7S</t>
  </si>
  <si>
    <t>ytz7</t>
  </si>
  <si>
    <t>Br YTZ12S</t>
  </si>
  <si>
    <t>ytz12</t>
  </si>
  <si>
    <t>Br YTZ14</t>
  </si>
  <si>
    <t>ytz14</t>
  </si>
  <si>
    <t>Br 12N24-3 (D)</t>
  </si>
  <si>
    <t>12n24d</t>
  </si>
  <si>
    <t>Acubat 12N24(d)</t>
  </si>
  <si>
    <t>a12n24d</t>
  </si>
  <si>
    <t>Megabat 12n24-3(d)</t>
  </si>
  <si>
    <t>m12n24d</t>
  </si>
  <si>
    <t>Br 12N24-4(i)</t>
  </si>
  <si>
    <t>12n24i</t>
  </si>
  <si>
    <t>Moura 12N24(i)(me23ui)</t>
  </si>
  <si>
    <t>me23ui</t>
  </si>
  <si>
    <t>Gs</t>
  </si>
  <si>
    <t>GS cb12al-a2</t>
  </si>
  <si>
    <t>GSCB12</t>
  </si>
  <si>
    <t>GS 12n7a-3a</t>
  </si>
  <si>
    <t>gs12n73a</t>
  </si>
  <si>
    <t>Yuasa</t>
  </si>
  <si>
    <t>Yuasa 6-4</t>
  </si>
  <si>
    <t>y6-4</t>
  </si>
  <si>
    <t>Bronco 6-4</t>
  </si>
  <si>
    <t>b6-4</t>
  </si>
  <si>
    <t>Yuasa 6-10</t>
  </si>
  <si>
    <t>y6-10</t>
  </si>
  <si>
    <t>Bronco 6-10</t>
  </si>
  <si>
    <t>b6-10</t>
  </si>
  <si>
    <t>Yuasa 12-4</t>
  </si>
  <si>
    <t>y12-4</t>
  </si>
  <si>
    <t>Bronco 12-4</t>
  </si>
  <si>
    <t>b12-4</t>
  </si>
  <si>
    <t>Yuasa 12-7</t>
  </si>
  <si>
    <t>y12-7</t>
  </si>
  <si>
    <t>Bronco 12-7</t>
  </si>
  <si>
    <t>b12-7</t>
  </si>
  <si>
    <t>Moura 12-7</t>
  </si>
  <si>
    <t>m12-7</t>
  </si>
  <si>
    <t>Yuasa 12-12</t>
  </si>
  <si>
    <t>y12-12</t>
  </si>
  <si>
    <t>Bronco 12-12</t>
  </si>
  <si>
    <t>b12-12</t>
  </si>
  <si>
    <t>Moura 12-12</t>
  </si>
  <si>
    <t>m12-12</t>
  </si>
  <si>
    <t>Yuasa 12-17</t>
  </si>
  <si>
    <t>y12-17</t>
  </si>
  <si>
    <t>Bronco 12-18</t>
  </si>
  <si>
    <t>b12-18</t>
  </si>
  <si>
    <t>Moura 12-18</t>
  </si>
  <si>
    <t>m12-18</t>
  </si>
  <si>
    <t>Yuasa 12-24</t>
  </si>
  <si>
    <t>y12-24</t>
  </si>
  <si>
    <t>Bronco 12-26</t>
  </si>
  <si>
    <t>b12-26</t>
  </si>
  <si>
    <t>Moura 12-26</t>
  </si>
  <si>
    <t>m12-26</t>
  </si>
  <si>
    <t>Yuasa 12-38</t>
  </si>
  <si>
    <t>y12-38</t>
  </si>
  <si>
    <t>Bronco 12-38</t>
  </si>
  <si>
    <t>b12-38</t>
  </si>
  <si>
    <t>Bronco CPC 12-18</t>
  </si>
  <si>
    <t>cpc12-18</t>
  </si>
  <si>
    <t>Bronco CPC 12-26</t>
  </si>
  <si>
    <t>cpc12-26</t>
  </si>
  <si>
    <t>Pila</t>
  </si>
  <si>
    <t>Pila Alcalina Varta AA</t>
  </si>
  <si>
    <t>AA</t>
  </si>
  <si>
    <t>Pila Alcalina Varta AAA</t>
  </si>
  <si>
    <t>AAA</t>
  </si>
  <si>
    <t>Pila Recargable Varta AA</t>
  </si>
  <si>
    <t>RAA</t>
  </si>
  <si>
    <t>Pila Recargable Varta AAA</t>
  </si>
  <si>
    <t>RAAA</t>
  </si>
  <si>
    <t>Pila Varta Lithium AAA</t>
  </si>
  <si>
    <t>LAAA</t>
  </si>
  <si>
    <t>Pila Varta Lithium CR123</t>
  </si>
  <si>
    <t>L123</t>
  </si>
  <si>
    <t>Pila Varta Lithium CR2032</t>
  </si>
  <si>
    <t>L2032</t>
  </si>
  <si>
    <t>Pila Varta Lithium CR2025</t>
  </si>
  <si>
    <t>L2025</t>
  </si>
  <si>
    <t>Pila Varta Lithium CR2016</t>
  </si>
  <si>
    <t>L2016</t>
  </si>
  <si>
    <t>Pila Varta Lithium CR2450</t>
  </si>
  <si>
    <t>L2450</t>
  </si>
  <si>
    <t>Cargador Pilas Varta</t>
  </si>
  <si>
    <t>CARG</t>
  </si>
  <si>
    <t>Linterna Varta Led</t>
  </si>
  <si>
    <t>LINT</t>
  </si>
  <si>
    <t>Cosmetica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</si>
  <si>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</si>
  <si>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</si>
  <si>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</si>
  <si>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</si>
  <si>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</si>
  <si>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</si>
  <si>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</si>
  <si>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</si>
  <si>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</si>
  <si>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</si>
  <si>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</si>
  <si>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Siliconas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</si>
  <si>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</si>
  <si>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</si>
  <si>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</si>
  <si>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</si>
  <si>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</si>
  <si>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</si>
  <si>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</si>
  <si>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250cc</t>
  </si>
  <si>
    <t>Lava Auto Siliconado</t>
  </si>
  <si>
    <t>Limpiador de Carrocerias</t>
  </si>
  <si>
    <t>Lubricante Multiuso</t>
  </si>
  <si>
    <t>ac</t>
  </si>
  <si>
    <t>Moura 160 (me135bd)</t>
  </si>
  <si>
    <t>me135bd</t>
  </si>
  <si>
    <t>Nada</t>
  </si>
  <si>
    <t>Botella Acubat</t>
  </si>
  <si>
    <t>BOT</t>
  </si>
  <si>
    <t>Bonificacion Bat Auto</t>
  </si>
  <si>
    <t>BA</t>
  </si>
  <si>
    <t>Bonificacion Bat Utilitario</t>
  </si>
  <si>
    <t>BU</t>
  </si>
  <si>
    <t>Bonificacion Bat Camiones</t>
  </si>
  <si>
    <t>BC</t>
  </si>
  <si>
    <t>Moura 180 (me-180bd)</t>
  </si>
  <si>
    <t>me180bd</t>
  </si>
  <si>
    <t>Bronco CPC 12-13</t>
  </si>
  <si>
    <t>cpc12-13</t>
  </si>
  <si>
    <t>Bronco CPC 12-33</t>
  </si>
  <si>
    <t>cpc12-33</t>
  </si>
  <si>
    <t>Megabat YTX9-BS</t>
  </si>
  <si>
    <t>mytx9</t>
  </si>
  <si>
    <t>Moura 200 (me-220pd)</t>
  </si>
  <si>
    <t>me220pd</t>
  </si>
  <si>
    <t>Newmax SG-1500H AGM</t>
  </si>
  <si>
    <t>sg150</t>
  </si>
  <si>
    <t>Terminal</t>
  </si>
  <si>
    <t>Terminal chico (-)</t>
  </si>
  <si>
    <t>tc</t>
  </si>
  <si>
    <t>Terminal mediano (-)</t>
  </si>
  <si>
    <t>tm</t>
  </si>
  <si>
    <t>Terminal grande (-)</t>
  </si>
  <si>
    <t>tg</t>
  </si>
  <si>
    <t>Terminal mariposa (-)</t>
  </si>
  <si>
    <t>tma</t>
  </si>
  <si>
    <t>Terminal chico (+)</t>
  </si>
  <si>
    <t>tc+</t>
  </si>
  <si>
    <t>Terminal mediano (+)</t>
  </si>
  <si>
    <t>tm+</t>
  </si>
  <si>
    <t>Terminal grande (+)</t>
  </si>
  <si>
    <t>tg+</t>
  </si>
  <si>
    <t>Terminal mariposa (+)</t>
  </si>
  <si>
    <t>tma+</t>
  </si>
  <si>
    <t>Cargador de Baterias 25A con AutoSt</t>
  </si>
  <si>
    <t>C25</t>
  </si>
  <si>
    <t>Cargador</t>
  </si>
  <si>
    <t>Cargador Arrancador 120A</t>
  </si>
  <si>
    <t>C120</t>
  </si>
  <si>
    <t>Cargador de Baterias 30A</t>
  </si>
  <si>
    <t>Cargador de Baterias 20A</t>
  </si>
  <si>
    <t>Juego Cables Reforzados para Arranque</t>
  </si>
  <si>
    <t>arranque</t>
  </si>
  <si>
    <t>Megabat YB12al-a2</t>
  </si>
  <si>
    <t>myb12</t>
  </si>
  <si>
    <t>Megabat YTX7A-BS</t>
  </si>
  <si>
    <t>mytx7a</t>
  </si>
  <si>
    <t>Acubat 44</t>
  </si>
  <si>
    <t>44a</t>
  </si>
  <si>
    <t>Acubat 600 Gold</t>
  </si>
  <si>
    <t>600ag</t>
  </si>
  <si>
    <t>Acubat 600 Gold Alta</t>
  </si>
  <si>
    <t>600ga</t>
  </si>
  <si>
    <t>Cable Masa 45mm</t>
  </si>
  <si>
    <t>Cable Masa 85mm</t>
  </si>
  <si>
    <t>Cable Masa Reforzado 100mm</t>
  </si>
  <si>
    <t>Pila Energizer CR2032</t>
  </si>
  <si>
    <t>E2032</t>
  </si>
  <si>
    <t>Carga Bat Moto</t>
  </si>
  <si>
    <t>CARGAM</t>
  </si>
  <si>
    <t>Carga Bat Auto</t>
  </si>
  <si>
    <t>CARGAAUT</t>
  </si>
  <si>
    <t>Carga Bat Utilitario</t>
  </si>
  <si>
    <t>CARGAU</t>
  </si>
  <si>
    <t>Carga Bat Camion</t>
  </si>
  <si>
    <t>CARGACAM</t>
  </si>
  <si>
    <t>Leoch</t>
  </si>
  <si>
    <t>Leoch 6-4</t>
  </si>
  <si>
    <t>l6-4</t>
  </si>
  <si>
    <t>Kaise</t>
  </si>
  <si>
    <t>Kaise 12-7</t>
  </si>
  <si>
    <t>k12-7</t>
  </si>
  <si>
    <t>Kaise 12-12</t>
  </si>
  <si>
    <t>k12-12</t>
  </si>
  <si>
    <t>Kaise 12-18</t>
  </si>
  <si>
    <t>k12-18</t>
  </si>
  <si>
    <t>Kaise 12-26</t>
  </si>
  <si>
    <t>k12-26</t>
  </si>
  <si>
    <t>Maletin de herramientas LQCT107-8K</t>
  </si>
  <si>
    <t>Kit Herramientas SET129</t>
  </si>
  <si>
    <t>Taladro bateria c percutor ATL18-8B</t>
  </si>
  <si>
    <t>Termo Inoxidable Litro TL1-9</t>
  </si>
  <si>
    <t>Aspiradora para auto 100648</t>
  </si>
  <si>
    <t>Soporte para zocalo de bateria</t>
  </si>
  <si>
    <t>zoc</t>
  </si>
  <si>
    <t>Soporte de bateria extensible</t>
  </si>
  <si>
    <t>sop</t>
  </si>
  <si>
    <t>Acubat 57 Gold EFB</t>
  </si>
  <si>
    <t>a57efb</t>
  </si>
  <si>
    <t>Acubat 88 Gold EFB</t>
  </si>
  <si>
    <t>a88efb</t>
  </si>
  <si>
    <t>Microcell</t>
  </si>
  <si>
    <t>Microcell 12-17</t>
  </si>
  <si>
    <t>12-17m</t>
  </si>
  <si>
    <t>Hidrolavadora Electrica HL120</t>
  </si>
  <si>
    <t>Br YTZ10</t>
  </si>
  <si>
    <t>Acubat 12-22</t>
  </si>
  <si>
    <t>A12-22</t>
  </si>
  <si>
    <t>Megabat 12n5-3b</t>
  </si>
  <si>
    <t>M12N5</t>
  </si>
  <si>
    <t>nada</t>
  </si>
  <si>
    <t>Monopatin Electrico con Amortiguado</t>
  </si>
  <si>
    <t>MONOPATIN</t>
  </si>
  <si>
    <t>Moura 600 Larga EFB(mf-80cd)</t>
  </si>
  <si>
    <t>mf80cd</t>
  </si>
  <si>
    <t>Megabat YTZ12</t>
  </si>
  <si>
    <t>mytz12</t>
  </si>
  <si>
    <t>Megabat YTZ14</t>
  </si>
  <si>
    <t>mytz14</t>
  </si>
  <si>
    <t>Acubat 12-12</t>
  </si>
  <si>
    <t>a12-12</t>
  </si>
  <si>
    <t>Acubat 12-100</t>
  </si>
  <si>
    <t>a100</t>
  </si>
  <si>
    <t>Acubat 12-120</t>
  </si>
  <si>
    <t>a120</t>
  </si>
  <si>
    <t>Willard UB620(i)</t>
  </si>
  <si>
    <t>620I</t>
  </si>
  <si>
    <t>Willard UB730(i)</t>
  </si>
  <si>
    <t>730I</t>
  </si>
  <si>
    <t>Pinzas y destornilladores 18200</t>
  </si>
  <si>
    <t>Juego destornilladores 20220</t>
  </si>
  <si>
    <t>Arrancador e inflador AI150L-8K</t>
  </si>
  <si>
    <t>AI150L-8K</t>
  </si>
  <si>
    <t>Moura 600R (m-28kd)</t>
  </si>
  <si>
    <t>m28kd</t>
  </si>
  <si>
    <t>Willard UB930(i)</t>
  </si>
  <si>
    <t>ub930i</t>
  </si>
  <si>
    <t>Monopatin Electrico</t>
  </si>
  <si>
    <t>MONO</t>
  </si>
  <si>
    <t>Amoladora Angular AML850-8</t>
  </si>
  <si>
    <t>Tester digital MUT-830</t>
  </si>
  <si>
    <t>MUT-830</t>
  </si>
  <si>
    <t>Megabat YTX7L-BS</t>
  </si>
  <si>
    <t>mytx7l</t>
  </si>
  <si>
    <t>Megabat YTX12-BS</t>
  </si>
  <si>
    <t>MYTX12</t>
  </si>
  <si>
    <t>Bateria de servicio auto-camioneta</t>
  </si>
  <si>
    <t>SERVICIOA</t>
  </si>
  <si>
    <t>Bateria de servicio utilitario</t>
  </si>
  <si>
    <t>SERVICIOU</t>
  </si>
  <si>
    <t>Bateria de servicio camiones</t>
  </si>
  <si>
    <t>SERVICIOC</t>
  </si>
  <si>
    <t>Moura 350(i) (m-22gi)</t>
  </si>
  <si>
    <t>m22gi</t>
  </si>
  <si>
    <t>Megabat 12n9-4b-1</t>
  </si>
  <si>
    <t>m12n9</t>
  </si>
  <si>
    <t>Megabat 12n10-3b</t>
  </si>
  <si>
    <t>m12n10</t>
  </si>
  <si>
    <t>Megabat YT12B-BS</t>
  </si>
  <si>
    <t>myt12</t>
  </si>
  <si>
    <t>Bolsa de electrodos LQC6013-250</t>
  </si>
  <si>
    <t>LQE6013-250</t>
  </si>
  <si>
    <t>Kit Soldador Iron - Megairon100 + 1</t>
  </si>
  <si>
    <t>KITSOLDADOR1</t>
  </si>
  <si>
    <t>Megabat YB12a-a</t>
  </si>
  <si>
    <t>myb12a</t>
  </si>
  <si>
    <t>Megabat 12n14-3a</t>
  </si>
  <si>
    <t>M12N14</t>
  </si>
  <si>
    <t>Megabat YTX5L-BS</t>
  </si>
  <si>
    <t>mytx5</t>
  </si>
  <si>
    <t>Megabat YTX14-BS</t>
  </si>
  <si>
    <t>mytx14</t>
  </si>
  <si>
    <t>Megabat YTZ7S</t>
  </si>
  <si>
    <t>mytz7</t>
  </si>
  <si>
    <t>Yuasa 12n5-3b</t>
  </si>
  <si>
    <t>y12n5</t>
  </si>
  <si>
    <t>Yuasa 12n7-3b</t>
  </si>
  <si>
    <t>y12n73b</t>
  </si>
  <si>
    <t>Yuasa 12n9-4b-1</t>
  </si>
  <si>
    <t>y12n9</t>
  </si>
  <si>
    <t>Yuasa YTX7A-BS</t>
  </si>
  <si>
    <t>yytx7a</t>
  </si>
  <si>
    <t>Yuasa YT7A (YTX7L-BS)</t>
  </si>
  <si>
    <t>yytx7l</t>
  </si>
  <si>
    <t>Yuasa YT9A (YTX9-BS)</t>
  </si>
  <si>
    <t>yytx9</t>
  </si>
  <si>
    <t>Yuasa YTX14-BS</t>
  </si>
  <si>
    <t>yytx14</t>
  </si>
  <si>
    <t>Moura 600 Larga AGM(ma-80cd)</t>
  </si>
  <si>
    <t>ma80cd</t>
  </si>
  <si>
    <t>Yuasa 12n10-3b</t>
  </si>
  <si>
    <t>y12n10</t>
  </si>
  <si>
    <t>Yuasa YB12A-A</t>
  </si>
  <si>
    <t>yyb12</t>
  </si>
  <si>
    <t>Yuasa YTX12-BS</t>
  </si>
  <si>
    <t>yytx12</t>
  </si>
  <si>
    <t>Yuasa YTZ6V (YTX5L-BS)</t>
  </si>
  <si>
    <t>yytx5l</t>
  </si>
  <si>
    <t>Trojan</t>
  </si>
  <si>
    <t>Trojan T-105</t>
  </si>
  <si>
    <t>T105</t>
  </si>
  <si>
    <t>kushiro</t>
  </si>
  <si>
    <t>generador</t>
  </si>
  <si>
    <t>Soldadora MIG- Flux 100</t>
  </si>
  <si>
    <t>kitsoldador2</t>
  </si>
  <si>
    <t>Set de Herramientas 44 piezas JUH44</t>
  </si>
  <si>
    <t>juh44</t>
  </si>
  <si>
    <t>generador3100</t>
  </si>
  <si>
    <t>generador750</t>
  </si>
  <si>
    <t>Trojan 27TMX</t>
  </si>
  <si>
    <t>27tmx</t>
  </si>
  <si>
    <t>pist</t>
  </si>
  <si>
    <t>Lubeck 600 Gold</t>
  </si>
  <si>
    <t>l600g</t>
  </si>
  <si>
    <t>Lubeck 600 Gold Alta</t>
  </si>
  <si>
    <t>l600ga</t>
  </si>
  <si>
    <t>Lubeck 44</t>
  </si>
  <si>
    <t>44l</t>
  </si>
  <si>
    <t>Varta 57 Silver AGM(ag60hd)</t>
  </si>
  <si>
    <t>57agm</t>
  </si>
  <si>
    <t>Varta 88 Silver AGM(ag95md)</t>
  </si>
  <si>
    <t>88agm</t>
  </si>
  <si>
    <t>Liquimoly</t>
  </si>
  <si>
    <t>Limpia Inyectores Nafta 2124</t>
  </si>
  <si>
    <t>Limpia Inyectores Super Diesel 2504</t>
  </si>
  <si>
    <t>Limpia Inyectores Diesel 8357</t>
  </si>
  <si>
    <t>Optimizador de Combustion 21644</t>
  </si>
  <si>
    <t>Spray Electronico Limpiacontactos 7386</t>
  </si>
  <si>
    <t>Limpiador de Cadenas 1602</t>
  </si>
  <si>
    <t>tubos</t>
  </si>
  <si>
    <t>Willard UB1400</t>
  </si>
  <si>
    <t xml:space="preserve">Instalacion a domicilio sucursal </t>
  </si>
  <si>
    <t>instadomicilio</t>
  </si>
  <si>
    <t>Servicio domicilio CABA</t>
  </si>
  <si>
    <t>DOMICILIOCABA</t>
  </si>
  <si>
    <t>Servicio domicilio GBA</t>
  </si>
  <si>
    <t>DOMICILIOGBA</t>
  </si>
  <si>
    <t>GS</t>
  </si>
  <si>
    <t>Varta 600 EFB(vfb72pd)</t>
  </si>
  <si>
    <t>600EFB</t>
  </si>
  <si>
    <t>Kage Nanogel 12n5-3b</t>
  </si>
  <si>
    <t>K12N5</t>
  </si>
  <si>
    <t>Kage Nanogel KG6.5L (YTX6.5-BS)</t>
  </si>
  <si>
    <t>KG6.5</t>
  </si>
  <si>
    <t>Kage Nanogel KG7D (12n7a-3a)</t>
  </si>
  <si>
    <t>Kage Nanogel KGZ7S (ytz7s)</t>
  </si>
  <si>
    <t>KG7S</t>
  </si>
  <si>
    <t>Kage AGM SW12v9 (12n9-4b-1)</t>
  </si>
  <si>
    <t>K12V9</t>
  </si>
  <si>
    <t>Kage Nanogel YTX7A</t>
  </si>
  <si>
    <t>KYTX7A</t>
  </si>
  <si>
    <t>Kage Nanogel YTX7L</t>
  </si>
  <si>
    <t>KYTX7L</t>
  </si>
  <si>
    <t>Kage Nanogel YTX9</t>
  </si>
  <si>
    <t>KYTX9</t>
  </si>
  <si>
    <t>Vaso Termico VTL430-8</t>
  </si>
  <si>
    <t>VTL430-8</t>
  </si>
  <si>
    <t>Set 150 piezas racing SHL150-9</t>
  </si>
  <si>
    <t>LC2025</t>
  </si>
  <si>
    <t>Elpra 12n14-3a</t>
  </si>
  <si>
    <t>12N14EL</t>
  </si>
  <si>
    <t>Elpra 12n24-4 (i)</t>
  </si>
  <si>
    <t>12N24EL</t>
  </si>
  <si>
    <t>Elpra 12n7-4b</t>
  </si>
  <si>
    <t>12N74BEL</t>
  </si>
  <si>
    <t>Yuasa YB16CL-B</t>
  </si>
  <si>
    <t>YYB16</t>
  </si>
  <si>
    <t>Aditivo antivejez combustible 21646</t>
  </si>
  <si>
    <t>Kage AGM SW12v7a-3a (12n7a-3a)</t>
  </si>
  <si>
    <t>KG12V7</t>
  </si>
  <si>
    <t>Fixit infla neumaticos moto S0020</t>
  </si>
  <si>
    <t>FIXITMOTO</t>
  </si>
  <si>
    <t>Fixit infla neumaticos auto S0021</t>
  </si>
  <si>
    <t>FIXITAUTO</t>
  </si>
  <si>
    <t>Pioneiro MBR5 VP 12n5s-3b</t>
  </si>
  <si>
    <t>12N5P</t>
  </si>
  <si>
    <t>Pioneiro MBR7 VP 12n7a-3a</t>
  </si>
  <si>
    <t>12N73AP</t>
  </si>
  <si>
    <t>Pioneiro MBR9A YS 12n9-4b-1</t>
  </si>
  <si>
    <t>12N9P</t>
  </si>
  <si>
    <t>Pioneiro MBR12 LVP YTZ12A-BS</t>
  </si>
  <si>
    <t>YT12P</t>
  </si>
  <si>
    <t>Pioneiro MBR11 VP YTX12-BS</t>
  </si>
  <si>
    <t>YTX12P</t>
  </si>
  <si>
    <t>Pioneiro MBR14 BS YTX14L-BS</t>
  </si>
  <si>
    <t>YTX14P</t>
  </si>
  <si>
    <t>Pioneiro MBR16 LBS YTX16-BS</t>
  </si>
  <si>
    <t>YTX16P</t>
  </si>
  <si>
    <t>Pioneiro MBR5 BS YTX5L-BS</t>
  </si>
  <si>
    <t>YTX5P</t>
  </si>
  <si>
    <t>Pioneiro MBR7A BS YTX7A-BS</t>
  </si>
  <si>
    <t>YTX7AP</t>
  </si>
  <si>
    <t>Pioneiro MBR7 BS YTX7L-BS</t>
  </si>
  <si>
    <t>YTX7LP</t>
  </si>
  <si>
    <t>Pioneiro MBR8 VP YTX9-BS</t>
  </si>
  <si>
    <t>YTX9P</t>
  </si>
  <si>
    <t>Termo Inoxidable 1.3 Litro TL1.3-9</t>
  </si>
  <si>
    <t>Vaso con tapa VTL530-9B</t>
  </si>
  <si>
    <t>Aditivo anti friccion 20628</t>
  </si>
  <si>
    <t>Limpia Catalizador 8931</t>
  </si>
  <si>
    <t>Limpia Radiadores 2506</t>
  </si>
  <si>
    <t>Yuasa 12n14-3a</t>
  </si>
  <si>
    <t>Y12N14</t>
  </si>
  <si>
    <t>ARMOTL-8</t>
  </si>
  <si>
    <t>YAL250N-9K</t>
  </si>
  <si>
    <t>Moura 600RI (m-28ki)</t>
  </si>
  <si>
    <t>m28ki</t>
  </si>
  <si>
    <t>Juego Mate y Bombilla</t>
  </si>
  <si>
    <t>MATYBOM</t>
  </si>
  <si>
    <t>Moura Motos</t>
  </si>
  <si>
    <t>Moura MA5-D (YTX5L)</t>
  </si>
  <si>
    <t>YTX5M</t>
  </si>
  <si>
    <t>Moura MA6-D (YTX7L)</t>
  </si>
  <si>
    <t>YTX7LM</t>
  </si>
  <si>
    <t>Moura Ciclo Profundo</t>
  </si>
  <si>
    <t>Moura 6ML225 (T-105)</t>
  </si>
  <si>
    <t>T105M</t>
  </si>
  <si>
    <t>Manguera 1/2 Reforzada</t>
  </si>
  <si>
    <t>Candado con Cadera Forrada</t>
  </si>
  <si>
    <t>Sujetador c/criquet reforzado 19286</t>
  </si>
  <si>
    <t>Mesa Porta Herramientas TC-1350</t>
  </si>
  <si>
    <t>Inflador a bateria IL150-8</t>
  </si>
  <si>
    <t>Guantes de Aramida</t>
  </si>
  <si>
    <t>Aerosol Lubricante</t>
  </si>
  <si>
    <t>Bari</t>
  </si>
  <si>
    <t>Escobilla Delantera SB14</t>
  </si>
  <si>
    <t>SB14</t>
  </si>
  <si>
    <t>Escobilla Delantera SB15</t>
  </si>
  <si>
    <t>SB15</t>
  </si>
  <si>
    <t>Escobilla Delantera SB16</t>
  </si>
  <si>
    <t>SB16</t>
  </si>
  <si>
    <t>Escobilla Delantera SB17</t>
  </si>
  <si>
    <t>SB17</t>
  </si>
  <si>
    <t>Escobilla Delantera SB18</t>
  </si>
  <si>
    <t>SB18</t>
  </si>
  <si>
    <t>Escobilla Delantera SB19</t>
  </si>
  <si>
    <t>SB19</t>
  </si>
  <si>
    <t>Escobilla Delantera SB20</t>
  </si>
  <si>
    <t>SB20</t>
  </si>
  <si>
    <t>Escobilla Delantera SB21</t>
  </si>
  <si>
    <t>SB21</t>
  </si>
  <si>
    <t>Escobilla Delantera SB22</t>
  </si>
  <si>
    <t>SB22</t>
  </si>
  <si>
    <t>Escobilla Delantera SB24</t>
  </si>
  <si>
    <t>SB24</t>
  </si>
  <si>
    <t>Escobilla Delantera SB26</t>
  </si>
  <si>
    <t>SB26</t>
  </si>
  <si>
    <t>Escobilla Delantera SB28</t>
  </si>
  <si>
    <t>SB28</t>
  </si>
  <si>
    <t>Escobilla Delantera SB30</t>
  </si>
  <si>
    <t>SB30</t>
  </si>
  <si>
    <t>Escobilla Delantera SB32</t>
  </si>
  <si>
    <t>SB32</t>
  </si>
  <si>
    <t>Escobilla Trasera T9</t>
  </si>
  <si>
    <t>T9</t>
  </si>
  <si>
    <t>Escobilla Trasera T10</t>
  </si>
  <si>
    <t>T10</t>
  </si>
  <si>
    <t>Escobilla Trasera T11</t>
  </si>
  <si>
    <t>T11</t>
  </si>
  <si>
    <t>Escobilla Trasera T12</t>
  </si>
  <si>
    <t>T12</t>
  </si>
  <si>
    <t>Escobilla Trasera T13</t>
  </si>
  <si>
    <t>T13</t>
  </si>
  <si>
    <t>Escobilla Trasera T14</t>
  </si>
  <si>
    <t>T14</t>
  </si>
  <si>
    <t>Escobilla Trasera T15</t>
  </si>
  <si>
    <t>T15</t>
  </si>
  <si>
    <t>Escobilla Trasera T16</t>
  </si>
  <si>
    <t>T16</t>
  </si>
  <si>
    <t>Bulon BA73226</t>
  </si>
  <si>
    <t>BA73226</t>
  </si>
  <si>
    <t>Bulon BA63224</t>
  </si>
  <si>
    <t>BA63224</t>
  </si>
  <si>
    <t>Tuerca BA46307</t>
  </si>
  <si>
    <t>BA46307</t>
  </si>
  <si>
    <t>Tuerca BA46231</t>
  </si>
  <si>
    <t>BA46231</t>
  </si>
  <si>
    <t>Bulon BA74438</t>
  </si>
  <si>
    <t>BA74438</t>
  </si>
  <si>
    <t>Bulon BA72228</t>
  </si>
  <si>
    <t>BA72228</t>
  </si>
  <si>
    <t>Crique 2 TON</t>
  </si>
  <si>
    <t>2t</t>
  </si>
  <si>
    <t>Crique Botella 4 TON</t>
  </si>
  <si>
    <t>4t</t>
  </si>
  <si>
    <t>Melisam</t>
  </si>
  <si>
    <t>Extintor 1 Kg 3" Largo</t>
  </si>
  <si>
    <t>EXPQS040</t>
  </si>
  <si>
    <t>Extintor 1 Kg 4" Corto</t>
  </si>
  <si>
    <t>EXPQS041</t>
  </si>
  <si>
    <t>Novelbat</t>
  </si>
  <si>
    <t>Novelbat GEL-YB5L-B (12n5-3b)</t>
  </si>
  <si>
    <t>yb5n</t>
  </si>
  <si>
    <t>Novelbat GEL-YB7-A (12n7-4b)</t>
  </si>
  <si>
    <t>yb7an</t>
  </si>
  <si>
    <t>Novelbat GEL-YB7B-B (12n7a-3a)</t>
  </si>
  <si>
    <t>yb7bn</t>
  </si>
  <si>
    <t>Novelbat GEL-YB9L-B (12n9-4b-1)</t>
  </si>
  <si>
    <t>yb9n</t>
  </si>
  <si>
    <t>Novelbat GEL-YB10L-A2 (12n10)</t>
  </si>
  <si>
    <t>yb10n</t>
  </si>
  <si>
    <t>Novelbat GEL-YB12AL-A (yb12a-a)</t>
  </si>
  <si>
    <t>yb12n</t>
  </si>
  <si>
    <t>Novelbat GEL-YB14L-A2 (12n14a-3a)</t>
  </si>
  <si>
    <t>yb14n</t>
  </si>
  <si>
    <t>Novelbat GEL-YTX19CL-BS (ytx16)</t>
  </si>
  <si>
    <t>ytx19n</t>
  </si>
  <si>
    <t>Novelbat GEL-YTX4L-BS</t>
  </si>
  <si>
    <t>ytx4n</t>
  </si>
  <si>
    <t>Novelbat GEL-YTX5L-BS</t>
  </si>
  <si>
    <t>ytx5n</t>
  </si>
  <si>
    <t>Novelbat GEL-12N6.5-3B (ytx6.5)</t>
  </si>
  <si>
    <t>ytx6.5n</t>
  </si>
  <si>
    <t>Novelbat GEL-YTX7L-BS</t>
  </si>
  <si>
    <t>ytx7ln</t>
  </si>
  <si>
    <t>Novelbat GEL-YTZ10S (ytx7a)</t>
  </si>
  <si>
    <t>ytz10n</t>
  </si>
  <si>
    <t>Novelbat GEL-YTX9-BS</t>
  </si>
  <si>
    <t>ytx9n</t>
  </si>
  <si>
    <t>Novelbat GEL-YTX12-BS</t>
  </si>
  <si>
    <t>ytx12n</t>
  </si>
  <si>
    <t>Novelbat GEL-YTX14-BS</t>
  </si>
  <si>
    <t>ytx14n</t>
  </si>
  <si>
    <t>Novelbat GEL-YTX20-BS</t>
  </si>
  <si>
    <t>ytx20n</t>
  </si>
  <si>
    <t>Novelbat GEL-YTZ7S</t>
  </si>
  <si>
    <t>ytz7n</t>
  </si>
  <si>
    <t>Novelbat GEL-YTX12A-BS (ytz12s)</t>
  </si>
  <si>
    <t>ytz12n</t>
  </si>
  <si>
    <t>Novelbat GEL-YTZ14S</t>
  </si>
  <si>
    <t>ytz14n</t>
  </si>
  <si>
    <t>Novelbat GEL-YT12B-4</t>
  </si>
  <si>
    <t>yt12n</t>
  </si>
  <si>
    <t>Yuasa YB5L-B (12n5-3b)</t>
  </si>
  <si>
    <t>yb5y</t>
  </si>
  <si>
    <t>sd1</t>
  </si>
  <si>
    <t>Varta NS40 Blue S/T(va34jd)</t>
  </si>
  <si>
    <t>va34jd</t>
  </si>
  <si>
    <t xml:space="preserve">Juego Mate Messi y Bombilla </t>
  </si>
  <si>
    <t>matybom1</t>
  </si>
  <si>
    <t>Willard UB550</t>
  </si>
  <si>
    <t>UB550</t>
  </si>
  <si>
    <t>Moura MA3-AD (YTX4L)</t>
  </si>
  <si>
    <t>MA3-AD</t>
  </si>
  <si>
    <t>Moura MA5-AD (YB5)</t>
  </si>
  <si>
    <t>MA5-AD</t>
  </si>
  <si>
    <t>Moura MA6-I (YTX7A)</t>
  </si>
  <si>
    <t>MA6-I</t>
  </si>
  <si>
    <t>Moura MA8-I (YTX9)</t>
  </si>
  <si>
    <t>MA8-I</t>
  </si>
  <si>
    <t>Aditivo Refrigerante Tapa fugas 2505</t>
  </si>
  <si>
    <t>Engine Flush Plus 2657</t>
  </si>
  <si>
    <t>Optimizador de comb 3040</t>
  </si>
  <si>
    <t>Yuasa 12n7-4a</t>
  </si>
  <si>
    <t>y12n74a</t>
  </si>
  <si>
    <t xml:space="preserve">Varta </t>
  </si>
  <si>
    <t>LÍNEA BLUE</t>
  </si>
  <si>
    <t>DIMENSIONES (MM) (±2)</t>
  </si>
  <si>
    <t>PRECIO</t>
  </si>
  <si>
    <t>DENOMINACIÓN GREMIO- APLICACIONES</t>
  </si>
  <si>
    <t>MODELO</t>
  </si>
  <si>
    <t>NUEVO CÓD.</t>
  </si>
  <si>
    <t>AH</t>
  </si>
  <si>
    <t>CCA (-18º C)</t>
  </si>
  <si>
    <t>LARGO</t>
  </si>
  <si>
    <t>ANCHO</t>
  </si>
  <si>
    <t>ALTO</t>
  </si>
  <si>
    <t>SIN IVA</t>
  </si>
  <si>
    <t>IVA Incluido</t>
  </si>
  <si>
    <t>EN 160</t>
  </si>
  <si>
    <t>12X160- CAMIONES</t>
  </si>
  <si>
    <t>LÍNEA SILVER</t>
  </si>
  <si>
    <t xml:space="preserve">EN 300 </t>
  </si>
  <si>
    <t>12X45-  KA, TWINGO, ECOSPORT</t>
  </si>
  <si>
    <t xml:space="preserve">EN 44 </t>
  </si>
  <si>
    <t>12X55- PALIO,  SIENA</t>
  </si>
  <si>
    <t xml:space="preserve">EN 350 </t>
  </si>
  <si>
    <r>
      <t xml:space="preserve">12X65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, NAFTEROS C/GAS</t>
    </r>
  </si>
  <si>
    <t xml:space="preserve">EN 57 </t>
  </si>
  <si>
    <t>12X70 SIENA DIESEL, FOX, S10</t>
  </si>
  <si>
    <t xml:space="preserve">EN 600 </t>
  </si>
  <si>
    <r>
      <t xml:space="preserve">12X80 </t>
    </r>
    <r>
      <rPr>
        <b/>
        <i/>
        <sz val="10"/>
        <rFont val="Calibri"/>
        <family val="2"/>
        <scheme val="minor"/>
      </rPr>
      <t>reforzada</t>
    </r>
    <r>
      <rPr>
        <sz val="10"/>
        <rFont val="Calibri"/>
        <family val="2"/>
        <scheme val="minor"/>
      </rPr>
      <t>- DIESEL</t>
    </r>
  </si>
  <si>
    <t xml:space="preserve">EN 88 </t>
  </si>
  <si>
    <t>VA90MD</t>
  </si>
  <si>
    <t>12X90- SPRINTER, AMAROK</t>
  </si>
  <si>
    <t xml:space="preserve">EN 110 </t>
  </si>
  <si>
    <t>12X110- PEUGEOT 504 DIESEL, CAMIONES</t>
  </si>
  <si>
    <t>EN 180</t>
  </si>
  <si>
    <t>VA170TD</t>
  </si>
  <si>
    <t>12X180- CAMIONES</t>
  </si>
  <si>
    <t>EN 180 SELLADA</t>
  </si>
  <si>
    <t>VPA170TD</t>
  </si>
  <si>
    <r>
      <t>12X180</t>
    </r>
    <r>
      <rPr>
        <b/>
        <i/>
        <sz val="10"/>
        <rFont val="Calibri"/>
        <family val="2"/>
        <scheme val="minor"/>
      </rPr>
      <t xml:space="preserve"> SELLADA</t>
    </r>
    <r>
      <rPr>
        <sz val="10"/>
        <rFont val="Calibri"/>
        <family val="2"/>
        <scheme val="minor"/>
      </rPr>
      <t xml:space="preserve"> - CAMIONES</t>
    </r>
  </si>
  <si>
    <r>
      <t xml:space="preserve">EN 180 </t>
    </r>
    <r>
      <rPr>
        <b/>
        <sz val="9.5"/>
        <rFont val="Calibri"/>
        <family val="2"/>
        <scheme val="minor"/>
      </rPr>
      <t>SCANIA</t>
    </r>
  </si>
  <si>
    <t>VA190TE</t>
  </si>
  <si>
    <t>12X180- CAMIONES SCANIA</t>
  </si>
  <si>
    <t>EN 200</t>
  </si>
  <si>
    <t>12X200- CAMIONES, COLECTIVOS</t>
  </si>
  <si>
    <t>EN225</t>
  </si>
  <si>
    <t>12x225-CAMION VOLVO</t>
  </si>
  <si>
    <t>BATERÍAS ESPECIALES-LÍNEA ASIÁTICA</t>
  </si>
  <si>
    <t>NS 40</t>
  </si>
  <si>
    <r>
      <rPr>
        <sz val="7"/>
        <rFont val="Calibri"/>
        <family val="2"/>
        <scheme val="minor"/>
      </rPr>
      <t>12X40-HONDA FIT, SUZUKI SWIFT</t>
    </r>
    <r>
      <rPr>
        <b/>
        <i/>
        <sz val="10"/>
        <color rgb="FFFF0000"/>
        <rFont val="Calibri"/>
        <family val="2"/>
        <scheme val="minor"/>
      </rPr>
      <t>(con talón)</t>
    </r>
  </si>
  <si>
    <t>EN 50</t>
  </si>
  <si>
    <t>VA50JD/E</t>
  </si>
  <si>
    <t>12X50- HONDA CIVIC, DAEWO</t>
  </si>
  <si>
    <t>NS 70</t>
  </si>
  <si>
    <t>12x85- HILUX (HASTA AÑO 2003)</t>
  </si>
  <si>
    <t>NR 70</t>
  </si>
  <si>
    <t>12X90- HILUX (A PARTIR 2003), MITSUBISHI</t>
  </si>
  <si>
    <t>LÍNEA PLUS</t>
  </si>
  <si>
    <r>
      <t xml:space="preserve">12X70 </t>
    </r>
    <r>
      <rPr>
        <b/>
        <i/>
        <sz val="10"/>
        <rFont val="Calibri"/>
        <family val="2"/>
        <scheme val="minor"/>
      </rPr>
      <t>reforzada</t>
    </r>
  </si>
  <si>
    <t xml:space="preserve">EN 600 ALTA </t>
  </si>
  <si>
    <r>
      <t xml:space="preserve">12X85 </t>
    </r>
    <r>
      <rPr>
        <b/>
        <i/>
        <sz val="10"/>
        <rFont val="Calibri"/>
        <family val="2"/>
        <scheme val="minor"/>
      </rPr>
      <t xml:space="preserve">reforzada (talón x4) </t>
    </r>
  </si>
  <si>
    <r>
      <t xml:space="preserve">12x95 </t>
    </r>
    <r>
      <rPr>
        <b/>
        <i/>
        <sz val="10"/>
        <rFont val="Calibri"/>
        <family val="2"/>
        <scheme val="minor"/>
      </rPr>
      <t xml:space="preserve">reforzada  </t>
    </r>
  </si>
  <si>
    <r>
      <rPr>
        <b/>
        <sz val="12"/>
        <color theme="0"/>
        <rFont val="Calibri"/>
        <family val="2"/>
        <scheme val="minor"/>
      </rPr>
      <t>EFB</t>
    </r>
    <r>
      <rPr>
        <b/>
        <sz val="14"/>
        <color theme="0"/>
        <rFont val="Calibri"/>
        <family val="2"/>
        <scheme val="minor"/>
      </rPr>
      <t xml:space="preserve"> - </t>
    </r>
    <r>
      <rPr>
        <b/>
        <sz val="11.5"/>
        <color theme="0"/>
        <rFont val="Calibri"/>
        <family val="2"/>
        <scheme val="minor"/>
      </rPr>
      <t xml:space="preserve">Tecnología para Vehículos Start-Stop </t>
    </r>
    <r>
      <rPr>
        <b/>
        <i/>
        <sz val="11"/>
        <color theme="9" tint="-0.249977111117893"/>
        <rFont val="Calibri"/>
        <family val="2"/>
        <scheme val="minor"/>
      </rPr>
      <t>Tecnología Exclusiva de JCI</t>
    </r>
  </si>
  <si>
    <t>EN 57 EFB</t>
  </si>
  <si>
    <t>12x70 TECNOLOGÍA EFB</t>
  </si>
  <si>
    <r>
      <t xml:space="preserve">EN 600 ALTA EFB </t>
    </r>
    <r>
      <rPr>
        <b/>
        <sz val="10"/>
        <color rgb="FFFF0000"/>
        <rFont val="Calibri"/>
        <family val="2"/>
        <scheme val="minor"/>
      </rPr>
      <t>nueva!!!</t>
    </r>
  </si>
  <si>
    <t>12x85 TECNOLOGÍA EFB</t>
  </si>
  <si>
    <t>DENOMINACIÓN ANTERIOR</t>
  </si>
  <si>
    <t>CCA-18</t>
  </si>
  <si>
    <t xml:space="preserve">(12-65 Sellada) </t>
  </si>
  <si>
    <t>(12-80)</t>
  </si>
  <si>
    <t>(12-80 Sellada)</t>
  </si>
  <si>
    <t>(12-85 Sellada)</t>
  </si>
  <si>
    <t>CÓDIGO</t>
  </si>
  <si>
    <t>Den. Comercial</t>
  </si>
  <si>
    <t>C20
[Ah]</t>
  </si>
  <si>
    <t>C.C.A. 
[A](3)</t>
  </si>
  <si>
    <t>DENOMINACIÓN COMERCIAL /  
ALGUNAS APLICACIONES (4)</t>
  </si>
  <si>
    <t>DIMENSIONES (MM)</t>
  </si>
  <si>
    <t>M18SD</t>
  </si>
  <si>
    <t>12-40 Fit, City</t>
  </si>
  <si>
    <t>M22JD</t>
  </si>
  <si>
    <t>12-50 Civic, QQ</t>
  </si>
  <si>
    <t>M18FD</t>
  </si>
  <si>
    <t>12-50 Clio, Ka, Twingo, Fiesta (N)</t>
  </si>
  <si>
    <t>M22ED</t>
  </si>
  <si>
    <t>12x55</t>
  </si>
  <si>
    <t>12-55 Palio (N) c/Aire Acond.</t>
  </si>
  <si>
    <t>M20GD</t>
  </si>
  <si>
    <t>12-65 Vehículos Nafta</t>
  </si>
  <si>
    <t>M22GD</t>
  </si>
  <si>
    <t>12x65 reforzada</t>
  </si>
  <si>
    <t>12-65 Focus, Gol, 206, Corsa (N)</t>
  </si>
  <si>
    <t>M22GI</t>
  </si>
  <si>
    <t>M26AD</t>
  </si>
  <si>
    <t>12-70 306 (D), Audi, Fox, Siena (D)</t>
  </si>
  <si>
    <t>M24KD</t>
  </si>
  <si>
    <t>12-75 (Estándar)</t>
  </si>
  <si>
    <t>M28KD</t>
  </si>
  <si>
    <t>12-75 (Reforzada)</t>
  </si>
  <si>
    <t>M30LD</t>
  </si>
  <si>
    <t>12x80</t>
  </si>
  <si>
    <t>12-80 (Ranger)</t>
  </si>
  <si>
    <t>ME80CD</t>
  </si>
  <si>
    <t>12x85</t>
  </si>
  <si>
    <r>
      <t xml:space="preserve">12-85 (Bora) </t>
    </r>
    <r>
      <rPr>
        <sz val="10"/>
        <color rgb="FFFF0000"/>
        <rFont val="Calibri"/>
        <family val="2"/>
        <scheme val="minor"/>
      </rPr>
      <t>NUEVA!!!</t>
    </r>
  </si>
  <si>
    <t>MF80CD</t>
  </si>
  <si>
    <r>
      <t xml:space="preserve">12-85 (Bora) </t>
    </r>
    <r>
      <rPr>
        <sz val="10"/>
        <color rgb="FFFF0000"/>
        <rFont val="Calibri"/>
        <family val="2"/>
        <scheme val="minor"/>
      </rPr>
      <t>EFB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</si>
  <si>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M72LD</t>
  </si>
  <si>
    <r>
      <t>12-85</t>
    </r>
    <r>
      <rPr>
        <sz val="10"/>
        <color rgb="FFFF0000"/>
        <rFont val="Calibri"/>
        <family val="2"/>
        <scheme val="minor"/>
      </rPr>
      <t xml:space="preserve"> EFB</t>
    </r>
  </si>
  <si>
    <r>
      <t xml:space="preserve">MA80CD </t>
    </r>
    <r>
      <rPr>
        <b/>
        <sz val="10"/>
        <color rgb="FFFF0000"/>
        <rFont val="Calibri"/>
        <family val="2"/>
        <scheme val="minor"/>
      </rPr>
      <t>AGM (nueva)</t>
    </r>
  </si>
  <si>
    <r>
      <t xml:space="preserve">12-85 </t>
    </r>
    <r>
      <rPr>
        <sz val="10"/>
        <color rgb="FFFF0000"/>
        <rFont val="Calibri"/>
        <family val="2"/>
        <scheme val="minor"/>
      </rPr>
      <t>AGM</t>
    </r>
  </si>
  <si>
    <t>ME95QD</t>
  </si>
  <si>
    <t>12x100</t>
  </si>
  <si>
    <t>12-95 Sprinter</t>
  </si>
  <si>
    <t>ME100HA</t>
  </si>
  <si>
    <t>12-110 Peugeot 504 - Iveco</t>
  </si>
  <si>
    <t>M22RD/I</t>
  </si>
  <si>
    <t>12-85 (Hilux  hasta año 2003)</t>
  </si>
  <si>
    <t>ME90TD</t>
  </si>
  <si>
    <t>12-90  (Hilux  a partir 2003)</t>
  </si>
  <si>
    <t>ME90TI</t>
  </si>
  <si>
    <t>ME135TD</t>
  </si>
  <si>
    <t>12x160</t>
  </si>
  <si>
    <t>12-160 Camiones</t>
  </si>
  <si>
    <t>ME180TD</t>
  </si>
  <si>
    <t>12-180 Camiones</t>
  </si>
  <si>
    <t>ME23UI</t>
  </si>
  <si>
    <t>12N24 (i)</t>
  </si>
  <si>
    <t>12-24 Tractores Cesped</t>
  </si>
  <si>
    <t>TIPO</t>
  </si>
  <si>
    <t>DESCARGA (Amp)</t>
  </si>
  <si>
    <t>Den.</t>
  </si>
  <si>
    <t>DIMENSIONES DE LA CAJA (MM)</t>
  </si>
  <si>
    <t>SAE     -18°C</t>
  </si>
  <si>
    <t>Ah</t>
  </si>
  <si>
    <t>Comercial</t>
  </si>
  <si>
    <t>ALTO TOTAL</t>
  </si>
  <si>
    <t>12X40</t>
  </si>
  <si>
    <t>12X50</t>
  </si>
  <si>
    <t>Kaise VRLA</t>
  </si>
  <si>
    <t>12MVA-7</t>
  </si>
  <si>
    <t>12MVA-12</t>
  </si>
  <si>
    <t>12MVA-18</t>
  </si>
  <si>
    <t>12MVA-26</t>
  </si>
  <si>
    <t>T.N Vcc</t>
  </si>
  <si>
    <t>CAPACIDAD</t>
  </si>
  <si>
    <t>PESO   Kg</t>
  </si>
  <si>
    <t>20      Hs AH</t>
  </si>
  <si>
    <t>5         Hs AH</t>
  </si>
  <si>
    <t>FD70DDL</t>
  </si>
  <si>
    <t>DF115LES</t>
  </si>
  <si>
    <t xml:space="preserve">Newmax </t>
  </si>
  <si>
    <t>Medidas</t>
  </si>
  <si>
    <t>L-AN-AL</t>
  </si>
  <si>
    <r>
      <t xml:space="preserve">SG-1500H </t>
    </r>
    <r>
      <rPr>
        <b/>
        <sz val="10"/>
        <color rgb="FFFF0000"/>
        <rFont val="Arial"/>
        <family val="2"/>
      </rPr>
      <t>Nueva!!!</t>
    </r>
  </si>
  <si>
    <r>
      <t xml:space="preserve">12-150 </t>
    </r>
    <r>
      <rPr>
        <b/>
        <sz val="10"/>
        <color rgb="FFFF0000"/>
        <rFont val="Calibri"/>
        <family val="2"/>
        <scheme val="minor"/>
      </rPr>
      <t>AGM</t>
    </r>
  </si>
  <si>
    <t>12 Volts</t>
  </si>
  <si>
    <t>522-240-215</t>
  </si>
  <si>
    <t>T-605</t>
  </si>
  <si>
    <t>6-210</t>
  </si>
  <si>
    <t>6 Volts</t>
  </si>
  <si>
    <t>262-181-283</t>
  </si>
  <si>
    <t>T-105</t>
  </si>
  <si>
    <t>6-225</t>
  </si>
  <si>
    <t>L16G-AC</t>
  </si>
  <si>
    <t>6-390</t>
  </si>
  <si>
    <t>311-178-432</t>
  </si>
  <si>
    <t>S-305</t>
  </si>
  <si>
    <t>6-295</t>
  </si>
  <si>
    <t>311-178-365</t>
  </si>
  <si>
    <t>27TMX</t>
  </si>
  <si>
    <t>12-105</t>
  </si>
  <si>
    <t>324-168-235</t>
  </si>
  <si>
    <t>T1275</t>
  </si>
  <si>
    <t>12-150</t>
  </si>
  <si>
    <t>327-181-276</t>
  </si>
  <si>
    <t>CCA -18</t>
  </si>
  <si>
    <t>Tipo</t>
  </si>
  <si>
    <t>Red Top 34</t>
  </si>
  <si>
    <t>Arranque</t>
  </si>
  <si>
    <t>Sin Stock</t>
  </si>
  <si>
    <t>Yellow Top 34</t>
  </si>
  <si>
    <t>Ciclo Profundo</t>
  </si>
  <si>
    <t>Kage NanoGel</t>
  </si>
  <si>
    <t>Codigo Kage</t>
  </si>
  <si>
    <t>VOLTAJE</t>
  </si>
  <si>
    <t xml:space="preserve">12N5-3B </t>
  </si>
  <si>
    <t>KG5AL</t>
  </si>
  <si>
    <t xml:space="preserve">12N7-4A </t>
  </si>
  <si>
    <t>KG7C</t>
  </si>
  <si>
    <t xml:space="preserve">12N7A-3A </t>
  </si>
  <si>
    <t>KG7DL</t>
  </si>
  <si>
    <t xml:space="preserve">12N9-4B-1 </t>
  </si>
  <si>
    <t>MF12V9-2A</t>
  </si>
  <si>
    <t xml:space="preserve">12N14A-3A </t>
  </si>
  <si>
    <t>MF12V14-3A</t>
  </si>
  <si>
    <t>KGZ5S</t>
  </si>
  <si>
    <t>KG6.5L</t>
  </si>
  <si>
    <t>KG7L</t>
  </si>
  <si>
    <t>KG7A</t>
  </si>
  <si>
    <t>KG9A</t>
  </si>
  <si>
    <t>GT12-A</t>
  </si>
  <si>
    <t>KGZ7S</t>
  </si>
  <si>
    <t>GTZ10S</t>
  </si>
  <si>
    <t>Arrancadores Portatiles</t>
  </si>
  <si>
    <t>Arrancador Portatil PB100 (Motores Nafteros 1.6)</t>
  </si>
  <si>
    <t>Arrancador Portatil PI300 (Motores Diesel)</t>
  </si>
  <si>
    <t>Arrancador Portatil PQ500 (Camiones)</t>
  </si>
  <si>
    <t>Cargadores</t>
  </si>
  <si>
    <t>Cargador de baterias 20A</t>
  </si>
  <si>
    <t>Cargador de baterias 30A</t>
  </si>
  <si>
    <t>Herramientas</t>
  </si>
  <si>
    <t>Set de Herramientas SET129</t>
  </si>
  <si>
    <t>Kit Soldador Iron - Megairon100</t>
  </si>
  <si>
    <t>Hidrolavadora HL120</t>
  </si>
  <si>
    <t>Termo Inoxidable 1 Litro TL1-9</t>
  </si>
  <si>
    <t>Tester digital Escolar MUT-830</t>
  </si>
  <si>
    <t>Cargador 25A con AutoStop</t>
  </si>
  <si>
    <t xml:space="preserve">Cargador/Arrancador 120A </t>
  </si>
  <si>
    <t>Terminales de bronce</t>
  </si>
  <si>
    <t>Terminal chico (+ / -)</t>
  </si>
  <si>
    <t>Terminal mediano (+ / -)</t>
  </si>
  <si>
    <t>Terminal grande (+ / -)</t>
  </si>
  <si>
    <t>Terminal mariposa (+ / -)</t>
  </si>
  <si>
    <t>Zocalo de bateria</t>
  </si>
  <si>
    <t>Soporte para bateria extensible</t>
  </si>
  <si>
    <t xml:space="preserve">CCA </t>
  </si>
  <si>
    <t>Mayorista</t>
  </si>
  <si>
    <t>EN40</t>
  </si>
  <si>
    <t>VA40FD</t>
  </si>
  <si>
    <t>12x40- CHEVROLET PRISMA, SPIN</t>
  </si>
  <si>
    <t>VDA75ND/E</t>
  </si>
  <si>
    <r>
      <t xml:space="preserve">12X85 </t>
    </r>
    <r>
      <rPr>
        <b/>
        <i/>
        <sz val="10"/>
        <rFont val="Calibri"/>
        <family val="2"/>
        <scheme val="minor"/>
      </rPr>
      <t>reforzada</t>
    </r>
  </si>
  <si>
    <r>
      <t xml:space="preserve">12-85 (Bora) </t>
    </r>
    <r>
      <rPr>
        <sz val="10"/>
        <color rgb="FFFF0000"/>
        <rFont val="Calibri"/>
        <family val="2"/>
        <scheme val="minor"/>
      </rPr>
      <t>AGM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NUEVA!!!</t>
    </r>
  </si>
  <si>
    <t>Lubeck / Acubat</t>
  </si>
  <si>
    <t>IVA incluido</t>
  </si>
  <si>
    <t>12-65 Reforzada</t>
  </si>
  <si>
    <t>12-75 (Standard)</t>
  </si>
  <si>
    <t>12-85 Alta (Reforzada)</t>
  </si>
  <si>
    <t>Baterias de Moto - Nano Gel</t>
  </si>
  <si>
    <t xml:space="preserve">               Baterias VRLA - Alarma</t>
  </si>
  <si>
    <t>Lista eft (1)</t>
  </si>
  <si>
    <t>1 Cuota (14)</t>
  </si>
  <si>
    <t>6 o 3 C (6)</t>
  </si>
  <si>
    <t>Mercadolibre (13)</t>
  </si>
  <si>
    <t>Mayorista (2)</t>
  </si>
  <si>
    <t>Mayorista 1/2 IVA (3)</t>
  </si>
  <si>
    <t>Mayorista A/A (4)</t>
  </si>
  <si>
    <t>Mayorista Canje (5)</t>
  </si>
  <si>
    <t>Costos</t>
  </si>
  <si>
    <t>Envio ML</t>
  </si>
  <si>
    <t>1 cuota</t>
  </si>
  <si>
    <t>350b</t>
  </si>
  <si>
    <t>3 0 6c</t>
  </si>
  <si>
    <t>Moura Ya</t>
  </si>
  <si>
    <t>3c</t>
  </si>
  <si>
    <t>Varta Blue VA38JD</t>
  </si>
  <si>
    <t>6c</t>
  </si>
  <si>
    <t>Varta Blue VA45JD</t>
  </si>
  <si>
    <t>VA45JD</t>
  </si>
  <si>
    <t>Varta Blue(i) VA45JE</t>
  </si>
  <si>
    <t>VA45JE</t>
  </si>
  <si>
    <t>Varta Silver VA40FD</t>
  </si>
  <si>
    <t>Varta Silver VA45BD</t>
  </si>
  <si>
    <t>Varta Silver VA50GD</t>
  </si>
  <si>
    <t>Varta Silver VA60DD</t>
  </si>
  <si>
    <t>VA60DD</t>
  </si>
  <si>
    <t>Varta Silver(i) VA60DE</t>
  </si>
  <si>
    <t>VA60DE</t>
  </si>
  <si>
    <t>Varta Silver VA60HD</t>
  </si>
  <si>
    <t>VA60HD</t>
  </si>
  <si>
    <t>Varta Silver(i) VA60HE</t>
  </si>
  <si>
    <t>VA60HE</t>
  </si>
  <si>
    <t>Varta Silver VA70ND</t>
  </si>
  <si>
    <t>VA70ND</t>
  </si>
  <si>
    <t>Varta Silver(i) VA70NE</t>
  </si>
  <si>
    <t>VA70NE</t>
  </si>
  <si>
    <t>Varta Plus VGM60HD</t>
  </si>
  <si>
    <t>VGM60HD</t>
  </si>
  <si>
    <t>Varta Plus(i) VGM60HE</t>
  </si>
  <si>
    <t>VGM60HE</t>
  </si>
  <si>
    <t>Varta EFB VFB60HD</t>
  </si>
  <si>
    <t>Varta Plus VDA75ND</t>
  </si>
  <si>
    <t>VDA75ND</t>
  </si>
  <si>
    <t>Varta Plus(i) VDA75NE</t>
  </si>
  <si>
    <t>VDA75NE</t>
  </si>
  <si>
    <t>Varta SilverAlta VDA75PD</t>
  </si>
  <si>
    <t>Varta Blue(d) VA75LD</t>
  </si>
  <si>
    <t>VA75LD</t>
  </si>
  <si>
    <t>Varta Blue(i) VA75LE</t>
  </si>
  <si>
    <t>VA75LE</t>
  </si>
  <si>
    <t>Varta Blue(d) VA90LD</t>
  </si>
  <si>
    <t>VA90LD</t>
  </si>
  <si>
    <t>Varta Blue(i) VA90LE</t>
  </si>
  <si>
    <t>VA90LE</t>
  </si>
  <si>
    <t>Varta Silver VA90MD</t>
  </si>
  <si>
    <t>Varta Plus VDA95MD</t>
  </si>
  <si>
    <t>Varta Blue VPA100LE</t>
  </si>
  <si>
    <t>Varta Blue VA150TD</t>
  </si>
  <si>
    <t>Varta Blue VA180TD</t>
  </si>
  <si>
    <t>Varta Blue Sellada VPA180TD</t>
  </si>
  <si>
    <t>Varta Blue Scania VFA180TE</t>
  </si>
  <si>
    <t>Varta Blue VA200TD</t>
  </si>
  <si>
    <t>Varta EFB VA225TE</t>
  </si>
  <si>
    <t>NS40A</t>
  </si>
  <si>
    <t>EN50A</t>
  </si>
  <si>
    <t xml:space="preserve">350A </t>
  </si>
  <si>
    <t>350AG</t>
  </si>
  <si>
    <t>57A</t>
  </si>
  <si>
    <t>600A</t>
  </si>
  <si>
    <t>88A</t>
  </si>
  <si>
    <t>180A</t>
  </si>
  <si>
    <t>Moura M18SD</t>
  </si>
  <si>
    <t>Moura M22JD</t>
  </si>
  <si>
    <t>Moura M18FD</t>
  </si>
  <si>
    <t>Moura M22ED</t>
  </si>
  <si>
    <t>Moura M20GD</t>
  </si>
  <si>
    <t>Moura M22GD</t>
  </si>
  <si>
    <t>Moura M26AD</t>
  </si>
  <si>
    <t>Moura M24KD</t>
  </si>
  <si>
    <t>Moura M30LD</t>
  </si>
  <si>
    <t>Moura ME80CD</t>
  </si>
  <si>
    <t>Moura EFB MF60AD</t>
  </si>
  <si>
    <t>MF60AD</t>
  </si>
  <si>
    <t>Moura EFB MF72LD</t>
  </si>
  <si>
    <t>MF72LD</t>
  </si>
  <si>
    <t>Moura ME95QD</t>
  </si>
  <si>
    <t>Moura ME100HA</t>
  </si>
  <si>
    <t>M22RD</t>
  </si>
  <si>
    <t>M22RI</t>
  </si>
  <si>
    <t>UB325</t>
  </si>
  <si>
    <t>UB425</t>
  </si>
  <si>
    <t>UB670</t>
  </si>
  <si>
    <t>UB620</t>
  </si>
  <si>
    <t xml:space="preserve">UB730 </t>
  </si>
  <si>
    <t>UB730EFB</t>
  </si>
  <si>
    <t xml:space="preserve">UB740 </t>
  </si>
  <si>
    <t>UB840</t>
  </si>
  <si>
    <t>UB840I</t>
  </si>
  <si>
    <t>UB840EFB</t>
  </si>
  <si>
    <t>UB1030</t>
  </si>
  <si>
    <t>UB920</t>
  </si>
  <si>
    <t>UB1240</t>
  </si>
  <si>
    <t>NS40L</t>
  </si>
  <si>
    <t>EN50L</t>
  </si>
  <si>
    <t>300L</t>
  </si>
  <si>
    <t>350L</t>
  </si>
  <si>
    <t>350G</t>
  </si>
  <si>
    <t>57L</t>
  </si>
  <si>
    <t>600L</t>
  </si>
  <si>
    <t>88L</t>
  </si>
  <si>
    <t>110L</t>
  </si>
  <si>
    <t>160L</t>
  </si>
  <si>
    <t>180L</t>
  </si>
  <si>
    <t>45e</t>
  </si>
  <si>
    <t>350e</t>
  </si>
  <si>
    <t>600e</t>
  </si>
  <si>
    <t>110e</t>
  </si>
  <si>
    <t>180e</t>
  </si>
  <si>
    <t>SG120</t>
  </si>
  <si>
    <t>SG200</t>
  </si>
  <si>
    <t>Moura ME23UI</t>
  </si>
  <si>
    <t>Cb12-12</t>
  </si>
  <si>
    <t>cb12</t>
  </si>
  <si>
    <t>aa</t>
  </si>
  <si>
    <t>aaa</t>
  </si>
  <si>
    <t>raa</t>
  </si>
  <si>
    <t>raaa</t>
  </si>
  <si>
    <t>laaa</t>
  </si>
  <si>
    <t>l123</t>
  </si>
  <si>
    <t>l2032</t>
  </si>
  <si>
    <t>l2025</t>
  </si>
  <si>
    <t>l2016</t>
  </si>
  <si>
    <t>l2450</t>
  </si>
  <si>
    <t>carg</t>
  </si>
  <si>
    <t>lint</t>
  </si>
  <si>
    <t xml:space="preserve">Paño Microfibra </t>
  </si>
  <si>
    <t xml:space="preserve">Limpia Vidrios </t>
  </si>
  <si>
    <t xml:space="preserve">Cera Rapida </t>
  </si>
  <si>
    <t xml:space="preserve">Carnauba Quick Wax Con Gatillo </t>
  </si>
  <si>
    <t>Moura ME135BD</t>
  </si>
  <si>
    <t>ME135BD</t>
  </si>
  <si>
    <t>bot</t>
  </si>
  <si>
    <t>ba</t>
  </si>
  <si>
    <t>bu</t>
  </si>
  <si>
    <t>bc</t>
  </si>
  <si>
    <t>Moura ME180BD</t>
  </si>
  <si>
    <t>ME180BD</t>
  </si>
  <si>
    <t>Moura ME220PD</t>
  </si>
  <si>
    <t>ME220PD</t>
  </si>
  <si>
    <t>SG150</t>
  </si>
  <si>
    <t>Cargador de Baterias 25A con AutoStop</t>
  </si>
  <si>
    <t>c25</t>
  </si>
  <si>
    <t>c120</t>
  </si>
  <si>
    <t>pq-500</t>
  </si>
  <si>
    <t>pi-300</t>
  </si>
  <si>
    <t>pb-100</t>
  </si>
  <si>
    <t>Cargador de Baterias 30A LCC-45</t>
  </si>
  <si>
    <t>lcc-45</t>
  </si>
  <si>
    <t>Cargador de Baterias 20A LCC-20</t>
  </si>
  <si>
    <t>lcc-20</t>
  </si>
  <si>
    <t>e2032</t>
  </si>
  <si>
    <t>cargam</t>
  </si>
  <si>
    <t>cargaaut</t>
  </si>
  <si>
    <t>cargau</t>
  </si>
  <si>
    <t>cargacam</t>
  </si>
  <si>
    <t>lqct107-8k</t>
  </si>
  <si>
    <t>set129</t>
  </si>
  <si>
    <t>atl18-8b</t>
  </si>
  <si>
    <t>Termo Inoxidable 1 litro TL1-9</t>
  </si>
  <si>
    <t>tl1-9</t>
  </si>
  <si>
    <t>Aspiradora para auto / 100648</t>
  </si>
  <si>
    <t>hl-120</t>
  </si>
  <si>
    <t>a12-22</t>
  </si>
  <si>
    <t>m12n5</t>
  </si>
  <si>
    <t>Monopatin Electrico con Amortiguadores</t>
  </si>
  <si>
    <t>Moura EFB MF80CD</t>
  </si>
  <si>
    <t xml:space="preserve">Casco </t>
  </si>
  <si>
    <t>casco</t>
  </si>
  <si>
    <t>UB620I</t>
  </si>
  <si>
    <t>UB730I</t>
  </si>
  <si>
    <t>Juego pinzas y destornilladores</t>
  </si>
  <si>
    <t>Juego destornilladores</t>
  </si>
  <si>
    <t>ai150l-8k</t>
  </si>
  <si>
    <t>megairon100</t>
  </si>
  <si>
    <t>Moura M28KD</t>
  </si>
  <si>
    <t>UB930I</t>
  </si>
  <si>
    <t>mono</t>
  </si>
  <si>
    <t>aml850-8</t>
  </si>
  <si>
    <t>mytx12</t>
  </si>
  <si>
    <t>servicioa</t>
  </si>
  <si>
    <t>serviciou</t>
  </si>
  <si>
    <t>servicioc</t>
  </si>
  <si>
    <t>MouraM22GI</t>
  </si>
  <si>
    <t>lqe6013-250</t>
  </si>
  <si>
    <t>Kit Soldador Iron - Megairon100 + 1 Bolsa de Electrodos</t>
  </si>
  <si>
    <t>kitsoldador1</t>
  </si>
  <si>
    <t>m12n14</t>
  </si>
  <si>
    <t>Moura AGM MA80CD</t>
  </si>
  <si>
    <t>MA80CD</t>
  </si>
  <si>
    <t>t105</t>
  </si>
  <si>
    <t>tpl710-8</t>
  </si>
  <si>
    <t>L600GA</t>
  </si>
  <si>
    <t>44L</t>
  </si>
  <si>
    <t>domiciliocaba</t>
  </si>
  <si>
    <t>domiciliogba</t>
  </si>
  <si>
    <t>Varta EFB VFB72PD</t>
  </si>
  <si>
    <t>k12n5</t>
  </si>
  <si>
    <t>Kage Nanogel KG6.5L (ytx6.5bs)</t>
  </si>
  <si>
    <t>kg6.5</t>
  </si>
  <si>
    <t>kg7d</t>
  </si>
  <si>
    <t>kg7s</t>
  </si>
  <si>
    <t>k12v9</t>
  </si>
  <si>
    <t>kytx7a</t>
  </si>
  <si>
    <t>kytx7l</t>
  </si>
  <si>
    <t>kytx9</t>
  </si>
  <si>
    <t>vtl430-8</t>
  </si>
  <si>
    <t>shl150-9</t>
  </si>
  <si>
    <t>lg3000</t>
  </si>
  <si>
    <t>lc2025</t>
  </si>
  <si>
    <t>12n14el</t>
  </si>
  <si>
    <t>12n24el</t>
  </si>
  <si>
    <t>12n74bel</t>
  </si>
  <si>
    <t>yyb16</t>
  </si>
  <si>
    <t>Aditivo Anti Vejez Combustible</t>
  </si>
  <si>
    <t>Kage AGM SW12v7-3a (12n7a-3a)</t>
  </si>
  <si>
    <t>kg12v7</t>
  </si>
  <si>
    <t>fixitmoto</t>
  </si>
  <si>
    <t>fixitauto</t>
  </si>
  <si>
    <t>12n5p</t>
  </si>
  <si>
    <t>12n73ap</t>
  </si>
  <si>
    <t>12n9p</t>
  </si>
  <si>
    <t>Pioneiro MBR12L LVP YT12A-BS</t>
  </si>
  <si>
    <t>yt12p</t>
  </si>
  <si>
    <t>ytx12p</t>
  </si>
  <si>
    <t>ytx14p</t>
  </si>
  <si>
    <t>ytx16p</t>
  </si>
  <si>
    <t>ytx5p</t>
  </si>
  <si>
    <t>ytx7ap</t>
  </si>
  <si>
    <t>ytx7lp</t>
  </si>
  <si>
    <t>ytx9p</t>
  </si>
  <si>
    <t>Aditivo Anti friccion</t>
  </si>
  <si>
    <t>Limpia Catalizador</t>
  </si>
  <si>
    <t>Limpia radiadores</t>
  </si>
  <si>
    <t>y12n14</t>
  </si>
  <si>
    <t>Moura M28KI</t>
  </si>
  <si>
    <t>M28KI</t>
  </si>
  <si>
    <t xml:space="preserve">Juego Mate y Bombilla </t>
  </si>
  <si>
    <t>matybom</t>
  </si>
  <si>
    <t>6ML225</t>
  </si>
  <si>
    <t>Sujetador con criquet reforzado 19286</t>
  </si>
  <si>
    <t>Varta Blue VA34JD</t>
  </si>
  <si>
    <t>Cuota Simple: Tarjetas Bancarizadas / Financieras /</t>
  </si>
  <si>
    <t>Descuento x entregar bateria usada</t>
  </si>
  <si>
    <t>Pagina Nro 1</t>
  </si>
  <si>
    <t>Visa o Master Directa</t>
  </si>
  <si>
    <t xml:space="preserve">Cuota Simple  </t>
  </si>
  <si>
    <r>
      <t xml:space="preserve">MODELO 40-300 / </t>
    </r>
    <r>
      <rPr>
        <b/>
        <i/>
        <sz val="12"/>
        <color theme="1"/>
        <rFont val="Calibri"/>
        <family val="2"/>
        <scheme val="minor"/>
      </rPr>
      <t>Den.Comercial 12-40 / 12-45</t>
    </r>
  </si>
  <si>
    <t>6 o 3 Cuotas</t>
  </si>
  <si>
    <t>6 cuotas de</t>
  </si>
  <si>
    <t>3 cuotas de</t>
  </si>
  <si>
    <t>1 Cuota</t>
  </si>
  <si>
    <t>Efvo</t>
  </si>
  <si>
    <t xml:space="preserve">*Acubat 300 </t>
  </si>
  <si>
    <r>
      <t>*</t>
    </r>
    <r>
      <rPr>
        <b/>
        <sz val="12"/>
        <color theme="1"/>
        <rFont val="Calibri"/>
        <family val="2"/>
        <scheme val="minor"/>
      </rPr>
      <t>Moura 300 M18FD</t>
    </r>
  </si>
  <si>
    <t>*Varta Silver VA45BD</t>
  </si>
  <si>
    <r>
      <t xml:space="preserve">MODELO 44 / </t>
    </r>
    <r>
      <rPr>
        <b/>
        <i/>
        <sz val="12"/>
        <color theme="1"/>
        <rFont val="Calibri"/>
        <family val="2"/>
        <scheme val="minor"/>
      </rPr>
      <t xml:space="preserve"> Den. Comercial 12-55</t>
    </r>
  </si>
  <si>
    <t xml:space="preserve">*Acubat 44 </t>
  </si>
  <si>
    <t>*Moura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</si>
  <si>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UB550  </t>
    </r>
  </si>
  <si>
    <r>
      <t>*</t>
    </r>
    <r>
      <rPr>
        <b/>
        <sz val="12"/>
        <color theme="1"/>
        <rFont val="Calibri"/>
        <family val="2"/>
        <scheme val="minor"/>
      </rPr>
      <t>Varta Silver VA50GD</t>
    </r>
  </si>
  <si>
    <r>
      <t xml:space="preserve">MODELO 350 / </t>
    </r>
    <r>
      <rPr>
        <b/>
        <i/>
        <sz val="12"/>
        <color theme="1"/>
        <rFont val="Calibri"/>
        <family val="2"/>
        <scheme val="minor"/>
      </rPr>
      <t>Den. Comercial 12-65 / 12-70</t>
    </r>
  </si>
  <si>
    <t>*Lubeck 350</t>
  </si>
  <si>
    <t xml:space="preserve">*Acubat 350 </t>
  </si>
  <si>
    <r>
      <t xml:space="preserve">*Acubat 350 </t>
    </r>
    <r>
      <rPr>
        <b/>
        <i/>
        <sz val="12"/>
        <color theme="1"/>
        <rFont val="Calibri"/>
        <family val="2"/>
        <scheme val="minor"/>
      </rPr>
      <t>Gold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</si>
  <si>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*Moura M20GD </t>
  </si>
  <si>
    <t>*Moura M22GD/I</t>
  </si>
  <si>
    <t xml:space="preserve">*Willard UB620 </t>
  </si>
  <si>
    <t xml:space="preserve">*Varta Silver VA60DD/E </t>
  </si>
  <si>
    <r>
      <t>MODELO 57 /</t>
    </r>
    <r>
      <rPr>
        <b/>
        <i/>
        <sz val="12"/>
        <color theme="1"/>
        <rFont val="Calibri"/>
        <family val="2"/>
        <scheme val="minor"/>
      </rPr>
      <t xml:space="preserve"> Den. Comercial 12-75 Alta</t>
    </r>
  </si>
  <si>
    <t xml:space="preserve">*Acubat 57 </t>
  </si>
  <si>
    <t>*Moura M26AD</t>
  </si>
  <si>
    <t xml:space="preserve">*Willard UB730 </t>
  </si>
  <si>
    <t>*Varta Silver VA60HD/E</t>
  </si>
  <si>
    <t xml:space="preserve">*Varta Plus VGM60HD/E </t>
  </si>
  <si>
    <r>
      <t xml:space="preserve">MODELO 600 / </t>
    </r>
    <r>
      <rPr>
        <b/>
        <i/>
        <sz val="12"/>
        <color theme="1"/>
        <rFont val="Calibri"/>
        <family val="2"/>
        <scheme val="minor"/>
      </rPr>
      <t>Den. Comercial 12-75 / 12-80</t>
    </r>
  </si>
  <si>
    <t>*Lubeck 600</t>
  </si>
  <si>
    <t xml:space="preserve">*Acubat 600 </t>
  </si>
  <si>
    <t>*Acubat 600 Gold</t>
  </si>
  <si>
    <t>*Moura M24KD</t>
  </si>
  <si>
    <t>*Willard UB740</t>
  </si>
  <si>
    <t>*Moura M28KD</t>
  </si>
  <si>
    <t>*Varta Silver VA70ND/E</t>
  </si>
  <si>
    <t xml:space="preserve">*Acubat 600 Gold Alta </t>
  </si>
  <si>
    <t>*Moura M30LD</t>
  </si>
  <si>
    <t>*Willard UB840</t>
  </si>
  <si>
    <t>*Varta Silver Alta VDA75PD</t>
  </si>
  <si>
    <t>*Moura ME80CD</t>
  </si>
  <si>
    <r>
      <t xml:space="preserve">MODELO 110 / </t>
    </r>
    <r>
      <rPr>
        <b/>
        <i/>
        <sz val="12"/>
        <color theme="1"/>
        <rFont val="Calibri"/>
        <family val="2"/>
        <scheme val="minor"/>
      </rPr>
      <t>Den. Comercial 12-110</t>
    </r>
  </si>
  <si>
    <t xml:space="preserve">*Acubat 110 </t>
  </si>
  <si>
    <t>*Moura ME100HA</t>
  </si>
  <si>
    <t>*Varta Blue VPA100LE</t>
  </si>
  <si>
    <t>*Willard UB920</t>
  </si>
  <si>
    <r>
      <t xml:space="preserve">MODELO 88 / </t>
    </r>
    <r>
      <rPr>
        <b/>
        <i/>
        <sz val="12"/>
        <color theme="1"/>
        <rFont val="Calibri"/>
        <family val="2"/>
        <scheme val="minor"/>
      </rPr>
      <t>Den. Comercial 12-100</t>
    </r>
  </si>
  <si>
    <t xml:space="preserve">*Acubat 88 </t>
  </si>
  <si>
    <t>*Moura ME95QD</t>
  </si>
  <si>
    <t>*Varta Plus VDA95MD</t>
  </si>
  <si>
    <t>Linea EFB y AGM</t>
  </si>
  <si>
    <r>
      <t xml:space="preserve">*Varta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</si>
  <si>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</si>
  <si>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*Willard UB730 </t>
    </r>
    <r>
      <rPr>
        <b/>
        <sz val="8.75"/>
        <color rgb="FFFF0000"/>
        <rFont val="Calibri"/>
        <family val="2"/>
      </rPr>
      <t>EFB</t>
    </r>
  </si>
  <si>
    <r>
      <t xml:space="preserve">*Varta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</si>
  <si>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</si>
  <si>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*Willard UB840 </t>
    </r>
    <r>
      <rPr>
        <b/>
        <sz val="10.199999999999999"/>
        <color rgb="FFFF0000"/>
        <rFont val="Calibri"/>
        <family val="2"/>
      </rPr>
      <t>EFB</t>
    </r>
  </si>
  <si>
    <r>
      <t xml:space="preserve">*Moura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</si>
  <si>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MA80CD </t>
    </r>
    <r>
      <rPr>
        <b/>
        <sz val="12"/>
        <color rgb="FFFF0000"/>
        <rFont val="Calibri"/>
        <family val="2"/>
        <scheme val="minor"/>
      </rPr>
      <t>AGM</t>
    </r>
  </si>
  <si>
    <t>Pagina Nro 2</t>
  </si>
  <si>
    <t>BATERIAS ESPECIALES / VEHICULOS ASIATICOS</t>
  </si>
  <si>
    <t xml:space="preserve">*Willard UB325 </t>
  </si>
  <si>
    <t>*Moura M18SD</t>
  </si>
  <si>
    <t>*Varta Blue VA38JD / VA34JD</t>
  </si>
  <si>
    <t>*Willard UB425</t>
  </si>
  <si>
    <t>*Moura M22JD</t>
  </si>
  <si>
    <t>*Varta Blue VA50JD/E</t>
  </si>
  <si>
    <t>*Moura M22RD/RI</t>
  </si>
  <si>
    <t>*Varta Blue VA75LD/E</t>
  </si>
  <si>
    <t>*Moura ME90TD</t>
  </si>
  <si>
    <t xml:space="preserve">*Varta Blue VA90LD/E </t>
  </si>
  <si>
    <t xml:space="preserve">*Willard UB930 </t>
  </si>
  <si>
    <t>MODELO 12-160</t>
  </si>
  <si>
    <t>*Moura ME135BD</t>
  </si>
  <si>
    <t>*Varta Blue VA150TD</t>
  </si>
  <si>
    <t>MODELO 12-180</t>
  </si>
  <si>
    <t>*Acubat 180</t>
  </si>
  <si>
    <t>*Willard UB1240</t>
  </si>
  <si>
    <t>*Varta Blue VA180TD</t>
  </si>
  <si>
    <t>*Moura ME180BD</t>
  </si>
  <si>
    <t>*Varta 180 Sellada VPA180TD</t>
  </si>
  <si>
    <t>MODELO 12-190 Scania Y 12-200</t>
  </si>
  <si>
    <t>*Varta Scania VFA180TE</t>
  </si>
  <si>
    <t>*Varta Blue VA200TD</t>
  </si>
  <si>
    <t>*Varta Silver VA225TE</t>
  </si>
  <si>
    <t>Willard 12-200</t>
  </si>
  <si>
    <t>*Willard UB1400</t>
  </si>
  <si>
    <t>ESTACIONARIAS</t>
  </si>
  <si>
    <t>*Acubat 12-100</t>
  </si>
  <si>
    <t>CICLO PROFUNDO</t>
  </si>
  <si>
    <t>*Acubat 12-120</t>
  </si>
  <si>
    <t>*Varta 57 Silver AGM (ag60hd)</t>
  </si>
  <si>
    <t>*Acubat 88 Gold EFB</t>
  </si>
  <si>
    <t>*Trojan T-105</t>
  </si>
  <si>
    <t>*Moura 6ML225 (T-105)</t>
  </si>
  <si>
    <t>*Newmax SG1200</t>
  </si>
  <si>
    <t>*Newmax SG1500</t>
  </si>
  <si>
    <t>*Newmax SG2000</t>
  </si>
  <si>
    <t>Pagina Nro 3</t>
  </si>
  <si>
    <t>PRECIOS DEJANDO BATERIA USADA</t>
  </si>
  <si>
    <t>Pagina Nro 4</t>
  </si>
  <si>
    <t>Pagina Nro 5</t>
  </si>
  <si>
    <t xml:space="preserve">  PRECIO BATERIAS MOTO </t>
  </si>
  <si>
    <t>EFECTIVO/DEBITO</t>
  </si>
  <si>
    <t>Novelbat / otras 12N5-3B</t>
  </si>
  <si>
    <t>Yuasa / Moura 12N5-3B /YB5L</t>
  </si>
  <si>
    <t>Novelbat / otras 12N7-4B / 12N7-4A</t>
  </si>
  <si>
    <t>Yuasa 12N7-3B</t>
  </si>
  <si>
    <t>Novelbat / otras 12N7-A-3A</t>
  </si>
  <si>
    <t>Novelbat / otras 12N9-4B-1</t>
  </si>
  <si>
    <t>Yuasa 12N9-4B-1</t>
  </si>
  <si>
    <t>Novelbat / otras 12N10-3B</t>
  </si>
  <si>
    <t>Yuasa 12N10-3B</t>
  </si>
  <si>
    <t>Novelbat / otras YB12A-A - AL-A2</t>
  </si>
  <si>
    <t>Novelbat / otras YT12B-4</t>
  </si>
  <si>
    <t>Novelbat / otras 12N14A-3A</t>
  </si>
  <si>
    <t>Yuasa 12N14A-3A</t>
  </si>
  <si>
    <t>Novelbat / otras YTX4L-BS</t>
  </si>
  <si>
    <t>Yuasa / Moura YTX4L-BS</t>
  </si>
  <si>
    <t>Novelbat / otras YTX5L-BS</t>
  </si>
  <si>
    <t>Moura YTX5L</t>
  </si>
  <si>
    <t>Yuasa YTX5L-BS</t>
  </si>
  <si>
    <t>Novelbat / otras YTX6.5L-BS</t>
  </si>
  <si>
    <t>Novelbat / otras YTX7L-BS</t>
  </si>
  <si>
    <t>Moura YTX7L</t>
  </si>
  <si>
    <t>Yuasa YTX7L-BS</t>
  </si>
  <si>
    <t>Novelbat / otras YTX7A-BS</t>
  </si>
  <si>
    <t>Yuasa/ Moura  YTX7A-BS</t>
  </si>
  <si>
    <t>Novelbat / otras YTX9-BS</t>
  </si>
  <si>
    <t>Moura YTX9-BS</t>
  </si>
  <si>
    <t>Yuasa YTX9-BS</t>
  </si>
  <si>
    <t>Novelbat / otras YTX12-BS</t>
  </si>
  <si>
    <t>Novelbat / otras YTX14-BS</t>
  </si>
  <si>
    <t>Novelbat / otras YTX16CL-BS</t>
  </si>
  <si>
    <t xml:space="preserve">Novelbat / otras YTX20-BS </t>
  </si>
  <si>
    <t>Novelbat / otras YTZ7S</t>
  </si>
  <si>
    <t>Novelbat / otras YTZ10S</t>
  </si>
  <si>
    <t>Novelbat / otras  YTZ12S</t>
  </si>
  <si>
    <t>Novelbat / otras YTZ14S</t>
  </si>
  <si>
    <t>Bronco / Megabat 12N24</t>
  </si>
  <si>
    <t xml:space="preserve">Moura 12N24 </t>
  </si>
  <si>
    <t>Pagina Nro 6</t>
  </si>
  <si>
    <t xml:space="preserve">  PRECIO BATERIAS VRLA</t>
  </si>
  <si>
    <t xml:space="preserve">1 Cuota </t>
  </si>
  <si>
    <t>BRONCO - LEOCH 6v-4ah</t>
  </si>
  <si>
    <t>YUASA 6v-10ah</t>
  </si>
  <si>
    <t>BRONCO 6v-10ah</t>
  </si>
  <si>
    <t>YUASA 12v-4ah</t>
  </si>
  <si>
    <t>BRONCO 12v-4ah</t>
  </si>
  <si>
    <t>YUASA 12v-7ah</t>
  </si>
  <si>
    <t>BRONCO - KAISE 12v-7ah</t>
  </si>
  <si>
    <t>MOURA 12-7</t>
  </si>
  <si>
    <t>YUASA 12v-12ah</t>
  </si>
  <si>
    <t>MOURA - BRONCO - KAISE 12v-12ah</t>
  </si>
  <si>
    <t>ACUBAT 12v-12ah Ciclo Prof</t>
  </si>
  <si>
    <t>YUASA 12v-17ah</t>
  </si>
  <si>
    <t>MOURA - MICROCELL - KAISE 12v-18ah</t>
  </si>
  <si>
    <t>ACUBAT 12v-22ah Ciclo Prof</t>
  </si>
  <si>
    <t>YUASA 12v-24ah</t>
  </si>
  <si>
    <t>MOURA - BRONCO - KAISE12v-26ah</t>
  </si>
  <si>
    <t>YUASA 12v-38ah</t>
  </si>
  <si>
    <t>BRONCO CPC 12-13</t>
  </si>
  <si>
    <t>BRONCO CPC 12-26</t>
  </si>
  <si>
    <t>Cargas y baterias de servicio</t>
  </si>
  <si>
    <t>Efectivo</t>
  </si>
  <si>
    <t>Sin dejar scrap</t>
  </si>
  <si>
    <t>Carga bateria moto</t>
  </si>
  <si>
    <t>Carga bateria auto</t>
  </si>
  <si>
    <t>Carga bateria utilitario</t>
  </si>
  <si>
    <t>Carga bateria camion</t>
  </si>
  <si>
    <t>Bateria de servicio auto-camionetas</t>
  </si>
  <si>
    <t>Bateria de servicio camion</t>
  </si>
  <si>
    <t>Reparacion de Bornes c/u</t>
  </si>
  <si>
    <t>Reparacion de monoblock/tapa</t>
  </si>
  <si>
    <t>Pagina Nro 7</t>
  </si>
  <si>
    <t>Aditivos LiquiMoly</t>
  </si>
  <si>
    <t>Optimizador de combustion 21644</t>
  </si>
  <si>
    <t>Limpiador de Cadenas de Moto 1602</t>
  </si>
  <si>
    <t>Aditivo Anti vejez Combustible 21646</t>
  </si>
  <si>
    <t>Aditivo Anti friccion 20628</t>
  </si>
  <si>
    <t>Limpia radiadores 2506</t>
  </si>
  <si>
    <t>Servicios Fiorino</t>
  </si>
  <si>
    <t>Servicio instalacion a domicilio</t>
  </si>
  <si>
    <t>COSMETICA   VEHICULAR</t>
  </si>
  <si>
    <t>PRODUCTOS</t>
  </si>
  <si>
    <t>6 cuotas</t>
  </si>
  <si>
    <t>efectivo</t>
  </si>
  <si>
    <t>LAVA PARABRISAS</t>
  </si>
  <si>
    <t>PAÑO MICROFIBRA</t>
  </si>
  <si>
    <t>AROMATIZANTE EN ATOMIZADOR 75CC</t>
  </si>
  <si>
    <t>AROMATIZANTE EN GATILLO</t>
  </si>
  <si>
    <t>AROMATIZANTE EN GEL</t>
  </si>
  <si>
    <t>AROMATIZANTE PINITO</t>
  </si>
  <si>
    <t>AROMATIZANTE GLOBITOS LOCOS</t>
  </si>
  <si>
    <t>SILICONA INTERIOR AROMATIZADA</t>
  </si>
  <si>
    <t>SILICONA EXTERIOR CUBIERTAS</t>
  </si>
  <si>
    <t>SILICONA MULTIUSO AEROSOL</t>
  </si>
  <si>
    <t>REVIVIDOR NEGRO</t>
  </si>
  <si>
    <t>SILICONA MULTIUSO AROMATIZADA</t>
  </si>
  <si>
    <t>LIMPIA TAPIZADOS</t>
  </si>
  <si>
    <t>DESENGRASANTE DE MOTOR</t>
  </si>
  <si>
    <t>LIMPIA VIDRIOS</t>
  </si>
  <si>
    <t>LIMPIA TAPIZADOS CON GATILLO</t>
  </si>
  <si>
    <t>CERA POLISH</t>
  </si>
  <si>
    <t>CERA RAPIDA</t>
  </si>
  <si>
    <t>CARNAUBA QUICK WAX CON GATILLO</t>
  </si>
  <si>
    <t>AROMATIZANTE EN ATOMIZADOR 250 CC</t>
  </si>
  <si>
    <t>LAVA AUTO SILICONADO</t>
  </si>
  <si>
    <t>LIMPIADOR DE CARROCERIAS</t>
  </si>
  <si>
    <t>PILAS</t>
  </si>
  <si>
    <t>EFECTIVO</t>
  </si>
  <si>
    <t>Pila alcalina Varta AA</t>
  </si>
  <si>
    <t>Pila alcalina Varta AAA</t>
  </si>
  <si>
    <t>Pila recargable Varta AA</t>
  </si>
  <si>
    <t>Pila recargable Varta AAA</t>
  </si>
  <si>
    <t>Cargador pilas Varta</t>
  </si>
  <si>
    <t>Pagina Nro 8</t>
  </si>
  <si>
    <t>ADICIONALES</t>
  </si>
  <si>
    <t>Terminales y cables</t>
  </si>
  <si>
    <t xml:space="preserve">Terminal Chico </t>
  </si>
  <si>
    <t>Terminal Mediano</t>
  </si>
  <si>
    <t>Terminal Grande</t>
  </si>
  <si>
    <t>Terminal mariposa</t>
  </si>
  <si>
    <t>Juego de Cables</t>
  </si>
  <si>
    <t>Cable de masa 45mm</t>
  </si>
  <si>
    <t>Cable de masa 85mm</t>
  </si>
  <si>
    <t>Cable de masa reforzado 100mm</t>
  </si>
  <si>
    <t>Cargadores y arrancadores portatiles</t>
  </si>
  <si>
    <t>Cargador Arrancador Kushiro 120A (GRANDE)</t>
  </si>
  <si>
    <t>Termos y mates</t>
  </si>
  <si>
    <t>Juego mate y bombilla matlv-p/boml18-9</t>
  </si>
  <si>
    <t>Vasos y Botellas Termicas</t>
  </si>
  <si>
    <t xml:space="preserve">Vaso Termico VTL430-8 </t>
  </si>
  <si>
    <t>Vaso con Tapa VTL530-9B</t>
  </si>
  <si>
    <t>Vaso Fernetero 700ML VFL700-8N</t>
  </si>
  <si>
    <t>Botella Termica 500ML BOTL500-8V</t>
  </si>
  <si>
    <t>Botella Termica 750ML BOTL750-9</t>
  </si>
  <si>
    <t>Soldadoras - Amoladoras - Hidrolavadoras</t>
  </si>
  <si>
    <t>Mega Kit Soldador 100 Megairon100-8</t>
  </si>
  <si>
    <t>Kit Soldador Iron + 1 Bolsa de electrodos</t>
  </si>
  <si>
    <t>Generadores y Compresores</t>
  </si>
  <si>
    <t xml:space="preserve">Generador 2.8KW LG3000 </t>
  </si>
  <si>
    <t>Minicompresor 12V 19999</t>
  </si>
  <si>
    <t>Mini Compresor 12V 150 PSI MCL150-8</t>
  </si>
  <si>
    <t xml:space="preserve">Compresor Aire 2HP LC-2025BK </t>
  </si>
  <si>
    <t>Aspiradoras</t>
  </si>
  <si>
    <t>Aspiradora Auto 100648</t>
  </si>
  <si>
    <t>Aspiradora 15LTS Acero Inox LA-1500MM</t>
  </si>
  <si>
    <t>Herramientas Varias</t>
  </si>
  <si>
    <t>Juego de tubos de 60 piezas JU60</t>
  </si>
  <si>
    <t>Juego pinzas y destornilladores truper 18200</t>
  </si>
  <si>
    <t>Maletin de Herramientas LQCT107-8K</t>
  </si>
  <si>
    <t xml:space="preserve">Set 150 piezas racing SHL150-9 </t>
  </si>
  <si>
    <t>Juego Mechas y Puntas JMPL100-8</t>
  </si>
  <si>
    <t>Sujetador con criquet</t>
  </si>
  <si>
    <t>Manguera 1/2 Reforzada 25046</t>
  </si>
  <si>
    <t>Candado con Cadera Forrada 49621</t>
  </si>
  <si>
    <t>Crique Carrito Gato 2 Ton LQ-C2</t>
  </si>
  <si>
    <t>Soporte para Auto 3 Ton SAL3TON-7</t>
  </si>
  <si>
    <t>Escobillas - Tuercas de seguridad - Criquet Bari</t>
  </si>
  <si>
    <t>Matafuegos Melisam</t>
  </si>
  <si>
    <t>*Varta 300 Silver VA45BD</t>
  </si>
  <si>
    <t>*Moura 44 M22ED</t>
  </si>
  <si>
    <r>
      <t>*</t>
    </r>
    <r>
      <rPr>
        <b/>
        <sz val="12"/>
        <color theme="1"/>
        <rFont val="Calibri"/>
        <family val="2"/>
        <scheme val="minor"/>
      </rPr>
      <t xml:space="preserve">Willard UB670  </t>
    </r>
  </si>
  <si>
    <r>
      <t>*</t>
    </r>
    <r>
      <rPr>
        <b/>
        <sz val="12"/>
        <color theme="1"/>
        <rFont val="Calibri"/>
        <family val="2"/>
        <scheme val="minor"/>
      </rPr>
      <t>Varta 44 Silver VA50GD</t>
    </r>
  </si>
  <si>
    <t xml:space="preserve">*Moura 20 M20GD </t>
  </si>
  <si>
    <t>*Moura 350 M22GD/I</t>
  </si>
  <si>
    <t xml:space="preserve">*Varta 350 Silver VA60DD/E </t>
  </si>
  <si>
    <t>*Moura 57 M26AD</t>
  </si>
  <si>
    <t>*Varta 57 Silver VA60HD/E</t>
  </si>
  <si>
    <t xml:space="preserve">*Varta 57 Plus VGM60HD/E </t>
  </si>
  <si>
    <t>*Moura 600 M24KD</t>
  </si>
  <si>
    <t>*Moura 600R M28KD</t>
  </si>
  <si>
    <t>*Varta 600 Silver VA70ND/E</t>
  </si>
  <si>
    <t>*Moura 600 Alta M30LD</t>
  </si>
  <si>
    <t>*Varta 600 Plus Alta VDA75PD</t>
  </si>
  <si>
    <t>*Moura 600 Larga ME80CD</t>
  </si>
  <si>
    <t>*Moura 110 ME100HA</t>
  </si>
  <si>
    <t>*Varta 110 Silver VPA100LE</t>
  </si>
  <si>
    <t>*Acubat 88 / Varta 88 Silver VAF90MD</t>
  </si>
  <si>
    <t xml:space="preserve">*Moura 88 ME95QD </t>
  </si>
  <si>
    <t>*Varta 88 Plus VDA95MD</t>
  </si>
  <si>
    <r>
      <t xml:space="preserve">*Varta 57 Plus </t>
    </r>
    <r>
      <rPr>
        <b/>
        <sz val="10.199999999999999"/>
        <color rgb="FFFF0000"/>
        <rFont val="Calibri"/>
        <family val="2"/>
      </rPr>
      <t>EFB</t>
    </r>
    <r>
      <rPr>
        <b/>
        <sz val="12"/>
        <color theme="1"/>
        <rFont val="Calibri"/>
        <family val="2"/>
        <scheme val="minor"/>
      </rPr>
      <t xml:space="preserve"> VFB60HF</t>
    </r>
  </si>
  <si>
    <r>
      <t xml:space="preserve">*Moura 57 </t>
    </r>
    <r>
      <rPr>
        <b/>
        <sz val="10.199999999999999"/>
        <color rgb="FFED0000"/>
        <rFont val="Calibri"/>
        <family val="2"/>
      </rPr>
      <t>EFB</t>
    </r>
    <r>
      <rPr>
        <b/>
        <sz val="10.199999999999999"/>
        <rFont val="Calibri"/>
        <family val="2"/>
      </rPr>
      <t xml:space="preserve"> MF-60AD</t>
    </r>
    <r>
      <rPr>
        <b/>
        <sz val="12"/>
        <rFont val="Calibri"/>
        <family val="2"/>
        <scheme val="minor"/>
      </rPr>
      <t xml:space="preserve"> </t>
    </r>
  </si>
  <si>
    <r>
      <t xml:space="preserve">*Varta 600 Plus Alta </t>
    </r>
    <r>
      <rPr>
        <b/>
        <sz val="12"/>
        <color rgb="FFFF0000"/>
        <rFont val="Calibri"/>
        <family val="2"/>
        <scheme val="minor"/>
      </rPr>
      <t xml:space="preserve">EFB </t>
    </r>
    <r>
      <rPr>
        <b/>
        <sz val="12"/>
        <color theme="1"/>
        <rFont val="Calibri"/>
        <family val="2"/>
        <scheme val="minor"/>
      </rPr>
      <t>VFB72PD</t>
    </r>
  </si>
  <si>
    <r>
      <t>*Moura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600 EFB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M72LD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EFB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</si>
  <si>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*Moura 600 Larga EFB MF80CD </t>
    </r>
    <r>
      <rPr>
        <b/>
        <sz val="12"/>
        <color rgb="FFFF0000"/>
        <rFont val="Calibri"/>
        <family val="2"/>
        <scheme val="minor"/>
      </rPr>
      <t>EFB</t>
    </r>
  </si>
  <si>
    <r>
      <t xml:space="preserve">*Moura 600 Larga AGM MA80CD </t>
    </r>
    <r>
      <rPr>
        <b/>
        <sz val="12"/>
        <color rgb="FFFF0000"/>
        <rFont val="Calibri"/>
        <family val="2"/>
        <scheme val="minor"/>
      </rPr>
      <t>AGM</t>
    </r>
  </si>
  <si>
    <t>*Moura NS40 M18SD</t>
  </si>
  <si>
    <t>*Varta NS40 Silver VA38JD</t>
  </si>
  <si>
    <t>*Moura EN50 M22JD</t>
  </si>
  <si>
    <t>*Varta EN50 Silver VA50JD/E</t>
  </si>
  <si>
    <t>*Moura NS70 M22RD/RI</t>
  </si>
  <si>
    <t>*Varta NS70 Silver VA75LD/E</t>
  </si>
  <si>
    <t>*Moura NR70 ME90TD</t>
  </si>
  <si>
    <t xml:space="preserve">*Varta NR70 Silver VA90LD/E </t>
  </si>
  <si>
    <t>*Willard UB930 / Moura ME90TI</t>
  </si>
  <si>
    <t>*Moura 160 ME135BD</t>
  </si>
  <si>
    <t>*Varta 160 Blue(va150td)</t>
  </si>
  <si>
    <t>*Varta 180 Silver VA170TD</t>
  </si>
  <si>
    <t>*Moura 180 ME180BD</t>
  </si>
  <si>
    <t>*Varta 180 Sellada VPA170TD</t>
  </si>
  <si>
    <t>*Varta 190 Scania VA190TE</t>
  </si>
  <si>
    <t>*Varta 200 Silver VA200TD</t>
  </si>
  <si>
    <t>*Varta 225 Silver VA225TE</t>
  </si>
  <si>
    <t>YUASA</t>
  </si>
  <si>
    <t>NP10-6</t>
  </si>
  <si>
    <t>MP4-12</t>
  </si>
  <si>
    <r>
      <rPr>
        <b/>
        <sz val="7.5"/>
        <rFont val="Arial"/>
        <family val="2"/>
      </rPr>
      <t>NPX 25</t>
    </r>
  </si>
  <si>
    <r>
      <rPr>
        <b/>
        <sz val="7.5"/>
        <rFont val="Arial"/>
        <family val="2"/>
      </rPr>
      <t>NP 7.2-12</t>
    </r>
  </si>
  <si>
    <r>
      <rPr>
        <b/>
        <sz val="7.5"/>
        <rFont val="Arial"/>
        <family val="2"/>
      </rPr>
      <t>NPW45-12</t>
    </r>
  </si>
  <si>
    <r>
      <rPr>
        <b/>
        <sz val="7.5"/>
        <rFont val="Arial"/>
        <family val="2"/>
      </rPr>
      <t>NP 12-12</t>
    </r>
  </si>
  <si>
    <r>
      <rPr>
        <b/>
        <sz val="7.5"/>
        <rFont val="Arial"/>
        <family val="2"/>
      </rPr>
      <t>NP 18-12</t>
    </r>
  </si>
  <si>
    <r>
      <rPr>
        <b/>
        <sz val="7.5"/>
        <rFont val="Arial"/>
        <family val="2"/>
      </rPr>
      <t>NP 24-12</t>
    </r>
  </si>
  <si>
    <r>
      <rPr>
        <b/>
        <sz val="7.5"/>
        <rFont val="Arial"/>
        <family val="2"/>
      </rPr>
      <t>NP 38-12</t>
    </r>
  </si>
  <si>
    <r>
      <rPr>
        <b/>
        <sz val="7.5"/>
        <rFont val="Arial"/>
        <family val="2"/>
      </rPr>
      <t>NP 65-12</t>
    </r>
  </si>
  <si>
    <r>
      <rPr>
        <b/>
        <sz val="7.5"/>
        <rFont val="Arial"/>
        <family val="2"/>
      </rPr>
      <t>UXH 90-12</t>
    </r>
  </si>
  <si>
    <r>
      <rPr>
        <b/>
        <sz val="7.5"/>
        <rFont val="Arial"/>
        <family val="2"/>
      </rPr>
      <t>UXH 100-12</t>
    </r>
  </si>
  <si>
    <t>MICROCELL</t>
  </si>
  <si>
    <r>
      <rPr>
        <b/>
        <sz val="7.5"/>
        <rFont val="Arial"/>
        <family val="2"/>
      </rPr>
      <t>MC 5-12</t>
    </r>
  </si>
  <si>
    <r>
      <rPr>
        <b/>
        <sz val="7.5"/>
        <rFont val="Arial"/>
        <family val="2"/>
      </rPr>
      <t>MC 7-12</t>
    </r>
  </si>
  <si>
    <r>
      <rPr>
        <b/>
        <sz val="7.5"/>
        <rFont val="Arial"/>
        <family val="2"/>
      </rPr>
      <t>MCX36</t>
    </r>
  </si>
  <si>
    <r>
      <rPr>
        <b/>
        <sz val="7.5"/>
        <rFont val="Arial"/>
        <family val="2"/>
      </rPr>
      <t>MC 12-12</t>
    </r>
  </si>
  <si>
    <r>
      <rPr>
        <b/>
        <sz val="7.5"/>
        <rFont val="Arial"/>
        <family val="2"/>
      </rPr>
      <t>MC 17-12</t>
    </r>
  </si>
  <si>
    <r>
      <rPr>
        <b/>
        <sz val="7.5"/>
        <rFont val="Arial"/>
        <family val="2"/>
      </rPr>
      <t>MC 24-12</t>
    </r>
  </si>
  <si>
    <r>
      <rPr>
        <b/>
        <sz val="7.5"/>
        <rFont val="Arial"/>
        <family val="2"/>
      </rPr>
      <t>MCE 33-12</t>
    </r>
  </si>
  <si>
    <r>
      <rPr>
        <b/>
        <sz val="7.5"/>
        <rFont val="Arial"/>
        <family val="2"/>
      </rPr>
      <t>MCE 40-12</t>
    </r>
  </si>
  <si>
    <r>
      <rPr>
        <b/>
        <sz val="7.5"/>
        <rFont val="Arial"/>
        <family val="2"/>
      </rPr>
      <t>MCE 55-12</t>
    </r>
  </si>
  <si>
    <r>
      <rPr>
        <b/>
        <sz val="7.5"/>
        <rFont val="Arial"/>
        <family val="2"/>
      </rPr>
      <t>MCE 65-12</t>
    </r>
  </si>
  <si>
    <r>
      <rPr>
        <b/>
        <sz val="7.5"/>
        <rFont val="Arial"/>
        <family val="2"/>
      </rPr>
      <t>MCE 75-12</t>
    </r>
  </si>
  <si>
    <r>
      <rPr>
        <b/>
        <sz val="7.5"/>
        <rFont val="Arial"/>
        <family val="2"/>
      </rPr>
      <t>MCE 90-12</t>
    </r>
  </si>
  <si>
    <r>
      <rPr>
        <b/>
        <sz val="7.5"/>
        <rFont val="Arial"/>
        <family val="2"/>
      </rPr>
      <t>MCE 100-12</t>
    </r>
  </si>
  <si>
    <r>
      <rPr>
        <b/>
        <sz val="7.5"/>
        <rFont val="Arial"/>
        <family val="2"/>
      </rPr>
      <t>MCE 120-12</t>
    </r>
  </si>
  <si>
    <r>
      <rPr>
        <b/>
        <sz val="7.5"/>
        <rFont val="Arial"/>
        <family val="2"/>
      </rPr>
      <t>MCE 150-12</t>
    </r>
  </si>
  <si>
    <r>
      <rPr>
        <b/>
        <sz val="7.5"/>
        <rFont val="Arial"/>
        <family val="2"/>
      </rPr>
      <t>MCE 200-12</t>
    </r>
  </si>
  <si>
    <t>Monza</t>
  </si>
  <si>
    <t>Costo</t>
  </si>
  <si>
    <t>mb</t>
  </si>
  <si>
    <t>Nombre</t>
  </si>
  <si>
    <t>BATERIA YUASA 6N2-2A</t>
  </si>
  <si>
    <t>BATERIA YUASA 6N4-2A</t>
  </si>
  <si>
    <t>BATERIA YUASA 6N4-2A-4</t>
  </si>
  <si>
    <t>BATERIA YUASA 6N4B-2A</t>
  </si>
  <si>
    <t>BATERIA YUASA B49-6</t>
  </si>
  <si>
    <t>BATERIA YUASA 6N11A-1B</t>
  </si>
  <si>
    <t>BATERIA YUASA 12N5.5-3B</t>
  </si>
  <si>
    <t>BATERIA YUASA 12N5.5A-3B</t>
  </si>
  <si>
    <t>BATERIA YUASA 12N9-3B</t>
  </si>
  <si>
    <t>BATERIA YUASA 12N9-4B-1</t>
  </si>
  <si>
    <t>BATERIA YUASA 12N10-3B</t>
  </si>
  <si>
    <t>BATERIA YUASA 12N12A-4A-1</t>
  </si>
  <si>
    <t>BATERIA YUASA 12N14-3A</t>
  </si>
  <si>
    <t>BATERIA YUASA 12N24-3</t>
  </si>
  <si>
    <t>BATERIA YUASA 12N24-4</t>
  </si>
  <si>
    <t>BATERIA YUASA YB2.5L-C</t>
  </si>
  <si>
    <t>BATERIA YUASA YB3L-A</t>
  </si>
  <si>
    <t>BATERIA YUASA YB3L-B</t>
  </si>
  <si>
    <t>BATERIA YUASA YB4L-B</t>
  </si>
  <si>
    <t>BATERIA YUASA YB7-A</t>
  </si>
  <si>
    <t>BATERIA YUASA YB7B-B</t>
  </si>
  <si>
    <t>BATERIA YUASA YB9L-A2</t>
  </si>
  <si>
    <t>BATERIA YUASA YB10L-A2</t>
  </si>
  <si>
    <t>BATERIA YUASA YB12A-A</t>
  </si>
  <si>
    <t>BATERIA YUASA YB12AL-A2</t>
  </si>
  <si>
    <t>BATERIA YUASA YB12A-B</t>
  </si>
  <si>
    <t>BATERIA YUASA YB14-B2</t>
  </si>
  <si>
    <t>BATERIA YUASA YB14A-A1</t>
  </si>
  <si>
    <t>BATERIA YUASA YB14L-A2</t>
  </si>
  <si>
    <t>BATERIA YUASA YB14L-B2</t>
  </si>
  <si>
    <t>BATERIA YUASA YB16AL-A2</t>
  </si>
  <si>
    <t>BATERIA YUASA YB16B-A1</t>
  </si>
  <si>
    <t>BATERIA YUASA YB16-B</t>
  </si>
  <si>
    <t>BATERIA YUASA YB16L-B</t>
  </si>
  <si>
    <t>BATERIA YUASA YB16CL-B</t>
  </si>
  <si>
    <t>BATERIA YUASA Y50-N18L-A</t>
  </si>
  <si>
    <t>BATERIA YUASA YTX20L-BS (USA)</t>
  </si>
  <si>
    <t>BATERIA YUASA YTX20HL-BS (USA)</t>
  </si>
  <si>
    <t>BATERIA YUASA YT7B-BS (YT7B-4)</t>
  </si>
  <si>
    <t>BATERIA YUASA YTX7A-BS (ACTIVADAS)</t>
  </si>
  <si>
    <t>BATERIA YUASA YT9B-BS(YT9B-4)</t>
  </si>
  <si>
    <t>BATERIA YUASA YT12B-BS(YT12B4)</t>
  </si>
  <si>
    <t>BATERIA YUASA YT12A-BS (WET)</t>
  </si>
  <si>
    <t>BATERIA YUASA YTX14L-BS (USA)</t>
  </si>
  <si>
    <t>BATERIA YUASA YT14B-BS (YT14B4)</t>
  </si>
  <si>
    <t>BATERIA YUASA YTZ10S</t>
  </si>
  <si>
    <t>BATERIA YUASA YTZ12S</t>
  </si>
  <si>
    <t>BATERIA YUASA YB9A-A</t>
  </si>
  <si>
    <t>BATERIA YUASA 51913 - BMW</t>
  </si>
  <si>
    <t>BATERIA YUASA YTX12-BS (ACTIVADAS)</t>
  </si>
  <si>
    <t>BATERIA YUASA YTX14-BS (ACTIVADAS)</t>
  </si>
  <si>
    <t>BATERIA YUASA YTX20L-BS (ACTIVADAS)</t>
  </si>
  <si>
    <t>BATERIA YUASA YTX14H-BS (USA)</t>
  </si>
  <si>
    <t>BATERIA YUASA 12N7-3B</t>
  </si>
  <si>
    <t>BATERIA YUASA 12N7B-3A</t>
  </si>
  <si>
    <t>BATERIA YUASA YTZ14S JAPON</t>
  </si>
  <si>
    <t>BATERIA YUASA YB7BL-A (12N7A-3A)</t>
  </si>
  <si>
    <t>BATERIA YUASA YTZ7S JAPON</t>
  </si>
  <si>
    <t>BATERIA YUASA YTZ4V-WET(YTX4-Activadas)</t>
  </si>
  <si>
    <t>BATERIA YUASA YTZ6V-WET (YTX5-Activadas)</t>
  </si>
  <si>
    <t>BATERIA YUASA YT7A (YTX7L-BS-Activadas)</t>
  </si>
  <si>
    <t>BATERIA YUASA YT9A (YTX9-BS-Activadas)</t>
  </si>
  <si>
    <t>BATERIA YUASA YT5A (YB5L-B -Activada)</t>
  </si>
  <si>
    <t>BATERIA YUASA YTB4L-WET (YB4L-B WET)</t>
  </si>
  <si>
    <t>BATERIA YUASA YTB7-WET (YB7B-B WET)</t>
  </si>
  <si>
    <t>BATERIA YUASA YTB7L-WET</t>
  </si>
  <si>
    <t>BATERIA YUASA YTB9 -WET (12N9-4B-A WET)</t>
  </si>
  <si>
    <t>BATERIA YUASA YTB2.5L-WET</t>
  </si>
  <si>
    <t>BATERIA YUASA YT19BL-BS (51913)</t>
  </si>
  <si>
    <t>Tempel</t>
  </si>
  <si>
    <t>12V - 7AH</t>
  </si>
  <si>
    <t>12V - 12AH</t>
  </si>
  <si>
    <t>12V-18AH</t>
  </si>
  <si>
    <t>12V - 26AH</t>
  </si>
  <si>
    <t>6V-4AH</t>
  </si>
  <si>
    <t>6V-2.8AH</t>
  </si>
  <si>
    <t>6V-7AH</t>
  </si>
  <si>
    <t>Central Electrica</t>
  </si>
  <si>
    <t>KP500</t>
  </si>
  <si>
    <t>KP1200</t>
  </si>
  <si>
    <t>KP2000</t>
  </si>
  <si>
    <t>Matafuegos</t>
  </si>
  <si>
    <t>Largo</t>
  </si>
  <si>
    <t>Corto</t>
  </si>
  <si>
    <t>Voltaje</t>
  </si>
  <si>
    <t>Amperaje</t>
  </si>
  <si>
    <t>Precio USD</t>
  </si>
  <si>
    <t>SG1200</t>
  </si>
  <si>
    <t>SG1500</t>
  </si>
  <si>
    <t>SG2000</t>
  </si>
  <si>
    <t>LiquiMoly</t>
  </si>
  <si>
    <t>Aditivos</t>
  </si>
  <si>
    <t>Precio venta</t>
  </si>
  <si>
    <t>Caja</t>
  </si>
  <si>
    <t>Precio caja</t>
  </si>
  <si>
    <t>Nafta</t>
  </si>
  <si>
    <t>Diesel</t>
  </si>
  <si>
    <t>Diesel moderno</t>
  </si>
  <si>
    <t>Aditivo potenziador</t>
  </si>
  <si>
    <t>Nafta y diesel</t>
  </si>
  <si>
    <t>Anti Vejez</t>
  </si>
  <si>
    <t xml:space="preserve">Limpieza </t>
  </si>
  <si>
    <t>Electronica</t>
  </si>
  <si>
    <t>Limpiador de cadenas moto</t>
  </si>
  <si>
    <t>RUM Terminales</t>
  </si>
  <si>
    <t>Precio costo</t>
  </si>
  <si>
    <t>Terminal Chico (17)</t>
  </si>
  <si>
    <t>Terminal Mediano  (16)</t>
  </si>
  <si>
    <t>Terminal Grande (15)</t>
  </si>
  <si>
    <t>N18B</t>
  </si>
  <si>
    <t>Terminal mariposa (N18B)</t>
  </si>
  <si>
    <t>N85</t>
  </si>
  <si>
    <t>Zocalo de bateria (N85)</t>
  </si>
  <si>
    <t>N44</t>
  </si>
  <si>
    <t>Soporte de bateria extensible (N44)</t>
  </si>
  <si>
    <t>Caneda</t>
  </si>
  <si>
    <t>Cable de masa 40 cm (352)</t>
  </si>
  <si>
    <t>Cable de masa 80 cm (356)</t>
  </si>
  <si>
    <t>Cable de masa 100cm (357)</t>
  </si>
  <si>
    <t>Precio unitario</t>
  </si>
  <si>
    <t>C/IVA</t>
  </si>
  <si>
    <t>Nafta (12)</t>
  </si>
  <si>
    <t>Diesel (12)</t>
  </si>
  <si>
    <t>Diesel moderno (12)</t>
  </si>
  <si>
    <t>Nafta y diesel (12)</t>
  </si>
  <si>
    <t>Electronica (6)</t>
  </si>
  <si>
    <t>Moto (6)</t>
  </si>
  <si>
    <t>Optimizador de comb (6)</t>
  </si>
  <si>
    <t>Anti Vejez (6)</t>
  </si>
  <si>
    <t>Anti friccion (12)</t>
  </si>
  <si>
    <t>Limpia Catalizador (12)</t>
  </si>
  <si>
    <t>Aditivo Refrigerante Tapa fugas (12)</t>
  </si>
  <si>
    <t>Engine Flush Plus (12)</t>
  </si>
  <si>
    <t xml:space="preserve">Limpia Radiadores </t>
  </si>
  <si>
    <t>Caracteristicas</t>
  </si>
  <si>
    <t>S996 14"</t>
  </si>
  <si>
    <t>Delantera 14"</t>
  </si>
  <si>
    <t>S996 15"</t>
  </si>
  <si>
    <t>Delantera 15"</t>
  </si>
  <si>
    <t>S996 16"</t>
  </si>
  <si>
    <t>Delantera 16"</t>
  </si>
  <si>
    <t>S996 17"</t>
  </si>
  <si>
    <t>Delantera 17"</t>
  </si>
  <si>
    <t>S996 18"</t>
  </si>
  <si>
    <t>Delantera 18"</t>
  </si>
  <si>
    <t>S996 19"</t>
  </si>
  <si>
    <t>Delantera 19"</t>
  </si>
  <si>
    <t>S996 20"</t>
  </si>
  <si>
    <t>Delantera 20"</t>
  </si>
  <si>
    <t>S996 21"</t>
  </si>
  <si>
    <t>Delantera 21"</t>
  </si>
  <si>
    <t>S996 22"</t>
  </si>
  <si>
    <t>Delantera 22"</t>
  </si>
  <si>
    <t>S996 24"</t>
  </si>
  <si>
    <t>Delantera 24"</t>
  </si>
  <si>
    <t>S996 26"</t>
  </si>
  <si>
    <t>Delantera 26"</t>
  </si>
  <si>
    <t>S996 28"</t>
  </si>
  <si>
    <t>Delantera 28"</t>
  </si>
  <si>
    <t>S996 30"</t>
  </si>
  <si>
    <t>Delantera 30"</t>
  </si>
  <si>
    <t>S996 32"</t>
  </si>
  <si>
    <t>Delantera 32"</t>
  </si>
  <si>
    <t>T300 9"</t>
  </si>
  <si>
    <t>Trasera 9"</t>
  </si>
  <si>
    <t>T300 10"</t>
  </si>
  <si>
    <t>Trasera 10"</t>
  </si>
  <si>
    <t>T300 11"</t>
  </si>
  <si>
    <t>Trasera 11"</t>
  </si>
  <si>
    <t>T300 12"</t>
  </si>
  <si>
    <t>Trasera 12"</t>
  </si>
  <si>
    <t>T300 13"</t>
  </si>
  <si>
    <t>Trasera 13"</t>
  </si>
  <si>
    <t>T300 14"</t>
  </si>
  <si>
    <t>Trasera 14"</t>
  </si>
  <si>
    <t>T300 15"</t>
  </si>
  <si>
    <t>Trasera 15"</t>
  </si>
  <si>
    <t>T300 16"</t>
  </si>
  <si>
    <t>Trasera 16"</t>
  </si>
  <si>
    <t>Bulon</t>
  </si>
  <si>
    <t>Tuerca</t>
  </si>
  <si>
    <t>EN 350</t>
  </si>
  <si>
    <t>VTA55DD</t>
  </si>
  <si>
    <t>12X65- NAFTEROS- NAFTEROS C/GAS</t>
  </si>
  <si>
    <t>EN450</t>
  </si>
  <si>
    <t>VTA63ND</t>
  </si>
  <si>
    <t>12x75- DIESEL</t>
  </si>
  <si>
    <r>
      <t xml:space="preserve">12x40- CHEVROLET PRISMA, SPIN </t>
    </r>
    <r>
      <rPr>
        <i/>
        <sz val="8"/>
        <color rgb="FFFF0000"/>
        <rFont val="Calibri"/>
        <family val="2"/>
        <scheme val="minor"/>
      </rPr>
      <t>nueva</t>
    </r>
    <r>
      <rPr>
        <sz val="8"/>
        <rFont val="Calibri"/>
        <family val="2"/>
        <scheme val="minor"/>
      </rPr>
      <t>!</t>
    </r>
  </si>
  <si>
    <t>EN 600 ALTA</t>
  </si>
  <si>
    <t>12x70 TECNOLOGÍA EFB-18 MESES GARANTÍA</t>
  </si>
  <si>
    <t>Grupo BCI</t>
  </si>
  <si>
    <t>L1</t>
  </si>
  <si>
    <t>30H</t>
  </si>
  <si>
    <t>ME90TD/I</t>
  </si>
  <si>
    <t>4D</t>
  </si>
  <si>
    <t>-</t>
  </si>
  <si>
    <t>UB 1030 Ag</t>
  </si>
  <si>
    <t>Pila Energizer  CR2032</t>
  </si>
  <si>
    <t>NEWMAX</t>
  </si>
  <si>
    <t>SG-1200H (12-120)</t>
  </si>
  <si>
    <t>12-120</t>
  </si>
  <si>
    <t>SG-1500H (12-150)</t>
  </si>
  <si>
    <t>SG-2000H (12-200)</t>
  </si>
  <si>
    <t>T-1275 (BM12165)</t>
  </si>
  <si>
    <t>T-105 (BM6225)</t>
  </si>
  <si>
    <t>SIS8120-Consulta dinamica (se reemplazaron nombres de columna, pegar desde columna articulo)</t>
  </si>
  <si>
    <t>Codigo para ID</t>
  </si>
  <si>
    <t>Articulo</t>
  </si>
  <si>
    <t>ID articulo</t>
  </si>
  <si>
    <t>Nombre Tipo Articulo</t>
  </si>
  <si>
    <t>Tipo de Articulo</t>
  </si>
  <si>
    <t>Rubro</t>
  </si>
  <si>
    <t>Codigo articulo</t>
  </si>
  <si>
    <t>EJEMPLO ART. GRAVADO AL 21 %</t>
  </si>
  <si>
    <t>- NO DISPONIBLE -</t>
  </si>
  <si>
    <t xml:space="preserve"> </t>
  </si>
  <si>
    <t>EJEMPLO21</t>
  </si>
  <si>
    <t>EJEMPLO ART. GRAVADO AL 10.5 %</t>
  </si>
  <si>
    <t>EJEMPLO10.5</t>
  </si>
  <si>
    <t>EJEMPLO SERVICIOS AL 10.5</t>
  </si>
  <si>
    <t>SERVICIO10.5</t>
  </si>
  <si>
    <t>EJEMPLO ART. FABRICADO</t>
  </si>
  <si>
    <t>FABRICADO</t>
  </si>
  <si>
    <t>ANTICIPO DE COMPRAS</t>
  </si>
  <si>
    <t>NO Especificada</t>
  </si>
  <si>
    <t>Uso Diario</t>
  </si>
  <si>
    <t>ANTICIPO</t>
  </si>
  <si>
    <t>RECARGO FINANCIERO</t>
  </si>
  <si>
    <t>OTROS</t>
  </si>
  <si>
    <t>Ajustes y otros</t>
  </si>
  <si>
    <t>RECARGO</t>
  </si>
  <si>
    <t>GASTOS EMBARQUE</t>
  </si>
  <si>
    <t>GASTOSIMP</t>
  </si>
  <si>
    <t>SERVICIO DOMICILIO MOTO</t>
  </si>
  <si>
    <t>ACCESORIOS Y OTROS</t>
  </si>
  <si>
    <t>DOMIMOTO</t>
  </si>
  <si>
    <t>Adicionales</t>
  </si>
  <si>
    <t>2T</t>
  </si>
  <si>
    <t>4T</t>
  </si>
  <si>
    <t>Amoladora Ang Inalambrica AML115-9B</t>
  </si>
  <si>
    <t>Llave Cruz 15480</t>
  </si>
  <si>
    <t>Set Cargador + Bateria 2.0 AH</t>
  </si>
  <si>
    <t>Reflector Led a Bateria RL30-9B</t>
  </si>
  <si>
    <t>Tubo Cobre T2</t>
  </si>
  <si>
    <t>RLQIONSOLR03</t>
  </si>
  <si>
    <t>Cargador inteligente Smart 2</t>
  </si>
  <si>
    <t>Destornillador de Impacto</t>
  </si>
  <si>
    <t>Juego Mate Messi y Bombilla</t>
  </si>
  <si>
    <t>MATYBOM1</t>
  </si>
  <si>
    <t>Aditivo Refrigerante Tapa fugas2505</t>
  </si>
  <si>
    <t>DIFERENCIA</t>
  </si>
  <si>
    <t>AJUSTE</t>
  </si>
  <si>
    <t>Bolsa de electrodos LQE6013-200</t>
  </si>
  <si>
    <t>Speedway</t>
  </si>
  <si>
    <t>Arranca motores ARMOTL-8</t>
  </si>
  <si>
    <t>PROMOCION PEDIDOSYA-RAPPI</t>
  </si>
  <si>
    <t>PROMOMOTOS</t>
  </si>
  <si>
    <t>Mini Compresor Lusqtoff 12V 150 PSI</t>
  </si>
  <si>
    <t>Insumos</t>
  </si>
  <si>
    <t>SERVICIO</t>
  </si>
  <si>
    <t>INSTADOMICILIO</t>
  </si>
  <si>
    <t>Barovo</t>
  </si>
  <si>
    <t>ARTICULOS MODELO ACCESORIOS Y OTROS</t>
  </si>
  <si>
    <t>ACCES. Y OTROS</t>
  </si>
  <si>
    <t>SERVICIO DOMICILIO CABA</t>
  </si>
  <si>
    <t>SERVICIO DOMICILIO GBA</t>
  </si>
  <si>
    <t>Terminales-Cables</t>
  </si>
  <si>
    <t>Minicompresor Trupper 12V 19999</t>
  </si>
  <si>
    <t>CASCO</t>
  </si>
  <si>
    <t>Pila Varta</t>
  </si>
  <si>
    <t>Pilas y Otros</t>
  </si>
  <si>
    <t>K78</t>
  </si>
  <si>
    <t>Prestolite EN50(i)(pa50je)</t>
  </si>
  <si>
    <t>BATERIAS</t>
  </si>
  <si>
    <t>Prestolite</t>
  </si>
  <si>
    <t>Auto-Camionetas</t>
  </si>
  <si>
    <t>EN50IP</t>
  </si>
  <si>
    <t>ARTICULO MODELO BATERIA</t>
  </si>
  <si>
    <t>BATERIA MODELO</t>
  </si>
  <si>
    <t>Varta Silver Alta VDA75PD</t>
  </si>
  <si>
    <t>Acubat Gold</t>
  </si>
  <si>
    <t>Estacionaria</t>
  </si>
  <si>
    <t>Alarma</t>
  </si>
  <si>
    <t>Moura vrla</t>
  </si>
  <si>
    <t>Scrap Auto-Camioneta</t>
  </si>
  <si>
    <t>Scrap</t>
  </si>
  <si>
    <t>Scrap Utilitario</t>
  </si>
  <si>
    <t>Scrap Camiones</t>
  </si>
  <si>
    <t>Moura M22GI</t>
  </si>
  <si>
    <t>Varta Blue va34jd</t>
  </si>
  <si>
    <t>YB5Y</t>
  </si>
  <si>
    <t>Yuasa 12n5.5-3b</t>
  </si>
  <si>
    <t>Y12N5.5</t>
  </si>
  <si>
    <t>Moura MA5-D (ytx5l)</t>
  </si>
  <si>
    <t>Moura MA6-D (ytx7l)</t>
  </si>
  <si>
    <t>Moura 6ML225 (t-105)</t>
  </si>
  <si>
    <t>Baterias en desuso x kg</t>
  </si>
  <si>
    <t>ZDesuso x kg</t>
  </si>
  <si>
    <t>SCRAP</t>
  </si>
  <si>
    <t>GS CB12-12</t>
  </si>
  <si>
    <t>CB12</t>
  </si>
  <si>
    <t>Elpra 12N24-4 (i)</t>
  </si>
  <si>
    <t>Kage Nanogel KGZ7S (YTZ7S)</t>
  </si>
  <si>
    <t>Lubeck 88 Gold EFB</t>
  </si>
  <si>
    <t>L88EFB</t>
  </si>
  <si>
    <t>YB5N</t>
  </si>
  <si>
    <t>YB7AN</t>
  </si>
  <si>
    <t>YB7BN</t>
  </si>
  <si>
    <t>YB9N</t>
  </si>
  <si>
    <t>YB10N</t>
  </si>
  <si>
    <t>YB12N</t>
  </si>
  <si>
    <t>YB14N</t>
  </si>
  <si>
    <t>YTX19N</t>
  </si>
  <si>
    <t>YTX4N</t>
  </si>
  <si>
    <t>YTX5N</t>
  </si>
  <si>
    <t>YTX6.5N</t>
  </si>
  <si>
    <t>YTX7LN</t>
  </si>
  <si>
    <t>YTZ10N</t>
  </si>
  <si>
    <t>Novelbat GEL YTX9-BS</t>
  </si>
  <si>
    <t>YTX9N</t>
  </si>
  <si>
    <t>Novelbat GEL YTX12-BS</t>
  </si>
  <si>
    <t>YTX12N</t>
  </si>
  <si>
    <t>Novelbat GEL YTX14-BS</t>
  </si>
  <si>
    <t>YTX14N</t>
  </si>
  <si>
    <t>Novelbat GEL YTX20-BS</t>
  </si>
  <si>
    <t>YTX20N</t>
  </si>
  <si>
    <t>YTZ7N</t>
  </si>
  <si>
    <t>YTZ12N</t>
  </si>
  <si>
    <t>YTZ14N</t>
  </si>
  <si>
    <t>YT12N</t>
  </si>
  <si>
    <t>DESCUENTO</t>
  </si>
  <si>
    <t>ARTICULO MODELO INSUMOS</t>
  </si>
  <si>
    <t>INSUMOS</t>
  </si>
  <si>
    <t>INSUMOS MODELOS</t>
  </si>
  <si>
    <t>Talonario Reintegro</t>
  </si>
  <si>
    <t>Caja de Te</t>
  </si>
  <si>
    <t>Limpiador cremoso CIF</t>
  </si>
  <si>
    <t>Limpiador Gel CIF</t>
  </si>
  <si>
    <t>Detergente x 5 lts</t>
  </si>
  <si>
    <t>Desengrasante Acquital x 5lts</t>
  </si>
  <si>
    <t>Lavandina x 5lts</t>
  </si>
  <si>
    <t>Desodorante de piso x 5 lts</t>
  </si>
  <si>
    <t>Bolsa Negra 45x60 10 uni</t>
  </si>
  <si>
    <t>Lustramuebles</t>
  </si>
  <si>
    <t>Bolsa Negra 80x110 10 uni</t>
  </si>
  <si>
    <t>Limpia Vidrios x 5 lts</t>
  </si>
  <si>
    <t>Trapo Piso</t>
  </si>
  <si>
    <t>Trapo Franela</t>
  </si>
  <si>
    <t>Bolsas Acubat</t>
  </si>
  <si>
    <t>Resmas A4</t>
  </si>
  <si>
    <t>Tinta impresora fiscal</t>
  </si>
  <si>
    <t>Vasos Agua x 100 vasos</t>
  </si>
  <si>
    <t>Vasos Cafe x 25 vasos</t>
  </si>
  <si>
    <t>Revolvedores x paquete de 1000</t>
  </si>
  <si>
    <t>Azucar media caja</t>
  </si>
  <si>
    <t>Edulcorante</t>
  </si>
  <si>
    <t>Leche en polvo</t>
  </si>
  <si>
    <t>Cafe Molido</t>
  </si>
  <si>
    <t>Talonario Presupuesto</t>
  </si>
  <si>
    <t>Tarjetas Presentacion x 100</t>
  </si>
  <si>
    <t>Talonario Cargas</t>
  </si>
  <si>
    <t>Calco No Arranca</t>
  </si>
  <si>
    <t>Bobinas de Papel</t>
  </si>
  <si>
    <t>Lavandina</t>
  </si>
  <si>
    <t>Alcohol Etilico</t>
  </si>
  <si>
    <t>Rollos Impresora Fiscal</t>
  </si>
  <si>
    <t>Lubricante</t>
  </si>
  <si>
    <t>Guantes</t>
  </si>
  <si>
    <t>CALCOS DE CARGA</t>
  </si>
  <si>
    <t>CALCOSCARGA</t>
  </si>
  <si>
    <t>PASTA PARA MANOS</t>
  </si>
  <si>
    <t>PASTAMANOS</t>
  </si>
  <si>
    <t>CALCO ACUBAT PARABRISAS</t>
  </si>
  <si>
    <t>CALCOPARABRISAS</t>
  </si>
  <si>
    <t>Toallas intercaladas x 2500</t>
  </si>
  <si>
    <t>TOALLAS</t>
  </si>
  <si>
    <t>Desodorante de ambiente</t>
  </si>
  <si>
    <t>DESO</t>
  </si>
  <si>
    <t>Guia Mercaderia</t>
  </si>
  <si>
    <t>GUIA</t>
  </si>
  <si>
    <t>INSUMO MODELO</t>
  </si>
  <si>
    <t>INSUMO MODELOS</t>
  </si>
  <si>
    <t>DISPOSITIVOS TELEPASE</t>
  </si>
  <si>
    <t>SERVICIOS</t>
  </si>
  <si>
    <t>Telepase</t>
  </si>
  <si>
    <t>TELEPASE</t>
  </si>
  <si>
    <t>Reparacion Borne (c/u)</t>
  </si>
  <si>
    <t>Servicios (cargas y bat serv)</t>
  </si>
  <si>
    <t>REP-BORNE</t>
  </si>
  <si>
    <t>Reparacion monoblock-tapa</t>
  </si>
  <si>
    <t>REP-MONOBLOCK</t>
  </si>
  <si>
    <t>Carga Mes Anterior</t>
  </si>
  <si>
    <t>CARGAXXX</t>
  </si>
  <si>
    <r>
      <t xml:space="preserve">BRONCO </t>
    </r>
    <r>
      <rPr>
        <i/>
        <sz val="16"/>
        <color theme="1"/>
        <rFont val="Calibri"/>
        <family val="2"/>
        <scheme val="minor"/>
      </rPr>
      <t xml:space="preserve"> motos</t>
    </r>
  </si>
  <si>
    <r>
      <t>BRONCO</t>
    </r>
    <r>
      <rPr>
        <i/>
        <sz val="16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VRLA</t>
    </r>
  </si>
  <si>
    <t>CP6-4</t>
  </si>
  <si>
    <t>CP6-10</t>
  </si>
  <si>
    <t>CP12-4.5</t>
  </si>
  <si>
    <t>CP12-7</t>
  </si>
  <si>
    <t>CP12-12</t>
  </si>
  <si>
    <t>CP12-18</t>
  </si>
  <si>
    <t>CP12-26</t>
  </si>
  <si>
    <t>CPC12-13</t>
  </si>
  <si>
    <t>CPC12-18</t>
  </si>
  <si>
    <t>CPC 12-26</t>
  </si>
  <si>
    <t>CPC12-33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</si>
</sst>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&quot;$&quot;\ #,##0.00;[Red]&quot;$&quot;\ \-#,##0.00"/>
    <numFmt numFmtId="166" formatCode="_ &quot;$&quot;\ * #,##0.00_ ;_ &quot;$&quot;\ * \-#,##0.00_ ;_ &quot;$&quot;\ * &quot;-&quot;??_ ;_ @_ "/>
    <numFmt numFmtId="167" formatCode="_ * #,##0.00_ ;_ * \-#,##0.00_ ;_ * &quot;-&quot;??_ ;_ @_ "/>
    <numFmt numFmtId="168" formatCode="_ * #,##0.0_ ;_ * \-#,##0.0_ ;_ * &quot;-&quot;??_ ;_ @_ "/>
    <numFmt numFmtId="169" formatCode="0.0%"/>
    <numFmt numFmtId="170" formatCode="&quot;$&quot;\ #,##0.00"/>
    <numFmt numFmtId="171" formatCode="_ &quot;$&quot;\ * #,##0_ ;_ &quot;$&quot;\ * \-#,##0_ ;_ &quot;$&quot;\ * &quot;-&quot;??_ ;_ @_ "/>
    <numFmt numFmtId="172" formatCode="_-[$$-2C0A]\ * #,##0.00_-;\-[$$-2C0A]\ * #,##0.00_-;_-[$$-2C0A]\ * &quot;-&quot;??_-;_-@_-"/>
    <numFmt numFmtId="173" formatCode="&quot;$&quot;\ #,##0"/>
    <numFmt numFmtId="174" formatCode="_-&quot;$&quot;\ * #,##0_-;\-&quot;$&quot;\ * #,##0_-;_-&quot;$&quot;\ * &quot;-&quot;??_-;_-@_-"/>
    <numFmt numFmtId="175" formatCode="_-&quot;$&quot;* #,##0_-;\-&quot;$&quot;* #,##0_-;_-&quot;$&quot;* &quot;-&quot;??_-;_-@_-"/>
    <numFmt numFmtId="176" formatCode="0.0"/>
    <numFmt numFmtId="177" formatCode="\$\ #,##0"/>
    <numFmt numFmtId="178" formatCode="0.000%"/>
    <numFmt numFmtId="179" formatCode="\$\ #,##0.00"/>
    <numFmt numFmtId="180" formatCode="[$USD]\ #,##0"/>
    <numFmt numFmtId="181" formatCode="[$USD]\ #,##0.00"/>
  </numFmts>
  <fonts count="106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8" tint="-0.499984740745262"/>
      <name val="Arial"/>
      <family val="2"/>
    </font>
    <font>
      <b/>
      <sz val="14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Rounded MT Bold"/>
      <family val="2"/>
    </font>
    <font>
      <sz val="11"/>
      <name val="Arial Rounded MT Bold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name val="宋体"/>
      <charset val="134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 Rounded MT Bold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.5"/>
      <name val="Calibri"/>
      <family val="2"/>
      <scheme val="minor"/>
    </font>
    <font>
      <sz val="7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name val="Arial"/>
      <family val="2"/>
    </font>
    <font>
      <u/>
      <sz val="12"/>
      <name val="宋体"/>
      <charset val="134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7.5"/>
      <name val="Arial"/>
      <family val="2"/>
    </font>
    <font>
      <b/>
      <sz val="7.5"/>
      <color rgb="FF000000"/>
      <name val="Arial"/>
      <family val="2"/>
    </font>
    <font>
      <b/>
      <sz val="8.5"/>
      <color rgb="FF000000"/>
      <name val="Arial"/>
      <family val="2"/>
    </font>
    <font>
      <b/>
      <sz val="7.5"/>
      <color theme="1"/>
      <name val="Arial"/>
      <family val="2"/>
    </font>
    <font>
      <b/>
      <sz val="7.5"/>
      <name val="Calibri"/>
      <family val="2"/>
    </font>
    <font>
      <b/>
      <sz val="7.5"/>
      <name val="Calibri"/>
      <family val="1"/>
    </font>
    <font>
      <b/>
      <sz val="7.5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9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11"/>
      <name val="Calibri"/>
      <family val="2"/>
    </font>
    <font>
      <sz val="10"/>
      <color rgb="FF000000"/>
      <name val="Arial"/>
      <family val="2"/>
    </font>
    <font>
      <b/>
      <u val="singleAccounting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.199999999999999"/>
      <color rgb="FFFF0000"/>
      <name val="Calibri"/>
      <family val="2"/>
    </font>
    <font>
      <b/>
      <sz val="10.199999999999999"/>
      <name val="Calibri"/>
      <family val="2"/>
    </font>
    <font>
      <b/>
      <sz val="10.199999999999999"/>
      <color rgb="FFED0000"/>
      <name val="Calibri"/>
      <family val="2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</font>
    <font>
      <sz val="11"/>
      <color rgb="FF305496"/>
      <name val="Calibri"/>
      <family val="2"/>
    </font>
    <font>
      <sz val="11"/>
      <color rgb="FF242424"/>
      <name val="Aptos Narrow"/>
      <family val="2"/>
    </font>
    <font>
      <b/>
      <i/>
      <u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name val="Calibri"/>
      <family val="2"/>
    </font>
    <font>
      <b/>
      <sz val="8.75"/>
      <color rgb="FFFF0000"/>
      <name val="Calibri"/>
      <family val="2"/>
    </font>
    <font>
      <b/>
      <sz val="7.5"/>
      <color theme="1"/>
      <name val="Calibri"/>
      <family val="2"/>
      <scheme val="minor"/>
    </font>
    <font>
      <sz val="10"/>
      <name val="Arial"/>
      <family val="2"/>
    </font>
    <font>
      <sz val="11"/>
      <color theme="1" tint="4.9989318521683403E-2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BFBF"/>
      </patternFill>
    </fill>
    <fill>
      <patternFill patternType="solid">
        <fgColor rgb="FFFFC7CE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rgb="FFFFFFFF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24" fillId="0" borderId="0"/>
    <xf numFmtId="9" fontId="3" fillId="0" borderId="0" applyFont="0" applyFill="0" applyBorder="0" applyAlignment="0" applyProtection="0"/>
    <xf numFmtId="0" fontId="81" fillId="37" borderId="0" applyNumberFormat="0" applyBorder="0" applyAlignment="0" applyProtection="0"/>
    <xf numFmtId="0" fontId="85" fillId="0" borderId="0" applyFill="0" applyProtection="0"/>
    <xf numFmtId="0" fontId="3" fillId="0" borderId="0"/>
    <xf numFmtId="164" fontId="3" fillId="0" borderId="0" applyFont="0" applyFill="0" applyBorder="0" applyAlignment="0" applyProtection="0"/>
    <xf numFmtId="0" fontId="104" fillId="0" borderId="0"/>
    <xf numFmtId="43" fontId="104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9" fontId="104" fillId="0" borderId="0" applyFont="0" applyFill="0" applyBorder="0" applyAlignment="0" applyProtection="0"/>
    <xf numFmtId="0" fontId="5" fillId="0" borderId="0"/>
  </cellStyleXfs>
  <cellXfs count="1019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8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8" fontId="0" fillId="3" borderId="0" xfId="1" applyNumberFormat="1" applyFont="1" applyFill="1"/>
    <xf numFmtId="2" fontId="11" fillId="4" borderId="8" xfId="0" applyNumberFormat="1" applyFont="1" applyFill="1" applyBorder="1"/>
    <xf numFmtId="9" fontId="0" fillId="3" borderId="0" xfId="0" applyNumberFormat="1" applyFill="1"/>
    <xf numFmtId="2" fontId="0" fillId="3" borderId="0" xfId="0" applyNumberFormat="1" applyFill="1"/>
    <xf numFmtId="10" fontId="0" fillId="3" borderId="0" xfId="0" applyNumberFormat="1" applyFill="1"/>
    <xf numFmtId="0" fontId="6" fillId="3" borderId="0" xfId="0" applyFont="1" applyFill="1" applyAlignment="1">
      <alignment vertical="center" wrapText="1"/>
    </xf>
    <xf numFmtId="2" fontId="11" fillId="5" borderId="8" xfId="0" applyNumberFormat="1" applyFont="1" applyFill="1" applyBorder="1"/>
    <xf numFmtId="0" fontId="14" fillId="3" borderId="0" xfId="0" applyFont="1" applyFill="1"/>
    <xf numFmtId="0" fontId="0" fillId="4" borderId="5" xfId="0" applyFill="1" applyBorder="1"/>
    <xf numFmtId="0" fontId="20" fillId="3" borderId="0" xfId="0" applyFont="1" applyFill="1" applyAlignment="1">
      <alignment horizontal="center" vertical="center"/>
    </xf>
    <xf numFmtId="2" fontId="11" fillId="6" borderId="8" xfId="0" applyNumberFormat="1" applyFont="1" applyFill="1" applyBorder="1"/>
    <xf numFmtId="0" fontId="14" fillId="3" borderId="0" xfId="0" applyFont="1" applyFill="1" applyAlignment="1">
      <alignment horizontal="left" vertical="center"/>
    </xf>
    <xf numFmtId="2" fontId="11" fillId="8" borderId="8" xfId="0" applyNumberFormat="1" applyFont="1" applyFill="1" applyBorder="1"/>
    <xf numFmtId="0" fontId="25" fillId="7" borderId="8" xfId="4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2" fontId="11" fillId="7" borderId="8" xfId="0" applyNumberFormat="1" applyFont="1" applyFill="1" applyBorder="1"/>
    <xf numFmtId="2" fontId="11" fillId="0" borderId="0" xfId="0" applyNumberFormat="1" applyFont="1"/>
    <xf numFmtId="0" fontId="15" fillId="8" borderId="8" xfId="0" applyFont="1" applyFill="1" applyBorder="1" applyAlignment="1">
      <alignment horizontal="center"/>
    </xf>
    <xf numFmtId="10" fontId="11" fillId="8" borderId="8" xfId="0" applyNumberFormat="1" applyFont="1" applyFill="1" applyBorder="1"/>
    <xf numFmtId="10" fontId="11" fillId="6" borderId="8" xfId="0" applyNumberFormat="1" applyFont="1" applyFill="1" applyBorder="1"/>
    <xf numFmtId="0" fontId="0" fillId="5" borderId="8" xfId="0" applyFill="1" applyBorder="1"/>
    <xf numFmtId="10" fontId="11" fillId="5" borderId="8" xfId="0" applyNumberFormat="1" applyFont="1" applyFill="1" applyBorder="1"/>
    <xf numFmtId="0" fontId="5" fillId="7" borderId="8" xfId="0" applyFont="1" applyFill="1" applyBorder="1" applyAlignment="1">
      <alignment horizontal="left" vertical="center"/>
    </xf>
    <xf numFmtId="10" fontId="11" fillId="7" borderId="8" xfId="0" applyNumberFormat="1" applyFont="1" applyFill="1" applyBorder="1"/>
    <xf numFmtId="0" fontId="24" fillId="7" borderId="8" xfId="4" applyFill="1" applyBorder="1"/>
    <xf numFmtId="168" fontId="0" fillId="3" borderId="0" xfId="1" applyNumberFormat="1" applyFont="1" applyFill="1" applyBorder="1"/>
    <xf numFmtId="0" fontId="6" fillId="3" borderId="0" xfId="0" applyFont="1" applyFill="1"/>
    <xf numFmtId="0" fontId="5" fillId="13" borderId="8" xfId="0" applyFont="1" applyFill="1" applyBorder="1" applyAlignment="1">
      <alignment horizontal="center" vertical="center"/>
    </xf>
    <xf numFmtId="0" fontId="0" fillId="13" borderId="8" xfId="0" applyFill="1" applyBorder="1"/>
    <xf numFmtId="0" fontId="0" fillId="4" borderId="8" xfId="0" applyFill="1" applyBorder="1"/>
    <xf numFmtId="0" fontId="10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9" fontId="0" fillId="15" borderId="8" xfId="5" applyFont="1" applyFill="1" applyBorder="1"/>
    <xf numFmtId="9" fontId="0" fillId="3" borderId="0" xfId="5" applyFont="1" applyFill="1"/>
    <xf numFmtId="1" fontId="0" fillId="3" borderId="0" xfId="0" applyNumberFormat="1" applyFill="1"/>
    <xf numFmtId="2" fontId="0" fillId="11" borderId="8" xfId="0" applyNumberFormat="1" applyFill="1" applyBorder="1"/>
    <xf numFmtId="0" fontId="0" fillId="11" borderId="13" xfId="0" applyFill="1" applyBorder="1"/>
    <xf numFmtId="9" fontId="0" fillId="11" borderId="8" xfId="5" applyFont="1" applyFill="1" applyBorder="1"/>
    <xf numFmtId="0" fontId="0" fillId="14" borderId="25" xfId="0" applyFill="1" applyBorder="1"/>
    <xf numFmtId="9" fontId="0" fillId="4" borderId="8" xfId="5" applyFont="1" applyFill="1" applyBorder="1"/>
    <xf numFmtId="168" fontId="0" fillId="4" borderId="8" xfId="1" applyNumberFormat="1" applyFont="1" applyFill="1" applyBorder="1"/>
    <xf numFmtId="0" fontId="0" fillId="10" borderId="8" xfId="0" applyFill="1" applyBorder="1"/>
    <xf numFmtId="9" fontId="0" fillId="10" borderId="8" xfId="5" applyFont="1" applyFill="1" applyBorder="1"/>
    <xf numFmtId="9" fontId="0" fillId="3" borderId="0" xfId="5" applyFont="1" applyFill="1" applyBorder="1"/>
    <xf numFmtId="0" fontId="10" fillId="3" borderId="0" xfId="0" applyFont="1" applyFill="1" applyAlignment="1">
      <alignment horizontal="center" vertical="center"/>
    </xf>
    <xf numFmtId="168" fontId="0" fillId="10" borderId="8" xfId="1" applyNumberFormat="1" applyFont="1" applyFill="1" applyBorder="1"/>
    <xf numFmtId="0" fontId="0" fillId="6" borderId="8" xfId="0" applyFill="1" applyBorder="1"/>
    <xf numFmtId="0" fontId="0" fillId="8" borderId="8" xfId="0" applyFill="1" applyBorder="1"/>
    <xf numFmtId="0" fontId="26" fillId="15" borderId="26" xfId="0" applyFont="1" applyFill="1" applyBorder="1"/>
    <xf numFmtId="2" fontId="5" fillId="7" borderId="8" xfId="0" applyNumberFormat="1" applyFont="1" applyFill="1" applyBorder="1" applyAlignment="1">
      <alignment horizontal="center" vertical="center"/>
    </xf>
    <xf numFmtId="0" fontId="0" fillId="15" borderId="13" xfId="0" applyFill="1" applyBorder="1"/>
    <xf numFmtId="0" fontId="0" fillId="5" borderId="11" xfId="0" applyFill="1" applyBorder="1"/>
    <xf numFmtId="168" fontId="0" fillId="5" borderId="20" xfId="1" applyNumberFormat="1" applyFont="1" applyFill="1" applyBorder="1"/>
    <xf numFmtId="2" fontId="11" fillId="8" borderId="11" xfId="0" applyNumberFormat="1" applyFont="1" applyFill="1" applyBorder="1"/>
    <xf numFmtId="10" fontId="11" fillId="8" borderId="11" xfId="0" applyNumberFormat="1" applyFont="1" applyFill="1" applyBorder="1"/>
    <xf numFmtId="0" fontId="0" fillId="8" borderId="13" xfId="0" applyFill="1" applyBorder="1"/>
    <xf numFmtId="168" fontId="0" fillId="8" borderId="20" xfId="1" applyNumberFormat="1" applyFont="1" applyFill="1" applyBorder="1"/>
    <xf numFmtId="2" fontId="11" fillId="7" borderId="11" xfId="0" applyNumberFormat="1" applyFont="1" applyFill="1" applyBorder="1"/>
    <xf numFmtId="10" fontId="11" fillId="7" borderId="11" xfId="0" applyNumberFormat="1" applyFont="1" applyFill="1" applyBorder="1"/>
    <xf numFmtId="0" fontId="0" fillId="7" borderId="13" xfId="0" applyFill="1" applyBorder="1"/>
    <xf numFmtId="168" fontId="0" fillId="7" borderId="20" xfId="1" applyNumberFormat="1" applyFont="1" applyFill="1" applyBorder="1"/>
    <xf numFmtId="1" fontId="22" fillId="7" borderId="8" xfId="0" applyNumberFormat="1" applyFont="1" applyFill="1" applyBorder="1" applyAlignment="1">
      <alignment horizontal="center"/>
    </xf>
    <xf numFmtId="0" fontId="0" fillId="9" borderId="5" xfId="0" applyFill="1" applyBorder="1"/>
    <xf numFmtId="2" fontId="11" fillId="9" borderId="22" xfId="0" applyNumberFormat="1" applyFont="1" applyFill="1" applyBorder="1"/>
    <xf numFmtId="2" fontId="0" fillId="10" borderId="8" xfId="0" applyNumberFormat="1" applyFill="1" applyBorder="1"/>
    <xf numFmtId="167" fontId="0" fillId="4" borderId="8" xfId="1" applyFont="1" applyFill="1" applyBorder="1"/>
    <xf numFmtId="2" fontId="0" fillId="4" borderId="8" xfId="0" applyNumberFormat="1" applyFill="1" applyBorder="1"/>
    <xf numFmtId="166" fontId="31" fillId="3" borderId="13" xfId="2" applyFont="1" applyFill="1" applyBorder="1" applyAlignment="1">
      <alignment horizontal="center" vertical="center"/>
    </xf>
    <xf numFmtId="2" fontId="11" fillId="3" borderId="0" xfId="0" applyNumberFormat="1" applyFont="1" applyFill="1"/>
    <xf numFmtId="14" fontId="9" fillId="8" borderId="19" xfId="0" applyNumberFormat="1" applyFont="1" applyFill="1" applyBorder="1"/>
    <xf numFmtId="0" fontId="14" fillId="0" borderId="0" xfId="0" applyFont="1"/>
    <xf numFmtId="0" fontId="7" fillId="0" borderId="0" xfId="0" applyFont="1"/>
    <xf numFmtId="16" fontId="0" fillId="17" borderId="8" xfId="0" applyNumberFormat="1" applyFill="1" applyBorder="1"/>
    <xf numFmtId="0" fontId="0" fillId="17" borderId="8" xfId="0" applyFill="1" applyBorder="1"/>
    <xf numFmtId="16" fontId="0" fillId="18" borderId="8" xfId="0" applyNumberFormat="1" applyFill="1" applyBorder="1"/>
    <xf numFmtId="0" fontId="0" fillId="18" borderId="8" xfId="0" applyFill="1" applyBorder="1"/>
    <xf numFmtId="2" fontId="15" fillId="8" borderId="8" xfId="0" applyNumberFormat="1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 vertical="center"/>
    </xf>
    <xf numFmtId="9" fontId="4" fillId="3" borderId="13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/>
    </xf>
    <xf numFmtId="0" fontId="4" fillId="0" borderId="13" xfId="0" applyFont="1" applyBorder="1"/>
    <xf numFmtId="2" fontId="13" fillId="7" borderId="8" xfId="0" applyNumberFormat="1" applyFont="1" applyFill="1" applyBorder="1" applyAlignment="1">
      <alignment horizontal="center"/>
    </xf>
    <xf numFmtId="1" fontId="22" fillId="3" borderId="0" xfId="0" applyNumberFormat="1" applyFont="1" applyFill="1" applyAlignment="1">
      <alignment horizontal="center"/>
    </xf>
    <xf numFmtId="0" fontId="4" fillId="3" borderId="13" xfId="0" applyFont="1" applyFill="1" applyBorder="1" applyAlignment="1">
      <alignment horizontal="center"/>
    </xf>
    <xf numFmtId="166" fontId="4" fillId="3" borderId="13" xfId="2" applyFont="1" applyFill="1" applyBorder="1" applyAlignment="1">
      <alignment horizontal="center"/>
    </xf>
    <xf numFmtId="166" fontId="4" fillId="3" borderId="13" xfId="2" applyFont="1" applyFill="1" applyBorder="1"/>
    <xf numFmtId="2" fontId="11" fillId="8" borderId="30" xfId="0" applyNumberFormat="1" applyFont="1" applyFill="1" applyBorder="1"/>
    <xf numFmtId="9" fontId="0" fillId="8" borderId="13" xfId="5" applyFont="1" applyFill="1" applyBorder="1"/>
    <xf numFmtId="2" fontId="11" fillId="7" borderId="30" xfId="0" applyNumberFormat="1" applyFont="1" applyFill="1" applyBorder="1"/>
    <xf numFmtId="9" fontId="0" fillId="7" borderId="13" xfId="5" applyFont="1" applyFill="1" applyBorder="1"/>
    <xf numFmtId="0" fontId="4" fillId="4" borderId="13" xfId="0" applyFont="1" applyFill="1" applyBorder="1"/>
    <xf numFmtId="171" fontId="4" fillId="3" borderId="13" xfId="2" applyNumberFormat="1" applyFont="1" applyFill="1" applyBorder="1"/>
    <xf numFmtId="168" fontId="0" fillId="6" borderId="13" xfId="1" applyNumberFormat="1" applyFont="1" applyFill="1" applyBorder="1"/>
    <xf numFmtId="14" fontId="9" fillId="8" borderId="24" xfId="0" applyNumberFormat="1" applyFont="1" applyFill="1" applyBorder="1"/>
    <xf numFmtId="10" fontId="11" fillId="4" borderId="8" xfId="0" applyNumberFormat="1" applyFont="1" applyFill="1" applyBorder="1"/>
    <xf numFmtId="0" fontId="0" fillId="6" borderId="5" xfId="0" applyFill="1" applyBorder="1"/>
    <xf numFmtId="0" fontId="32" fillId="4" borderId="8" xfId="0" applyFont="1" applyFill="1" applyBorder="1" applyAlignment="1">
      <alignment horizontal="center" vertical="center"/>
    </xf>
    <xf numFmtId="0" fontId="6" fillId="0" borderId="0" xfId="0" applyFont="1"/>
    <xf numFmtId="14" fontId="9" fillId="8" borderId="30" xfId="0" applyNumberFormat="1" applyFont="1" applyFill="1" applyBorder="1"/>
    <xf numFmtId="2" fontId="13" fillId="7" borderId="11" xfId="0" applyNumberFormat="1" applyFont="1" applyFill="1" applyBorder="1" applyAlignment="1">
      <alignment horizontal="center"/>
    </xf>
    <xf numFmtId="168" fontId="0" fillId="9" borderId="5" xfId="1" applyNumberFormat="1" applyFont="1" applyFill="1" applyBorder="1"/>
    <xf numFmtId="0" fontId="4" fillId="19" borderId="8" xfId="4" applyFont="1" applyFill="1" applyBorder="1" applyAlignment="1">
      <alignment horizontal="center"/>
    </xf>
    <xf numFmtId="0" fontId="24" fillId="3" borderId="8" xfId="4" applyFill="1" applyBorder="1"/>
    <xf numFmtId="172" fontId="24" fillId="3" borderId="8" xfId="4" applyNumberFormat="1" applyFill="1" applyBorder="1"/>
    <xf numFmtId="166" fontId="0" fillId="0" borderId="0" xfId="2" applyFont="1"/>
    <xf numFmtId="0" fontId="0" fillId="0" borderId="8" xfId="0" applyBorder="1"/>
    <xf numFmtId="166" fontId="0" fillId="0" borderId="0" xfId="2" applyFont="1" applyBorder="1"/>
    <xf numFmtId="0" fontId="0" fillId="19" borderId="8" xfId="0" applyFill="1" applyBorder="1"/>
    <xf numFmtId="166" fontId="0" fillId="11" borderId="8" xfId="2" applyFont="1" applyFill="1" applyBorder="1"/>
    <xf numFmtId="171" fontId="0" fillId="14" borderId="8" xfId="2" applyNumberFormat="1" applyFont="1" applyFill="1" applyBorder="1"/>
    <xf numFmtId="2" fontId="2" fillId="10" borderId="38" xfId="0" applyNumberFormat="1" applyFont="1" applyFill="1" applyBorder="1"/>
    <xf numFmtId="2" fontId="0" fillId="10" borderId="17" xfId="0" applyNumberFormat="1" applyFill="1" applyBorder="1"/>
    <xf numFmtId="10" fontId="0" fillId="10" borderId="38" xfId="1" applyNumberFormat="1" applyFont="1" applyFill="1" applyBorder="1" applyAlignment="1"/>
    <xf numFmtId="10" fontId="0" fillId="10" borderId="15" xfId="5" applyNumberFormat="1" applyFont="1" applyFill="1" applyBorder="1" applyAlignment="1"/>
    <xf numFmtId="2" fontId="2" fillId="10" borderId="36" xfId="0" applyNumberFormat="1" applyFont="1" applyFill="1" applyBorder="1"/>
    <xf numFmtId="2" fontId="0" fillId="10" borderId="35" xfId="0" applyNumberFormat="1" applyFill="1" applyBorder="1"/>
    <xf numFmtId="2" fontId="11" fillId="10" borderId="37" xfId="0" applyNumberFormat="1" applyFont="1" applyFill="1" applyBorder="1"/>
    <xf numFmtId="2" fontId="11" fillId="10" borderId="15" xfId="0" applyNumberFormat="1" applyFont="1" applyFill="1" applyBorder="1"/>
    <xf numFmtId="0" fontId="24" fillId="3" borderId="0" xfId="4" applyFill="1"/>
    <xf numFmtId="172" fontId="24" fillId="3" borderId="0" xfId="4" applyNumberFormat="1" applyFill="1"/>
    <xf numFmtId="166" fontId="0" fillId="3" borderId="0" xfId="2" applyFont="1" applyFill="1" applyBorder="1"/>
    <xf numFmtId="10" fontId="0" fillId="21" borderId="8" xfId="0" applyNumberFormat="1" applyFill="1" applyBorder="1"/>
    <xf numFmtId="2" fontId="11" fillId="5" borderId="35" xfId="0" applyNumberFormat="1" applyFont="1" applyFill="1" applyBorder="1"/>
    <xf numFmtId="2" fontId="11" fillId="5" borderId="37" xfId="0" applyNumberFormat="1" applyFont="1" applyFill="1" applyBorder="1"/>
    <xf numFmtId="2" fontId="11" fillId="5" borderId="14" xfId="0" applyNumberFormat="1" applyFont="1" applyFill="1" applyBorder="1"/>
    <xf numFmtId="2" fontId="11" fillId="5" borderId="17" xfId="0" applyNumberFormat="1" applyFont="1" applyFill="1" applyBorder="1"/>
    <xf numFmtId="2" fontId="11" fillId="5" borderId="15" xfId="0" applyNumberFormat="1" applyFont="1" applyFill="1" applyBorder="1"/>
    <xf numFmtId="9" fontId="0" fillId="0" borderId="0" xfId="5" applyFont="1"/>
    <xf numFmtId="9" fontId="24" fillId="6" borderId="8" xfId="5" applyFont="1" applyFill="1" applyBorder="1"/>
    <xf numFmtId="9" fontId="0" fillId="6" borderId="8" xfId="5" applyFont="1" applyFill="1" applyBorder="1"/>
    <xf numFmtId="14" fontId="0" fillId="0" borderId="0" xfId="0" applyNumberFormat="1"/>
    <xf numFmtId="9" fontId="24" fillId="3" borderId="0" xfId="5" applyFont="1" applyFill="1" applyBorder="1"/>
    <xf numFmtId="14" fontId="0" fillId="3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5" borderId="5" xfId="0" applyFill="1" applyBorder="1"/>
    <xf numFmtId="0" fontId="28" fillId="8" borderId="45" xfId="0" applyFont="1" applyFill="1" applyBorder="1" applyAlignment="1">
      <alignment horizontal="center"/>
    </xf>
    <xf numFmtId="0" fontId="0" fillId="5" borderId="24" xfId="0" applyFill="1" applyBorder="1"/>
    <xf numFmtId="0" fontId="0" fillId="5" borderId="27" xfId="0" applyFill="1" applyBorder="1"/>
    <xf numFmtId="9" fontId="0" fillId="0" borderId="0" xfId="0" applyNumberFormat="1"/>
    <xf numFmtId="14" fontId="0" fillId="3" borderId="0" xfId="0" applyNumberFormat="1" applyFill="1" applyAlignment="1">
      <alignment horizontal="center"/>
    </xf>
    <xf numFmtId="0" fontId="4" fillId="5" borderId="23" xfId="0" applyFont="1" applyFill="1" applyBorder="1"/>
    <xf numFmtId="9" fontId="4" fillId="5" borderId="1" xfId="0" applyNumberFormat="1" applyFont="1" applyFill="1" applyBorder="1" applyAlignment="1">
      <alignment horizontal="center"/>
    </xf>
    <xf numFmtId="9" fontId="4" fillId="5" borderId="2" xfId="0" applyNumberFormat="1" applyFont="1" applyFill="1" applyBorder="1" applyAlignment="1">
      <alignment horizontal="center"/>
    </xf>
    <xf numFmtId="2" fontId="16" fillId="6" borderId="8" xfId="0" applyNumberFormat="1" applyFont="1" applyFill="1" applyBorder="1" applyAlignment="1">
      <alignment horizontal="center" vertical="center"/>
    </xf>
    <xf numFmtId="9" fontId="0" fillId="3" borderId="8" xfId="5" applyFont="1" applyFill="1" applyBorder="1"/>
    <xf numFmtId="10" fontId="0" fillId="10" borderId="23" xfId="1" applyNumberFormat="1" applyFont="1" applyFill="1" applyBorder="1" applyAlignment="1"/>
    <xf numFmtId="10" fontId="0" fillId="10" borderId="27" xfId="5" applyNumberFormat="1" applyFont="1" applyFill="1" applyBorder="1" applyAlignment="1"/>
    <xf numFmtId="0" fontId="3" fillId="3" borderId="8" xfId="4" applyFont="1" applyFill="1" applyBorder="1"/>
    <xf numFmtId="0" fontId="3" fillId="4" borderId="8" xfId="4" applyFont="1" applyFill="1" applyBorder="1" applyAlignment="1">
      <alignment horizontal="center"/>
    </xf>
    <xf numFmtId="0" fontId="34" fillId="4" borderId="8" xfId="4" applyFont="1" applyFill="1" applyBorder="1" applyAlignment="1">
      <alignment horizontal="center"/>
    </xf>
    <xf numFmtId="170" fontId="5" fillId="0" borderId="44" xfId="2" applyNumberFormat="1" applyFont="1" applyFill="1" applyBorder="1" applyAlignment="1">
      <alignment horizontal="center"/>
    </xf>
    <xf numFmtId="171" fontId="36" fillId="3" borderId="8" xfId="2" applyNumberFormat="1" applyFont="1" applyFill="1" applyBorder="1" applyAlignment="1">
      <alignment horizontal="center"/>
    </xf>
    <xf numFmtId="0" fontId="16" fillId="0" borderId="0" xfId="0" applyFont="1"/>
    <xf numFmtId="0" fontId="16" fillId="4" borderId="8" xfId="0" applyFont="1" applyFill="1" applyBorder="1"/>
    <xf numFmtId="0" fontId="33" fillId="3" borderId="8" xfId="0" applyFont="1" applyFill="1" applyBorder="1"/>
    <xf numFmtId="171" fontId="33" fillId="0" borderId="8" xfId="2" applyNumberFormat="1" applyFont="1" applyBorder="1" applyAlignment="1">
      <alignment horizontal="center"/>
    </xf>
    <xf numFmtId="0" fontId="33" fillId="0" borderId="8" xfId="0" applyFont="1" applyBorder="1"/>
    <xf numFmtId="0" fontId="39" fillId="4" borderId="8" xfId="0" applyFont="1" applyFill="1" applyBorder="1" applyAlignment="1">
      <alignment horizontal="center" vertical="center"/>
    </xf>
    <xf numFmtId="174" fontId="36" fillId="0" borderId="0" xfId="2" applyNumberFormat="1" applyFont="1" applyFill="1" applyBorder="1" applyAlignment="1">
      <alignment horizontal="center"/>
    </xf>
    <xf numFmtId="0" fontId="37" fillId="4" borderId="8" xfId="4" applyFont="1" applyFill="1" applyBorder="1" applyAlignment="1">
      <alignment horizontal="center"/>
    </xf>
    <xf numFmtId="0" fontId="33" fillId="4" borderId="8" xfId="4" applyFont="1" applyFill="1" applyBorder="1" applyAlignment="1">
      <alignment horizontal="center"/>
    </xf>
    <xf numFmtId="171" fontId="33" fillId="3" borderId="8" xfId="2" applyNumberFormat="1" applyFont="1" applyFill="1" applyBorder="1" applyAlignment="1"/>
    <xf numFmtId="0" fontId="33" fillId="3" borderId="0" xfId="0" applyFont="1" applyFill="1"/>
    <xf numFmtId="171" fontId="33" fillId="0" borderId="0" xfId="2" applyNumberFormat="1" applyFont="1" applyBorder="1" applyAlignment="1">
      <alignment horizontal="center"/>
    </xf>
    <xf numFmtId="0" fontId="33" fillId="0" borderId="0" xfId="0" applyFont="1"/>
    <xf numFmtId="171" fontId="33" fillId="0" borderId="8" xfId="2" applyNumberFormat="1" applyFont="1" applyBorder="1"/>
    <xf numFmtId="0" fontId="0" fillId="0" borderId="43" xfId="0" applyBorder="1"/>
    <xf numFmtId="174" fontId="0" fillId="0" borderId="2" xfId="2" applyNumberFormat="1" applyFont="1" applyBorder="1"/>
    <xf numFmtId="0" fontId="0" fillId="4" borderId="25" xfId="0" applyFill="1" applyBorder="1"/>
    <xf numFmtId="174" fontId="0" fillId="4" borderId="26" xfId="2" applyNumberFormat="1" applyFont="1" applyFill="1" applyBorder="1"/>
    <xf numFmtId="0" fontId="6" fillId="0" borderId="1" xfId="0" applyFont="1" applyBorder="1"/>
    <xf numFmtId="0" fontId="0" fillId="0" borderId="3" xfId="0" applyBorder="1"/>
    <xf numFmtId="0" fontId="0" fillId="4" borderId="46" xfId="0" applyFill="1" applyBorder="1"/>
    <xf numFmtId="174" fontId="0" fillId="4" borderId="47" xfId="2" applyNumberFormat="1" applyFont="1" applyFill="1" applyBorder="1"/>
    <xf numFmtId="174" fontId="0" fillId="0" borderId="0" xfId="2" applyNumberFormat="1" applyFont="1" applyFill="1" applyBorder="1"/>
    <xf numFmtId="0" fontId="0" fillId="4" borderId="0" xfId="0" applyFill="1"/>
    <xf numFmtId="174" fontId="0" fillId="4" borderId="48" xfId="2" applyNumberFormat="1" applyFont="1" applyFill="1" applyBorder="1"/>
    <xf numFmtId="0" fontId="0" fillId="0" borderId="4" xfId="0" applyBorder="1"/>
    <xf numFmtId="174" fontId="4" fillId="0" borderId="0" xfId="2" applyNumberFormat="1" applyFont="1" applyFill="1" applyBorder="1"/>
    <xf numFmtId="0" fontId="33" fillId="3" borderId="8" xfId="4" applyFont="1" applyFill="1" applyBorder="1"/>
    <xf numFmtId="0" fontId="36" fillId="3" borderId="8" xfId="4" applyFont="1" applyFill="1" applyBorder="1"/>
    <xf numFmtId="166" fontId="0" fillId="3" borderId="0" xfId="2" applyFont="1" applyFill="1"/>
    <xf numFmtId="10" fontId="0" fillId="11" borderId="8" xfId="5" applyNumberFormat="1" applyFont="1" applyFill="1" applyBorder="1"/>
    <xf numFmtId="10" fontId="0" fillId="15" borderId="8" xfId="5" applyNumberFormat="1" applyFont="1" applyFill="1" applyBorder="1"/>
    <xf numFmtId="10" fontId="0" fillId="11" borderId="11" xfId="5" applyNumberFormat="1" applyFont="1" applyFill="1" applyBorder="1"/>
    <xf numFmtId="10" fontId="0" fillId="11" borderId="24" xfId="5" applyNumberFormat="1" applyFont="1" applyFill="1" applyBorder="1" applyAlignment="1"/>
    <xf numFmtId="10" fontId="0" fillId="15" borderId="27" xfId="5" applyNumberFormat="1" applyFont="1" applyFill="1" applyBorder="1" applyAlignment="1"/>
    <xf numFmtId="10" fontId="0" fillId="11" borderId="17" xfId="5" applyNumberFormat="1" applyFont="1" applyFill="1" applyBorder="1" applyAlignment="1"/>
    <xf numFmtId="10" fontId="0" fillId="15" borderId="15" xfId="5" applyNumberFormat="1" applyFont="1" applyFill="1" applyBorder="1" applyAlignment="1"/>
    <xf numFmtId="10" fontId="0" fillId="0" borderId="0" xfId="0" applyNumberFormat="1"/>
    <xf numFmtId="10" fontId="0" fillId="3" borderId="0" xfId="5" applyNumberFormat="1" applyFont="1" applyFill="1"/>
    <xf numFmtId="10" fontId="0" fillId="20" borderId="8" xfId="5" applyNumberFormat="1" applyFont="1" applyFill="1" applyBorder="1"/>
    <xf numFmtId="170" fontId="0" fillId="0" borderId="0" xfId="0" applyNumberFormat="1"/>
    <xf numFmtId="171" fontId="36" fillId="3" borderId="0" xfId="2" applyNumberFormat="1" applyFont="1" applyFill="1" applyBorder="1" applyAlignment="1">
      <alignment horizontal="center"/>
    </xf>
    <xf numFmtId="0" fontId="4" fillId="4" borderId="1" xfId="0" applyFont="1" applyFill="1" applyBorder="1"/>
    <xf numFmtId="9" fontId="0" fillId="22" borderId="8" xfId="0" applyNumberFormat="1" applyFill="1" applyBorder="1"/>
    <xf numFmtId="10" fontId="11" fillId="3" borderId="0" xfId="0" applyNumberFormat="1" applyFont="1" applyFill="1"/>
    <xf numFmtId="0" fontId="0" fillId="9" borderId="27" xfId="0" applyFill="1" applyBorder="1"/>
    <xf numFmtId="171" fontId="0" fillId="22" borderId="8" xfId="2" applyNumberFormat="1" applyFont="1" applyFill="1" applyBorder="1"/>
    <xf numFmtId="9" fontId="0" fillId="23" borderId="8" xfId="0" applyNumberFormat="1" applyFill="1" applyBorder="1"/>
    <xf numFmtId="10" fontId="11" fillId="6" borderId="11" xfId="0" applyNumberFormat="1" applyFont="1" applyFill="1" applyBorder="1"/>
    <xf numFmtId="0" fontId="0" fillId="6" borderId="13" xfId="0" applyFill="1" applyBorder="1"/>
    <xf numFmtId="10" fontId="0" fillId="3" borderId="0" xfId="5" applyNumberFormat="1" applyFont="1" applyFill="1" applyBorder="1" applyAlignment="1"/>
    <xf numFmtId="9" fontId="27" fillId="3" borderId="0" xfId="0" applyNumberFormat="1" applyFont="1" applyFill="1"/>
    <xf numFmtId="10" fontId="0" fillId="8" borderId="8" xfId="0" applyNumberFormat="1" applyFill="1" applyBorder="1"/>
    <xf numFmtId="171" fontId="11" fillId="8" borderId="8" xfId="2" applyNumberFormat="1" applyFont="1" applyFill="1" applyBorder="1"/>
    <xf numFmtId="171" fontId="0" fillId="8" borderId="8" xfId="2" applyNumberFormat="1" applyFont="1" applyFill="1" applyBorder="1"/>
    <xf numFmtId="9" fontId="9" fillId="8" borderId="8" xfId="0" applyNumberFormat="1" applyFont="1" applyFill="1" applyBorder="1"/>
    <xf numFmtId="14" fontId="0" fillId="14" borderId="36" xfId="0" applyNumberFormat="1" applyFill="1" applyBorder="1"/>
    <xf numFmtId="171" fontId="0" fillId="14" borderId="50" xfId="2" applyNumberFormat="1" applyFont="1" applyFill="1" applyBorder="1"/>
    <xf numFmtId="2" fontId="11" fillId="10" borderId="23" xfId="0" applyNumberFormat="1" applyFont="1" applyFill="1" applyBorder="1"/>
    <xf numFmtId="0" fontId="0" fillId="10" borderId="27" xfId="0" applyFill="1" applyBorder="1"/>
    <xf numFmtId="9" fontId="0" fillId="10" borderId="8" xfId="0" applyNumberFormat="1" applyFill="1" applyBorder="1"/>
    <xf numFmtId="9" fontId="0" fillId="8" borderId="8" xfId="0" applyNumberFormat="1" applyFill="1" applyBorder="1"/>
    <xf numFmtId="171" fontId="0" fillId="8" borderId="8" xfId="2" applyNumberFormat="1" applyFont="1" applyFill="1" applyBorder="1" applyAlignment="1"/>
    <xf numFmtId="9" fontId="0" fillId="17" borderId="8" xfId="0" applyNumberFormat="1" applyFill="1" applyBorder="1"/>
    <xf numFmtId="171" fontId="0" fillId="17" borderId="8" xfId="2" applyNumberFormat="1" applyFont="1" applyFill="1" applyBorder="1"/>
    <xf numFmtId="0" fontId="0" fillId="24" borderId="8" xfId="0" applyFill="1" applyBorder="1"/>
    <xf numFmtId="9" fontId="0" fillId="24" borderId="8" xfId="0" applyNumberFormat="1" applyFill="1" applyBorder="1"/>
    <xf numFmtId="171" fontId="0" fillId="24" borderId="8" xfId="2" applyNumberFormat="1" applyFont="1" applyFill="1" applyBorder="1"/>
    <xf numFmtId="0" fontId="0" fillId="25" borderId="8" xfId="0" applyFill="1" applyBorder="1"/>
    <xf numFmtId="166" fontId="11" fillId="25" borderId="8" xfId="2" applyFont="1" applyFill="1" applyBorder="1"/>
    <xf numFmtId="166" fontId="0" fillId="25" borderId="8" xfId="2" applyFont="1" applyFill="1" applyBorder="1"/>
    <xf numFmtId="171" fontId="11" fillId="25" borderId="8" xfId="2" applyNumberFormat="1" applyFont="1" applyFill="1" applyBorder="1"/>
    <xf numFmtId="171" fontId="0" fillId="25" borderId="8" xfId="2" applyNumberFormat="1" applyFont="1" applyFill="1" applyBorder="1"/>
    <xf numFmtId="9" fontId="0" fillId="25" borderId="8" xfId="0" applyNumberFormat="1" applyFill="1" applyBorder="1"/>
    <xf numFmtId="2" fontId="41" fillId="8" borderId="11" xfId="0" applyNumberFormat="1" applyFont="1" applyFill="1" applyBorder="1" applyAlignment="1">
      <alignment horizontal="center"/>
    </xf>
    <xf numFmtId="2" fontId="42" fillId="8" borderId="11" xfId="0" applyNumberFormat="1" applyFont="1" applyFill="1" applyBorder="1" applyAlignment="1">
      <alignment horizontal="center"/>
    </xf>
    <xf numFmtId="14" fontId="26" fillId="3" borderId="0" xfId="0" applyNumberFormat="1" applyFont="1" applyFill="1"/>
    <xf numFmtId="0" fontId="26" fillId="8" borderId="13" xfId="0" applyFont="1" applyFill="1" applyBorder="1" applyAlignment="1">
      <alignment horizontal="center" vertical="center"/>
    </xf>
    <xf numFmtId="0" fontId="26" fillId="8" borderId="13" xfId="0" applyFont="1" applyFill="1" applyBorder="1"/>
    <xf numFmtId="2" fontId="43" fillId="7" borderId="8" xfId="0" applyNumberFormat="1" applyFont="1" applyFill="1" applyBorder="1" applyAlignment="1">
      <alignment horizontal="center"/>
    </xf>
    <xf numFmtId="2" fontId="43" fillId="7" borderId="1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15" borderId="8" xfId="0" applyFill="1" applyBorder="1"/>
    <xf numFmtId="171" fontId="5" fillId="15" borderId="8" xfId="2" applyNumberFormat="1" applyFont="1" applyFill="1" applyBorder="1" applyAlignment="1">
      <alignment horizontal="center" vertical="center"/>
    </xf>
    <xf numFmtId="171" fontId="0" fillId="15" borderId="8" xfId="2" applyNumberFormat="1" applyFont="1" applyFill="1" applyBorder="1"/>
    <xf numFmtId="9" fontId="0" fillId="17" borderId="8" xfId="5" applyFont="1" applyFill="1" applyBorder="1"/>
    <xf numFmtId="171" fontId="0" fillId="20" borderId="8" xfId="2" applyNumberFormat="1" applyFont="1" applyFill="1" applyBorder="1"/>
    <xf numFmtId="171" fontId="0" fillId="3" borderId="0" xfId="2" applyNumberFormat="1" applyFont="1" applyFill="1" applyBorder="1"/>
    <xf numFmtId="171" fontId="0" fillId="0" borderId="0" xfId="2" applyNumberFormat="1" applyFont="1"/>
    <xf numFmtId="10" fontId="0" fillId="0" borderId="0" xfId="5" applyNumberFormat="1" applyFont="1" applyBorder="1"/>
    <xf numFmtId="170" fontId="5" fillId="3" borderId="0" xfId="2" applyNumberFormat="1" applyFont="1" applyFill="1" applyBorder="1" applyAlignment="1">
      <alignment horizontal="center"/>
    </xf>
    <xf numFmtId="170" fontId="5" fillId="0" borderId="8" xfId="2" applyNumberFormat="1" applyFont="1" applyFill="1" applyBorder="1" applyAlignment="1">
      <alignment horizontal="center"/>
    </xf>
    <xf numFmtId="173" fontId="5" fillId="4" borderId="8" xfId="2" applyNumberFormat="1" applyFont="1" applyFill="1" applyBorder="1" applyAlignment="1">
      <alignment horizontal="center"/>
    </xf>
    <xf numFmtId="173" fontId="0" fillId="4" borderId="8" xfId="0" applyNumberFormat="1" applyFill="1" applyBorder="1"/>
    <xf numFmtId="171" fontId="11" fillId="10" borderId="8" xfId="2" applyNumberFormat="1" applyFont="1" applyFill="1" applyBorder="1"/>
    <xf numFmtId="171" fontId="0" fillId="10" borderId="8" xfId="2" applyNumberFormat="1" applyFont="1" applyFill="1" applyBorder="1"/>
    <xf numFmtId="166" fontId="20" fillId="5" borderId="36" xfId="2" applyFont="1" applyFill="1" applyBorder="1" applyAlignment="1">
      <alignment horizontal="center"/>
    </xf>
    <xf numFmtId="166" fontId="20" fillId="5" borderId="37" xfId="2" applyFont="1" applyFill="1" applyBorder="1"/>
    <xf numFmtId="166" fontId="20" fillId="5" borderId="39" xfId="2" applyFont="1" applyFill="1" applyBorder="1" applyAlignment="1">
      <alignment horizontal="center"/>
    </xf>
    <xf numFmtId="2" fontId="44" fillId="8" borderId="24" xfId="0" applyNumberFormat="1" applyFont="1" applyFill="1" applyBorder="1" applyAlignment="1">
      <alignment horizontal="center"/>
    </xf>
    <xf numFmtId="166" fontId="20" fillId="5" borderId="16" xfId="2" applyFont="1" applyFill="1" applyBorder="1" applyAlignment="1">
      <alignment horizontal="center"/>
    </xf>
    <xf numFmtId="166" fontId="20" fillId="5" borderId="14" xfId="2" applyFont="1" applyFill="1" applyBorder="1"/>
    <xf numFmtId="166" fontId="20" fillId="5" borderId="40" xfId="2" applyFont="1" applyFill="1" applyBorder="1" applyAlignment="1">
      <alignment horizontal="center"/>
    </xf>
    <xf numFmtId="2" fontId="44" fillId="8" borderId="8" xfId="0" applyNumberFormat="1" applyFont="1" applyFill="1" applyBorder="1" applyAlignment="1">
      <alignment horizontal="center"/>
    </xf>
    <xf numFmtId="166" fontId="20" fillId="5" borderId="38" xfId="2" applyFont="1" applyFill="1" applyBorder="1" applyAlignment="1">
      <alignment horizontal="center"/>
    </xf>
    <xf numFmtId="166" fontId="20" fillId="5" borderId="15" xfId="2" applyFont="1" applyFill="1" applyBorder="1"/>
    <xf numFmtId="166" fontId="20" fillId="5" borderId="41" xfId="2" applyFont="1" applyFill="1" applyBorder="1" applyAlignment="1">
      <alignment horizontal="center"/>
    </xf>
    <xf numFmtId="0" fontId="0" fillId="5" borderId="36" xfId="0" applyFill="1" applyBorder="1"/>
    <xf numFmtId="0" fontId="0" fillId="5" borderId="16" xfId="0" applyFill="1" applyBorder="1"/>
    <xf numFmtId="0" fontId="0" fillId="5" borderId="38" xfId="0" applyFill="1" applyBorder="1"/>
    <xf numFmtId="171" fontId="20" fillId="5" borderId="16" xfId="2" applyNumberFormat="1" applyFont="1" applyFill="1" applyBorder="1" applyAlignment="1">
      <alignment horizontal="center"/>
    </xf>
    <xf numFmtId="171" fontId="20" fillId="5" borderId="14" xfId="2" applyNumberFormat="1" applyFont="1" applyFill="1" applyBorder="1"/>
    <xf numFmtId="0" fontId="45" fillId="3" borderId="0" xfId="0" applyFont="1" applyFill="1" applyAlignment="1">
      <alignment vertical="center" wrapText="1"/>
    </xf>
    <xf numFmtId="0" fontId="0" fillId="17" borderId="10" xfId="0" applyFill="1" applyBorder="1"/>
    <xf numFmtId="9" fontId="0" fillId="0" borderId="8" xfId="0" applyNumberFormat="1" applyBorder="1"/>
    <xf numFmtId="166" fontId="0" fillId="0" borderId="8" xfId="2" applyFont="1" applyBorder="1"/>
    <xf numFmtId="10" fontId="0" fillId="0" borderId="8" xfId="5" applyNumberFormat="1" applyFont="1" applyBorder="1"/>
    <xf numFmtId="9" fontId="4" fillId="4" borderId="5" xfId="0" applyNumberFormat="1" applyFont="1" applyFill="1" applyBorder="1" applyAlignment="1">
      <alignment horizontal="center"/>
    </xf>
    <xf numFmtId="174" fontId="0" fillId="17" borderId="8" xfId="0" applyNumberFormat="1" applyFill="1" applyBorder="1"/>
    <xf numFmtId="0" fontId="46" fillId="0" borderId="25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8" fillId="0" borderId="13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/>
    </xf>
    <xf numFmtId="0" fontId="49" fillId="0" borderId="13" xfId="0" applyFont="1" applyBorder="1" applyAlignment="1">
      <alignment horizontal="center" vertical="center"/>
    </xf>
    <xf numFmtId="2" fontId="0" fillId="18" borderId="8" xfId="0" applyNumberFormat="1" applyFill="1" applyBorder="1"/>
    <xf numFmtId="9" fontId="0" fillId="18" borderId="10" xfId="5" applyFont="1" applyFill="1" applyBorder="1"/>
    <xf numFmtId="168" fontId="0" fillId="18" borderId="13" xfId="1" applyNumberFormat="1" applyFont="1" applyFill="1" applyBorder="1"/>
    <xf numFmtId="0" fontId="0" fillId="18" borderId="13" xfId="0" applyFill="1" applyBorder="1"/>
    <xf numFmtId="171" fontId="33" fillId="0" borderId="0" xfId="2" applyNumberFormat="1" applyFont="1" applyFill="1" applyBorder="1" applyAlignment="1">
      <alignment horizontal="center"/>
    </xf>
    <xf numFmtId="0" fontId="53" fillId="3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0" fontId="48" fillId="29" borderId="0" xfId="0" applyFont="1" applyFill="1" applyAlignment="1">
      <alignment horizontal="center" vertical="center"/>
    </xf>
    <xf numFmtId="175" fontId="48" fillId="29" borderId="0" xfId="2" applyNumberFormat="1" applyFont="1" applyFill="1" applyBorder="1" applyAlignment="1">
      <alignment horizontal="center" vertical="center"/>
    </xf>
    <xf numFmtId="166" fontId="48" fillId="29" borderId="0" xfId="2" applyFont="1" applyFill="1" applyBorder="1" applyAlignment="1">
      <alignment horizontal="center" vertical="center"/>
    </xf>
    <xf numFmtId="166" fontId="48" fillId="3" borderId="0" xfId="2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3" fillId="29" borderId="0" xfId="0" applyFont="1" applyFill="1" applyAlignment="1">
      <alignment horizontal="center" vertical="center"/>
    </xf>
    <xf numFmtId="2" fontId="48" fillId="3" borderId="0" xfId="2" applyNumberFormat="1" applyFont="1" applyFill="1" applyBorder="1" applyAlignment="1">
      <alignment horizontal="center" vertical="center"/>
    </xf>
    <xf numFmtId="2" fontId="48" fillId="4" borderId="0" xfId="2" applyNumberFormat="1" applyFont="1" applyFill="1" applyBorder="1" applyAlignment="1">
      <alignment horizontal="center" vertical="center"/>
    </xf>
    <xf numFmtId="0" fontId="53" fillId="3" borderId="0" xfId="0" applyFont="1" applyFill="1" applyAlignment="1">
      <alignment horizontal="left" vertical="center"/>
    </xf>
    <xf numFmtId="175" fontId="48" fillId="3" borderId="0" xfId="2" applyNumberFormat="1" applyFont="1" applyFill="1" applyBorder="1" applyAlignment="1">
      <alignment horizontal="center" vertical="center"/>
    </xf>
    <xf numFmtId="0" fontId="54" fillId="3" borderId="0" xfId="0" applyFont="1" applyFill="1" applyAlignment="1">
      <alignment horizontal="center" vertical="center"/>
    </xf>
    <xf numFmtId="2" fontId="48" fillId="3" borderId="0" xfId="2" applyNumberFormat="1" applyFont="1" applyFill="1" applyAlignment="1">
      <alignment horizontal="center" vertical="center"/>
    </xf>
    <xf numFmtId="2" fontId="48" fillId="4" borderId="0" xfId="2" applyNumberFormat="1" applyFont="1" applyFill="1" applyAlignment="1">
      <alignment horizontal="center" vertical="center"/>
    </xf>
    <xf numFmtId="0" fontId="50" fillId="3" borderId="0" xfId="0" applyFont="1" applyFill="1" applyAlignment="1">
      <alignment horizontal="left" vertical="center"/>
    </xf>
    <xf numFmtId="0" fontId="53" fillId="9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/>
    </xf>
    <xf numFmtId="0" fontId="54" fillId="3" borderId="0" xfId="0" applyFont="1" applyFill="1" applyAlignment="1">
      <alignment horizontal="left" vertical="center"/>
    </xf>
    <xf numFmtId="166" fontId="48" fillId="29" borderId="0" xfId="2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2" fontId="48" fillId="0" borderId="0" xfId="2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65" fillId="16" borderId="0" xfId="0" applyFont="1" applyFill="1" applyAlignment="1">
      <alignment horizontal="center" vertical="center"/>
    </xf>
    <xf numFmtId="17" fontId="53" fillId="3" borderId="0" xfId="0" applyNumberFormat="1" applyFont="1" applyFill="1" applyAlignment="1">
      <alignment horizontal="center" vertical="center"/>
    </xf>
    <xf numFmtId="0" fontId="66" fillId="3" borderId="0" xfId="0" applyFont="1" applyFill="1" applyAlignment="1">
      <alignment horizontal="left" vertical="top"/>
    </xf>
    <xf numFmtId="44" fontId="0" fillId="18" borderId="8" xfId="0" applyNumberFormat="1" applyFill="1" applyBorder="1"/>
    <xf numFmtId="9" fontId="0" fillId="14" borderId="8" xfId="5" applyFont="1" applyFill="1" applyBorder="1"/>
    <xf numFmtId="0" fontId="0" fillId="3" borderId="8" xfId="4" applyFont="1" applyFill="1" applyBorder="1"/>
    <xf numFmtId="167" fontId="5" fillId="3" borderId="0" xfId="1" applyFont="1" applyFill="1" applyAlignment="1">
      <alignment horizontal="center" vertical="center"/>
    </xf>
    <xf numFmtId="1" fontId="5" fillId="3" borderId="0" xfId="1" applyNumberFormat="1" applyFont="1" applyFill="1" applyAlignment="1">
      <alignment horizontal="center" vertical="center"/>
    </xf>
    <xf numFmtId="166" fontId="5" fillId="3" borderId="0" xfId="2" applyFont="1" applyFill="1" applyAlignment="1">
      <alignment horizontal="center" vertical="center"/>
    </xf>
    <xf numFmtId="16" fontId="48" fillId="3" borderId="0" xfId="0" applyNumberFormat="1" applyFont="1" applyFill="1" applyAlignment="1">
      <alignment horizontal="center" vertical="center"/>
    </xf>
    <xf numFmtId="1" fontId="53" fillId="3" borderId="0" xfId="1" applyNumberFormat="1" applyFont="1" applyFill="1" applyBorder="1" applyAlignment="1">
      <alignment horizontal="center" vertical="center"/>
    </xf>
    <xf numFmtId="0" fontId="52" fillId="34" borderId="0" xfId="0" applyFont="1" applyFill="1" applyAlignment="1">
      <alignment vertical="center"/>
    </xf>
    <xf numFmtId="0" fontId="53" fillId="16" borderId="0" xfId="0" applyFont="1" applyFill="1" applyAlignment="1">
      <alignment horizontal="center" vertical="center" wrapText="1"/>
    </xf>
    <xf numFmtId="0" fontId="48" fillId="3" borderId="0" xfId="0" applyFont="1" applyFill="1" applyAlignment="1">
      <alignment horizontal="center" vertical="center" wrapText="1"/>
    </xf>
    <xf numFmtId="0" fontId="52" fillId="35" borderId="0" xfId="0" applyFont="1" applyFill="1" applyAlignment="1">
      <alignment vertical="center"/>
    </xf>
    <xf numFmtId="0" fontId="52" fillId="27" borderId="0" xfId="0" applyFont="1" applyFill="1" applyAlignment="1">
      <alignment vertical="center"/>
    </xf>
    <xf numFmtId="170" fontId="29" fillId="8" borderId="8" xfId="0" applyNumberFormat="1" applyFont="1" applyFill="1" applyBorder="1" applyAlignment="1">
      <alignment horizontal="center" vertical="center"/>
    </xf>
    <xf numFmtId="0" fontId="0" fillId="4" borderId="30" xfId="0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" fontId="53" fillId="3" borderId="0" xfId="2" applyNumberFormat="1" applyFont="1" applyFill="1" applyBorder="1" applyAlignment="1">
      <alignment horizontal="center" vertical="center"/>
    </xf>
    <xf numFmtId="0" fontId="48" fillId="34" borderId="0" xfId="0" applyFont="1" applyFill="1" applyAlignment="1">
      <alignment horizontal="center" vertical="center" wrapText="1"/>
    </xf>
    <xf numFmtId="0" fontId="48" fillId="34" borderId="0" xfId="0" applyFont="1" applyFill="1" applyAlignment="1">
      <alignment horizontal="center" vertical="center"/>
    </xf>
    <xf numFmtId="0" fontId="53" fillId="34" borderId="0" xfId="0" applyFont="1" applyFill="1" applyAlignment="1">
      <alignment horizontal="center" vertical="center" wrapText="1"/>
    </xf>
    <xf numFmtId="1" fontId="48" fillId="3" borderId="0" xfId="2" applyNumberFormat="1" applyFont="1" applyFill="1" applyBorder="1" applyAlignment="1">
      <alignment horizontal="center" vertical="center"/>
    </xf>
    <xf numFmtId="0" fontId="48" fillId="4" borderId="0" xfId="0" applyFont="1" applyFill="1" applyAlignment="1">
      <alignment horizontal="center"/>
    </xf>
    <xf numFmtId="176" fontId="48" fillId="0" borderId="0" xfId="0" applyNumberFormat="1" applyFont="1" applyAlignment="1">
      <alignment horizontal="center"/>
    </xf>
    <xf numFmtId="2" fontId="48" fillId="4" borderId="0" xfId="0" applyNumberFormat="1" applyFont="1" applyFill="1" applyAlignment="1">
      <alignment horizontal="center"/>
    </xf>
    <xf numFmtId="0" fontId="70" fillId="3" borderId="0" xfId="0" applyFont="1" applyFill="1" applyAlignment="1">
      <alignment horizontal="right"/>
    </xf>
    <xf numFmtId="0" fontId="0" fillId="14" borderId="8" xfId="0" applyFill="1" applyBorder="1"/>
    <xf numFmtId="0" fontId="67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29" borderId="0" xfId="0" applyFont="1" applyFill="1"/>
    <xf numFmtId="16" fontId="0" fillId="0" borderId="0" xfId="0" applyNumberFormat="1"/>
    <xf numFmtId="0" fontId="67" fillId="3" borderId="0" xfId="4" applyFont="1" applyFill="1"/>
    <xf numFmtId="2" fontId="48" fillId="0" borderId="0" xfId="0" applyNumberFormat="1" applyFont="1" applyAlignment="1">
      <alignment horizontal="center"/>
    </xf>
    <xf numFmtId="171" fontId="0" fillId="3" borderId="0" xfId="2" applyNumberFormat="1" applyFont="1" applyFill="1"/>
    <xf numFmtId="171" fontId="5" fillId="12" borderId="8" xfId="0" applyNumberFormat="1" applyFont="1" applyFill="1" applyBorder="1" applyAlignment="1">
      <alignment horizontal="center" vertical="center"/>
    </xf>
    <xf numFmtId="0" fontId="71" fillId="3" borderId="0" xfId="4" applyFont="1" applyFill="1"/>
    <xf numFmtId="0" fontId="72" fillId="0" borderId="0" xfId="0" applyFont="1"/>
    <xf numFmtId="0" fontId="36" fillId="0" borderId="8" xfId="0" applyFont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/>
    </xf>
    <xf numFmtId="0" fontId="36" fillId="0" borderId="35" xfId="0" applyFont="1" applyBorder="1" applyAlignment="1">
      <alignment horizontal="center"/>
    </xf>
    <xf numFmtId="171" fontId="33" fillId="0" borderId="35" xfId="2" applyNumberFormat="1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172" fontId="36" fillId="0" borderId="14" xfId="2" applyNumberFormat="1" applyFont="1" applyBorder="1" applyAlignment="1">
      <alignment horizontal="center" vertical="center"/>
    </xf>
    <xf numFmtId="0" fontId="36" fillId="0" borderId="38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171" fontId="33" fillId="0" borderId="17" xfId="2" applyNumberFormat="1" applyFont="1" applyBorder="1" applyAlignment="1">
      <alignment horizontal="center"/>
    </xf>
    <xf numFmtId="0" fontId="0" fillId="0" borderId="25" xfId="0" applyBorder="1"/>
    <xf numFmtId="9" fontId="0" fillId="0" borderId="26" xfId="0" applyNumberFormat="1" applyBorder="1"/>
    <xf numFmtId="2" fontId="0" fillId="6" borderId="8" xfId="0" applyNumberFormat="1" applyFill="1" applyBorder="1"/>
    <xf numFmtId="2" fontId="0" fillId="20" borderId="8" xfId="0" applyNumberFormat="1" applyFill="1" applyBorder="1"/>
    <xf numFmtId="9" fontId="0" fillId="20" borderId="8" xfId="5" applyFont="1" applyFill="1" applyBorder="1"/>
    <xf numFmtId="0" fontId="0" fillId="20" borderId="8" xfId="0" applyFill="1" applyBorder="1"/>
    <xf numFmtId="9" fontId="0" fillId="3" borderId="8" xfId="0" applyNumberFormat="1" applyFill="1" applyBorder="1"/>
    <xf numFmtId="44" fontId="0" fillId="4" borderId="8" xfId="0" applyNumberFormat="1" applyFill="1" applyBorder="1"/>
    <xf numFmtId="10" fontId="0" fillId="4" borderId="8" xfId="5" applyNumberFormat="1" applyFont="1" applyFill="1" applyBorder="1"/>
    <xf numFmtId="44" fontId="5" fillId="3" borderId="8" xfId="0" applyNumberFormat="1" applyFont="1" applyFill="1" applyBorder="1" applyAlignment="1">
      <alignment horizontal="center" vertical="center"/>
    </xf>
    <xf numFmtId="0" fontId="74" fillId="3" borderId="8" xfId="0" applyFont="1" applyFill="1" applyBorder="1" applyAlignment="1">
      <alignment horizontal="left" vertical="top" wrapText="1"/>
    </xf>
    <xf numFmtId="1" fontId="75" fillId="3" borderId="8" xfId="0" applyNumberFormat="1" applyFont="1" applyFill="1" applyBorder="1" applyAlignment="1">
      <alignment horizontal="center" vertical="top" shrinkToFit="1"/>
    </xf>
    <xf numFmtId="176" fontId="75" fillId="3" borderId="8" xfId="0" applyNumberFormat="1" applyFont="1" applyFill="1" applyBorder="1" applyAlignment="1">
      <alignment horizontal="center" vertical="top" shrinkToFit="1"/>
    </xf>
    <xf numFmtId="1" fontId="76" fillId="3" borderId="8" xfId="0" applyNumberFormat="1" applyFont="1" applyFill="1" applyBorder="1" applyAlignment="1">
      <alignment horizontal="center" vertical="top" shrinkToFit="1"/>
    </xf>
    <xf numFmtId="0" fontId="77" fillId="3" borderId="8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71" fontId="0" fillId="3" borderId="8" xfId="2" applyNumberFormat="1" applyFont="1" applyFill="1" applyBorder="1"/>
    <xf numFmtId="14" fontId="0" fillId="15" borderId="8" xfId="0" applyNumberFormat="1" applyFill="1" applyBorder="1"/>
    <xf numFmtId="171" fontId="0" fillId="14" borderId="0" xfId="2" applyNumberFormat="1" applyFont="1" applyFill="1" applyBorder="1"/>
    <xf numFmtId="2" fontId="0" fillId="11" borderId="0" xfId="0" applyNumberFormat="1" applyFill="1"/>
    <xf numFmtId="10" fontId="0" fillId="11" borderId="0" xfId="5" applyNumberFormat="1" applyFont="1" applyFill="1" applyBorder="1"/>
    <xf numFmtId="10" fontId="0" fillId="15" borderId="0" xfId="5" applyNumberFormat="1" applyFont="1" applyFill="1" applyBorder="1"/>
    <xf numFmtId="0" fontId="74" fillId="3" borderId="0" xfId="0" applyFont="1" applyFill="1" applyAlignment="1">
      <alignment horizontal="left" vertical="top" wrapText="1"/>
    </xf>
    <xf numFmtId="1" fontId="75" fillId="3" borderId="0" xfId="0" applyNumberFormat="1" applyFont="1" applyFill="1" applyAlignment="1">
      <alignment horizontal="left" vertical="top" indent="2" shrinkToFit="1"/>
    </xf>
    <xf numFmtId="2" fontId="76" fillId="3" borderId="0" xfId="0" applyNumberFormat="1" applyFont="1" applyFill="1" applyAlignment="1">
      <alignment horizontal="center" vertical="top" shrinkToFit="1"/>
    </xf>
    <xf numFmtId="0" fontId="74" fillId="0" borderId="8" xfId="0" applyFont="1" applyBorder="1" applyAlignment="1">
      <alignment horizontal="left" vertical="top" wrapText="1"/>
    </xf>
    <xf numFmtId="1" fontId="75" fillId="0" borderId="8" xfId="0" applyNumberFormat="1" applyFont="1" applyBorder="1" applyAlignment="1">
      <alignment horizontal="left" vertical="top" indent="3" shrinkToFit="1"/>
    </xf>
    <xf numFmtId="2" fontId="76" fillId="0" borderId="8" xfId="0" applyNumberFormat="1" applyFont="1" applyBorder="1" applyAlignment="1">
      <alignment horizontal="center" vertical="top" shrinkToFit="1"/>
    </xf>
    <xf numFmtId="0" fontId="74" fillId="36" borderId="8" xfId="0" applyFont="1" applyFill="1" applyBorder="1" applyAlignment="1">
      <alignment horizontal="left" vertical="top" wrapText="1"/>
    </xf>
    <xf numFmtId="1" fontId="75" fillId="36" borderId="8" xfId="0" applyNumberFormat="1" applyFont="1" applyFill="1" applyBorder="1" applyAlignment="1">
      <alignment horizontal="left" vertical="top" indent="3" shrinkToFit="1"/>
    </xf>
    <xf numFmtId="2" fontId="76" fillId="36" borderId="8" xfId="0" applyNumberFormat="1" applyFont="1" applyFill="1" applyBorder="1" applyAlignment="1">
      <alignment horizontal="center" vertical="top" shrinkToFit="1"/>
    </xf>
    <xf numFmtId="1" fontId="75" fillId="36" borderId="8" xfId="0" applyNumberFormat="1" applyFont="1" applyFill="1" applyBorder="1" applyAlignment="1">
      <alignment horizontal="left" vertical="top" indent="2" shrinkToFit="1"/>
    </xf>
    <xf numFmtId="1" fontId="75" fillId="0" borderId="8" xfId="0" applyNumberFormat="1" applyFont="1" applyBorder="1" applyAlignment="1">
      <alignment horizontal="left" vertical="top" indent="2" shrinkToFit="1"/>
    </xf>
    <xf numFmtId="166" fontId="5" fillId="15" borderId="8" xfId="2" applyFont="1" applyFill="1" applyBorder="1" applyAlignment="1">
      <alignment horizontal="center" vertical="center"/>
    </xf>
    <xf numFmtId="166" fontId="0" fillId="15" borderId="8" xfId="2" applyFont="1" applyFill="1" applyBorder="1"/>
    <xf numFmtId="0" fontId="78" fillId="6" borderId="8" xfId="0" applyFont="1" applyFill="1" applyBorder="1" applyAlignment="1">
      <alignment horizontal="center" vertical="top" wrapText="1"/>
    </xf>
    <xf numFmtId="177" fontId="80" fillId="6" borderId="8" xfId="0" applyNumberFormat="1" applyFont="1" applyFill="1" applyBorder="1" applyAlignment="1">
      <alignment horizontal="center" vertical="top" wrapText="1" shrinkToFit="1"/>
    </xf>
    <xf numFmtId="0" fontId="78" fillId="6" borderId="8" xfId="0" applyFont="1" applyFill="1" applyBorder="1" applyAlignment="1">
      <alignment vertical="top" wrapText="1"/>
    </xf>
    <xf numFmtId="0" fontId="79" fillId="6" borderId="8" xfId="0" applyFont="1" applyFill="1" applyBorder="1" applyAlignment="1">
      <alignment horizontal="center" vertical="center" wrapText="1"/>
    </xf>
    <xf numFmtId="0" fontId="78" fillId="6" borderId="8" xfId="0" applyFont="1" applyFill="1" applyBorder="1" applyAlignment="1">
      <alignment horizontal="right" vertical="top" wrapText="1" indent="2"/>
    </xf>
    <xf numFmtId="171" fontId="11" fillId="23" borderId="8" xfId="2" applyNumberFormat="1" applyFont="1" applyFill="1" applyBorder="1"/>
    <xf numFmtId="0" fontId="0" fillId="23" borderId="8" xfId="0" applyFill="1" applyBorder="1"/>
    <xf numFmtId="14" fontId="0" fillId="4" borderId="8" xfId="5" applyNumberFormat="1" applyFont="1" applyFill="1" applyBorder="1"/>
    <xf numFmtId="176" fontId="76" fillId="3" borderId="8" xfId="0" applyNumberFormat="1" applyFont="1" applyFill="1" applyBorder="1" applyAlignment="1">
      <alignment horizontal="center" vertical="top" shrinkToFit="1"/>
    </xf>
    <xf numFmtId="0" fontId="82" fillId="11" borderId="49" xfId="6" applyFont="1" applyFill="1" applyBorder="1" applyAlignment="1">
      <alignment horizontal="center" vertical="center"/>
    </xf>
    <xf numFmtId="14" fontId="0" fillId="3" borderId="0" xfId="0" applyNumberFormat="1" applyFill="1"/>
    <xf numFmtId="14" fontId="0" fillId="14" borderId="0" xfId="0" applyNumberFormat="1" applyFill="1"/>
    <xf numFmtId="14" fontId="9" fillId="8" borderId="0" xfId="0" applyNumberFormat="1" applyFont="1" applyFill="1"/>
    <xf numFmtId="14" fontId="9" fillId="8" borderId="43" xfId="0" applyNumberFormat="1" applyFont="1" applyFill="1" applyBorder="1"/>
    <xf numFmtId="14" fontId="9" fillId="8" borderId="42" xfId="0" applyNumberFormat="1" applyFont="1" applyFill="1" applyBorder="1"/>
    <xf numFmtId="2" fontId="44" fillId="8" borderId="17" xfId="0" applyNumberFormat="1" applyFont="1" applyFill="1" applyBorder="1" applyAlignment="1">
      <alignment horizontal="center"/>
    </xf>
    <xf numFmtId="172" fontId="36" fillId="0" borderId="27" xfId="2" applyNumberFormat="1" applyFont="1" applyBorder="1" applyAlignment="1">
      <alignment horizontal="center" vertical="center"/>
    </xf>
    <xf numFmtId="172" fontId="36" fillId="0" borderId="52" xfId="2" applyNumberFormat="1" applyFont="1" applyBorder="1" applyAlignment="1">
      <alignment horizontal="center" vertical="center"/>
    </xf>
    <xf numFmtId="0" fontId="83" fillId="0" borderId="8" xfId="0" applyFont="1" applyBorder="1" applyAlignment="1">
      <alignment horizontal="center"/>
    </xf>
    <xf numFmtId="10" fontId="0" fillId="11" borderId="9" xfId="5" applyNumberFormat="1" applyFont="1" applyFill="1" applyBorder="1"/>
    <xf numFmtId="0" fontId="84" fillId="0" borderId="1" xfId="0" applyFont="1" applyBorder="1"/>
    <xf numFmtId="0" fontId="84" fillId="0" borderId="43" xfId="0" applyFont="1" applyBorder="1"/>
    <xf numFmtId="9" fontId="84" fillId="0" borderId="43" xfId="0" applyNumberFormat="1" applyFont="1" applyBorder="1"/>
    <xf numFmtId="0" fontId="0" fillId="0" borderId="2" xfId="0" applyBorder="1"/>
    <xf numFmtId="171" fontId="0" fillId="0" borderId="0" xfId="2" applyNumberFormat="1" applyFont="1" applyBorder="1"/>
    <xf numFmtId="9" fontId="0" fillId="0" borderId="48" xfId="5" applyFont="1" applyBorder="1"/>
    <xf numFmtId="0" fontId="6" fillId="0" borderId="4" xfId="0" applyFont="1" applyBorder="1"/>
    <xf numFmtId="0" fontId="84" fillId="0" borderId="4" xfId="0" applyFont="1" applyBorder="1"/>
    <xf numFmtId="0" fontId="0" fillId="0" borderId="46" xfId="0" applyBorder="1"/>
    <xf numFmtId="166" fontId="0" fillId="0" borderId="46" xfId="2" applyFont="1" applyBorder="1"/>
    <xf numFmtId="9" fontId="0" fillId="0" borderId="47" xfId="5" applyFont="1" applyBorder="1"/>
    <xf numFmtId="0" fontId="0" fillId="0" borderId="5" xfId="0" applyBorder="1"/>
    <xf numFmtId="9" fontId="0" fillId="0" borderId="6" xfId="5" applyFont="1" applyBorder="1"/>
    <xf numFmtId="9" fontId="0" fillId="0" borderId="7" xfId="5" applyFont="1" applyBorder="1"/>
    <xf numFmtId="0" fontId="33" fillId="4" borderId="36" xfId="4" applyFont="1" applyFill="1" applyBorder="1" applyAlignment="1">
      <alignment horizontal="center"/>
    </xf>
    <xf numFmtId="0" fontId="33" fillId="3" borderId="16" xfId="4" applyFont="1" applyFill="1" applyBorder="1"/>
    <xf numFmtId="0" fontId="0" fillId="0" borderId="47" xfId="0" applyBorder="1"/>
    <xf numFmtId="171" fontId="0" fillId="14" borderId="53" xfId="2" applyNumberFormat="1" applyFont="1" applyFill="1" applyBorder="1"/>
    <xf numFmtId="0" fontId="0" fillId="14" borderId="25" xfId="0" applyFill="1" applyBorder="1" applyAlignment="1">
      <alignment wrapText="1"/>
    </xf>
    <xf numFmtId="171" fontId="0" fillId="11" borderId="11" xfId="0" applyNumberFormat="1" applyFill="1" applyBorder="1"/>
    <xf numFmtId="1" fontId="0" fillId="17" borderId="8" xfId="0" applyNumberFormat="1" applyFill="1" applyBorder="1"/>
    <xf numFmtId="10" fontId="0" fillId="15" borderId="12" xfId="5" applyNumberFormat="1" applyFont="1" applyFill="1" applyBorder="1"/>
    <xf numFmtId="10" fontId="0" fillId="15" borderId="10" xfId="5" applyNumberFormat="1" applyFont="1" applyFill="1" applyBorder="1"/>
    <xf numFmtId="9" fontId="0" fillId="3" borderId="10" xfId="5" applyFont="1" applyFill="1" applyBorder="1"/>
    <xf numFmtId="9" fontId="0" fillId="15" borderId="10" xfId="5" applyFont="1" applyFill="1" applyBorder="1"/>
    <xf numFmtId="0" fontId="0" fillId="0" borderId="10" xfId="0" applyBorder="1"/>
    <xf numFmtId="10" fontId="0" fillId="15" borderId="54" xfId="5" applyNumberFormat="1" applyFont="1" applyFill="1" applyBorder="1"/>
    <xf numFmtId="171" fontId="0" fillId="14" borderId="34" xfId="2" applyNumberFormat="1" applyFont="1" applyFill="1" applyBorder="1"/>
    <xf numFmtId="44" fontId="0" fillId="0" borderId="0" xfId="0" applyNumberFormat="1"/>
    <xf numFmtId="171" fontId="0" fillId="11" borderId="24" xfId="0" applyNumberFormat="1" applyFill="1" applyBorder="1"/>
    <xf numFmtId="0" fontId="0" fillId="0" borderId="30" xfId="0" applyBorder="1"/>
    <xf numFmtId="174" fontId="0" fillId="0" borderId="26" xfId="2" applyNumberFormat="1" applyFont="1" applyBorder="1"/>
    <xf numFmtId="0" fontId="0" fillId="38" borderId="0" xfId="0" applyFill="1"/>
    <xf numFmtId="2" fontId="0" fillId="0" borderId="0" xfId="0" applyNumberFormat="1"/>
    <xf numFmtId="0" fontId="3" fillId="3" borderId="0" xfId="4" applyFont="1" applyFill="1"/>
    <xf numFmtId="0" fontId="0" fillId="16" borderId="8" xfId="0" applyFill="1" applyBorder="1"/>
    <xf numFmtId="2" fontId="11" fillId="8" borderId="35" xfId="0" applyNumberFormat="1" applyFont="1" applyFill="1" applyBorder="1"/>
    <xf numFmtId="2" fontId="11" fillId="8" borderId="17" xfId="0" applyNumberFormat="1" applyFont="1" applyFill="1" applyBorder="1"/>
    <xf numFmtId="4" fontId="16" fillId="0" borderId="0" xfId="0" applyNumberFormat="1" applyFont="1"/>
    <xf numFmtId="4" fontId="16" fillId="0" borderId="0" xfId="0" applyNumberFormat="1" applyFont="1" applyAlignment="1">
      <alignment horizontal="right"/>
    </xf>
    <xf numFmtId="171" fontId="0" fillId="0" borderId="8" xfId="2" applyNumberFormat="1" applyFont="1" applyBorder="1"/>
    <xf numFmtId="0" fontId="26" fillId="18" borderId="0" xfId="0" applyFont="1" applyFill="1"/>
    <xf numFmtId="4" fontId="0" fillId="18" borderId="8" xfId="0" applyNumberFormat="1" applyFill="1" applyBorder="1"/>
    <xf numFmtId="171" fontId="33" fillId="0" borderId="14" xfId="2" applyNumberFormat="1" applyFont="1" applyBorder="1"/>
    <xf numFmtId="2" fontId="0" fillId="10" borderId="21" xfId="0" applyNumberFormat="1" applyFill="1" applyBorder="1"/>
    <xf numFmtId="0" fontId="20" fillId="4" borderId="8" xfId="0" applyFont="1" applyFill="1" applyBorder="1"/>
    <xf numFmtId="172" fontId="36" fillId="0" borderId="0" xfId="2" applyNumberFormat="1" applyFont="1" applyBorder="1" applyAlignment="1">
      <alignment horizontal="center" vertical="center"/>
    </xf>
    <xf numFmtId="0" fontId="16" fillId="10" borderId="8" xfId="0" applyFont="1" applyFill="1" applyBorder="1"/>
    <xf numFmtId="0" fontId="6" fillId="0" borderId="5" xfId="0" applyFont="1" applyBorder="1"/>
    <xf numFmtId="0" fontId="0" fillId="0" borderId="7" xfId="0" applyBorder="1"/>
    <xf numFmtId="4" fontId="16" fillId="0" borderId="0" xfId="2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2" fontId="16" fillId="0" borderId="0" xfId="0" applyNumberFormat="1" applyFont="1"/>
    <xf numFmtId="0" fontId="11" fillId="3" borderId="0" xfId="4" applyFont="1" applyFill="1"/>
    <xf numFmtId="0" fontId="3" fillId="3" borderId="0" xfId="0" applyFont="1" applyFill="1"/>
    <xf numFmtId="17" fontId="0" fillId="0" borderId="0" xfId="0" applyNumberFormat="1"/>
    <xf numFmtId="0" fontId="28" fillId="5" borderId="22" xfId="0" applyFont="1" applyFill="1" applyBorder="1"/>
    <xf numFmtId="0" fontId="28" fillId="5" borderId="25" xfId="0" applyFont="1" applyFill="1" applyBorder="1"/>
    <xf numFmtId="9" fontId="4" fillId="5" borderId="25" xfId="0" applyNumberFormat="1" applyFont="1" applyFill="1" applyBorder="1" applyAlignment="1">
      <alignment horizontal="center"/>
    </xf>
    <xf numFmtId="0" fontId="20" fillId="5" borderId="10" xfId="0" applyFont="1" applyFill="1" applyBorder="1"/>
    <xf numFmtId="166" fontId="20" fillId="5" borderId="56" xfId="2" applyFont="1" applyFill="1" applyBorder="1"/>
    <xf numFmtId="166" fontId="20" fillId="5" borderId="58" xfId="2" applyFont="1" applyFill="1" applyBorder="1"/>
    <xf numFmtId="166" fontId="20" fillId="5" borderId="58" xfId="2" applyFont="1" applyFill="1" applyBorder="1" applyAlignment="1">
      <alignment horizontal="center"/>
    </xf>
    <xf numFmtId="166" fontId="20" fillId="5" borderId="59" xfId="2" applyFont="1" applyFill="1" applyBorder="1"/>
    <xf numFmtId="0" fontId="20" fillId="5" borderId="29" xfId="0" applyFont="1" applyFill="1" applyBorder="1"/>
    <xf numFmtId="0" fontId="20" fillId="5" borderId="31" xfId="0" applyFont="1" applyFill="1" applyBorder="1"/>
    <xf numFmtId="0" fontId="20" fillId="5" borderId="28" xfId="0" applyFont="1" applyFill="1" applyBorder="1"/>
    <xf numFmtId="0" fontId="20" fillId="5" borderId="32" xfId="0" applyFont="1" applyFill="1" applyBorder="1"/>
    <xf numFmtId="171" fontId="20" fillId="5" borderId="32" xfId="2" applyNumberFormat="1" applyFont="1" applyFill="1" applyBorder="1"/>
    <xf numFmtId="0" fontId="20" fillId="5" borderId="33" xfId="0" applyFont="1" applyFill="1" applyBorder="1"/>
    <xf numFmtId="9" fontId="9" fillId="8" borderId="43" xfId="5" applyFont="1" applyFill="1" applyBorder="1"/>
    <xf numFmtId="9" fontId="0" fillId="14" borderId="8" xfId="0" applyNumberFormat="1" applyFill="1" applyBorder="1"/>
    <xf numFmtId="0" fontId="0" fillId="14" borderId="11" xfId="0" applyFill="1" applyBorder="1"/>
    <xf numFmtId="14" fontId="0" fillId="14" borderId="13" xfId="0" applyNumberFormat="1" applyFill="1" applyBorder="1"/>
    <xf numFmtId="1" fontId="48" fillId="4" borderId="0" xfId="2" applyNumberFormat="1" applyFont="1" applyFill="1" applyBorder="1" applyAlignment="1">
      <alignment horizontal="center" vertical="center"/>
    </xf>
    <xf numFmtId="1" fontId="48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84" fillId="0" borderId="0" xfId="0" applyFont="1"/>
    <xf numFmtId="0" fontId="0" fillId="4" borderId="4" xfId="0" applyFill="1" applyBorder="1"/>
    <xf numFmtId="171" fontId="0" fillId="0" borderId="46" xfId="2" applyNumberFormat="1" applyFont="1" applyBorder="1"/>
    <xf numFmtId="0" fontId="33" fillId="4" borderId="50" xfId="4" applyFont="1" applyFill="1" applyBorder="1" applyAlignment="1">
      <alignment horizontal="center"/>
    </xf>
    <xf numFmtId="0" fontId="0" fillId="10" borderId="37" xfId="0" applyFill="1" applyBorder="1"/>
    <xf numFmtId="0" fontId="0" fillId="10" borderId="57" xfId="0" applyFill="1" applyBorder="1"/>
    <xf numFmtId="2" fontId="16" fillId="0" borderId="0" xfId="2" applyNumberFormat="1" applyFont="1" applyBorder="1" applyAlignment="1">
      <alignment horizontal="right"/>
    </xf>
    <xf numFmtId="17" fontId="0" fillId="0" borderId="8" xfId="0" applyNumberFormat="1" applyBorder="1"/>
    <xf numFmtId="0" fontId="20" fillId="10" borderId="8" xfId="0" applyFont="1" applyFill="1" applyBorder="1"/>
    <xf numFmtId="0" fontId="0" fillId="17" borderId="0" xfId="0" applyFill="1"/>
    <xf numFmtId="44" fontId="0" fillId="17" borderId="0" xfId="0" applyNumberFormat="1" applyFill="1"/>
    <xf numFmtId="166" fontId="31" fillId="3" borderId="0" xfId="2" applyFont="1" applyFill="1" applyBorder="1" applyAlignment="1">
      <alignment horizontal="center" vertical="center"/>
    </xf>
    <xf numFmtId="166" fontId="4" fillId="3" borderId="0" xfId="2" applyFont="1" applyFill="1" applyBorder="1"/>
    <xf numFmtId="0" fontId="20" fillId="8" borderId="8" xfId="0" applyFont="1" applyFill="1" applyBorder="1" applyAlignment="1">
      <alignment horizontal="center"/>
    </xf>
    <xf numFmtId="2" fontId="20" fillId="8" borderId="8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center" vertical="center"/>
    </xf>
    <xf numFmtId="166" fontId="31" fillId="3" borderId="8" xfId="2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2" fontId="41" fillId="3" borderId="0" xfId="0" applyNumberFormat="1" applyFont="1" applyFill="1" applyAlignment="1">
      <alignment horizontal="center"/>
    </xf>
    <xf numFmtId="2" fontId="0" fillId="8" borderId="8" xfId="0" applyNumberFormat="1" applyFill="1" applyBorder="1"/>
    <xf numFmtId="10" fontId="0" fillId="8" borderId="8" xfId="5" applyNumberFormat="1" applyFont="1" applyFill="1" applyBorder="1"/>
    <xf numFmtId="0" fontId="4" fillId="8" borderId="8" xfId="0" applyFont="1" applyFill="1" applyBorder="1" applyAlignment="1">
      <alignment horizontal="center"/>
    </xf>
    <xf numFmtId="9" fontId="0" fillId="14" borderId="9" xfId="0" applyNumberFormat="1" applyFill="1" applyBorder="1"/>
    <xf numFmtId="9" fontId="0" fillId="0" borderId="8" xfId="5" applyFont="1" applyBorder="1"/>
    <xf numFmtId="166" fontId="0" fillId="24" borderId="8" xfId="2" applyFont="1" applyFill="1" applyBorder="1"/>
    <xf numFmtId="2" fontId="0" fillId="24" borderId="8" xfId="0" applyNumberFormat="1" applyFill="1" applyBorder="1"/>
    <xf numFmtId="10" fontId="0" fillId="24" borderId="8" xfId="5" applyNumberFormat="1" applyFont="1" applyFill="1" applyBorder="1"/>
    <xf numFmtId="2" fontId="41" fillId="24" borderId="8" xfId="0" applyNumberFormat="1" applyFont="1" applyFill="1" applyBorder="1" applyAlignment="1">
      <alignment horizontal="center"/>
    </xf>
    <xf numFmtId="9" fontId="0" fillId="24" borderId="8" xfId="5" applyFont="1" applyFill="1" applyBorder="1"/>
    <xf numFmtId="0" fontId="20" fillId="7" borderId="8" xfId="0" applyFont="1" applyFill="1" applyBorder="1" applyAlignment="1">
      <alignment horizontal="center"/>
    </xf>
    <xf numFmtId="171" fontId="0" fillId="7" borderId="8" xfId="2" applyNumberFormat="1" applyFont="1" applyFill="1" applyBorder="1"/>
    <xf numFmtId="2" fontId="0" fillId="7" borderId="8" xfId="0" applyNumberFormat="1" applyFill="1" applyBorder="1"/>
    <xf numFmtId="10" fontId="0" fillId="7" borderId="8" xfId="5" applyNumberFormat="1" applyFont="1" applyFill="1" applyBorder="1"/>
    <xf numFmtId="9" fontId="0" fillId="24" borderId="9" xfId="5" applyFont="1" applyFill="1" applyBorder="1"/>
    <xf numFmtId="0" fontId="0" fillId="7" borderId="8" xfId="0" applyFill="1" applyBorder="1"/>
    <xf numFmtId="0" fontId="3" fillId="39" borderId="8" xfId="0" applyFont="1" applyFill="1" applyBorder="1" applyAlignment="1">
      <alignment horizontal="center" wrapText="1"/>
    </xf>
    <xf numFmtId="0" fontId="0" fillId="39" borderId="8" xfId="0" applyFill="1" applyBorder="1"/>
    <xf numFmtId="171" fontId="0" fillId="39" borderId="8" xfId="2" applyNumberFormat="1" applyFont="1" applyFill="1" applyBorder="1"/>
    <xf numFmtId="2" fontId="0" fillId="39" borderId="8" xfId="0" applyNumberFormat="1" applyFill="1" applyBorder="1"/>
    <xf numFmtId="10" fontId="0" fillId="39" borderId="8" xfId="5" applyNumberFormat="1" applyFont="1" applyFill="1" applyBorder="1"/>
    <xf numFmtId="9" fontId="0" fillId="39" borderId="9" xfId="5" applyFont="1" applyFill="1" applyBorder="1"/>
    <xf numFmtId="2" fontId="41" fillId="3" borderId="49" xfId="0" applyNumberFormat="1" applyFont="1" applyFill="1" applyBorder="1" applyAlignment="1">
      <alignment horizontal="center"/>
    </xf>
    <xf numFmtId="14" fontId="26" fillId="3" borderId="9" xfId="0" applyNumberFormat="1" applyFont="1" applyFill="1" applyBorder="1"/>
    <xf numFmtId="0" fontId="0" fillId="3" borderId="9" xfId="0" applyFill="1" applyBorder="1"/>
    <xf numFmtId="9" fontId="4" fillId="3" borderId="9" xfId="0" applyNumberFormat="1" applyFont="1" applyFill="1" applyBorder="1" applyAlignment="1">
      <alignment horizontal="center"/>
    </xf>
    <xf numFmtId="166" fontId="4" fillId="3" borderId="9" xfId="2" applyFont="1" applyFill="1" applyBorder="1"/>
    <xf numFmtId="9" fontId="0" fillId="8" borderId="9" xfId="5" applyFont="1" applyFill="1" applyBorder="1"/>
    <xf numFmtId="2" fontId="86" fillId="8" borderId="8" xfId="0" applyNumberFormat="1" applyFont="1" applyFill="1" applyBorder="1" applyAlignment="1">
      <alignment horizontal="center"/>
    </xf>
    <xf numFmtId="171" fontId="73" fillId="8" borderId="8" xfId="2" applyNumberFormat="1" applyFont="1" applyFill="1" applyBorder="1"/>
    <xf numFmtId="0" fontId="84" fillId="0" borderId="8" xfId="0" applyFont="1" applyBorder="1"/>
    <xf numFmtId="9" fontId="84" fillId="0" borderId="8" xfId="0" applyNumberFormat="1" applyFont="1" applyBorder="1"/>
    <xf numFmtId="44" fontId="0" fillId="0" borderId="8" xfId="0" applyNumberFormat="1" applyBorder="1"/>
    <xf numFmtId="0" fontId="16" fillId="10" borderId="35" xfId="0" applyFont="1" applyFill="1" applyBorder="1"/>
    <xf numFmtId="0" fontId="16" fillId="10" borderId="11" xfId="0" applyFont="1" applyFill="1" applyBorder="1"/>
    <xf numFmtId="0" fontId="33" fillId="3" borderId="38" xfId="4" applyFont="1" applyFill="1" applyBorder="1"/>
    <xf numFmtId="171" fontId="33" fillId="0" borderId="41" xfId="2" applyNumberFormat="1" applyFont="1" applyBorder="1"/>
    <xf numFmtId="0" fontId="39" fillId="4" borderId="61" xfId="0" applyFont="1" applyFill="1" applyBorder="1" applyAlignment="1">
      <alignment horizontal="center" vertical="center"/>
    </xf>
    <xf numFmtId="0" fontId="16" fillId="10" borderId="9" xfId="0" applyFont="1" applyFill="1" applyBorder="1"/>
    <xf numFmtId="0" fontId="0" fillId="10" borderId="55" xfId="0" applyFill="1" applyBorder="1"/>
    <xf numFmtId="174" fontId="36" fillId="0" borderId="36" xfId="2" applyNumberFormat="1" applyFont="1" applyFill="1" applyBorder="1" applyAlignment="1">
      <alignment horizontal="center"/>
    </xf>
    <xf numFmtId="171" fontId="33" fillId="0" borderId="37" xfId="2" applyNumberFormat="1" applyFont="1" applyFill="1" applyBorder="1" applyAlignment="1">
      <alignment horizontal="center"/>
    </xf>
    <xf numFmtId="174" fontId="36" fillId="0" borderId="16" xfId="2" applyNumberFormat="1" applyFont="1" applyFill="1" applyBorder="1" applyAlignment="1">
      <alignment horizontal="center"/>
    </xf>
    <xf numFmtId="171" fontId="33" fillId="0" borderId="14" xfId="2" applyNumberFormat="1" applyFont="1" applyFill="1" applyBorder="1" applyAlignment="1">
      <alignment horizontal="center"/>
    </xf>
    <xf numFmtId="174" fontId="36" fillId="0" borderId="38" xfId="2" applyNumberFormat="1" applyFont="1" applyFill="1" applyBorder="1" applyAlignment="1">
      <alignment horizontal="center"/>
    </xf>
    <xf numFmtId="171" fontId="33" fillId="0" borderId="15" xfId="2" applyNumberFormat="1" applyFont="1" applyFill="1" applyBorder="1" applyAlignment="1">
      <alignment horizontal="center"/>
    </xf>
    <xf numFmtId="174" fontId="36" fillId="0" borderId="62" xfId="2" applyNumberFormat="1" applyFont="1" applyFill="1" applyBorder="1" applyAlignment="1">
      <alignment horizontal="center"/>
    </xf>
    <xf numFmtId="171" fontId="33" fillId="0" borderId="42" xfId="2" applyNumberFormat="1" applyFont="1" applyBorder="1" applyAlignment="1">
      <alignment horizontal="center"/>
    </xf>
    <xf numFmtId="174" fontId="36" fillId="0" borderId="50" xfId="2" applyNumberFormat="1" applyFont="1" applyFill="1" applyBorder="1" applyAlignment="1">
      <alignment horizontal="center"/>
    </xf>
    <xf numFmtId="171" fontId="33" fillId="0" borderId="11" xfId="2" applyNumberFormat="1" applyFont="1" applyBorder="1" applyAlignment="1">
      <alignment horizontal="center"/>
    </xf>
    <xf numFmtId="171" fontId="33" fillId="0" borderId="57" xfId="2" applyNumberFormat="1" applyFont="1" applyFill="1" applyBorder="1" applyAlignment="1">
      <alignment horizontal="center"/>
    </xf>
    <xf numFmtId="174" fontId="36" fillId="0" borderId="61" xfId="2" applyNumberFormat="1" applyFont="1" applyFill="1" applyBorder="1" applyAlignment="1">
      <alignment horizontal="center"/>
    </xf>
    <xf numFmtId="171" fontId="33" fillId="0" borderId="9" xfId="2" applyNumberFormat="1" applyFont="1" applyBorder="1" applyAlignment="1">
      <alignment horizontal="center"/>
    </xf>
    <xf numFmtId="171" fontId="33" fillId="0" borderId="55" xfId="2" applyNumberFormat="1" applyFont="1" applyFill="1" applyBorder="1" applyAlignment="1">
      <alignment horizontal="center"/>
    </xf>
    <xf numFmtId="171" fontId="33" fillId="0" borderId="24" xfId="2" applyNumberFormat="1" applyFont="1" applyBorder="1" applyAlignment="1">
      <alignment horizontal="center"/>
    </xf>
    <xf numFmtId="171" fontId="33" fillId="0" borderId="21" xfId="2" applyNumberFormat="1" applyFont="1" applyBorder="1" applyAlignment="1">
      <alignment horizontal="center"/>
    </xf>
    <xf numFmtId="171" fontId="0" fillId="7" borderId="8" xfId="0" applyNumberFormat="1" applyFill="1" applyBorder="1"/>
    <xf numFmtId="0" fontId="0" fillId="9" borderId="8" xfId="0" applyFill="1" applyBorder="1"/>
    <xf numFmtId="166" fontId="0" fillId="9" borderId="8" xfId="2" applyFont="1" applyFill="1" applyBorder="1"/>
    <xf numFmtId="166" fontId="0" fillId="14" borderId="8" xfId="2" applyFont="1" applyFill="1" applyBorder="1"/>
    <xf numFmtId="0" fontId="33" fillId="3" borderId="50" xfId="4" applyFont="1" applyFill="1" applyBorder="1"/>
    <xf numFmtId="171" fontId="33" fillId="0" borderId="57" xfId="2" applyNumberFormat="1" applyFont="1" applyBorder="1"/>
    <xf numFmtId="171" fontId="36" fillId="0" borderId="0" xfId="2" applyNumberFormat="1" applyFont="1" applyBorder="1" applyAlignment="1">
      <alignment horizontal="center"/>
    </xf>
    <xf numFmtId="171" fontId="33" fillId="0" borderId="0" xfId="2" applyNumberFormat="1" applyFont="1" applyBorder="1"/>
    <xf numFmtId="0" fontId="52" fillId="30" borderId="0" xfId="0" applyFont="1" applyFill="1" applyAlignment="1">
      <alignment vertical="center"/>
    </xf>
    <xf numFmtId="166" fontId="48" fillId="4" borderId="0" xfId="2" applyFont="1" applyFill="1" applyBorder="1" applyAlignment="1">
      <alignment horizontal="center" vertical="center"/>
    </xf>
    <xf numFmtId="166" fontId="48" fillId="4" borderId="0" xfId="2" applyFont="1" applyFill="1" applyAlignment="1">
      <alignment horizontal="center" vertical="center"/>
    </xf>
    <xf numFmtId="166" fontId="48" fillId="28" borderId="0" xfId="2" applyFont="1" applyFill="1" applyBorder="1" applyAlignment="1">
      <alignment vertical="center"/>
    </xf>
    <xf numFmtId="0" fontId="0" fillId="22" borderId="0" xfId="0" applyFill="1"/>
    <xf numFmtId="166" fontId="0" fillId="0" borderId="0" xfId="0" applyNumberFormat="1"/>
    <xf numFmtId="169" fontId="48" fillId="29" borderId="0" xfId="5" applyNumberFormat="1" applyFont="1" applyFill="1" applyBorder="1" applyAlignment="1">
      <alignment horizontal="center" vertical="center"/>
    </xf>
    <xf numFmtId="0" fontId="4" fillId="4" borderId="25" xfId="0" applyFont="1" applyFill="1" applyBorder="1"/>
    <xf numFmtId="171" fontId="0" fillId="0" borderId="0" xfId="0" applyNumberFormat="1"/>
    <xf numFmtId="166" fontId="48" fillId="11" borderId="0" xfId="2" applyFont="1" applyFill="1" applyBorder="1" applyAlignment="1">
      <alignment horizontal="center" vertical="center"/>
    </xf>
    <xf numFmtId="171" fontId="48" fillId="11" borderId="0" xfId="2" applyNumberFormat="1" applyFont="1" applyFill="1" applyBorder="1" applyAlignment="1">
      <alignment horizontal="center" vertical="center"/>
    </xf>
    <xf numFmtId="0" fontId="48" fillId="11" borderId="0" xfId="0" applyFont="1" applyFill="1" applyAlignment="1">
      <alignment horizontal="center" vertical="center"/>
    </xf>
    <xf numFmtId="171" fontId="48" fillId="11" borderId="0" xfId="2" applyNumberFormat="1" applyFont="1" applyFill="1" applyAlignment="1">
      <alignment horizontal="center" vertical="center"/>
    </xf>
    <xf numFmtId="10" fontId="0" fillId="40" borderId="8" xfId="5" applyNumberFormat="1" applyFont="1" applyFill="1" applyBorder="1"/>
    <xf numFmtId="0" fontId="0" fillId="40" borderId="8" xfId="0" applyFill="1" applyBorder="1"/>
    <xf numFmtId="166" fontId="48" fillId="41" borderId="0" xfId="2" applyFont="1" applyFill="1" applyBorder="1" applyAlignment="1">
      <alignment horizontal="center" vertical="center"/>
    </xf>
    <xf numFmtId="166" fontId="31" fillId="41" borderId="0" xfId="2" applyFont="1" applyFill="1"/>
    <xf numFmtId="0" fontId="66" fillId="3" borderId="0" xfId="0" applyFont="1" applyFill="1" applyAlignment="1">
      <alignment horizontal="left" vertical="center"/>
    </xf>
    <xf numFmtId="171" fontId="48" fillId="20" borderId="0" xfId="2" applyNumberFormat="1" applyFont="1" applyFill="1" applyAlignment="1">
      <alignment horizontal="center" vertical="center"/>
    </xf>
    <xf numFmtId="171" fontId="4" fillId="4" borderId="0" xfId="2" applyNumberFormat="1" applyFont="1" applyFill="1"/>
    <xf numFmtId="0" fontId="88" fillId="3" borderId="0" xfId="0" applyFont="1" applyFill="1" applyAlignment="1">
      <alignment horizontal="center" vertical="center"/>
    </xf>
    <xf numFmtId="4" fontId="0" fillId="0" borderId="0" xfId="0" applyNumberFormat="1"/>
    <xf numFmtId="174" fontId="36" fillId="0" borderId="18" xfId="2" applyNumberFormat="1" applyFont="1" applyFill="1" applyBorder="1" applyAlignment="1">
      <alignment horizontal="center"/>
    </xf>
    <xf numFmtId="171" fontId="33" fillId="0" borderId="19" xfId="2" applyNumberFormat="1" applyFont="1" applyBorder="1" applyAlignment="1">
      <alignment horizontal="center"/>
    </xf>
    <xf numFmtId="171" fontId="33" fillId="0" borderId="20" xfId="2" applyNumberFormat="1" applyFont="1" applyFill="1" applyBorder="1" applyAlignment="1">
      <alignment horizontal="center"/>
    </xf>
    <xf numFmtId="0" fontId="0" fillId="28" borderId="0" xfId="0" applyFill="1"/>
    <xf numFmtId="171" fontId="0" fillId="11" borderId="0" xfId="2" applyNumberFormat="1" applyFont="1" applyFill="1"/>
    <xf numFmtId="166" fontId="0" fillId="4" borderId="0" xfId="2" applyFont="1" applyFill="1"/>
    <xf numFmtId="166" fontId="0" fillId="39" borderId="0" xfId="2" applyFont="1" applyFill="1"/>
    <xf numFmtId="0" fontId="45" fillId="3" borderId="0" xfId="0" applyFont="1" applyFill="1" applyAlignment="1">
      <alignment horizontal="left" vertical="center"/>
    </xf>
    <xf numFmtId="166" fontId="48" fillId="4" borderId="0" xfId="2" applyFont="1" applyFill="1" applyAlignment="1">
      <alignment horizontal="center"/>
    </xf>
    <xf numFmtId="171" fontId="48" fillId="3" borderId="0" xfId="2" applyNumberFormat="1" applyFont="1" applyFill="1" applyBorder="1" applyAlignment="1">
      <alignment horizontal="center" vertical="center"/>
    </xf>
    <xf numFmtId="0" fontId="52" fillId="21" borderId="0" xfId="0" applyFont="1" applyFill="1" applyAlignment="1">
      <alignment vertical="center"/>
    </xf>
    <xf numFmtId="0" fontId="48" fillId="21" borderId="0" xfId="0" applyFont="1" applyFill="1" applyAlignment="1">
      <alignment horizontal="center" vertical="center" wrapText="1"/>
    </xf>
    <xf numFmtId="0" fontId="48" fillId="21" borderId="0" xfId="0" applyFont="1" applyFill="1" applyAlignment="1">
      <alignment horizontal="center" vertical="center"/>
    </xf>
    <xf numFmtId="0" fontId="53" fillId="21" borderId="0" xfId="0" applyFont="1" applyFill="1" applyAlignment="1">
      <alignment horizontal="center" vertical="center" wrapText="1"/>
    </xf>
    <xf numFmtId="0" fontId="89" fillId="21" borderId="0" xfId="0" applyFont="1" applyFill="1" applyAlignment="1">
      <alignment vertical="center"/>
    </xf>
    <xf numFmtId="171" fontId="48" fillId="3" borderId="0" xfId="2" applyNumberFormat="1" applyFont="1" applyFill="1" applyAlignment="1">
      <alignment horizontal="center" vertical="center"/>
    </xf>
    <xf numFmtId="171" fontId="4" fillId="3" borderId="0" xfId="2" applyNumberFormat="1" applyFont="1" applyFill="1"/>
    <xf numFmtId="166" fontId="31" fillId="3" borderId="0" xfId="2" applyFont="1" applyFill="1"/>
    <xf numFmtId="171" fontId="48" fillId="42" borderId="0" xfId="2" applyNumberFormat="1" applyFont="1" applyFill="1" applyBorder="1" applyAlignment="1">
      <alignment horizontal="center" vertical="center"/>
    </xf>
    <xf numFmtId="171" fontId="48" fillId="42" borderId="0" xfId="2" applyNumberFormat="1" applyFont="1" applyFill="1" applyAlignment="1">
      <alignment horizontal="center"/>
    </xf>
    <xf numFmtId="166" fontId="48" fillId="42" borderId="0" xfId="2" applyFont="1" applyFill="1" applyBorder="1" applyAlignment="1">
      <alignment horizontal="center" vertical="center"/>
    </xf>
    <xf numFmtId="44" fontId="0" fillId="39" borderId="0" xfId="0" applyNumberFormat="1" applyFill="1"/>
    <xf numFmtId="4" fontId="16" fillId="0" borderId="0" xfId="2" applyNumberFormat="1" applyFont="1" applyFill="1" applyBorder="1" applyAlignment="1">
      <alignment horizontal="right"/>
    </xf>
    <xf numFmtId="10" fontId="0" fillId="11" borderId="8" xfId="5" applyNumberFormat="1" applyFont="1" applyFill="1" applyBorder="1" applyAlignment="1">
      <alignment horizontal="right"/>
    </xf>
    <xf numFmtId="10" fontId="0" fillId="15" borderId="8" xfId="5" applyNumberFormat="1" applyFont="1" applyFill="1" applyBorder="1" applyAlignment="1">
      <alignment horizontal="right"/>
    </xf>
    <xf numFmtId="179" fontId="0" fillId="0" borderId="0" xfId="0" applyNumberFormat="1"/>
    <xf numFmtId="0" fontId="78" fillId="6" borderId="9" xfId="0" applyFont="1" applyFill="1" applyBorder="1" applyAlignment="1">
      <alignment horizontal="right" vertical="top" wrapText="1" indent="2"/>
    </xf>
    <xf numFmtId="177" fontId="80" fillId="6" borderId="9" xfId="0" applyNumberFormat="1" applyFont="1" applyFill="1" applyBorder="1" applyAlignment="1">
      <alignment horizontal="center" vertical="top" wrapText="1" shrinkToFit="1"/>
    </xf>
    <xf numFmtId="0" fontId="0" fillId="6" borderId="9" xfId="0" applyFill="1" applyBorder="1"/>
    <xf numFmtId="2" fontId="16" fillId="6" borderId="9" xfId="0" applyNumberFormat="1" applyFont="1" applyFill="1" applyBorder="1" applyAlignment="1">
      <alignment horizontal="center" vertical="center"/>
    </xf>
    <xf numFmtId="9" fontId="0" fillId="6" borderId="8" xfId="0" applyNumberFormat="1" applyFill="1" applyBorder="1"/>
    <xf numFmtId="0" fontId="0" fillId="4" borderId="1" xfId="0" applyFill="1" applyBorder="1"/>
    <xf numFmtId="0" fontId="0" fillId="4" borderId="43" xfId="0" applyFill="1" applyBorder="1"/>
    <xf numFmtId="174" fontId="0" fillId="4" borderId="2" xfId="2" applyNumberFormat="1" applyFont="1" applyFill="1" applyBorder="1"/>
    <xf numFmtId="166" fontId="20" fillId="5" borderId="44" xfId="2" applyFont="1" applyFill="1" applyBorder="1" applyAlignment="1">
      <alignment horizontal="center"/>
    </xf>
    <xf numFmtId="166" fontId="20" fillId="5" borderId="60" xfId="2" applyFont="1" applyFill="1" applyBorder="1" applyAlignment="1">
      <alignment horizontal="center"/>
    </xf>
    <xf numFmtId="171" fontId="20" fillId="5" borderId="63" xfId="2" applyNumberFormat="1" applyFont="1" applyFill="1" applyBorder="1" applyAlignment="1">
      <alignment horizontal="center"/>
    </xf>
    <xf numFmtId="171" fontId="20" fillId="5" borderId="57" xfId="2" applyNumberFormat="1" applyFont="1" applyFill="1" applyBorder="1" applyAlignment="1">
      <alignment horizontal="center"/>
    </xf>
    <xf numFmtId="171" fontId="20" fillId="5" borderId="32" xfId="2" applyNumberFormat="1" applyFont="1" applyFill="1" applyBorder="1" applyAlignment="1">
      <alignment horizontal="center"/>
    </xf>
    <xf numFmtId="171" fontId="20" fillId="5" borderId="33" xfId="2" applyNumberFormat="1" applyFont="1" applyFill="1" applyBorder="1" applyAlignment="1">
      <alignment horizontal="center"/>
    </xf>
    <xf numFmtId="166" fontId="20" fillId="5" borderId="43" xfId="2" applyFont="1" applyFill="1" applyBorder="1" applyAlignment="1">
      <alignment horizontal="center"/>
    </xf>
    <xf numFmtId="180" fontId="80" fillId="6" borderId="8" xfId="0" applyNumberFormat="1" applyFont="1" applyFill="1" applyBorder="1" applyAlignment="1">
      <alignment horizontal="center" vertical="top" wrapText="1" shrinkToFit="1"/>
    </xf>
    <xf numFmtId="181" fontId="80" fillId="6" borderId="8" xfId="0" applyNumberFormat="1" applyFont="1" applyFill="1" applyBorder="1" applyAlignment="1">
      <alignment horizontal="center" vertical="top" wrapText="1" shrinkToFit="1"/>
    </xf>
    <xf numFmtId="2" fontId="12" fillId="4" borderId="8" xfId="0" applyNumberFormat="1" applyFont="1" applyFill="1" applyBorder="1" applyAlignment="1">
      <alignment horizontal="center"/>
    </xf>
    <xf numFmtId="171" fontId="0" fillId="0" borderId="8" xfId="0" applyNumberFormat="1" applyBorder="1"/>
    <xf numFmtId="171" fontId="33" fillId="0" borderId="27" xfId="2" applyNumberFormat="1" applyFont="1" applyFill="1" applyBorder="1" applyAlignment="1">
      <alignment horizontal="center"/>
    </xf>
    <xf numFmtId="171" fontId="33" fillId="0" borderId="52" xfId="2" applyNumberFormat="1" applyFont="1" applyFill="1" applyBorder="1" applyAlignment="1">
      <alignment horizontal="center"/>
    </xf>
    <xf numFmtId="181" fontId="0" fillId="6" borderId="8" xfId="0" applyNumberFormat="1" applyFill="1" applyBorder="1"/>
    <xf numFmtId="2" fontId="0" fillId="6" borderId="8" xfId="2" applyNumberFormat="1" applyFont="1" applyFill="1" applyBorder="1"/>
    <xf numFmtId="44" fontId="0" fillId="11" borderId="8" xfId="0" applyNumberFormat="1" applyFill="1" applyBorder="1"/>
    <xf numFmtId="9" fontId="0" fillId="16" borderId="8" xfId="5" applyFont="1" applyFill="1" applyBorder="1"/>
    <xf numFmtId="4" fontId="0" fillId="0" borderId="8" xfId="0" applyNumberFormat="1" applyBorder="1"/>
    <xf numFmtId="2" fontId="0" fillId="0" borderId="8" xfId="0" applyNumberFormat="1" applyBorder="1"/>
    <xf numFmtId="0" fontId="11" fillId="3" borderId="8" xfId="4" applyFont="1" applyFill="1" applyBorder="1"/>
    <xf numFmtId="0" fontId="3" fillId="3" borderId="8" xfId="0" applyFont="1" applyFill="1" applyBorder="1"/>
    <xf numFmtId="0" fontId="0" fillId="3" borderId="8" xfId="0" applyFill="1" applyBorder="1"/>
    <xf numFmtId="0" fontId="16" fillId="0" borderId="8" xfId="0" applyFont="1" applyBorder="1"/>
    <xf numFmtId="2" fontId="0" fillId="4" borderId="8" xfId="0" applyNumberFormat="1" applyFill="1" applyBorder="1" applyAlignment="1">
      <alignment horizontal="center" vertical="center"/>
    </xf>
    <xf numFmtId="174" fontId="0" fillId="4" borderId="8" xfId="0" applyNumberFormat="1" applyFill="1" applyBorder="1"/>
    <xf numFmtId="14" fontId="4" fillId="0" borderId="0" xfId="0" applyNumberFormat="1" applyFont="1"/>
    <xf numFmtId="10" fontId="0" fillId="0" borderId="0" xfId="5" applyNumberFormat="1" applyFont="1"/>
    <xf numFmtId="0" fontId="0" fillId="0" borderId="36" xfId="0" applyBorder="1"/>
    <xf numFmtId="9" fontId="0" fillId="0" borderId="37" xfId="0" applyNumberFormat="1" applyBorder="1"/>
    <xf numFmtId="0" fontId="0" fillId="0" borderId="38" xfId="0" applyBorder="1"/>
    <xf numFmtId="9" fontId="0" fillId="0" borderId="15" xfId="0" applyNumberFormat="1" applyBorder="1"/>
    <xf numFmtId="17" fontId="0" fillId="43" borderId="8" xfId="0" applyNumberFormat="1" applyFill="1" applyBorder="1"/>
    <xf numFmtId="0" fontId="20" fillId="43" borderId="8" xfId="0" applyFont="1" applyFill="1" applyBorder="1"/>
    <xf numFmtId="171" fontId="0" fillId="43" borderId="8" xfId="2" applyNumberFormat="1" applyFont="1" applyFill="1" applyBorder="1"/>
    <xf numFmtId="0" fontId="0" fillId="43" borderId="8" xfId="0" applyFill="1" applyBorder="1"/>
    <xf numFmtId="0" fontId="33" fillId="44" borderId="8" xfId="4" applyFont="1" applyFill="1" applyBorder="1"/>
    <xf numFmtId="171" fontId="33" fillId="44" borderId="8" xfId="2" applyNumberFormat="1" applyFont="1" applyFill="1" applyBorder="1" applyAlignment="1"/>
    <xf numFmtId="174" fontId="0" fillId="0" borderId="48" xfId="2" applyNumberFormat="1" applyFont="1" applyBorder="1"/>
    <xf numFmtId="49" fontId="20" fillId="0" borderId="8" xfId="0" applyNumberFormat="1" applyFont="1" applyBorder="1" applyAlignment="1" applyProtection="1">
      <alignment horizontal="center" vertical="center" wrapText="1"/>
      <protection locked="0"/>
    </xf>
    <xf numFmtId="49" fontId="32" fillId="3" borderId="8" xfId="0" applyNumberFormat="1" applyFont="1" applyFill="1" applyBorder="1" applyAlignment="1" applyProtection="1">
      <alignment horizontal="center" vertical="center"/>
      <protection locked="0"/>
    </xf>
    <xf numFmtId="49" fontId="32" fillId="3" borderId="9" xfId="0" applyNumberFormat="1" applyFont="1" applyFill="1" applyBorder="1" applyAlignment="1" applyProtection="1">
      <alignment horizontal="center" vertical="center"/>
      <protection locked="0"/>
    </xf>
    <xf numFmtId="49" fontId="32" fillId="0" borderId="8" xfId="0" applyNumberFormat="1" applyFont="1" applyBorder="1" applyAlignment="1" applyProtection="1">
      <alignment horizontal="center" vertical="center"/>
      <protection locked="0"/>
    </xf>
    <xf numFmtId="49" fontId="20" fillId="0" borderId="11" xfId="0" applyNumberFormat="1" applyFont="1" applyBorder="1" applyAlignment="1" applyProtection="1">
      <alignment horizontal="center" vertical="center" wrapText="1"/>
      <protection locked="0"/>
    </xf>
    <xf numFmtId="181" fontId="0" fillId="0" borderId="0" xfId="0" applyNumberFormat="1"/>
    <xf numFmtId="10" fontId="11" fillId="15" borderId="8" xfId="5" applyNumberFormat="1" applyFont="1" applyFill="1" applyBorder="1"/>
    <xf numFmtId="168" fontId="0" fillId="11" borderId="20" xfId="1" applyNumberFormat="1" applyFont="1" applyFill="1" applyBorder="1"/>
    <xf numFmtId="9" fontId="84" fillId="0" borderId="53" xfId="0" applyNumberFormat="1" applyFont="1" applyBorder="1"/>
    <xf numFmtId="0" fontId="0" fillId="11" borderId="8" xfId="0" applyFill="1" applyBorder="1"/>
    <xf numFmtId="14" fontId="28" fillId="8" borderId="45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4" fontId="11" fillId="4" borderId="24" xfId="0" applyNumberFormat="1" applyFont="1" applyFill="1" applyBorder="1" applyAlignment="1">
      <alignment horizontal="center"/>
    </xf>
    <xf numFmtId="10" fontId="11" fillId="4" borderId="24" xfId="5" applyNumberFormat="1" applyFont="1" applyFill="1" applyBorder="1" applyAlignment="1">
      <alignment horizontal="center"/>
    </xf>
    <xf numFmtId="165" fontId="9" fillId="4" borderId="24" xfId="0" applyNumberFormat="1" applyFont="1" applyFill="1" applyBorder="1"/>
    <xf numFmtId="169" fontId="9" fillId="4" borderId="24" xfId="0" applyNumberFormat="1" applyFont="1" applyFill="1" applyBorder="1"/>
    <xf numFmtId="10" fontId="9" fillId="4" borderId="24" xfId="0" applyNumberFormat="1" applyFont="1" applyFill="1" applyBorder="1"/>
    <xf numFmtId="10" fontId="9" fillId="4" borderId="22" xfId="0" applyNumberFormat="1" applyFont="1" applyFill="1" applyBorder="1"/>
    <xf numFmtId="9" fontId="27" fillId="4" borderId="27" xfId="0" applyNumberFormat="1" applyFont="1" applyFill="1" applyBorder="1"/>
    <xf numFmtId="9" fontId="27" fillId="4" borderId="2" xfId="0" applyNumberFormat="1" applyFont="1" applyFill="1" applyBorder="1"/>
    <xf numFmtId="0" fontId="2" fillId="4" borderId="8" xfId="0" applyFont="1" applyFill="1" applyBorder="1" applyAlignment="1">
      <alignment horizontal="left"/>
    </xf>
    <xf numFmtId="0" fontId="31" fillId="4" borderId="8" xfId="0" applyFont="1" applyFill="1" applyBorder="1" applyAlignment="1">
      <alignment horizontal="center" vertical="center"/>
    </xf>
    <xf numFmtId="0" fontId="0" fillId="5" borderId="0" xfId="0" applyFill="1"/>
    <xf numFmtId="2" fontId="11" fillId="5" borderId="0" xfId="0" applyNumberFormat="1" applyFont="1" applyFill="1"/>
    <xf numFmtId="10" fontId="11" fillId="5" borderId="0" xfId="5" applyNumberFormat="1" applyFont="1" applyFill="1" applyBorder="1"/>
    <xf numFmtId="9" fontId="0" fillId="5" borderId="0" xfId="5" applyFont="1" applyFill="1" applyBorder="1"/>
    <xf numFmtId="2" fontId="11" fillId="5" borderId="0" xfId="0" applyNumberFormat="1" applyFont="1" applyFill="1" applyAlignment="1">
      <alignment horizontal="right"/>
    </xf>
    <xf numFmtId="10" fontId="0" fillId="6" borderId="5" xfId="5" applyNumberFormat="1" applyFont="1" applyFill="1" applyBorder="1"/>
    <xf numFmtId="0" fontId="0" fillId="6" borderId="5" xfId="0" applyFill="1" applyBorder="1" applyAlignment="1">
      <alignment horizontal="right"/>
    </xf>
    <xf numFmtId="174" fontId="0" fillId="0" borderId="8" xfId="0" applyNumberFormat="1" applyBorder="1"/>
    <xf numFmtId="0" fontId="0" fillId="9" borderId="43" xfId="0" applyFill="1" applyBorder="1"/>
    <xf numFmtId="10" fontId="0" fillId="3" borderId="0" xfId="5" applyNumberFormat="1" applyFont="1" applyFill="1" applyBorder="1"/>
    <xf numFmtId="10" fontId="0" fillId="9" borderId="43" xfId="5" applyNumberFormat="1" applyFont="1" applyFill="1" applyBorder="1"/>
    <xf numFmtId="169" fontId="0" fillId="0" borderId="0" xfId="5" applyNumberFormat="1" applyFont="1"/>
    <xf numFmtId="169" fontId="0" fillId="5" borderId="0" xfId="5" applyNumberFormat="1" applyFont="1" applyFill="1" applyBorder="1"/>
    <xf numFmtId="0" fontId="4" fillId="19" borderId="0" xfId="4" applyFont="1" applyFill="1" applyAlignment="1">
      <alignment horizontal="center"/>
    </xf>
    <xf numFmtId="9" fontId="4" fillId="19" borderId="0" xfId="5" applyFont="1" applyFill="1" applyBorder="1" applyAlignment="1">
      <alignment horizontal="center"/>
    </xf>
    <xf numFmtId="10" fontId="0" fillId="11" borderId="8" xfId="5" applyNumberFormat="1" applyFont="1" applyFill="1" applyBorder="1" applyAlignment="1"/>
    <xf numFmtId="10" fontId="0" fillId="15" borderId="8" xfId="5" applyNumberFormat="1" applyFont="1" applyFill="1" applyBorder="1" applyAlignment="1"/>
    <xf numFmtId="4" fontId="16" fillId="0" borderId="8" xfId="2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0" fontId="4" fillId="4" borderId="1" xfId="0" applyNumberFormat="1" applyFont="1" applyFill="1" applyBorder="1" applyAlignment="1">
      <alignment horizontal="center"/>
    </xf>
    <xf numFmtId="10" fontId="11" fillId="44" borderId="8" xfId="0" applyNumberFormat="1" applyFont="1" applyFill="1" applyBorder="1"/>
    <xf numFmtId="0" fontId="0" fillId="44" borderId="8" xfId="0" applyFill="1" applyBorder="1"/>
    <xf numFmtId="10" fontId="4" fillId="4" borderId="5" xfId="0" applyNumberFormat="1" applyFont="1" applyFill="1" applyBorder="1" applyAlignment="1">
      <alignment horizontal="center"/>
    </xf>
    <xf numFmtId="10" fontId="4" fillId="4" borderId="43" xfId="0" applyNumberFormat="1" applyFont="1" applyFill="1" applyBorder="1" applyAlignment="1">
      <alignment horizontal="center"/>
    </xf>
    <xf numFmtId="0" fontId="30" fillId="44" borderId="8" xfId="0" applyFont="1" applyFill="1" applyBorder="1" applyAlignment="1">
      <alignment wrapText="1"/>
    </xf>
    <xf numFmtId="0" fontId="0" fillId="44" borderId="8" xfId="0" applyFill="1" applyBorder="1" applyAlignment="1">
      <alignment horizontal="center"/>
    </xf>
    <xf numFmtId="166" fontId="0" fillId="44" borderId="8" xfId="2" applyFont="1" applyFill="1" applyBorder="1"/>
    <xf numFmtId="2" fontId="0" fillId="44" borderId="8" xfId="0" applyNumberFormat="1" applyFill="1" applyBorder="1"/>
    <xf numFmtId="0" fontId="17" fillId="44" borderId="8" xfId="0" applyFont="1" applyFill="1" applyBorder="1" applyAlignment="1">
      <alignment horizontal="left" wrapText="1"/>
    </xf>
    <xf numFmtId="0" fontId="18" fillId="44" borderId="8" xfId="0" applyFont="1" applyFill="1" applyBorder="1" applyAlignment="1">
      <alignment horizontal="center" wrapText="1"/>
    </xf>
    <xf numFmtId="0" fontId="33" fillId="44" borderId="8" xfId="0" applyFont="1" applyFill="1" applyBorder="1"/>
    <xf numFmtId="2" fontId="11" fillId="44" borderId="8" xfId="0" applyNumberFormat="1" applyFont="1" applyFill="1" applyBorder="1"/>
    <xf numFmtId="166" fontId="0" fillId="28" borderId="8" xfId="2" applyFont="1" applyFill="1" applyBorder="1"/>
    <xf numFmtId="0" fontId="0" fillId="0" borderId="11" xfId="0" applyBorder="1"/>
    <xf numFmtId="166" fontId="0" fillId="0" borderId="11" xfId="2" applyFont="1" applyBorder="1"/>
    <xf numFmtId="166" fontId="33" fillId="0" borderId="8" xfId="2" applyFont="1" applyBorder="1"/>
    <xf numFmtId="0" fontId="93" fillId="4" borderId="8" xfId="0" applyFont="1" applyFill="1" applyBorder="1"/>
    <xf numFmtId="14" fontId="4" fillId="0" borderId="1" xfId="0" applyNumberFormat="1" applyFont="1" applyBorder="1"/>
    <xf numFmtId="0" fontId="33" fillId="4" borderId="16" xfId="0" applyFont="1" applyFill="1" applyBorder="1" applyAlignment="1">
      <alignment horizontal="center"/>
    </xf>
    <xf numFmtId="0" fontId="33" fillId="3" borderId="32" xfId="0" applyFont="1" applyFill="1" applyBorder="1"/>
    <xf numFmtId="171" fontId="33" fillId="0" borderId="14" xfId="2" applyNumberFormat="1" applyFont="1" applyBorder="1" applyAlignment="1">
      <alignment horizontal="center"/>
    </xf>
    <xf numFmtId="0" fontId="16" fillId="3" borderId="16" xfId="0" applyFont="1" applyFill="1" applyBorder="1"/>
    <xf numFmtId="0" fontId="33" fillId="3" borderId="16" xfId="0" applyFont="1" applyFill="1" applyBorder="1"/>
    <xf numFmtId="0" fontId="33" fillId="4" borderId="4" xfId="0" applyFont="1" applyFill="1" applyBorder="1"/>
    <xf numFmtId="0" fontId="36" fillId="3" borderId="16" xfId="0" applyFont="1" applyFill="1" applyBorder="1"/>
    <xf numFmtId="0" fontId="33" fillId="3" borderId="38" xfId="0" applyFont="1" applyFill="1" applyBorder="1"/>
    <xf numFmtId="171" fontId="33" fillId="0" borderId="15" xfId="2" applyNumberFormat="1" applyFont="1" applyBorder="1" applyAlignment="1">
      <alignment horizontal="center"/>
    </xf>
    <xf numFmtId="0" fontId="94" fillId="0" borderId="0" xfId="0" applyFont="1"/>
    <xf numFmtId="16" fontId="94" fillId="0" borderId="0" xfId="0" applyNumberFormat="1" applyFont="1"/>
    <xf numFmtId="0" fontId="0" fillId="41" borderId="8" xfId="0" applyFill="1" applyBorder="1"/>
    <xf numFmtId="14" fontId="0" fillId="41" borderId="8" xfId="0" applyNumberFormat="1" applyFill="1" applyBorder="1"/>
    <xf numFmtId="0" fontId="16" fillId="4" borderId="57" xfId="0" applyFont="1" applyFill="1" applyBorder="1"/>
    <xf numFmtId="0" fontId="33" fillId="0" borderId="16" xfId="0" applyFont="1" applyBorder="1"/>
    <xf numFmtId="0" fontId="33" fillId="3" borderId="61" xfId="0" applyFont="1" applyFill="1" applyBorder="1"/>
    <xf numFmtId="0" fontId="33" fillId="0" borderId="38" xfId="0" applyFont="1" applyBorder="1"/>
    <xf numFmtId="174" fontId="33" fillId="0" borderId="0" xfId="2" applyNumberFormat="1" applyFont="1" applyFill="1" applyBorder="1"/>
    <xf numFmtId="0" fontId="98" fillId="0" borderId="0" xfId="0" applyFont="1" applyAlignment="1">
      <alignment horizontal="center" vertical="center"/>
    </xf>
    <xf numFmtId="0" fontId="99" fillId="0" borderId="0" xfId="0" applyFont="1"/>
    <xf numFmtId="0" fontId="16" fillId="4" borderId="12" xfId="0" applyFont="1" applyFill="1" applyBorder="1"/>
    <xf numFmtId="171" fontId="33" fillId="0" borderId="10" xfId="2" applyNumberFormat="1" applyFont="1" applyBorder="1" applyAlignment="1">
      <alignment horizontal="center"/>
    </xf>
    <xf numFmtId="171" fontId="33" fillId="0" borderId="31" xfId="2" applyNumberFormat="1" applyFont="1" applyBorder="1" applyAlignment="1">
      <alignment horizontal="center"/>
    </xf>
    <xf numFmtId="0" fontId="33" fillId="13" borderId="14" xfId="0" applyFont="1" applyFill="1" applyBorder="1"/>
    <xf numFmtId="171" fontId="33" fillId="0" borderId="15" xfId="2" applyNumberFormat="1" applyFont="1" applyBorder="1"/>
    <xf numFmtId="0" fontId="33" fillId="0" borderId="0" xfId="0" applyFont="1" applyAlignment="1">
      <alignment horizontal="center"/>
    </xf>
    <xf numFmtId="0" fontId="49" fillId="0" borderId="0" xfId="0" applyFont="1" applyAlignment="1">
      <alignment horizontal="center" vertical="center"/>
    </xf>
    <xf numFmtId="166" fontId="33" fillId="0" borderId="0" xfId="2" applyFont="1" applyBorder="1"/>
    <xf numFmtId="0" fontId="33" fillId="0" borderId="13" xfId="0" applyFont="1" applyBorder="1" applyAlignment="1">
      <alignment horizontal="center"/>
    </xf>
    <xf numFmtId="174" fontId="4" fillId="4" borderId="0" xfId="2" applyNumberFormat="1" applyFont="1" applyFill="1" applyBorder="1"/>
    <xf numFmtId="0" fontId="40" fillId="4" borderId="0" xfId="0" applyFont="1" applyFill="1"/>
    <xf numFmtId="0" fontId="33" fillId="13" borderId="57" xfId="0" applyFont="1" applyFill="1" applyBorder="1"/>
    <xf numFmtId="0" fontId="16" fillId="4" borderId="0" xfId="0" applyFont="1" applyFill="1"/>
    <xf numFmtId="171" fontId="33" fillId="3" borderId="0" xfId="2" applyNumberFormat="1" applyFont="1" applyFill="1" applyBorder="1"/>
    <xf numFmtId="0" fontId="16" fillId="3" borderId="0" xfId="0" applyFont="1" applyFill="1"/>
    <xf numFmtId="171" fontId="20" fillId="5" borderId="0" xfId="2" applyNumberFormat="1" applyFont="1" applyFill="1" applyBorder="1" applyAlignment="1">
      <alignment horizontal="center"/>
    </xf>
    <xf numFmtId="14" fontId="0" fillId="3" borderId="45" xfId="0" applyNumberFormat="1" applyFill="1" applyBorder="1" applyAlignment="1">
      <alignment horizontal="center"/>
    </xf>
    <xf numFmtId="166" fontId="20" fillId="5" borderId="65" xfId="2" applyFont="1" applyFill="1" applyBorder="1" applyAlignment="1">
      <alignment horizontal="center"/>
    </xf>
    <xf numFmtId="171" fontId="20" fillId="5" borderId="4" xfId="2" applyNumberFormat="1" applyFont="1" applyFill="1" applyBorder="1" applyAlignment="1">
      <alignment horizontal="center"/>
    </xf>
    <xf numFmtId="9" fontId="4" fillId="5" borderId="26" xfId="0" applyNumberFormat="1" applyFont="1" applyFill="1" applyBorder="1" applyAlignment="1">
      <alignment horizontal="center"/>
    </xf>
    <xf numFmtId="0" fontId="32" fillId="0" borderId="0" xfId="0" applyFont="1"/>
    <xf numFmtId="9" fontId="0" fillId="5" borderId="0" xfId="0" applyNumberFormat="1" applyFill="1"/>
    <xf numFmtId="171" fontId="20" fillId="5" borderId="10" xfId="2" applyNumberFormat="1" applyFont="1" applyFill="1" applyBorder="1" applyAlignment="1">
      <alignment horizontal="center"/>
    </xf>
    <xf numFmtId="166" fontId="20" fillId="5" borderId="10" xfId="2" applyFont="1" applyFill="1" applyBorder="1" applyAlignment="1">
      <alignment horizontal="center"/>
    </xf>
    <xf numFmtId="166" fontId="20" fillId="5" borderId="31" xfId="2" applyFont="1" applyFill="1" applyBorder="1" applyAlignment="1">
      <alignment horizontal="center"/>
    </xf>
    <xf numFmtId="171" fontId="20" fillId="5" borderId="8" xfId="2" applyNumberFormat="1" applyFont="1" applyFill="1" applyBorder="1" applyAlignment="1">
      <alignment horizontal="center"/>
    </xf>
    <xf numFmtId="166" fontId="20" fillId="5" borderId="8" xfId="2" applyFont="1" applyFill="1" applyBorder="1" applyAlignment="1">
      <alignment horizontal="center"/>
    </xf>
    <xf numFmtId="9" fontId="4" fillId="5" borderId="13" xfId="0" applyNumberFormat="1" applyFont="1" applyFill="1" applyBorder="1" applyAlignment="1">
      <alignment horizontal="center"/>
    </xf>
    <xf numFmtId="171" fontId="33" fillId="0" borderId="66" xfId="2" applyNumberFormat="1" applyFont="1" applyFill="1" applyBorder="1" applyAlignment="1">
      <alignment horizontal="center"/>
    </xf>
    <xf numFmtId="1" fontId="44" fillId="8" borderId="8" xfId="0" applyNumberFormat="1" applyFont="1" applyFill="1" applyBorder="1" applyAlignment="1">
      <alignment horizontal="center"/>
    </xf>
    <xf numFmtId="4" fontId="16" fillId="4" borderId="0" xfId="0" applyNumberFormat="1" applyFont="1" applyFill="1"/>
    <xf numFmtId="0" fontId="33" fillId="3" borderId="0" xfId="4" applyFont="1" applyFill="1"/>
    <xf numFmtId="14" fontId="0" fillId="3" borderId="43" xfId="0" applyNumberFormat="1" applyFill="1" applyBorder="1" applyAlignment="1">
      <alignment horizontal="center"/>
    </xf>
    <xf numFmtId="166" fontId="20" fillId="5" borderId="32" xfId="2" applyFont="1" applyFill="1" applyBorder="1"/>
    <xf numFmtId="166" fontId="20" fillId="5" borderId="33" xfId="2" applyFont="1" applyFill="1" applyBorder="1"/>
    <xf numFmtId="166" fontId="20" fillId="5" borderId="67" xfId="2" applyFont="1" applyFill="1" applyBorder="1" applyAlignment="1">
      <alignment horizontal="center"/>
    </xf>
    <xf numFmtId="166" fontId="20" fillId="5" borderId="17" xfId="2" applyFont="1" applyFill="1" applyBorder="1" applyAlignment="1">
      <alignment horizontal="center"/>
    </xf>
    <xf numFmtId="166" fontId="20" fillId="5" borderId="63" xfId="2" applyFont="1" applyFill="1" applyBorder="1"/>
    <xf numFmtId="166" fontId="20" fillId="5" borderId="11" xfId="2" applyFont="1" applyFill="1" applyBorder="1" applyAlignment="1">
      <alignment horizontal="center"/>
    </xf>
    <xf numFmtId="9" fontId="4" fillId="5" borderId="19" xfId="0" applyNumberFormat="1" applyFont="1" applyFill="1" applyBorder="1" applyAlignment="1">
      <alignment horizontal="center"/>
    </xf>
    <xf numFmtId="14" fontId="9" fillId="8" borderId="45" xfId="0" applyNumberFormat="1" applyFont="1" applyFill="1" applyBorder="1"/>
    <xf numFmtId="2" fontId="0" fillId="44" borderId="11" xfId="0" applyNumberFormat="1" applyFill="1" applyBorder="1"/>
    <xf numFmtId="178" fontId="4" fillId="4" borderId="13" xfId="0" applyNumberFormat="1" applyFont="1" applyFill="1" applyBorder="1" applyAlignment="1">
      <alignment horizontal="center"/>
    </xf>
    <xf numFmtId="178" fontId="4" fillId="4" borderId="26" xfId="0" applyNumberFormat="1" applyFont="1" applyFill="1" applyBorder="1" applyAlignment="1">
      <alignment horizontal="center"/>
    </xf>
    <xf numFmtId="0" fontId="35" fillId="7" borderId="8" xfId="4" applyFont="1" applyFill="1" applyBorder="1"/>
    <xf numFmtId="0" fontId="35" fillId="7" borderId="8" xfId="4" applyFont="1" applyFill="1" applyBorder="1" applyAlignment="1">
      <alignment horizontal="center"/>
    </xf>
    <xf numFmtId="2" fontId="35" fillId="7" borderId="8" xfId="4" applyNumberFormat="1" applyFont="1" applyFill="1" applyBorder="1"/>
    <xf numFmtId="1" fontId="35" fillId="7" borderId="8" xfId="4" applyNumberFormat="1" applyFont="1" applyFill="1" applyBorder="1"/>
    <xf numFmtId="2" fontId="3" fillId="7" borderId="8" xfId="2" applyNumberFormat="1" applyFont="1" applyFill="1" applyBorder="1"/>
    <xf numFmtId="0" fontId="0" fillId="7" borderId="8" xfId="2" applyNumberFormat="1" applyFont="1" applyFill="1" applyBorder="1"/>
    <xf numFmtId="0" fontId="3" fillId="7" borderId="8" xfId="2" applyNumberFormat="1" applyFont="1" applyFill="1" applyBorder="1"/>
    <xf numFmtId="0" fontId="3" fillId="7" borderId="8" xfId="0" applyFont="1" applyFill="1" applyBorder="1"/>
    <xf numFmtId="0" fontId="35" fillId="7" borderId="8" xfId="2" applyNumberFormat="1" applyFont="1" applyFill="1" applyBorder="1"/>
    <xf numFmtId="0" fontId="16" fillId="7" borderId="8" xfId="0" applyFont="1" applyFill="1" applyBorder="1" applyAlignment="1">
      <alignment horizontal="center"/>
    </xf>
    <xf numFmtId="0" fontId="4" fillId="19" borderId="9" xfId="4" applyFont="1" applyFill="1" applyBorder="1" applyAlignment="1">
      <alignment horizontal="center"/>
    </xf>
    <xf numFmtId="0" fontId="28" fillId="19" borderId="9" xfId="4" applyFont="1" applyFill="1" applyBorder="1" applyAlignment="1">
      <alignment horizontal="center"/>
    </xf>
    <xf numFmtId="10" fontId="28" fillId="19" borderId="9" xfId="4" applyNumberFormat="1" applyFont="1" applyFill="1" applyBorder="1" applyAlignment="1">
      <alignment horizontal="center"/>
    </xf>
    <xf numFmtId="2" fontId="4" fillId="19" borderId="9" xfId="4" applyNumberFormat="1" applyFont="1" applyFill="1" applyBorder="1" applyAlignment="1">
      <alignment horizontal="center"/>
    </xf>
    <xf numFmtId="0" fontId="0" fillId="19" borderId="9" xfId="0" applyFill="1" applyBorder="1"/>
    <xf numFmtId="0" fontId="26" fillId="26" borderId="9" xfId="0" applyFont="1" applyFill="1" applyBorder="1"/>
    <xf numFmtId="44" fontId="0" fillId="14" borderId="8" xfId="0" applyNumberFormat="1" applyFill="1" applyBorder="1"/>
    <xf numFmtId="4" fontId="16" fillId="3" borderId="0" xfId="0" applyNumberFormat="1" applyFont="1" applyFill="1"/>
    <xf numFmtId="166" fontId="0" fillId="14" borderId="8" xfId="2" applyFont="1" applyFill="1" applyBorder="1" applyAlignment="1">
      <alignment horizontal="center"/>
    </xf>
    <xf numFmtId="0" fontId="100" fillId="46" borderId="8" xfId="0" applyFont="1" applyFill="1" applyBorder="1" applyAlignment="1" applyProtection="1">
      <alignment horizontal="center"/>
      <protection locked="0"/>
    </xf>
    <xf numFmtId="0" fontId="16" fillId="7" borderId="9" xfId="0" applyFont="1" applyFill="1" applyBorder="1" applyAlignment="1">
      <alignment horizontal="center"/>
    </xf>
    <xf numFmtId="14" fontId="0" fillId="14" borderId="8" xfId="0" applyNumberFormat="1" applyFill="1" applyBorder="1"/>
    <xf numFmtId="2" fontId="0" fillId="11" borderId="8" xfId="2" applyNumberFormat="1" applyFont="1" applyFill="1" applyBorder="1"/>
    <xf numFmtId="2" fontId="0" fillId="11" borderId="8" xfId="0" applyNumberFormat="1" applyFill="1" applyBorder="1" applyAlignment="1">
      <alignment horizontal="center"/>
    </xf>
    <xf numFmtId="2" fontId="0" fillId="20" borderId="8" xfId="2" applyNumberFormat="1" applyFont="1" applyFill="1" applyBorder="1"/>
    <xf numFmtId="4" fontId="0" fillId="0" borderId="10" xfId="0" applyNumberFormat="1" applyBorder="1"/>
    <xf numFmtId="14" fontId="0" fillId="0" borderId="8" xfId="0" applyNumberFormat="1" applyBorder="1"/>
    <xf numFmtId="171" fontId="20" fillId="5" borderId="65" xfId="2" applyNumberFormat="1" applyFont="1" applyFill="1" applyBorder="1" applyAlignment="1">
      <alignment horizontal="center"/>
    </xf>
    <xf numFmtId="171" fontId="20" fillId="5" borderId="11" xfId="2" applyNumberFormat="1" applyFont="1" applyFill="1" applyBorder="1" applyAlignment="1">
      <alignment horizontal="center"/>
    </xf>
    <xf numFmtId="166" fontId="0" fillId="14" borderId="8" xfId="2" applyFont="1" applyFill="1" applyBorder="1" applyAlignment="1"/>
    <xf numFmtId="0" fontId="38" fillId="4" borderId="11" xfId="0" applyFont="1" applyFill="1" applyBorder="1"/>
    <xf numFmtId="0" fontId="33" fillId="4" borderId="36" xfId="0" applyFont="1" applyFill="1" applyBorder="1" applyAlignment="1">
      <alignment horizontal="center"/>
    </xf>
    <xf numFmtId="0" fontId="38" fillId="4" borderId="35" xfId="0" applyFont="1" applyFill="1" applyBorder="1"/>
    <xf numFmtId="0" fontId="16" fillId="4" borderId="37" xfId="0" applyFont="1" applyFill="1" applyBorder="1"/>
    <xf numFmtId="0" fontId="16" fillId="4" borderId="29" xfId="0" applyFont="1" applyFill="1" applyBorder="1"/>
    <xf numFmtId="0" fontId="33" fillId="13" borderId="37" xfId="0" applyFont="1" applyFill="1" applyBorder="1"/>
    <xf numFmtId="0" fontId="33" fillId="0" borderId="2" xfId="0" applyFont="1" applyBorder="1"/>
    <xf numFmtId="0" fontId="33" fillId="0" borderId="26" xfId="0" applyFont="1" applyBorder="1"/>
    <xf numFmtId="0" fontId="38" fillId="4" borderId="42" xfId="0" applyFont="1" applyFill="1" applyBorder="1"/>
    <xf numFmtId="0" fontId="16" fillId="4" borderId="66" xfId="0" applyFont="1" applyFill="1" applyBorder="1"/>
    <xf numFmtId="0" fontId="16" fillId="4" borderId="51" xfId="0" applyFont="1" applyFill="1" applyBorder="1"/>
    <xf numFmtId="0" fontId="33" fillId="13" borderId="55" xfId="0" applyFont="1" applyFill="1" applyBorder="1"/>
    <xf numFmtId="171" fontId="33" fillId="0" borderId="37" xfId="2" applyNumberFormat="1" applyFont="1" applyBorder="1"/>
    <xf numFmtId="0" fontId="39" fillId="4" borderId="36" xfId="0" applyFont="1" applyFill="1" applyBorder="1" applyAlignment="1">
      <alignment horizontal="center" vertical="center"/>
    </xf>
    <xf numFmtId="0" fontId="20" fillId="10" borderId="35" xfId="0" applyFont="1" applyFill="1" applyBorder="1"/>
    <xf numFmtId="0" fontId="36" fillId="0" borderId="16" xfId="4" applyFont="1" applyBorder="1" applyAlignment="1">
      <alignment horizontal="center"/>
    </xf>
    <xf numFmtId="171" fontId="36" fillId="0" borderId="14" xfId="2" applyNumberFormat="1" applyFont="1" applyBorder="1" applyAlignment="1">
      <alignment horizontal="center"/>
    </xf>
    <xf numFmtId="0" fontId="36" fillId="0" borderId="38" xfId="4" applyFont="1" applyBorder="1" applyAlignment="1">
      <alignment horizontal="center"/>
    </xf>
    <xf numFmtId="171" fontId="36" fillId="0" borderId="15" xfId="2" applyNumberFormat="1" applyFont="1" applyBorder="1" applyAlignment="1">
      <alignment horizontal="center"/>
    </xf>
    <xf numFmtId="0" fontId="38" fillId="4" borderId="8" xfId="0" applyFont="1" applyFill="1" applyBorder="1"/>
    <xf numFmtId="0" fontId="4" fillId="0" borderId="5" xfId="0" applyFont="1" applyBorder="1"/>
    <xf numFmtId="0" fontId="16" fillId="0" borderId="25" xfId="0" applyFont="1" applyBorder="1"/>
    <xf numFmtId="0" fontId="16" fillId="0" borderId="26" xfId="0" applyFont="1" applyBorder="1"/>
    <xf numFmtId="0" fontId="33" fillId="4" borderId="8" xfId="0" applyFont="1" applyFill="1" applyBorder="1" applyAlignment="1">
      <alignment horizontal="center"/>
    </xf>
    <xf numFmtId="0" fontId="16" fillId="3" borderId="61" xfId="0" applyFont="1" applyFill="1" applyBorder="1"/>
    <xf numFmtId="171" fontId="33" fillId="0" borderId="54" xfId="2" applyNumberFormat="1" applyFont="1" applyBorder="1" applyAlignment="1">
      <alignment horizontal="center"/>
    </xf>
    <xf numFmtId="0" fontId="33" fillId="0" borderId="61" xfId="0" applyFont="1" applyBorder="1"/>
    <xf numFmtId="0" fontId="33" fillId="0" borderId="50" xfId="0" applyFont="1" applyBorder="1"/>
    <xf numFmtId="171" fontId="33" fillId="0" borderId="12" xfId="2" applyNumberFormat="1" applyFont="1" applyBorder="1" applyAlignment="1">
      <alignment horizontal="center"/>
    </xf>
    <xf numFmtId="0" fontId="33" fillId="3" borderId="50" xfId="0" applyFont="1" applyFill="1" applyBorder="1"/>
    <xf numFmtId="0" fontId="33" fillId="3" borderId="63" xfId="0" applyFont="1" applyFill="1" applyBorder="1"/>
    <xf numFmtId="0" fontId="33" fillId="0" borderId="62" xfId="0" applyFont="1" applyBorder="1"/>
    <xf numFmtId="171" fontId="33" fillId="0" borderId="51" xfId="2" applyNumberFormat="1" applyFont="1" applyBorder="1" applyAlignment="1">
      <alignment horizontal="center"/>
    </xf>
    <xf numFmtId="0" fontId="16" fillId="4" borderId="10" xfId="0" applyFont="1" applyFill="1" applyBorder="1"/>
    <xf numFmtId="0" fontId="33" fillId="0" borderId="5" xfId="0" applyFont="1" applyBorder="1" applyAlignment="1">
      <alignment horizontal="center"/>
    </xf>
    <xf numFmtId="0" fontId="16" fillId="4" borderId="36" xfId="0" applyFont="1" applyFill="1" applyBorder="1"/>
    <xf numFmtId="171" fontId="33" fillId="0" borderId="50" xfId="2" applyNumberFormat="1" applyFont="1" applyBorder="1" applyAlignment="1">
      <alignment horizontal="center"/>
    </xf>
    <xf numFmtId="171" fontId="33" fillId="0" borderId="16" xfId="2" applyNumberFormat="1" applyFont="1" applyBorder="1" applyAlignment="1">
      <alignment horizontal="center"/>
    </xf>
    <xf numFmtId="171" fontId="33" fillId="0" borderId="61" xfId="2" applyNumberFormat="1" applyFont="1" applyBorder="1" applyAlignment="1">
      <alignment horizontal="center"/>
    </xf>
    <xf numFmtId="0" fontId="16" fillId="4" borderId="16" xfId="0" applyFont="1" applyFill="1" applyBorder="1"/>
    <xf numFmtId="171" fontId="33" fillId="0" borderId="62" xfId="2" applyNumberFormat="1" applyFont="1" applyBorder="1" applyAlignment="1">
      <alignment horizontal="center"/>
    </xf>
    <xf numFmtId="171" fontId="33" fillId="0" borderId="38" xfId="2" applyNumberFormat="1" applyFont="1" applyBorder="1" applyAlignment="1">
      <alignment horizontal="center"/>
    </xf>
    <xf numFmtId="0" fontId="33" fillId="13" borderId="27" xfId="0" applyFont="1" applyFill="1" applyBorder="1"/>
    <xf numFmtId="0" fontId="33" fillId="4" borderId="16" xfId="0" applyFont="1" applyFill="1" applyBorder="1"/>
    <xf numFmtId="171" fontId="33" fillId="0" borderId="68" xfId="2" applyNumberFormat="1" applyFont="1" applyBorder="1" applyAlignment="1">
      <alignment horizontal="center"/>
    </xf>
    <xf numFmtId="171" fontId="33" fillId="0" borderId="69" xfId="2" applyNumberFormat="1" applyFont="1" applyBorder="1" applyAlignment="1">
      <alignment horizontal="center"/>
    </xf>
    <xf numFmtId="44" fontId="0" fillId="5" borderId="8" xfId="0" applyNumberFormat="1" applyFill="1" applyBorder="1"/>
    <xf numFmtId="166" fontId="0" fillId="0" borderId="0" xfId="2" applyFont="1" applyFill="1" applyBorder="1"/>
    <xf numFmtId="0" fontId="20" fillId="0" borderId="8" xfId="0" applyFont="1" applyBorder="1"/>
    <xf numFmtId="14" fontId="82" fillId="11" borderId="49" xfId="6" applyNumberFormat="1" applyFont="1" applyFill="1" applyBorder="1" applyAlignment="1">
      <alignment horizontal="center" vertical="center"/>
    </xf>
    <xf numFmtId="0" fontId="33" fillId="3" borderId="3" xfId="4" applyFont="1" applyFill="1" applyBorder="1"/>
    <xf numFmtId="171" fontId="33" fillId="0" borderId="46" xfId="2" applyNumberFormat="1" applyFont="1" applyBorder="1"/>
    <xf numFmtId="171" fontId="33" fillId="3" borderId="0" xfId="2" applyNumberFormat="1" applyFont="1" applyFill="1" applyBorder="1" applyAlignment="1"/>
    <xf numFmtId="10" fontId="0" fillId="18" borderId="11" xfId="5" applyNumberFormat="1" applyFont="1" applyFill="1" applyBorder="1"/>
    <xf numFmtId="10" fontId="0" fillId="18" borderId="8" xfId="5" applyNumberFormat="1" applyFont="1" applyFill="1" applyBorder="1"/>
    <xf numFmtId="169" fontId="0" fillId="18" borderId="8" xfId="5" applyNumberFormat="1" applyFont="1" applyFill="1" applyBorder="1"/>
    <xf numFmtId="181" fontId="103" fillId="6" borderId="8" xfId="0" applyNumberFormat="1" applyFont="1" applyFill="1" applyBorder="1" applyAlignment="1">
      <alignment horizontal="center"/>
    </xf>
    <xf numFmtId="0" fontId="103" fillId="6" borderId="8" xfId="0" applyFont="1" applyFill="1" applyBorder="1" applyAlignment="1">
      <alignment horizontal="center"/>
    </xf>
    <xf numFmtId="9" fontId="103" fillId="6" borderId="8" xfId="5" applyFont="1" applyFill="1" applyBorder="1" applyAlignment="1">
      <alignment horizontal="center"/>
    </xf>
    <xf numFmtId="16" fontId="0" fillId="6" borderId="8" xfId="0" applyNumberFormat="1" applyFill="1" applyBorder="1" applyAlignment="1">
      <alignment horizontal="center"/>
    </xf>
    <xf numFmtId="0" fontId="101" fillId="6" borderId="8" xfId="0" applyFont="1" applyFill="1" applyBorder="1" applyAlignment="1">
      <alignment horizontal="center" wrapText="1"/>
    </xf>
    <xf numFmtId="0" fontId="0" fillId="6" borderId="8" xfId="0" applyFill="1" applyBorder="1" applyAlignment="1">
      <alignment horizontal="center"/>
    </xf>
    <xf numFmtId="16" fontId="0" fillId="0" borderId="8" xfId="0" applyNumberFormat="1" applyBorder="1"/>
    <xf numFmtId="181" fontId="0" fillId="0" borderId="8" xfId="0" applyNumberFormat="1" applyBorder="1"/>
    <xf numFmtId="174" fontId="36" fillId="0" borderId="69" xfId="2" applyNumberFormat="1" applyFont="1" applyFill="1" applyBorder="1" applyAlignment="1">
      <alignment horizontal="center"/>
    </xf>
    <xf numFmtId="0" fontId="35" fillId="4" borderId="8" xfId="4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0" fillId="9" borderId="42" xfId="0" applyFill="1" applyBorder="1"/>
    <xf numFmtId="166" fontId="0" fillId="9" borderId="42" xfId="2" applyFont="1" applyFill="1" applyBorder="1"/>
    <xf numFmtId="166" fontId="0" fillId="0" borderId="42" xfId="2" applyFont="1" applyFill="1" applyBorder="1"/>
    <xf numFmtId="44" fontId="0" fillId="8" borderId="8" xfId="0" applyNumberFormat="1" applyFill="1" applyBorder="1"/>
    <xf numFmtId="0" fontId="96" fillId="45" borderId="0" xfId="0" applyFont="1" applyFill="1" applyBorder="1" applyAlignment="1"/>
    <xf numFmtId="0" fontId="96" fillId="45" borderId="0" xfId="0" quotePrefix="1" applyFont="1" applyFill="1" applyBorder="1" applyAlignment="1"/>
    <xf numFmtId="0" fontId="96" fillId="0" borderId="0" xfId="0" applyFont="1" applyFill="1" applyBorder="1" applyAlignment="1"/>
    <xf numFmtId="0" fontId="96" fillId="45" borderId="64" xfId="0" applyFont="1" applyFill="1" applyBorder="1" applyAlignment="1"/>
    <xf numFmtId="0" fontId="96" fillId="45" borderId="0" xfId="0" applyFont="1" applyFill="1" applyBorder="1" applyAlignment="1">
      <alignment wrapText="1"/>
    </xf>
    <xf numFmtId="0" fontId="96" fillId="45" borderId="64" xfId="0" applyFont="1" applyFill="1" applyBorder="1" applyAlignment="1">
      <alignment wrapText="1"/>
    </xf>
    <xf numFmtId="0" fontId="95" fillId="0" borderId="64" xfId="0" applyFont="1" applyBorder="1"/>
    <xf numFmtId="0" fontId="96" fillId="45" borderId="0" xfId="0" applyFont="1" applyFill="1" applyAlignment="1">
      <alignment wrapText="1"/>
    </xf>
    <xf numFmtId="171" fontId="103" fillId="6" borderId="8" xfId="2" applyNumberFormat="1" applyFont="1" applyFill="1" applyBorder="1" applyAlignment="1">
      <alignment horizontal="center"/>
    </xf>
    <xf numFmtId="4" fontId="0" fillId="0" borderId="11" xfId="0" applyNumberFormat="1" applyBorder="1"/>
    <xf numFmtId="2" fontId="0" fillId="0" borderId="11" xfId="0" applyNumberFormat="1" applyBorder="1"/>
    <xf numFmtId="4" fontId="0" fillId="0" borderId="12" xfId="0" applyNumberFormat="1" applyBorder="1"/>
    <xf numFmtId="0" fontId="0" fillId="38" borderId="8" xfId="0" applyFill="1" applyBorder="1"/>
    <xf numFmtId="0" fontId="97" fillId="0" borderId="8" xfId="0" applyFont="1" applyBorder="1"/>
    <xf numFmtId="0" fontId="0" fillId="0" borderId="8" xfId="0" applyBorder="1" applyAlignment="1">
      <alignment wrapText="1"/>
    </xf>
    <xf numFmtId="44" fontId="0" fillId="4" borderId="0" xfId="0" applyNumberFormat="1" applyFill="1" applyBorder="1"/>
    <xf numFmtId="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 applyBorder="1"/>
    <xf numFmtId="0" fontId="16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3" fontId="16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Border="1"/>
    <xf numFmtId="0" fontId="16" fillId="4" borderId="8" xfId="0" applyNumberFormat="1" applyFont="1" applyFill="1" applyBorder="1" applyAlignment="1">
      <alignment horizontal="center"/>
    </xf>
    <xf numFmtId="3" fontId="16" fillId="4" borderId="8" xfId="0" applyNumberFormat="1" applyFont="1" applyFill="1" applyBorder="1" applyAlignment="1">
      <alignment horizontal="center"/>
    </xf>
    <xf numFmtId="0" fontId="83" fillId="4" borderId="8" xfId="0" applyFont="1" applyFill="1" applyBorder="1" applyAlignment="1">
      <alignment horizontal="center"/>
    </xf>
    <xf numFmtId="14" fontId="84" fillId="0" borderId="53" xfId="0" applyNumberFormat="1" applyFont="1" applyBorder="1"/>
    <xf numFmtId="44" fontId="5" fillId="3" borderId="0" xfId="0" applyNumberFormat="1" applyFont="1" applyFill="1" applyBorder="1" applyAlignment="1">
      <alignment horizontal="center" vertical="center"/>
    </xf>
    <xf numFmtId="171" fontId="5" fillId="12" borderId="0" xfId="0" applyNumberFormat="1" applyFont="1" applyFill="1" applyBorder="1" applyAlignment="1">
      <alignment horizontal="center" vertical="center"/>
    </xf>
    <xf numFmtId="0" fontId="0" fillId="15" borderId="0" xfId="0" applyFill="1" applyBorder="1"/>
    <xf numFmtId="171" fontId="0" fillId="15" borderId="0" xfId="2" applyNumberFormat="1" applyFont="1" applyFill="1" applyBorder="1"/>
    <xf numFmtId="166" fontId="0" fillId="15" borderId="0" xfId="2" applyFont="1" applyFill="1" applyBorder="1"/>
    <xf numFmtId="9" fontId="0" fillId="3" borderId="65" xfId="0" applyNumberFormat="1" applyFill="1" applyBorder="1"/>
    <xf numFmtId="0" fontId="0" fillId="0" borderId="65" xfId="0" applyBorder="1"/>
    <xf numFmtId="44" fontId="0" fillId="4" borderId="65" xfId="0" applyNumberFormat="1" applyFill="1" applyBorder="1"/>
    <xf numFmtId="172" fontId="11" fillId="3" borderId="8" xfId="4" applyNumberFormat="1" applyFont="1" applyFill="1" applyBorder="1"/>
    <xf numFmtId="172" fontId="0" fillId="0" borderId="8" xfId="0" applyNumberFormat="1" applyBorder="1"/>
    <xf numFmtId="9" fontId="0" fillId="18" borderId="0" xfId="5" applyFont="1" applyFill="1" applyBorder="1"/>
    <xf numFmtId="2" fontId="0" fillId="18" borderId="11" xfId="0" applyNumberFormat="1" applyFill="1" applyBorder="1"/>
    <xf numFmtId="9" fontId="105" fillId="11" borderId="49" xfId="6" applyNumberFormat="1" applyFont="1" applyFill="1" applyBorder="1" applyAlignment="1">
      <alignment horizontal="center" vertical="center"/>
    </xf>
    <xf numFmtId="14" fontId="9" fillId="8" borderId="8" xfId="0" applyNumberFormat="1" applyFont="1" applyFill="1" applyBorder="1"/>
    <xf numFmtId="10" fontId="0" fillId="3" borderId="8" xfId="0" applyNumberFormat="1" applyFill="1" applyBorder="1"/>
    <xf numFmtId="9" fontId="24" fillId="3" borderId="8" xfId="5" applyFont="1" applyFill="1" applyBorder="1"/>
    <xf numFmtId="0" fontId="0" fillId="0" borderId="8" xfId="0" applyBorder="1" applyAlignment="1">
      <alignment horizontal="left"/>
    </xf>
    <xf numFmtId="9" fontId="84" fillId="0" borderId="0" xfId="0" applyNumberFormat="1" applyFont="1" applyBorder="1"/>
    <xf numFmtId="166" fontId="0" fillId="14" borderId="8" xfId="2" applyNumberFormat="1" applyFont="1" applyFill="1" applyBorder="1"/>
    <xf numFmtId="14" fontId="4" fillId="0" borderId="4" xfId="0" applyNumberFormat="1" applyFont="1" applyBorder="1"/>
    <xf numFmtId="2" fontId="0" fillId="11" borderId="53" xfId="0" applyNumberFormat="1" applyFill="1" applyBorder="1"/>
    <xf numFmtId="0" fontId="79" fillId="6" borderId="8" xfId="0" applyFont="1" applyFill="1" applyBorder="1" applyAlignment="1">
      <alignment horizontal="center" vertical="top" wrapText="1"/>
    </xf>
    <xf numFmtId="0" fontId="0" fillId="9" borderId="0" xfId="0" applyFill="1" applyBorder="1"/>
    <xf numFmtId="166" fontId="0" fillId="9" borderId="0" xfId="2" applyFont="1" applyFill="1" applyBorder="1"/>
    <xf numFmtId="9" fontId="0" fillId="0" borderId="0" xfId="5" applyFont="1" applyBorder="1"/>
    <xf numFmtId="0" fontId="0" fillId="4" borderId="0" xfId="0" applyFill="1" applyBorder="1"/>
    <xf numFmtId="0" fontId="0" fillId="4" borderId="42" xfId="0" applyFill="1" applyBorder="1"/>
    <xf numFmtId="4" fontId="0" fillId="4" borderId="8" xfId="0" applyNumberFormat="1" applyFill="1" applyBorder="1"/>
    <xf numFmtId="14" fontId="0" fillId="3" borderId="25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6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/>
    </xf>
    <xf numFmtId="0" fontId="67" fillId="3" borderId="0" xfId="4" applyFont="1" applyFill="1" applyAlignment="1">
      <alignment horizontal="center"/>
    </xf>
    <xf numFmtId="0" fontId="67" fillId="3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48" fillId="16" borderId="0" xfId="0" applyFont="1" applyFill="1" applyAlignment="1">
      <alignment horizontal="center" vertical="center" wrapText="1"/>
    </xf>
    <xf numFmtId="0" fontId="33" fillId="0" borderId="26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0" fillId="0" borderId="8" xfId="0" applyFill="1" applyBorder="1"/>
    <xf numFmtId="0" fontId="2" fillId="3" borderId="25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center"/>
    </xf>
    <xf numFmtId="14" fontId="0" fillId="3" borderId="30" xfId="0" applyNumberFormat="1" applyFill="1" applyBorder="1" applyAlignment="1">
      <alignment horizontal="center"/>
    </xf>
    <xf numFmtId="14" fontId="0" fillId="3" borderId="26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0" fontId="4" fillId="5" borderId="25" xfId="0" applyNumberFormat="1" applyFont="1" applyFill="1" applyBorder="1" applyAlignment="1">
      <alignment horizontal="center"/>
    </xf>
    <xf numFmtId="10" fontId="4" fillId="5" borderId="26" xfId="0" applyNumberFormat="1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7" fillId="3" borderId="0" xfId="2" applyNumberFormat="1" applyFont="1" applyFill="1" applyBorder="1" applyAlignment="1">
      <alignment horizontal="center"/>
    </xf>
    <xf numFmtId="0" fontId="67" fillId="3" borderId="0" xfId="0" applyFont="1" applyFill="1" applyAlignment="1">
      <alignment horizontal="center" vertical="center"/>
    </xf>
    <xf numFmtId="166" fontId="48" fillId="28" borderId="0" xfId="2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 wrapText="1"/>
    </xf>
    <xf numFmtId="0" fontId="48" fillId="16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48" fillId="22" borderId="0" xfId="0" applyFont="1" applyFill="1" applyAlignment="1">
      <alignment horizontal="center" vertical="center"/>
    </xf>
    <xf numFmtId="0" fontId="52" fillId="27" borderId="0" xfId="0" applyFont="1" applyFill="1" applyAlignment="1">
      <alignment horizontal="center" vertical="center"/>
    </xf>
    <xf numFmtId="0" fontId="52" fillId="30" borderId="0" xfId="0" applyFont="1" applyFill="1" applyAlignment="1">
      <alignment horizontal="left" vertical="center"/>
    </xf>
    <xf numFmtId="0" fontId="27" fillId="16" borderId="0" xfId="0" applyFont="1" applyFill="1" applyAlignment="1">
      <alignment horizontal="center" vertical="center" wrapText="1"/>
    </xf>
    <xf numFmtId="0" fontId="27" fillId="16" borderId="0" xfId="0" applyFont="1" applyFill="1" applyAlignment="1">
      <alignment horizontal="center" vertical="center"/>
    </xf>
    <xf numFmtId="0" fontId="52" fillId="27" borderId="0" xfId="0" applyFont="1" applyFill="1" applyAlignment="1">
      <alignment horizontal="left" vertical="center"/>
    </xf>
    <xf numFmtId="0" fontId="52" fillId="31" borderId="0" xfId="0" applyFont="1" applyFill="1" applyAlignment="1">
      <alignment horizontal="left" vertical="center"/>
    </xf>
    <xf numFmtId="0" fontId="52" fillId="32" borderId="0" xfId="0" applyFont="1" applyFill="1" applyAlignment="1">
      <alignment vertical="center"/>
    </xf>
    <xf numFmtId="0" fontId="51" fillId="33" borderId="0" xfId="0" applyFont="1" applyFill="1" applyAlignment="1">
      <alignment horizontal="left" vertical="center" wrapText="1"/>
    </xf>
    <xf numFmtId="0" fontId="67" fillId="0" borderId="0" xfId="0" applyFont="1" applyAlignment="1">
      <alignment horizontal="center"/>
    </xf>
    <xf numFmtId="0" fontId="67" fillId="3" borderId="51" xfId="4" applyFont="1" applyFill="1" applyBorder="1" applyAlignment="1">
      <alignment horizontal="center"/>
    </xf>
    <xf numFmtId="0" fontId="67" fillId="3" borderId="0" xfId="4" applyFont="1" applyFill="1" applyAlignment="1">
      <alignment horizontal="center"/>
    </xf>
    <xf numFmtId="0" fontId="0" fillId="29" borderId="0" xfId="0" applyFill="1" applyAlignment="1">
      <alignment horizontal="center"/>
    </xf>
    <xf numFmtId="0" fontId="0" fillId="21" borderId="0" xfId="0" applyFill="1" applyAlignment="1">
      <alignment horizontal="center"/>
    </xf>
    <xf numFmtId="171" fontId="33" fillId="4" borderId="25" xfId="2" applyNumberFormat="1" applyFont="1" applyFill="1" applyBorder="1" applyAlignment="1">
      <alignment horizontal="center"/>
    </xf>
    <xf numFmtId="171" fontId="33" fillId="4" borderId="30" xfId="2" applyNumberFormat="1" applyFont="1" applyFill="1" applyBorder="1" applyAlignment="1">
      <alignment horizontal="center"/>
    </xf>
    <xf numFmtId="171" fontId="33" fillId="4" borderId="26" xfId="2" applyNumberFormat="1" applyFont="1" applyFill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6" fontId="48" fillId="28" borderId="0" xfId="2" applyFont="1" applyFill="1" applyBorder="1" applyAlignment="1">
      <alignment horizontal="center" vertical="center" wrapText="1"/>
    </xf>
  </cellXfs>
  <cellStyles count="17">
    <cellStyle name="Incorrecto" xfId="6" builtinId="27"/>
    <cellStyle name="Millares" xfId="1" builtinId="3"/>
    <cellStyle name="Millares 2" xfId="11" xr:uid="{F2FB562B-57FC-4BC2-8E8E-1D920306ED59}"/>
    <cellStyle name="Moneda" xfId="2" builtinId="4"/>
    <cellStyle name="Moneda 2" xfId="3" xr:uid="{00000000-0005-0000-0000-000002000000}"/>
    <cellStyle name="Moneda 2 2" xfId="9" xr:uid="{46E10445-2423-43A6-9495-61E91A781F31}"/>
    <cellStyle name="Normal" xfId="0" builtinId="0"/>
    <cellStyle name="Normal 2" xfId="4" xr:uid="{00000000-0005-0000-0000-000004000000}"/>
    <cellStyle name="Normal 2 2" xfId="8" xr:uid="{311FB4CF-5C20-430B-BF50-25817DCF6F61}"/>
    <cellStyle name="Normal 2 3" xfId="12" xr:uid="{4CBB121E-0888-47C0-89BC-4D3AD1CCF855}"/>
    <cellStyle name="Normal 3" xfId="7" xr:uid="{58158C2A-6AC1-4595-9510-A28B27A4BB79}"/>
    <cellStyle name="Normal 3 2" xfId="13" xr:uid="{2E253B23-881D-4FEE-95EE-DFE6BB8AC498}"/>
    <cellStyle name="Normal 4" xfId="14" xr:uid="{1D5D9D34-D2EB-4B6F-B17A-C68EAAF2C298}"/>
    <cellStyle name="Normal 5" xfId="10" xr:uid="{6B2ADCB4-465A-4F04-B32A-C5A8EF4D860D}"/>
    <cellStyle name="Normal 6" xfId="16" xr:uid="{CBC41C5B-0D8F-4E86-9E11-69B4665888A5}"/>
    <cellStyle name="Porcentaje" xfId="5" builtinId="5"/>
    <cellStyle name="Porcentaje 2" xfId="15" xr:uid="{9D169C15-0B95-459F-A8B7-52A98E9D8D3A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4472C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4472C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none"/>
      </font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FFFF99"/>
      <color rgb="FFFFCC00"/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0" cy="30480"/>
    <xdr:sp macro="" textlink="">
      <xdr:nvSpPr>
        <xdr:cNvPr id="70" name="Shape 73">
          <a:extLst>
            <a:ext uri="{FF2B5EF4-FFF2-40B4-BE49-F238E27FC236}">
              <a16:creationId xmlns:a16="http://schemas.microsoft.com/office/drawing/2014/main" id="{6C1929B0-E5CA-47B1-8D4F-0CE606A9DB82}"/>
            </a:ext>
          </a:extLst>
        </xdr:cNvPr>
        <xdr:cNvSpPr/>
      </xdr:nvSpPr>
      <xdr:spPr>
        <a:xfrm>
          <a:off x="1914525" y="1943100"/>
          <a:ext cx="0" cy="30480"/>
        </a:xfrm>
        <a:custGeom>
          <a:avLst/>
          <a:gdLst/>
          <a:ahLst/>
          <a:cxnLst/>
          <a:rect l="0" t="0" r="0" b="0"/>
          <a:pathLst>
            <a:path h="30480">
              <a:moveTo>
                <a:pt x="0" y="0"/>
              </a:moveTo>
              <a:lnTo>
                <a:pt x="0" y="30480"/>
              </a:lnTo>
            </a:path>
            <a:path h="30480">
              <a:moveTo>
                <a:pt x="0" y="0"/>
              </a:moveTo>
              <a:lnTo>
                <a:pt x="0" y="30480"/>
              </a:lnTo>
            </a:path>
          </a:pathLst>
        </a:custGeom>
        <a:ln w="8775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0"/>
    <xdr:sp macro="" textlink="">
      <xdr:nvSpPr>
        <xdr:cNvPr id="135" name="Shape 138">
          <a:extLst>
            <a:ext uri="{FF2B5EF4-FFF2-40B4-BE49-F238E27FC236}">
              <a16:creationId xmlns:a16="http://schemas.microsoft.com/office/drawing/2014/main" id="{48F242A0-C2D6-45CD-81C9-294564136B9C}"/>
            </a:ext>
          </a:extLst>
        </xdr:cNvPr>
        <xdr:cNvSpPr/>
      </xdr:nvSpPr>
      <xdr:spPr>
        <a:xfrm>
          <a:off x="1914525" y="4543425"/>
          <a:ext cx="36830" cy="0"/>
        </a:xfrm>
        <a:custGeom>
          <a:avLst/>
          <a:gdLst/>
          <a:ahLst/>
          <a:cxnLst/>
          <a:rect l="0" t="0" r="0" b="0"/>
          <a:pathLst>
            <a:path w="36830">
              <a:moveTo>
                <a:pt x="0" y="0"/>
              </a:moveTo>
              <a:lnTo>
                <a:pt x="36576" y="0"/>
              </a:lnTo>
            </a:path>
          </a:pathLst>
        </a:custGeom>
        <a:ln w="8851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36830" cy="30480"/>
    <xdr:grpSp>
      <xdr:nvGrpSpPr>
        <xdr:cNvPr id="145" name="Group 148">
          <a:extLst>
            <a:ext uri="{FF2B5EF4-FFF2-40B4-BE49-F238E27FC236}">
              <a16:creationId xmlns:a16="http://schemas.microsoft.com/office/drawing/2014/main" id="{D6EBBAD2-F334-4C45-B876-05D547F77BAF}"/>
            </a:ext>
          </a:extLst>
        </xdr:cNvPr>
        <xdr:cNvGrpSpPr/>
      </xdr:nvGrpSpPr>
      <xdr:grpSpPr>
        <a:xfrm>
          <a:off x="1743075" y="6896100"/>
          <a:ext cx="36830" cy="30480"/>
          <a:chOff x="0" y="0"/>
          <a:chExt cx="36830" cy="30480"/>
        </a:xfrm>
      </xdr:grpSpPr>
      <xdr:sp macro="" textlink="">
        <xdr:nvSpPr>
          <xdr:cNvPr id="146" name="Shape 149">
            <a:extLst>
              <a:ext uri="{FF2B5EF4-FFF2-40B4-BE49-F238E27FC236}">
                <a16:creationId xmlns:a16="http://schemas.microsoft.com/office/drawing/2014/main" id="{B475DEF4-D024-7516-6854-793C390C9733}"/>
              </a:ext>
            </a:extLst>
          </xdr:cNvPr>
          <xdr:cNvSpPr/>
        </xdr:nvSpPr>
        <xdr:spPr>
          <a:xfrm>
            <a:off x="0" y="15240"/>
            <a:ext cx="36830" cy="0"/>
          </a:xfrm>
          <a:custGeom>
            <a:avLst/>
            <a:gdLst/>
            <a:ahLst/>
            <a:cxnLst/>
            <a:rect l="0" t="0" r="0" b="0"/>
            <a:pathLst>
              <a:path w="36830">
                <a:moveTo>
                  <a:pt x="36575" y="0"/>
                </a:moveTo>
                <a:lnTo>
                  <a:pt x="0" y="0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  <xdr:sp macro="" textlink="">
        <xdr:nvSpPr>
          <xdr:cNvPr id="147" name="Shape 150">
            <a:extLst>
              <a:ext uri="{FF2B5EF4-FFF2-40B4-BE49-F238E27FC236}">
                <a16:creationId xmlns:a16="http://schemas.microsoft.com/office/drawing/2014/main" id="{E6352EC2-9DB4-D9DC-FB09-29BE94961627}"/>
              </a:ext>
            </a:extLst>
          </xdr:cNvPr>
          <xdr:cNvSpPr/>
        </xdr:nvSpPr>
        <xdr:spPr>
          <a:xfrm>
            <a:off x="18288" y="0"/>
            <a:ext cx="0" cy="30480"/>
          </a:xfrm>
          <a:custGeom>
            <a:avLst/>
            <a:gdLst/>
            <a:ahLst/>
            <a:cxnLst/>
            <a:rect l="0" t="0" r="0" b="0"/>
            <a:pathLst>
              <a:path h="30480">
                <a:moveTo>
                  <a:pt x="0" y="0"/>
                </a:moveTo>
                <a:lnTo>
                  <a:pt x="0" y="30479"/>
                </a:lnTo>
              </a:path>
            </a:pathLst>
          </a:custGeom>
          <a:ln w="8902">
            <a:solidFill>
              <a:srgbClr val="000000"/>
            </a:solidFill>
          </a:ln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84</xdr:row>
      <xdr:rowOff>56031</xdr:rowOff>
    </xdr:from>
    <xdr:to>
      <xdr:col>2</xdr:col>
      <xdr:colOff>238125</xdr:colOff>
      <xdr:row>84</xdr:row>
      <xdr:rowOff>228601</xdr:rowOff>
    </xdr:to>
    <xdr:sp macro="" textlink="">
      <xdr:nvSpPr>
        <xdr:cNvPr id="2" name="Oval 35">
          <a:extLst>
            <a:ext uri="{FF2B5EF4-FFF2-40B4-BE49-F238E27FC236}">
              <a16:creationId xmlns:a16="http://schemas.microsoft.com/office/drawing/2014/main" id="{5E18C63C-4659-4287-B46F-A549A09FE9E1}"/>
            </a:ext>
          </a:extLst>
        </xdr:cNvPr>
        <xdr:cNvSpPr>
          <a:spLocks noChangeArrowheads="1"/>
        </xdr:cNvSpPr>
      </xdr:nvSpPr>
      <xdr:spPr bwMode="auto">
        <a:xfrm>
          <a:off x="1876425" y="484656"/>
          <a:ext cx="161925" cy="1725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87</xdr:row>
      <xdr:rowOff>56031</xdr:rowOff>
    </xdr:from>
    <xdr:to>
      <xdr:col>2</xdr:col>
      <xdr:colOff>238125</xdr:colOff>
      <xdr:row>87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3EAC727D-23C9-4B41-A27E-81AC8B03DE8F}"/>
            </a:ext>
          </a:extLst>
        </xdr:cNvPr>
        <xdr:cNvSpPr>
          <a:spLocks noChangeArrowheads="1"/>
        </xdr:cNvSpPr>
      </xdr:nvSpPr>
      <xdr:spPr bwMode="auto">
        <a:xfrm>
          <a:off x="2828925" y="16353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152400</xdr:rowOff>
    </xdr:from>
    <xdr:ext cx="1891149" cy="400050"/>
    <xdr:pic>
      <xdr:nvPicPr>
        <xdr:cNvPr id="5" name="1 Imagen">
          <a:extLst>
            <a:ext uri="{FF2B5EF4-FFF2-40B4-BE49-F238E27FC236}">
              <a16:creationId xmlns:a16="http://schemas.microsoft.com/office/drawing/2014/main" id="{45A1F048-8FBA-40FC-8BC1-7042F8EF5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52400"/>
          <a:ext cx="1891149" cy="4000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1</xdr:row>
      <xdr:rowOff>0</xdr:rowOff>
    </xdr:from>
    <xdr:to>
      <xdr:col>5</xdr:col>
      <xdr:colOff>657225</xdr:colOff>
      <xdr:row>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AD2021-5842-9107-5B60-F09B371C926E}"/>
            </a:ext>
            <a:ext uri="{147F2762-F138-4A5C-976F-8EAC2B608ADB}">
              <a16:predDERef xmlns:a16="http://schemas.microsoft.com/office/drawing/2014/main" pred="{EC7C4292-A329-4231-B8D3-694C1819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2000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63</xdr:row>
      <xdr:rowOff>0</xdr:rowOff>
    </xdr:from>
    <xdr:to>
      <xdr:col>5</xdr:col>
      <xdr:colOff>638175</xdr:colOff>
      <xdr:row>65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8BE1B6-26D7-453A-8717-63C865A233AC}"/>
            </a:ext>
            <a:ext uri="{147F2762-F138-4A5C-976F-8EAC2B608ADB}">
              <a16:predDERef xmlns:a16="http://schemas.microsoft.com/office/drawing/2014/main" pred="{3FAD2021-5842-9107-5B60-F09B371C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2077700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386218</xdr:colOff>
      <xdr:row>167</xdr:row>
      <xdr:rowOff>53277</xdr:rowOff>
    </xdr:from>
    <xdr:to>
      <xdr:col>2</xdr:col>
      <xdr:colOff>638174</xdr:colOff>
      <xdr:row>169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7F936D-88D1-4BC0-824C-E0D96F4D12B7}"/>
            </a:ext>
            <a:ext uri="{147F2762-F138-4A5C-976F-8EAC2B608ADB}">
              <a16:predDERef xmlns:a16="http://schemas.microsoft.com/office/drawing/2014/main" pred="{368BE1B6-26D7-453A-8717-63C865A2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369" y="33748291"/>
          <a:ext cx="1347983" cy="5338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211</xdr:row>
      <xdr:rowOff>47625</xdr:rowOff>
    </xdr:from>
    <xdr:to>
      <xdr:col>5</xdr:col>
      <xdr:colOff>657225</xdr:colOff>
      <xdr:row>214</xdr:row>
      <xdr:rowOff>9524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C0280C-C415-41C1-9BC0-0215DD615569}"/>
            </a:ext>
            <a:ext uri="{147F2762-F138-4A5C-976F-8EAC2B608ADB}">
              <a16:predDERef xmlns:a16="http://schemas.microsoft.com/office/drawing/2014/main" pred="{A87F936D-88D1-4BC0-824C-E0D96F4D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4081462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260</xdr:row>
      <xdr:rowOff>47625</xdr:rowOff>
    </xdr:from>
    <xdr:to>
      <xdr:col>5</xdr:col>
      <xdr:colOff>609600</xdr:colOff>
      <xdr:row>262</xdr:row>
      <xdr:rowOff>180976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B2CAFA5-948B-4EEB-897B-BDECE7A733C1}"/>
            </a:ext>
            <a:ext uri="{147F2762-F138-4A5C-976F-8EAC2B608ADB}">
              <a16:predDERef xmlns:a16="http://schemas.microsoft.com/office/drawing/2014/main" pred="{64C0280C-C415-41C1-9BC0-0215DD61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50368200"/>
          <a:ext cx="1304925" cy="514350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297</xdr:row>
      <xdr:rowOff>19050</xdr:rowOff>
    </xdr:from>
    <xdr:to>
      <xdr:col>5</xdr:col>
      <xdr:colOff>723900</xdr:colOff>
      <xdr:row>299</xdr:row>
      <xdr:rowOff>180976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5353B16-1256-4762-850C-911980B3258F}"/>
            </a:ext>
            <a:ext uri="{147F2762-F138-4A5C-976F-8EAC2B608ADB}">
              <a16:predDERef xmlns:a16="http://schemas.microsoft.com/office/drawing/2014/main" pred="{DB2CAFA5-948B-4EEB-897B-BDECE7A73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57407175"/>
          <a:ext cx="13811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407748</xdr:colOff>
      <xdr:row>355</xdr:row>
      <xdr:rowOff>97077</xdr:rowOff>
    </xdr:from>
    <xdr:to>
      <xdr:col>5</xdr:col>
      <xdr:colOff>683973</xdr:colOff>
      <xdr:row>358</xdr:row>
      <xdr:rowOff>69415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3360AEB-F235-443F-B582-AA9A43AD4437}"/>
            </a:ext>
            <a:ext uri="{147F2762-F138-4A5C-976F-8EAC2B608ADB}">
              <a16:predDERef xmlns:a16="http://schemas.microsoft.com/office/drawing/2014/main" pred="{F5353B16-1256-4762-850C-911980B3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3118" y="72079981"/>
          <a:ext cx="1414006" cy="567325"/>
        </a:xfrm>
        <a:prstGeom prst="rect">
          <a:avLst/>
        </a:prstGeom>
      </xdr:spPr>
    </xdr:pic>
    <xdr:clientData/>
  </xdr:twoCellAnchor>
  <xdr:twoCellAnchor editAs="oneCell">
    <xdr:from>
      <xdr:col>1</xdr:col>
      <xdr:colOff>532356</xdr:colOff>
      <xdr:row>107</xdr:row>
      <xdr:rowOff>52401</xdr:rowOff>
    </xdr:from>
    <xdr:to>
      <xdr:col>2</xdr:col>
      <xdr:colOff>714375</xdr:colOff>
      <xdr:row>109</xdr:row>
      <xdr:rowOff>161926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C377B6B-5069-4464-85A7-8CC5BA2FCF99}"/>
            </a:ext>
            <a:ext uri="{147F2762-F138-4A5C-976F-8EAC2B608ADB}">
              <a16:predDERef xmlns:a16="http://schemas.microsoft.com/office/drawing/2014/main" pred="{A3360AEB-F235-443F-B582-AA9A43AD4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507" y="21607606"/>
          <a:ext cx="1278046" cy="5061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398</xdr:row>
      <xdr:rowOff>66675</xdr:rowOff>
    </xdr:from>
    <xdr:ext cx="948579" cy="400050"/>
    <xdr:pic>
      <xdr:nvPicPr>
        <xdr:cNvPr id="7" name="1 Imagen">
          <a:extLst>
            <a:ext uri="{FF2B5EF4-FFF2-40B4-BE49-F238E27FC236}">
              <a16:creationId xmlns:a16="http://schemas.microsoft.com/office/drawing/2014/main" id="{2C9A29BF-ABED-4E63-9A6D-EECBB4ACB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799" y="65255775"/>
          <a:ext cx="948579" cy="400050"/>
        </a:xfrm>
        <a:prstGeom prst="rect">
          <a:avLst/>
        </a:prstGeom>
      </xdr:spPr>
    </xdr:pic>
    <xdr:clientData/>
  </xdr:oneCellAnchor>
  <xdr:twoCellAnchor editAs="oneCell">
    <xdr:from>
      <xdr:col>0</xdr:col>
      <xdr:colOff>3081618</xdr:colOff>
      <xdr:row>142</xdr:row>
      <xdr:rowOff>100853</xdr:rowOff>
    </xdr:from>
    <xdr:to>
      <xdr:col>2</xdr:col>
      <xdr:colOff>845080</xdr:colOff>
      <xdr:row>144</xdr:row>
      <xdr:rowOff>108697</xdr:rowOff>
    </xdr:to>
    <xdr:pic>
      <xdr:nvPicPr>
        <xdr:cNvPr id="12" name="1 Imagen">
          <a:extLst>
            <a:ext uri="{FF2B5EF4-FFF2-40B4-BE49-F238E27FC236}">
              <a16:creationId xmlns:a16="http://schemas.microsoft.com/office/drawing/2014/main" id="{BF7BA403-22C6-4EE1-A2A8-17D1FF7D1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8" y="26637503"/>
          <a:ext cx="1887787" cy="388844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12887</xdr:colOff>
      <xdr:row>218</xdr:row>
      <xdr:rowOff>0</xdr:rowOff>
    </xdr:from>
    <xdr:to>
      <xdr:col>2</xdr:col>
      <xdr:colOff>842122</xdr:colOff>
      <xdr:row>219</xdr:row>
      <xdr:rowOff>139676</xdr:rowOff>
    </xdr:to>
    <xdr:pic>
      <xdr:nvPicPr>
        <xdr:cNvPr id="13" name="1 Imagen">
          <a:extLst>
            <a:ext uri="{FF2B5EF4-FFF2-40B4-BE49-F238E27FC236}">
              <a16:creationId xmlns:a16="http://schemas.microsoft.com/office/drawing/2014/main" id="{E7DB1F25-E410-4C53-834E-3318FB3E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087" y="39966900"/>
          <a:ext cx="1800785" cy="330176"/>
        </a:xfrm>
        <a:prstGeom prst="rect">
          <a:avLst/>
        </a:prstGeom>
      </xdr:spPr>
    </xdr:pic>
    <xdr:clientData/>
  </xdr:twoCellAnchor>
  <xdr:oneCellAnchor>
    <xdr:from>
      <xdr:col>4</xdr:col>
      <xdr:colOff>133350</xdr:colOff>
      <xdr:row>1</xdr:row>
      <xdr:rowOff>142875</xdr:rowOff>
    </xdr:from>
    <xdr:ext cx="1312210" cy="400050"/>
    <xdr:pic>
      <xdr:nvPicPr>
        <xdr:cNvPr id="14" name="1 Imagen">
          <a:extLst>
            <a:ext uri="{FF2B5EF4-FFF2-40B4-BE49-F238E27FC236}">
              <a16:creationId xmlns:a16="http://schemas.microsoft.com/office/drawing/2014/main" id="{5D764CF2-CA63-44BE-9556-E8D08BB08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352425"/>
          <a:ext cx="1312210" cy="400050"/>
        </a:xfrm>
        <a:prstGeom prst="rect">
          <a:avLst/>
        </a:prstGeom>
      </xdr:spPr>
    </xdr:pic>
    <xdr:clientData/>
  </xdr:oneCellAnchor>
  <xdr:oneCellAnchor>
    <xdr:from>
      <xdr:col>4</xdr:col>
      <xdr:colOff>476249</xdr:colOff>
      <xdr:row>83</xdr:row>
      <xdr:rowOff>190500</xdr:rowOff>
    </xdr:from>
    <xdr:ext cx="1475255" cy="400050"/>
    <xdr:pic>
      <xdr:nvPicPr>
        <xdr:cNvPr id="15" name="1 Imagen">
          <a:extLst>
            <a:ext uri="{FF2B5EF4-FFF2-40B4-BE49-F238E27FC236}">
              <a16:creationId xmlns:a16="http://schemas.microsoft.com/office/drawing/2014/main" id="{F7914B9D-C63A-486B-91D8-2A8DB826F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4" y="17059275"/>
          <a:ext cx="1475255" cy="400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85</xdr:row>
      <xdr:rowOff>56031</xdr:rowOff>
    </xdr:from>
    <xdr:to>
      <xdr:col>2</xdr:col>
      <xdr:colOff>238125</xdr:colOff>
      <xdr:row>85</xdr:row>
      <xdr:rowOff>228601</xdr:rowOff>
    </xdr:to>
    <xdr:sp macro="" textlink="">
      <xdr:nvSpPr>
        <xdr:cNvPr id="3" name="Oval 35">
          <a:extLst>
            <a:ext uri="{FF2B5EF4-FFF2-40B4-BE49-F238E27FC236}">
              <a16:creationId xmlns:a16="http://schemas.microsoft.com/office/drawing/2014/main" id="{52A41296-697A-4ACC-9028-2D28EA63CA30}"/>
            </a:ext>
          </a:extLst>
        </xdr:cNvPr>
        <xdr:cNvSpPr>
          <a:spLocks noChangeArrowheads="1"/>
        </xdr:cNvSpPr>
      </xdr:nvSpPr>
      <xdr:spPr bwMode="auto">
        <a:xfrm>
          <a:off x="2428875" y="16734306"/>
          <a:ext cx="161925" cy="134470"/>
        </a:xfrm>
        <a:prstGeom prst="ellipse">
          <a:avLst/>
        </a:prstGeom>
        <a:noFill/>
        <a:ln w="12700" algn="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15-03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bilidades%20hasta%2031-05-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libilidades%20hasta%2017-04-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el%2031-07-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30-09-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bilidades/Rentalibilidades%20hasta%2031-08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</sheetNames>
    <sheetDataSet>
      <sheetData sheetId="0">
        <row r="4">
          <cell r="W4">
            <v>175000</v>
          </cell>
        </row>
        <row r="7">
          <cell r="W7">
            <v>185000</v>
          </cell>
        </row>
        <row r="9">
          <cell r="W9">
            <v>120000</v>
          </cell>
        </row>
        <row r="10">
          <cell r="W10">
            <v>120000</v>
          </cell>
        </row>
        <row r="11">
          <cell r="W11">
            <v>118000</v>
          </cell>
        </row>
        <row r="12">
          <cell r="W12">
            <v>129000</v>
          </cell>
        </row>
        <row r="14">
          <cell r="W14">
            <v>149000</v>
          </cell>
        </row>
        <row r="17">
          <cell r="W17">
            <v>180000</v>
          </cell>
        </row>
        <row r="18">
          <cell r="W18">
            <v>236000</v>
          </cell>
        </row>
        <row r="20">
          <cell r="W20">
            <v>272000</v>
          </cell>
        </row>
        <row r="21">
          <cell r="W21">
            <v>330000</v>
          </cell>
        </row>
        <row r="23">
          <cell r="W23">
            <v>369950</v>
          </cell>
        </row>
        <row r="24">
          <cell r="W24">
            <v>380000</v>
          </cell>
        </row>
        <row r="26">
          <cell r="W26">
            <v>453900</v>
          </cell>
        </row>
        <row r="27">
          <cell r="W27">
            <v>462900</v>
          </cell>
        </row>
        <row r="28">
          <cell r="W28">
            <v>650000</v>
          </cell>
        </row>
        <row r="32">
          <cell r="W32">
            <v>250000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L4">
            <v>2850</v>
          </cell>
        </row>
        <row r="5">
          <cell r="L5">
            <v>3500</v>
          </cell>
        </row>
        <row r="6">
          <cell r="L6">
            <v>6300</v>
          </cell>
        </row>
        <row r="7">
          <cell r="L7">
            <v>3500</v>
          </cell>
        </row>
        <row r="10">
          <cell r="L10">
            <v>36150</v>
          </cell>
        </row>
        <row r="11">
          <cell r="L11">
            <v>0</v>
          </cell>
        </row>
        <row r="12">
          <cell r="L12">
            <v>0</v>
          </cell>
        </row>
        <row r="14">
          <cell r="L14">
            <v>12650</v>
          </cell>
        </row>
        <row r="15">
          <cell r="L15">
            <v>14850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Mayorista"/>
      <sheetName val="Talleres"/>
      <sheetName val="INTEC (listas)"/>
      <sheetName val="Publico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nuevo"/>
      <sheetName val="Bronco "/>
    </sheetNames>
    <sheetDataSet>
      <sheetData sheetId="0"/>
      <sheetData sheetId="1">
        <row r="7">
          <cell r="C7">
            <v>62351</v>
          </cell>
        </row>
        <row r="8">
          <cell r="C8">
            <v>72697</v>
          </cell>
          <cell r="H8">
            <v>0</v>
          </cell>
        </row>
        <row r="9">
          <cell r="C9">
            <v>0</v>
          </cell>
        </row>
        <row r="10">
          <cell r="C10">
            <v>70022</v>
          </cell>
          <cell r="H10">
            <v>0</v>
          </cell>
        </row>
        <row r="11">
          <cell r="C11">
            <v>78073</v>
          </cell>
        </row>
        <row r="12">
          <cell r="C12">
            <v>83638</v>
          </cell>
        </row>
        <row r="13">
          <cell r="C13">
            <v>0</v>
          </cell>
        </row>
        <row r="14">
          <cell r="C14">
            <v>111190</v>
          </cell>
        </row>
        <row r="15">
          <cell r="C15">
            <v>129163</v>
          </cell>
        </row>
        <row r="16">
          <cell r="C16">
            <v>127685</v>
          </cell>
        </row>
        <row r="17">
          <cell r="C17">
            <v>202437</v>
          </cell>
        </row>
      </sheetData>
      <sheetData sheetId="2"/>
      <sheetData sheetId="3">
        <row r="4">
          <cell r="AA4">
            <v>121800</v>
          </cell>
        </row>
        <row r="5">
          <cell r="AA5">
            <v>142700</v>
          </cell>
        </row>
        <row r="6">
          <cell r="AA6">
            <v>138550</v>
          </cell>
        </row>
        <row r="7">
          <cell r="AA7">
            <v>138550</v>
          </cell>
        </row>
        <row r="8">
          <cell r="AA8">
            <v>134850</v>
          </cell>
        </row>
        <row r="9">
          <cell r="AA9">
            <v>164850</v>
          </cell>
        </row>
        <row r="10">
          <cell r="AA10">
            <v>165700</v>
          </cell>
        </row>
        <row r="11">
          <cell r="AA11">
            <v>206850</v>
          </cell>
        </row>
        <row r="12">
          <cell r="AA12">
            <v>285600</v>
          </cell>
        </row>
        <row r="13">
          <cell r="AA13">
            <v>252000</v>
          </cell>
        </row>
        <row r="14">
          <cell r="AA14">
            <v>214750</v>
          </cell>
        </row>
        <row r="15">
          <cell r="AA15">
            <v>260400</v>
          </cell>
        </row>
        <row r="16">
          <cell r="AA16">
            <v>390550</v>
          </cell>
        </row>
        <row r="17">
          <cell r="AA17">
            <v>468450</v>
          </cell>
        </row>
        <row r="18">
          <cell r="AA18">
            <v>232000</v>
          </cell>
        </row>
        <row r="19">
          <cell r="AA19">
            <v>280000</v>
          </cell>
        </row>
      </sheetData>
      <sheetData sheetId="4">
        <row r="4">
          <cell r="U4">
            <v>30850</v>
          </cell>
        </row>
        <row r="5">
          <cell r="U5">
            <v>37100</v>
          </cell>
        </row>
        <row r="6">
          <cell r="U6">
            <v>37100</v>
          </cell>
        </row>
        <row r="7">
          <cell r="U7">
            <v>43200</v>
          </cell>
        </row>
        <row r="8">
          <cell r="U8">
            <v>59000</v>
          </cell>
        </row>
        <row r="9">
          <cell r="U9">
            <v>73500</v>
          </cell>
        </row>
        <row r="10">
          <cell r="U10">
            <v>89800</v>
          </cell>
        </row>
        <row r="11">
          <cell r="U11">
            <v>150000</v>
          </cell>
        </row>
        <row r="12">
          <cell r="U12">
            <v>26600</v>
          </cell>
        </row>
        <row r="13">
          <cell r="U13">
            <v>28850</v>
          </cell>
        </row>
        <row r="14">
          <cell r="U14">
            <v>33400</v>
          </cell>
        </row>
        <row r="15">
          <cell r="U15">
            <v>37100</v>
          </cell>
        </row>
        <row r="16">
          <cell r="U16">
            <v>37100</v>
          </cell>
        </row>
        <row r="17">
          <cell r="U17">
            <v>42750</v>
          </cell>
        </row>
        <row r="18">
          <cell r="U18">
            <v>59000</v>
          </cell>
        </row>
        <row r="19">
          <cell r="U19">
            <v>69300</v>
          </cell>
        </row>
        <row r="20">
          <cell r="U20">
            <v>110000</v>
          </cell>
        </row>
        <row r="21">
          <cell r="U21"/>
        </row>
        <row r="22">
          <cell r="U22">
            <v>46200</v>
          </cell>
        </row>
        <row r="23">
          <cell r="U23">
            <v>66700</v>
          </cell>
        </row>
        <row r="24">
          <cell r="U24">
            <v>72700</v>
          </cell>
        </row>
        <row r="25">
          <cell r="U25">
            <v>69300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Novelbat"/>
      <sheetName val="Optima - Pioneiro"/>
      <sheetName val="Moto"/>
      <sheetName val="Lusqtoff"/>
      <sheetName val="Costos"/>
      <sheetName val="Hoja1"/>
      <sheetName val="INTEC (listas)"/>
      <sheetName val="Publico"/>
      <sheetName val="Mayorista"/>
      <sheetName val="Talleres"/>
      <sheetName val="Domicilio"/>
      <sheetName val="Yuasa"/>
      <sheetName val="Tempel - Melisam"/>
      <sheetName val="Battery Trading"/>
      <sheetName val="LiquiMoly"/>
      <sheetName val="Terminales - Liquimoly - Bari"/>
      <sheetName val="Mota"/>
      <sheetName val="Pilas"/>
      <sheetName val="Hoja2"/>
      <sheetName val="Newmax"/>
      <sheetName val="Sis8120 articulos"/>
      <sheetName val="Bronco "/>
      <sheetName val="Rentalibilidades hasta 17-04-20"/>
    </sheetNames>
    <sheetDataSet>
      <sheetData sheetId="0" refreshError="1"/>
      <sheetData sheetId="1" refreshError="1">
        <row r="7">
          <cell r="H7">
            <v>48494.46</v>
          </cell>
          <cell r="AL7">
            <v>86250</v>
          </cell>
        </row>
        <row r="8">
          <cell r="AL8">
            <v>105600</v>
          </cell>
        </row>
        <row r="9">
          <cell r="AL9">
            <v>101800</v>
          </cell>
        </row>
        <row r="10">
          <cell r="AL10">
            <v>109050</v>
          </cell>
        </row>
        <row r="11">
          <cell r="AL11">
            <v>113850</v>
          </cell>
        </row>
        <row r="12">
          <cell r="AL12">
            <v>119250</v>
          </cell>
        </row>
        <row r="13">
          <cell r="AL13">
            <v>122050</v>
          </cell>
        </row>
        <row r="14">
          <cell r="AL14">
            <v>149800</v>
          </cell>
        </row>
        <row r="17">
          <cell r="AL17">
            <v>269200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P3">
            <v>22000</v>
          </cell>
        </row>
        <row r="4">
          <cell r="P4">
            <v>65000</v>
          </cell>
        </row>
        <row r="5">
          <cell r="P5">
            <v>85000</v>
          </cell>
        </row>
        <row r="6">
          <cell r="P6">
            <v>120000</v>
          </cell>
        </row>
        <row r="7">
          <cell r="P7">
            <v>0</v>
          </cell>
        </row>
        <row r="8">
          <cell r="P8">
            <v>0</v>
          </cell>
        </row>
        <row r="9">
          <cell r="P9">
            <v>24150</v>
          </cell>
        </row>
      </sheetData>
      <sheetData sheetId="17" refreshError="1">
        <row r="4">
          <cell r="R4">
            <v>620000</v>
          </cell>
        </row>
        <row r="5">
          <cell r="R5">
            <v>470000</v>
          </cell>
        </row>
        <row r="6">
          <cell r="R6">
            <v>850000</v>
          </cell>
        </row>
        <row r="7">
          <cell r="R7">
            <v>700000</v>
          </cell>
        </row>
        <row r="8">
          <cell r="R8">
            <v>570000</v>
          </cell>
        </row>
        <row r="9">
          <cell r="R9">
            <v>950000</v>
          </cell>
        </row>
        <row r="11">
          <cell r="R11">
            <v>490000</v>
          </cell>
        </row>
        <row r="12">
          <cell r="R12">
            <v>570000</v>
          </cell>
        </row>
        <row r="13">
          <cell r="R13">
            <v>690000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Hoja2"/>
      <sheetName val="Newmax"/>
      <sheetName val="Bronco "/>
      <sheetName val="Rentalibilidades hasta el 31-07"/>
    </sheetNames>
    <sheetDataSet>
      <sheetData sheetId="0"/>
      <sheetData sheetId="1">
        <row r="15">
          <cell r="Y15">
            <v>187250</v>
          </cell>
        </row>
        <row r="16">
          <cell r="Y16">
            <v>192600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56647.455000000002</v>
          </cell>
        </row>
        <row r="6">
          <cell r="R6">
            <v>60987.435000000005</v>
          </cell>
        </row>
        <row r="7">
          <cell r="R7">
            <v>60987.435000000005</v>
          </cell>
        </row>
        <row r="8">
          <cell r="R8">
            <v>58415.594999999994</v>
          </cell>
        </row>
        <row r="9">
          <cell r="R9">
            <v>57330.6</v>
          </cell>
        </row>
        <row r="10">
          <cell r="R10">
            <v>61081.2</v>
          </cell>
        </row>
        <row r="11">
          <cell r="R11">
            <v>62849.34</v>
          </cell>
        </row>
        <row r="12">
          <cell r="R12">
            <v>62849.34</v>
          </cell>
        </row>
        <row r="13">
          <cell r="R13">
            <v>68984.25</v>
          </cell>
        </row>
        <row r="14">
          <cell r="R14">
            <v>68984.25</v>
          </cell>
        </row>
        <row r="15">
          <cell r="R15">
            <v>77356.125</v>
          </cell>
        </row>
        <row r="16">
          <cell r="R16">
            <v>77356.125</v>
          </cell>
        </row>
        <row r="17">
          <cell r="R17">
            <v>82955.235000000015</v>
          </cell>
        </row>
        <row r="18">
          <cell r="R18">
            <v>82955.235000000015</v>
          </cell>
        </row>
        <row r="19">
          <cell r="R19">
            <v>112986.825</v>
          </cell>
        </row>
        <row r="20">
          <cell r="R20">
            <v>89398.23</v>
          </cell>
        </row>
        <row r="21">
          <cell r="R21">
            <v>89398.23</v>
          </cell>
        </row>
        <row r="22">
          <cell r="R22">
            <v>69346.2</v>
          </cell>
        </row>
        <row r="23">
          <cell r="R23">
            <v>86504.91</v>
          </cell>
        </row>
        <row r="24">
          <cell r="R24">
            <v>86504.91</v>
          </cell>
        </row>
        <row r="25">
          <cell r="R25">
            <v>105646.36500000001</v>
          </cell>
        </row>
        <row r="26">
          <cell r="R26">
            <v>105646.36500000001</v>
          </cell>
        </row>
        <row r="27">
          <cell r="R27">
            <v>127167</v>
          </cell>
        </row>
        <row r="28">
          <cell r="R28">
            <v>108820.98</v>
          </cell>
        </row>
        <row r="29">
          <cell r="R29">
            <v>125725.47</v>
          </cell>
        </row>
        <row r="30">
          <cell r="R30">
            <v>0</v>
          </cell>
        </row>
        <row r="31">
          <cell r="R31">
            <v>188293.51499999998</v>
          </cell>
        </row>
        <row r="32">
          <cell r="R32">
            <v>200255.25</v>
          </cell>
        </row>
        <row r="33">
          <cell r="R33">
            <v>230059.125</v>
          </cell>
        </row>
        <row r="34">
          <cell r="R34">
            <v>233568.61499999999</v>
          </cell>
        </row>
        <row r="35">
          <cell r="R35">
            <v>314755.70999999996</v>
          </cell>
        </row>
        <row r="38">
          <cell r="R38">
            <v>42162.76</v>
          </cell>
        </row>
        <row r="39">
          <cell r="R39">
            <v>47349.26</v>
          </cell>
        </row>
        <row r="40">
          <cell r="R40">
            <v>49140</v>
          </cell>
        </row>
        <row r="41">
          <cell r="R41">
            <v>52793.24</v>
          </cell>
        </row>
        <row r="42">
          <cell r="R42">
            <v>56557.04</v>
          </cell>
        </row>
        <row r="43">
          <cell r="R43">
            <v>87341.48</v>
          </cell>
        </row>
        <row r="44">
          <cell r="R44">
            <v>88200</v>
          </cell>
        </row>
        <row r="45">
          <cell r="R45">
            <v>10</v>
          </cell>
        </row>
        <row r="46">
          <cell r="R46">
            <v>136889.98000000001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60040.149623999998</v>
          </cell>
        </row>
        <row r="50">
          <cell r="R50">
            <v>71057.701624000008</v>
          </cell>
        </row>
        <row r="51">
          <cell r="R51">
            <v>63345.415224000004</v>
          </cell>
        </row>
        <row r="52">
          <cell r="R52">
            <v>68854.191224000009</v>
          </cell>
        </row>
        <row r="53">
          <cell r="R53">
            <v>67201.558424000003</v>
          </cell>
        </row>
        <row r="54">
          <cell r="R54">
            <v>78219.110423999999</v>
          </cell>
        </row>
        <row r="55">
          <cell r="R55">
            <v>79320.865623999998</v>
          </cell>
        </row>
        <row r="56">
          <cell r="R56">
            <v>85931.39682400001</v>
          </cell>
        </row>
        <row r="57">
          <cell r="R57">
            <v>98050.704024000006</v>
          </cell>
        </row>
        <row r="58">
          <cell r="R58">
            <v>118984.052824</v>
          </cell>
        </row>
        <row r="59">
          <cell r="R59">
            <v>185235.16800000001</v>
          </cell>
        </row>
        <row r="60">
          <cell r="R60">
            <v>225113.568</v>
          </cell>
        </row>
        <row r="61">
          <cell r="R61">
            <v>134408.62562399998</v>
          </cell>
        </row>
        <row r="62">
          <cell r="R62">
            <v>149282.32082399999</v>
          </cell>
        </row>
        <row r="63">
          <cell r="R63">
            <v>100805.092024</v>
          </cell>
        </row>
        <row r="64">
          <cell r="R64">
            <v>100805.092024</v>
          </cell>
        </row>
        <row r="65">
          <cell r="R65">
            <v>131654.237624</v>
          </cell>
        </row>
        <row r="66">
          <cell r="R66">
            <v>145426.177624</v>
          </cell>
        </row>
        <row r="67">
          <cell r="R67">
            <v>69119.353049999991</v>
          </cell>
        </row>
        <row r="68">
          <cell r="R68">
            <v>83800.579499999993</v>
          </cell>
        </row>
        <row r="69">
          <cell r="R69">
            <v>87159.548850000006</v>
          </cell>
        </row>
        <row r="70">
          <cell r="R70">
            <v>85631.391449999996</v>
          </cell>
        </row>
        <row r="71">
          <cell r="R71">
            <v>97866.573749999996</v>
          </cell>
        </row>
        <row r="72">
          <cell r="R72">
            <v>100615.27244999999</v>
          </cell>
        </row>
        <row r="73">
          <cell r="R73">
            <v>118590.9681</v>
          </cell>
        </row>
        <row r="74">
          <cell r="R74">
            <v>118590.9681</v>
          </cell>
        </row>
        <row r="75">
          <cell r="R75">
            <v>148325.53725000002</v>
          </cell>
        </row>
        <row r="76">
          <cell r="R76">
            <v>168206.4681</v>
          </cell>
        </row>
        <row r="77">
          <cell r="R77">
            <v>230970.07560000001</v>
          </cell>
        </row>
        <row r="78">
          <cell r="R78"/>
        </row>
        <row r="79">
          <cell r="R79"/>
        </row>
        <row r="80">
          <cell r="R80">
            <v>42162.76</v>
          </cell>
        </row>
        <row r="81">
          <cell r="R81">
            <v>47349.26</v>
          </cell>
        </row>
        <row r="82">
          <cell r="R82">
            <v>49140</v>
          </cell>
        </row>
        <row r="83">
          <cell r="R83">
            <v>52793.24</v>
          </cell>
        </row>
        <row r="84">
          <cell r="R84">
            <v>56557.04</v>
          </cell>
        </row>
        <row r="85">
          <cell r="R85">
            <v>87341.48</v>
          </cell>
        </row>
        <row r="86">
          <cell r="R86">
            <v>88200</v>
          </cell>
        </row>
        <row r="88">
          <cell r="R88">
            <v>136889.98000000001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170215.669624</v>
          </cell>
        </row>
        <row r="199">
          <cell r="R199">
            <v>214285.87762399999</v>
          </cell>
        </row>
        <row r="203">
          <cell r="R203">
            <v>282594.70002400002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50600</v>
          </cell>
        </row>
        <row r="214">
          <cell r="R214">
            <v>90574</v>
          </cell>
        </row>
        <row r="215">
          <cell r="R215">
            <v>119232.00000000001</v>
          </cell>
        </row>
        <row r="216">
          <cell r="R216">
            <v>75513.600000000006</v>
          </cell>
        </row>
        <row r="217">
          <cell r="R217">
            <v>57628.800000000003</v>
          </cell>
        </row>
        <row r="218">
          <cell r="R218">
            <v>109295.99999999999</v>
          </cell>
        </row>
        <row r="219">
          <cell r="R219">
            <v>91411.199999999997</v>
          </cell>
        </row>
        <row r="223">
          <cell r="R223">
            <v>49158.18</v>
          </cell>
        </row>
        <row r="224">
          <cell r="R224">
            <v>57780</v>
          </cell>
        </row>
        <row r="225">
          <cell r="R225">
            <v>75187.44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139104</v>
          </cell>
        </row>
        <row r="240">
          <cell r="R240">
            <v>22852.799999999999</v>
          </cell>
        </row>
        <row r="241">
          <cell r="R241">
            <v>81475.199999999997</v>
          </cell>
        </row>
        <row r="242">
          <cell r="R242">
            <v>21859.200000000001</v>
          </cell>
        </row>
        <row r="243">
          <cell r="R243">
            <v>23339.250000000004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22852.799999999999</v>
          </cell>
        </row>
        <row r="250">
          <cell r="R250">
            <v>78494.399999999994</v>
          </cell>
        </row>
        <row r="251">
          <cell r="R251">
            <v>30380.165289256198</v>
          </cell>
        </row>
        <row r="252">
          <cell r="R252">
            <v>38160</v>
          </cell>
        </row>
        <row r="255">
          <cell r="R255">
            <v>296508.76799999998</v>
          </cell>
        </row>
        <row r="258">
          <cell r="R258">
            <v>25970</v>
          </cell>
        </row>
        <row r="259">
          <cell r="R259">
            <v>182850</v>
          </cell>
        </row>
        <row r="260">
          <cell r="R260">
            <v>291015.58</v>
          </cell>
        </row>
        <row r="262">
          <cell r="R262">
            <v>85631.391449999996</v>
          </cell>
        </row>
        <row r="263">
          <cell r="R263">
            <v>97866.573749999996</v>
          </cell>
        </row>
        <row r="264">
          <cell r="R264">
            <v>32033.71</v>
          </cell>
        </row>
        <row r="265">
          <cell r="R265">
            <v>9486.58</v>
          </cell>
        </row>
        <row r="266">
          <cell r="R266">
            <v>145065.60000000001</v>
          </cell>
        </row>
        <row r="267">
          <cell r="R267">
            <v>67564.799999999988</v>
          </cell>
        </row>
        <row r="268">
          <cell r="R268">
            <v>96948.948824000006</v>
          </cell>
        </row>
        <row r="269">
          <cell r="R269">
            <v>159032.56215000001</v>
          </cell>
        </row>
        <row r="271">
          <cell r="R271">
            <v>31795.200000000001</v>
          </cell>
        </row>
        <row r="272">
          <cell r="R272">
            <v>6789.5999999999995</v>
          </cell>
        </row>
        <row r="278">
          <cell r="R278">
            <v>83177.008824000004</v>
          </cell>
        </row>
        <row r="283">
          <cell r="R283">
            <v>67564.799999999988</v>
          </cell>
        </row>
        <row r="289">
          <cell r="R289">
            <v>23674.560000000001</v>
          </cell>
        </row>
        <row r="290">
          <cell r="R290">
            <v>70453.440000000002</v>
          </cell>
        </row>
        <row r="291">
          <cell r="R291">
            <v>40607.040000000001</v>
          </cell>
        </row>
        <row r="292">
          <cell r="R292">
            <v>36572.160000000003</v>
          </cell>
        </row>
        <row r="293">
          <cell r="R293">
            <v>37504.32</v>
          </cell>
        </row>
        <row r="294">
          <cell r="R294">
            <v>49332.480000000003</v>
          </cell>
        </row>
        <row r="295">
          <cell r="R295">
            <v>110126.39999999999</v>
          </cell>
        </row>
        <row r="296">
          <cell r="R296">
            <v>373049.56799999997</v>
          </cell>
        </row>
        <row r="297">
          <cell r="R297">
            <v>54333.120000000003</v>
          </cell>
        </row>
        <row r="298">
          <cell r="R298">
            <v>67115.520000000004</v>
          </cell>
        </row>
        <row r="299">
          <cell r="R299">
            <v>101707.2</v>
          </cell>
        </row>
        <row r="300">
          <cell r="R300">
            <v>26451.84</v>
          </cell>
        </row>
        <row r="301">
          <cell r="R301">
            <v>423280</v>
          </cell>
        </row>
        <row r="302">
          <cell r="R302">
            <v>623300</v>
          </cell>
        </row>
        <row r="304">
          <cell r="R304">
            <v>0</v>
          </cell>
        </row>
        <row r="305">
          <cell r="R305">
            <v>322000</v>
          </cell>
        </row>
        <row r="306">
          <cell r="R306">
            <v>111550</v>
          </cell>
        </row>
        <row r="308">
          <cell r="R308">
            <v>21859.200000000001</v>
          </cell>
        </row>
        <row r="309">
          <cell r="R309">
            <v>54647.999999999993</v>
          </cell>
        </row>
        <row r="310">
          <cell r="R310">
            <v>57780</v>
          </cell>
        </row>
        <row r="311">
          <cell r="R311">
            <v>75187.44</v>
          </cell>
        </row>
        <row r="312">
          <cell r="R312">
            <v>49158.18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89125</v>
          </cell>
        </row>
        <row r="322">
          <cell r="R322">
            <v>287139.78315000003</v>
          </cell>
        </row>
        <row r="327">
          <cell r="R327">
            <v>122805.36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9936</v>
          </cell>
        </row>
        <row r="337">
          <cell r="R337">
            <v>208656</v>
          </cell>
        </row>
        <row r="338">
          <cell r="R338">
            <v>298080</v>
          </cell>
        </row>
        <row r="339">
          <cell r="R339">
            <v>114264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95966.399999999994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35700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26827.200000000001</v>
          </cell>
        </row>
        <row r="360">
          <cell r="R360">
            <v>56754.431999999993</v>
          </cell>
        </row>
        <row r="361">
          <cell r="R361">
            <v>13910.4</v>
          </cell>
        </row>
        <row r="362">
          <cell r="R362">
            <v>13910.4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59655.360000000001</v>
          </cell>
        </row>
        <row r="367">
          <cell r="R367">
            <v>3179.52</v>
          </cell>
        </row>
        <row r="368">
          <cell r="R368">
            <v>2980.8</v>
          </cell>
        </row>
        <row r="369">
          <cell r="R369">
            <v>100755.51303999999</v>
          </cell>
        </row>
        <row r="370">
          <cell r="R370">
            <v>39227.328000000001</v>
          </cell>
        </row>
        <row r="371">
          <cell r="R371">
            <v>12916.8</v>
          </cell>
        </row>
        <row r="372">
          <cell r="R372">
            <v>21309.9692</v>
          </cell>
        </row>
        <row r="373">
          <cell r="R373">
            <v>25720.449199999999</v>
          </cell>
        </row>
        <row r="374">
          <cell r="R374">
            <v>311031.89999999997</v>
          </cell>
        </row>
        <row r="375">
          <cell r="R375">
            <v>17884.8</v>
          </cell>
        </row>
        <row r="376">
          <cell r="R376">
            <v>11923.2</v>
          </cell>
        </row>
        <row r="377">
          <cell r="R377">
            <v>39744</v>
          </cell>
        </row>
        <row r="378">
          <cell r="R378">
            <v>51667.199999999997</v>
          </cell>
        </row>
        <row r="379">
          <cell r="R379">
            <v>12928.53</v>
          </cell>
        </row>
        <row r="380">
          <cell r="R380">
            <v>18850.57</v>
          </cell>
        </row>
        <row r="381">
          <cell r="R381">
            <v>35769.599999999999</v>
          </cell>
        </row>
        <row r="382">
          <cell r="R382">
            <v>28290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Novelbat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Terminales - Liquimoly"/>
      <sheetName val="Mota"/>
      <sheetName val="Pilas"/>
      <sheetName val="Costos"/>
      <sheetName val="Hoja2"/>
      <sheetName val="Newmax"/>
      <sheetName val="Bronco "/>
    </sheetNames>
    <sheetDataSet>
      <sheetData sheetId="0"/>
      <sheetData sheetId="1"/>
      <sheetData sheetId="2"/>
      <sheetData sheetId="3"/>
      <sheetData sheetId="4"/>
      <sheetData sheetId="5">
        <row r="5">
          <cell r="G5">
            <v>40600</v>
          </cell>
          <cell r="P5">
            <v>40600</v>
          </cell>
          <cell r="AH5">
            <v>43450</v>
          </cell>
        </row>
        <row r="6">
          <cell r="G6">
            <v>62000</v>
          </cell>
          <cell r="P6">
            <v>62000</v>
          </cell>
          <cell r="AH6"/>
        </row>
        <row r="7">
          <cell r="G7"/>
          <cell r="AH7"/>
        </row>
        <row r="8">
          <cell r="AH8">
            <v>60200</v>
          </cell>
        </row>
        <row r="9">
          <cell r="G9">
            <v>69100</v>
          </cell>
          <cell r="P9">
            <v>69100</v>
          </cell>
          <cell r="AH9">
            <v>73950</v>
          </cell>
        </row>
        <row r="10">
          <cell r="G10">
            <v>83400</v>
          </cell>
          <cell r="AH10">
            <v>0</v>
          </cell>
        </row>
        <row r="11">
          <cell r="G11">
            <v>88400</v>
          </cell>
          <cell r="AH11">
            <v>0</v>
          </cell>
        </row>
        <row r="12">
          <cell r="G12">
            <v>94650</v>
          </cell>
          <cell r="AH12">
            <v>0</v>
          </cell>
        </row>
        <row r="13">
          <cell r="G13">
            <v>104500</v>
          </cell>
          <cell r="AH13">
            <v>111850</v>
          </cell>
        </row>
        <row r="14">
          <cell r="G14">
            <v>119450</v>
          </cell>
          <cell r="AH14">
            <v>0</v>
          </cell>
        </row>
        <row r="15">
          <cell r="G15">
            <v>33650</v>
          </cell>
          <cell r="AH15">
            <v>36050</v>
          </cell>
        </row>
        <row r="16">
          <cell r="AH16">
            <v>0</v>
          </cell>
        </row>
        <row r="17">
          <cell r="G17">
            <v>51850</v>
          </cell>
          <cell r="AH17">
            <v>55500</v>
          </cell>
        </row>
        <row r="18">
          <cell r="P18">
            <v>53750</v>
          </cell>
          <cell r="AH18">
            <v>57550</v>
          </cell>
        </row>
        <row r="19">
          <cell r="G19">
            <v>55300</v>
          </cell>
          <cell r="P19">
            <v>55300</v>
          </cell>
          <cell r="AH19">
            <v>59200</v>
          </cell>
        </row>
        <row r="20">
          <cell r="P20">
            <v>68550</v>
          </cell>
          <cell r="AH20">
            <v>73350</v>
          </cell>
        </row>
        <row r="21">
          <cell r="G21">
            <v>90400</v>
          </cell>
          <cell r="P21">
            <v>90400</v>
          </cell>
          <cell r="AH21">
            <v>96750</v>
          </cell>
        </row>
        <row r="22">
          <cell r="P22">
            <v>101900</v>
          </cell>
          <cell r="AH22">
            <v>0</v>
          </cell>
        </row>
        <row r="23">
          <cell r="G23">
            <v>139500</v>
          </cell>
          <cell r="P23">
            <v>139500</v>
          </cell>
          <cell r="AH23">
            <v>0</v>
          </cell>
        </row>
        <row r="24">
          <cell r="G24">
            <v>133200</v>
          </cell>
          <cell r="P24">
            <v>133200</v>
          </cell>
          <cell r="AH24">
            <v>0</v>
          </cell>
        </row>
        <row r="25">
          <cell r="G25">
            <v>133200</v>
          </cell>
          <cell r="AH25">
            <v>0</v>
          </cell>
        </row>
        <row r="26">
          <cell r="G26">
            <v>53750</v>
          </cell>
          <cell r="AH26">
            <v>57550</v>
          </cell>
        </row>
        <row r="27">
          <cell r="G27">
            <v>77050</v>
          </cell>
          <cell r="P27">
            <v>77050</v>
          </cell>
          <cell r="AH27">
            <v>82450</v>
          </cell>
        </row>
        <row r="28">
          <cell r="G28">
            <v>88350</v>
          </cell>
          <cell r="AH28">
            <v>0</v>
          </cell>
        </row>
        <row r="29">
          <cell r="G29">
            <v>93750</v>
          </cell>
          <cell r="AH29">
            <v>0</v>
          </cell>
        </row>
        <row r="30">
          <cell r="G30">
            <v>127500</v>
          </cell>
          <cell r="AH30">
            <v>0</v>
          </cell>
        </row>
        <row r="31">
          <cell r="G31">
            <v>99000</v>
          </cell>
          <cell r="AH31">
            <v>0</v>
          </cell>
        </row>
        <row r="32">
          <cell r="G32">
            <v>60500</v>
          </cell>
          <cell r="AH3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ta"/>
      <sheetName val="Acubat-Lubeck"/>
      <sheetName val="Moura"/>
      <sheetName val="Willard - Elpra"/>
      <sheetName val="Optima - Pioneiro"/>
      <sheetName val="Moto"/>
      <sheetName val="Lusqtoff"/>
      <sheetName val="Hoja1"/>
      <sheetName val="INTEC (listas)"/>
      <sheetName val="Publico"/>
      <sheetName val="Mayorista"/>
      <sheetName val="Talleres"/>
      <sheetName val="Domicilio"/>
      <sheetName val="Yuasa"/>
      <sheetName val="Tempel"/>
      <sheetName val="Battery Trading"/>
      <sheetName val="LiquiMoly"/>
      <sheetName val="Newmax"/>
      <sheetName val="Terminales - Liquimoly"/>
      <sheetName val="Mota"/>
      <sheetName val="Pilas"/>
      <sheetName val="Costos"/>
      <sheetName val="Hoja2"/>
      <sheetName val="Bronc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R2"/>
        </row>
        <row r="3">
          <cell r="R3"/>
        </row>
        <row r="4">
          <cell r="R4"/>
        </row>
        <row r="5">
          <cell r="R5">
            <v>51826.395000000004</v>
          </cell>
        </row>
        <row r="6">
          <cell r="R6">
            <v>55797.014999999999</v>
          </cell>
        </row>
        <row r="7">
          <cell r="R7">
            <v>55797.014999999999</v>
          </cell>
        </row>
        <row r="8">
          <cell r="R8">
            <v>0</v>
          </cell>
        </row>
        <row r="9">
          <cell r="R9">
            <v>52451.4</v>
          </cell>
        </row>
        <row r="10">
          <cell r="R10">
            <v>55882.8</v>
          </cell>
        </row>
        <row r="11">
          <cell r="R11">
            <v>57500.460000000006</v>
          </cell>
        </row>
        <row r="12">
          <cell r="R12">
            <v>57500.460000000006</v>
          </cell>
        </row>
        <row r="13">
          <cell r="R13">
            <v>63113.249999999993</v>
          </cell>
        </row>
        <row r="14">
          <cell r="R14">
            <v>63113.249999999993</v>
          </cell>
        </row>
        <row r="15">
          <cell r="R15">
            <v>70772.625</v>
          </cell>
        </row>
        <row r="16">
          <cell r="R16">
            <v>70772.625</v>
          </cell>
        </row>
        <row r="17">
          <cell r="R17">
            <v>75895.214999999997</v>
          </cell>
        </row>
        <row r="18">
          <cell r="R18">
            <v>75895.214999999997</v>
          </cell>
        </row>
        <row r="19">
          <cell r="R19">
            <v>103370.925</v>
          </cell>
        </row>
        <row r="20">
          <cell r="R20">
            <v>0</v>
          </cell>
        </row>
        <row r="21">
          <cell r="R21">
            <v>0</v>
          </cell>
        </row>
        <row r="22">
          <cell r="R22">
            <v>74583.929999999993</v>
          </cell>
        </row>
        <row r="23">
          <cell r="R23">
            <v>79142.790000000008</v>
          </cell>
        </row>
        <row r="24">
          <cell r="R24">
            <v>79142.790000000008</v>
          </cell>
        </row>
        <row r="25">
          <cell r="R25">
            <v>96655.184999999998</v>
          </cell>
        </row>
        <row r="26">
          <cell r="R26">
            <v>96655.184999999998</v>
          </cell>
        </row>
        <row r="27">
          <cell r="R27">
            <v>127167</v>
          </cell>
        </row>
        <row r="28">
          <cell r="R28">
            <v>99559.62</v>
          </cell>
        </row>
        <row r="29">
          <cell r="R29">
            <v>115025.43</v>
          </cell>
        </row>
        <row r="30">
          <cell r="R30">
            <v>0</v>
          </cell>
        </row>
        <row r="31">
          <cell r="R31">
            <v>172268.535</v>
          </cell>
        </row>
        <row r="32">
          <cell r="R32">
            <v>183212.25</v>
          </cell>
        </row>
        <row r="33">
          <cell r="R33">
            <v>210479.625</v>
          </cell>
        </row>
        <row r="34">
          <cell r="R34">
            <v>213690.435</v>
          </cell>
        </row>
        <row r="35">
          <cell r="R35">
            <v>287967.99</v>
          </cell>
        </row>
        <row r="38">
          <cell r="R38">
            <v>46379.036</v>
          </cell>
        </row>
        <row r="39">
          <cell r="R39">
            <v>52084.186000000002</v>
          </cell>
        </row>
        <row r="40">
          <cell r="R40">
            <v>53071.200000000004</v>
          </cell>
        </row>
        <row r="41">
          <cell r="R41">
            <v>58072.564000000013</v>
          </cell>
        </row>
        <row r="42">
          <cell r="R42">
            <v>62212.744000000006</v>
          </cell>
        </row>
        <row r="43">
          <cell r="R43">
            <v>96075.628000000012</v>
          </cell>
        </row>
        <row r="44">
          <cell r="R44">
            <v>95256</v>
          </cell>
        </row>
        <row r="45">
          <cell r="R45">
            <v>10</v>
          </cell>
        </row>
        <row r="46">
          <cell r="R46">
            <v>150578.978</v>
          </cell>
        </row>
        <row r="47">
          <cell r="R47">
            <v>10</v>
          </cell>
        </row>
        <row r="48">
          <cell r="R48">
            <v>10</v>
          </cell>
        </row>
        <row r="49">
          <cell r="R49">
            <v>61513.016448000009</v>
          </cell>
        </row>
        <row r="50">
          <cell r="R50">
            <v>72845.355647999997</v>
          </cell>
        </row>
        <row r="51">
          <cell r="R51">
            <v>65290.46284800001</v>
          </cell>
        </row>
        <row r="52">
          <cell r="R52">
            <v>70686.814848000009</v>
          </cell>
        </row>
        <row r="53">
          <cell r="R53">
            <v>69067.909248000011</v>
          </cell>
        </row>
        <row r="54">
          <cell r="R54">
            <v>80400.248448000013</v>
          </cell>
        </row>
        <row r="55">
          <cell r="R55">
            <v>81479.518848000007</v>
          </cell>
        </row>
        <row r="56">
          <cell r="R56">
            <v>88494.776448000004</v>
          </cell>
        </row>
        <row r="57">
          <cell r="R57">
            <v>100906.38604800001</v>
          </cell>
        </row>
        <row r="58">
          <cell r="R58">
            <v>122443.22688</v>
          </cell>
        </row>
        <row r="59">
          <cell r="R59">
            <v>204902.33600000001</v>
          </cell>
        </row>
        <row r="60">
          <cell r="R60">
            <v>248857.53599999999</v>
          </cell>
        </row>
        <row r="61">
          <cell r="R61">
            <v>138141.21484799997</v>
          </cell>
        </row>
        <row r="62">
          <cell r="R62">
            <v>153790.635648</v>
          </cell>
        </row>
        <row r="63">
          <cell r="R63">
            <v>103604.56204799999</v>
          </cell>
        </row>
        <row r="64">
          <cell r="R64">
            <v>103604.56204799999</v>
          </cell>
        </row>
        <row r="65">
          <cell r="R65">
            <v>135443.038848</v>
          </cell>
        </row>
        <row r="66">
          <cell r="R66">
            <v>149473.55404799999</v>
          </cell>
        </row>
        <row r="67">
          <cell r="R67">
            <v>72575.320702499987</v>
          </cell>
        </row>
        <row r="68">
          <cell r="R68">
            <v>87990.608475000001</v>
          </cell>
        </row>
        <row r="69">
          <cell r="R69">
            <v>91517.526292499999</v>
          </cell>
        </row>
        <row r="70">
          <cell r="R70">
            <v>89912.961022499992</v>
          </cell>
        </row>
        <row r="71">
          <cell r="R71">
            <v>102759.9024375</v>
          </cell>
        </row>
        <row r="72">
          <cell r="R72">
            <v>105646.03607249999</v>
          </cell>
        </row>
        <row r="73">
          <cell r="R73">
            <v>124520.51650499998</v>
          </cell>
        </row>
        <row r="74">
          <cell r="R74">
            <v>124520.51650499998</v>
          </cell>
        </row>
        <row r="75">
          <cell r="R75">
            <v>155741.8141125</v>
          </cell>
        </row>
        <row r="76">
          <cell r="R76">
            <v>176616.79150499997</v>
          </cell>
        </row>
        <row r="77">
          <cell r="R77">
            <v>242518.57938000001</v>
          </cell>
        </row>
        <row r="78">
          <cell r="R78"/>
        </row>
        <row r="79">
          <cell r="R79"/>
        </row>
        <row r="80">
          <cell r="R80">
            <v>46379.036</v>
          </cell>
        </row>
        <row r="81">
          <cell r="R81">
            <v>52084.186000000002</v>
          </cell>
        </row>
        <row r="82">
          <cell r="R82">
            <v>53071.200000000004</v>
          </cell>
        </row>
        <row r="83">
          <cell r="R83">
            <v>58072.564000000013</v>
          </cell>
        </row>
        <row r="84">
          <cell r="R84">
            <v>62212.744000000006</v>
          </cell>
        </row>
        <row r="85">
          <cell r="R85">
            <v>96075.628000000012</v>
          </cell>
        </row>
        <row r="86">
          <cell r="R86">
            <v>95256</v>
          </cell>
        </row>
        <row r="88">
          <cell r="R88">
            <v>150578.978</v>
          </cell>
        </row>
        <row r="98">
          <cell r="R98">
            <v>66060</v>
          </cell>
        </row>
        <row r="99">
          <cell r="R99">
            <v>117630</v>
          </cell>
        </row>
        <row r="105">
          <cell r="R105">
            <v>16057.851239669422</v>
          </cell>
        </row>
        <row r="106">
          <cell r="R106">
            <v>24438.016528925618</v>
          </cell>
        </row>
        <row r="107">
          <cell r="R107">
            <v>0</v>
          </cell>
        </row>
        <row r="108">
          <cell r="R108">
            <v>22165.28925619835</v>
          </cell>
        </row>
        <row r="109">
          <cell r="R109">
            <v>27239.669421487604</v>
          </cell>
        </row>
        <row r="110">
          <cell r="R110">
            <v>32884.297520661159</v>
          </cell>
        </row>
        <row r="111">
          <cell r="R111">
            <v>34867.768595041322</v>
          </cell>
        </row>
        <row r="112">
          <cell r="R112">
            <v>37314.049586776862</v>
          </cell>
        </row>
        <row r="113">
          <cell r="R113">
            <v>41206.611570247936</v>
          </cell>
        </row>
        <row r="114">
          <cell r="R114">
            <v>47099.173553719011</v>
          </cell>
        </row>
        <row r="115">
          <cell r="R115">
            <v>13256.198347107438</v>
          </cell>
        </row>
        <row r="116">
          <cell r="R116">
            <v>16132.231404958677</v>
          </cell>
        </row>
        <row r="117">
          <cell r="R117">
            <v>20454.545454545456</v>
          </cell>
        </row>
        <row r="118">
          <cell r="R118">
            <v>21173.553719008265</v>
          </cell>
        </row>
        <row r="119">
          <cell r="R119">
            <v>21809.917355371901</v>
          </cell>
        </row>
        <row r="120">
          <cell r="R120">
            <v>27033.057851239671</v>
          </cell>
        </row>
        <row r="121">
          <cell r="R121">
            <v>35652.89256198347</v>
          </cell>
        </row>
        <row r="122">
          <cell r="R122">
            <v>40181.818181818177</v>
          </cell>
        </row>
        <row r="123">
          <cell r="R123">
            <v>55016.52892561983</v>
          </cell>
        </row>
        <row r="124">
          <cell r="R124">
            <v>52520.661157024791</v>
          </cell>
        </row>
        <row r="125">
          <cell r="R125">
            <v>52520.661157024791</v>
          </cell>
        </row>
        <row r="127">
          <cell r="R127">
            <v>21173.553719008265</v>
          </cell>
        </row>
        <row r="128">
          <cell r="R128">
            <v>34842.975206611569</v>
          </cell>
        </row>
        <row r="129">
          <cell r="R129">
            <v>36966.942148760332</v>
          </cell>
        </row>
        <row r="130">
          <cell r="R130">
            <v>50280.991735537194</v>
          </cell>
        </row>
        <row r="133">
          <cell r="R133">
            <v>50280.991735537194</v>
          </cell>
        </row>
        <row r="139">
          <cell r="R139">
            <v>23000</v>
          </cell>
        </row>
        <row r="141">
          <cell r="R141">
            <v>36000</v>
          </cell>
        </row>
        <row r="143">
          <cell r="R143">
            <v>28000</v>
          </cell>
        </row>
        <row r="146">
          <cell r="R146">
            <v>90000</v>
          </cell>
        </row>
        <row r="149">
          <cell r="R149">
            <v>63000</v>
          </cell>
        </row>
        <row r="152">
          <cell r="R152">
            <v>100000</v>
          </cell>
        </row>
        <row r="155">
          <cell r="R155">
            <v>185175</v>
          </cell>
        </row>
        <row r="159">
          <cell r="R159">
            <v>577.19008264462809</v>
          </cell>
        </row>
        <row r="160">
          <cell r="R160">
            <v>572.8677685950413</v>
          </cell>
        </row>
        <row r="161">
          <cell r="R161">
            <v>2510.0826446280989</v>
          </cell>
        </row>
        <row r="162">
          <cell r="R162">
            <v>2510.0826446280989</v>
          </cell>
        </row>
        <row r="165">
          <cell r="R165">
            <v>561.54545454545462</v>
          </cell>
        </row>
        <row r="166">
          <cell r="R166">
            <v>515.25619834710744</v>
          </cell>
        </row>
        <row r="167">
          <cell r="R167">
            <v>515.25619834710744</v>
          </cell>
        </row>
        <row r="168">
          <cell r="R168">
            <v>1813.6363636363637</v>
          </cell>
        </row>
        <row r="194">
          <cell r="R194">
            <v>174836.40844799997</v>
          </cell>
        </row>
        <row r="199">
          <cell r="R199">
            <v>220165.76524800001</v>
          </cell>
        </row>
        <row r="203">
          <cell r="R203">
            <v>290857.976448</v>
          </cell>
        </row>
        <row r="205">
          <cell r="R205">
            <v>1153.8</v>
          </cell>
        </row>
        <row r="206">
          <cell r="R206">
            <v>1496.7</v>
          </cell>
        </row>
        <row r="207">
          <cell r="R207">
            <v>3154.5</v>
          </cell>
        </row>
        <row r="208">
          <cell r="R208">
            <v>1303.2</v>
          </cell>
        </row>
        <row r="209">
          <cell r="R209">
            <v>1153.8</v>
          </cell>
        </row>
        <row r="210">
          <cell r="R210">
            <v>1496.7</v>
          </cell>
        </row>
        <row r="211">
          <cell r="R211">
            <v>3154.5</v>
          </cell>
        </row>
        <row r="212">
          <cell r="R212">
            <v>1303.2</v>
          </cell>
        </row>
        <row r="213">
          <cell r="R213">
            <v>52800</v>
          </cell>
        </row>
        <row r="214">
          <cell r="R214">
            <v>94512</v>
          </cell>
        </row>
        <row r="215">
          <cell r="R215">
            <v>124416.00000000001</v>
          </cell>
        </row>
        <row r="216">
          <cell r="R216">
            <v>78796.800000000003</v>
          </cell>
        </row>
        <row r="217">
          <cell r="R217">
            <v>60134.400000000001</v>
          </cell>
        </row>
        <row r="218">
          <cell r="R218">
            <v>114047.99999999999</v>
          </cell>
        </row>
        <row r="219">
          <cell r="R219">
            <v>95385.600000000006</v>
          </cell>
        </row>
        <row r="223">
          <cell r="R223">
            <v>54073.998000000007</v>
          </cell>
        </row>
        <row r="224">
          <cell r="R224">
            <v>62402.400000000001</v>
          </cell>
        </row>
        <row r="225">
          <cell r="R225">
            <v>82706.184000000008</v>
          </cell>
        </row>
        <row r="226">
          <cell r="R226">
            <v>3231.37</v>
          </cell>
        </row>
        <row r="227">
          <cell r="R227">
            <v>6104.08</v>
          </cell>
        </row>
        <row r="228">
          <cell r="R228">
            <v>7181.79</v>
          </cell>
        </row>
        <row r="229">
          <cell r="R229">
            <v>561.54545454545462</v>
          </cell>
        </row>
        <row r="234">
          <cell r="R234">
            <v>13220</v>
          </cell>
        </row>
        <row r="235">
          <cell r="R235">
            <v>16000</v>
          </cell>
        </row>
        <row r="236">
          <cell r="R236">
            <v>41800</v>
          </cell>
        </row>
        <row r="237">
          <cell r="R237">
            <v>57950</v>
          </cell>
        </row>
        <row r="238">
          <cell r="R238">
            <v>95950</v>
          </cell>
        </row>
        <row r="239">
          <cell r="R239">
            <v>145152</v>
          </cell>
        </row>
        <row r="240">
          <cell r="R240">
            <v>23846.400000000001</v>
          </cell>
        </row>
        <row r="241">
          <cell r="R241">
            <v>85017.600000000006</v>
          </cell>
        </row>
        <row r="242">
          <cell r="R242">
            <v>22809.599999999999</v>
          </cell>
        </row>
        <row r="243">
          <cell r="R243">
            <v>24354.000000000004</v>
          </cell>
        </row>
        <row r="244">
          <cell r="R244">
            <v>1193.4000000000001</v>
          </cell>
        </row>
        <row r="245">
          <cell r="R245">
            <v>5200.2</v>
          </cell>
        </row>
        <row r="247">
          <cell r="R247">
            <v>79625.040000000008</v>
          </cell>
        </row>
        <row r="248">
          <cell r="R248">
            <v>19644</v>
          </cell>
        </row>
        <row r="250">
          <cell r="R250">
            <v>81907.199999999997</v>
          </cell>
        </row>
        <row r="251">
          <cell r="R251">
            <v>30380.165289256198</v>
          </cell>
        </row>
        <row r="252">
          <cell r="R252">
            <v>38902</v>
          </cell>
        </row>
        <row r="255">
          <cell r="R255">
            <v>327718.33600000001</v>
          </cell>
        </row>
        <row r="258">
          <cell r="R258">
            <v>26500</v>
          </cell>
        </row>
        <row r="259">
          <cell r="R259">
            <v>186507</v>
          </cell>
        </row>
        <row r="260">
          <cell r="R260">
            <v>294150</v>
          </cell>
        </row>
        <row r="262">
          <cell r="R262">
            <v>89912.961022499992</v>
          </cell>
        </row>
        <row r="263">
          <cell r="R263">
            <v>102759.9024375</v>
          </cell>
        </row>
        <row r="264">
          <cell r="R264">
            <v>33426.479999999996</v>
          </cell>
        </row>
        <row r="265">
          <cell r="R265">
            <v>9899.0400000000009</v>
          </cell>
        </row>
        <row r="266">
          <cell r="R266">
            <v>151372.80000000002</v>
          </cell>
        </row>
        <row r="267">
          <cell r="R267">
            <v>87091.199999999997</v>
          </cell>
        </row>
        <row r="268">
          <cell r="R268">
            <v>99827.115648000006</v>
          </cell>
        </row>
        <row r="269">
          <cell r="R269">
            <v>166984.19025749998</v>
          </cell>
        </row>
        <row r="271">
          <cell r="R271">
            <v>33177.599999999999</v>
          </cell>
        </row>
        <row r="272">
          <cell r="R272">
            <v>10400.880000000001</v>
          </cell>
        </row>
        <row r="278">
          <cell r="R278">
            <v>85796.600448000012</v>
          </cell>
        </row>
        <row r="283">
          <cell r="R283">
            <v>87091.199999999997</v>
          </cell>
        </row>
        <row r="289">
          <cell r="R289">
            <v>27033.599999999999</v>
          </cell>
        </row>
        <row r="290">
          <cell r="R290">
            <v>75646.080000000002</v>
          </cell>
        </row>
        <row r="291">
          <cell r="R291">
            <v>43735.68</v>
          </cell>
        </row>
        <row r="292">
          <cell r="R292">
            <v>37519.68</v>
          </cell>
        </row>
        <row r="293">
          <cell r="R293">
            <v>38662.080000000002</v>
          </cell>
        </row>
        <row r="294">
          <cell r="R294">
            <v>50896.32</v>
          </cell>
        </row>
        <row r="295">
          <cell r="R295">
            <v>106824.96000000001</v>
          </cell>
        </row>
        <row r="296">
          <cell r="R296">
            <v>412396.73600000003</v>
          </cell>
        </row>
        <row r="297">
          <cell r="R297">
            <v>58522.559999999998</v>
          </cell>
        </row>
        <row r="298">
          <cell r="R298">
            <v>72130.559999999998</v>
          </cell>
        </row>
        <row r="299">
          <cell r="R299">
            <v>98665.919999999998</v>
          </cell>
        </row>
        <row r="300">
          <cell r="R300">
            <v>27646.080000000002</v>
          </cell>
        </row>
        <row r="301">
          <cell r="R301">
            <v>423280</v>
          </cell>
        </row>
        <row r="302">
          <cell r="R302">
            <v>650400</v>
          </cell>
        </row>
        <row r="304">
          <cell r="R304">
            <v>0</v>
          </cell>
        </row>
        <row r="305">
          <cell r="R305">
            <v>336000</v>
          </cell>
        </row>
        <row r="306">
          <cell r="R306">
            <v>116400</v>
          </cell>
        </row>
        <row r="308">
          <cell r="R308">
            <v>22809.599999999999</v>
          </cell>
        </row>
        <row r="309">
          <cell r="R309">
            <v>46656</v>
          </cell>
        </row>
        <row r="310">
          <cell r="R310">
            <v>62402.400000000001</v>
          </cell>
        </row>
        <row r="311">
          <cell r="R311">
            <v>82706.184000000008</v>
          </cell>
        </row>
        <row r="312">
          <cell r="R312">
            <v>54073.998000000007</v>
          </cell>
        </row>
        <row r="315">
          <cell r="R315">
            <v>10266.299999999999</v>
          </cell>
        </row>
        <row r="316">
          <cell r="R316">
            <v>9920.7240000000002</v>
          </cell>
        </row>
        <row r="317">
          <cell r="R317">
            <v>12188.66</v>
          </cell>
        </row>
        <row r="318">
          <cell r="R318">
            <v>15011.612000000001</v>
          </cell>
        </row>
        <row r="319">
          <cell r="R319">
            <v>15170.936000000002</v>
          </cell>
        </row>
        <row r="320">
          <cell r="R320">
            <v>6039.3519999999999</v>
          </cell>
        </row>
        <row r="321">
          <cell r="R321">
            <v>93000</v>
          </cell>
        </row>
        <row r="322">
          <cell r="R322">
            <v>301496.77230750001</v>
          </cell>
        </row>
        <row r="327">
          <cell r="R327">
            <v>112353.84000000003</v>
          </cell>
        </row>
        <row r="328">
          <cell r="R328">
            <v>17469.291694214877</v>
          </cell>
        </row>
        <row r="329">
          <cell r="R329">
            <v>18656.947619834707</v>
          </cell>
        </row>
        <row r="330">
          <cell r="R330">
            <v>21291.377545454547</v>
          </cell>
        </row>
        <row r="331">
          <cell r="R331">
            <v>14856.459429752067</v>
          </cell>
        </row>
        <row r="332">
          <cell r="R332">
            <v>23904.21750413223</v>
          </cell>
        </row>
        <row r="333">
          <cell r="R333">
            <v>22543.811066115701</v>
          </cell>
        </row>
        <row r="334">
          <cell r="R334">
            <v>21442.530396694216</v>
          </cell>
        </row>
        <row r="335">
          <cell r="R335">
            <v>26689.792586776861</v>
          </cell>
        </row>
        <row r="336">
          <cell r="R336">
            <v>10368</v>
          </cell>
        </row>
        <row r="337">
          <cell r="R337">
            <v>217728</v>
          </cell>
        </row>
        <row r="338">
          <cell r="R338">
            <v>311040</v>
          </cell>
        </row>
        <row r="339">
          <cell r="R339">
            <v>119232</v>
          </cell>
        </row>
        <row r="340">
          <cell r="R340">
            <v>41206.611570247936</v>
          </cell>
        </row>
        <row r="341">
          <cell r="R341">
            <v>50280.991735537194</v>
          </cell>
        </row>
        <row r="342">
          <cell r="R342">
            <v>24438.016528925618</v>
          </cell>
        </row>
        <row r="343">
          <cell r="R343">
            <v>102383.03999999999</v>
          </cell>
        </row>
        <row r="344">
          <cell r="R344">
            <v>13452.031999999999</v>
          </cell>
        </row>
        <row r="345">
          <cell r="R345">
            <v>21291.377545454547</v>
          </cell>
        </row>
        <row r="346">
          <cell r="R346">
            <v>5191.9724999999999</v>
          </cell>
        </row>
        <row r="347">
          <cell r="R347">
            <v>6319.59</v>
          </cell>
        </row>
        <row r="348">
          <cell r="R348">
            <v>15852.5</v>
          </cell>
        </row>
        <row r="349">
          <cell r="R349">
            <v>21726</v>
          </cell>
        </row>
        <row r="350">
          <cell r="R350">
            <v>23800</v>
          </cell>
        </row>
        <row r="351">
          <cell r="R351">
            <v>0</v>
          </cell>
        </row>
        <row r="352">
          <cell r="R352">
            <v>38148</v>
          </cell>
        </row>
        <row r="353">
          <cell r="R353">
            <v>41055</v>
          </cell>
        </row>
        <row r="354">
          <cell r="R354">
            <v>49385</v>
          </cell>
        </row>
        <row r="355">
          <cell r="R355">
            <v>15385</v>
          </cell>
        </row>
        <row r="356">
          <cell r="R356">
            <v>20848.8</v>
          </cell>
        </row>
        <row r="357">
          <cell r="R357">
            <v>20604</v>
          </cell>
        </row>
        <row r="358">
          <cell r="R358">
            <v>23113.200000000001</v>
          </cell>
        </row>
        <row r="359">
          <cell r="R359">
            <v>27993.599999999999</v>
          </cell>
        </row>
        <row r="360">
          <cell r="R360">
            <v>59222.015999999996</v>
          </cell>
        </row>
        <row r="361">
          <cell r="R361">
            <v>13478.4</v>
          </cell>
        </row>
        <row r="362">
          <cell r="R362">
            <v>14515.2</v>
          </cell>
        </row>
        <row r="363">
          <cell r="R363">
            <v>9599.0839999999989</v>
          </cell>
        </row>
        <row r="364">
          <cell r="R364">
            <v>11766.04</v>
          </cell>
        </row>
        <row r="365">
          <cell r="R365">
            <v>11086.108</v>
          </cell>
        </row>
        <row r="366">
          <cell r="R366">
            <v>64285.440000000002</v>
          </cell>
        </row>
        <row r="367">
          <cell r="R367">
            <v>3317.76</v>
          </cell>
        </row>
        <row r="368">
          <cell r="R368">
            <v>3110.4</v>
          </cell>
        </row>
        <row r="369">
          <cell r="R369">
            <v>103604.56204799999</v>
          </cell>
        </row>
        <row r="370">
          <cell r="R370">
            <v>40932.864000000001</v>
          </cell>
        </row>
        <row r="371">
          <cell r="R371">
            <v>13478.4</v>
          </cell>
        </row>
        <row r="372">
          <cell r="R372">
            <v>20574.889199999998</v>
          </cell>
        </row>
        <row r="373">
          <cell r="R373">
            <v>24985.369199999997</v>
          </cell>
        </row>
        <row r="374">
          <cell r="R374">
            <v>311031.89999999997</v>
          </cell>
        </row>
        <row r="375">
          <cell r="R375">
            <v>18662.399999999998</v>
          </cell>
        </row>
        <row r="376">
          <cell r="R376">
            <v>12441.6</v>
          </cell>
        </row>
        <row r="377">
          <cell r="R377">
            <v>41472</v>
          </cell>
        </row>
        <row r="378">
          <cell r="R378">
            <v>53913.599999999999</v>
          </cell>
        </row>
        <row r="379">
          <cell r="R379">
            <v>13490.640000000001</v>
          </cell>
        </row>
        <row r="380">
          <cell r="R380">
            <v>19670.16</v>
          </cell>
        </row>
        <row r="381">
          <cell r="R381">
            <v>37324.799999999996</v>
          </cell>
        </row>
        <row r="382">
          <cell r="R382">
            <v>29520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illermo Aybar" id="{B0527CFA-7CD1-478B-8CAC-E95F1E4AD0AA}" userId="a516bc65819f870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23584-D3D2-494E-84CC-B4AE50B812FE}" name="Tabla1" displayName="Tabla1" ref="A3:H540" totalsRowShown="0" headerRowDxfId="11" dataDxfId="9" headerRowBorderDxfId="10" tableBorderDxfId="8">
  <autoFilter ref="A3:H540" xr:uid="{E4123584-D3D2-494E-84CC-B4AE50B812FE}"/>
  <tableColumns count="8">
    <tableColumn id="1" xr3:uid="{8612AEE0-20BA-40E0-BC8F-B21B8B65B3B3}" name="Codigo para ID" dataDxfId="7">
      <calculatedColumnFormula>Tabla1[[#This Row],[Codigo articulo]]</calculatedColumnFormula>
    </tableColumn>
    <tableColumn id="2" xr3:uid="{D2A4730F-373B-4B2F-8D8F-22D18A1F9A11}" name="Articulo" dataDxfId="6"/>
    <tableColumn id="3" xr3:uid="{6F50F9BD-48B6-4882-9B88-61064CDFD87B}" name="ID articulo" dataDxfId="5"/>
    <tableColumn id="4" xr3:uid="{9B2FDB33-C317-45B3-9C12-DE2B5697DA97}" name="Nombre Tipo Articulo" dataDxfId="4"/>
    <tableColumn id="5" xr3:uid="{EBED5FED-64ED-472D-BBEF-019F621A4A91}" name="Tipo de Articulo" dataDxfId="3"/>
    <tableColumn id="6" xr3:uid="{6E924324-2C75-494D-8A5C-F7D97A97664E}" name="Marca" dataDxfId="2"/>
    <tableColumn id="7" xr3:uid="{6C19CBAD-4F2C-4D57-889E-8D32D0FB166E}" name="Rubro" dataDxfId="1"/>
    <tableColumn id="8" xr3:uid="{3B317FE9-7910-42A1-A81E-96B852B8B7E6}" name="Codigo 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7" dT="2025-01-31T12:18:23.63" personId="{B0527CFA-7CD1-478B-8CAC-E95F1E4AD0AA}" id="{B579866D-CDF8-416F-9780-49EAC8946C12}">
    <text>En el erp se le subió el precio ya que la lista de publico, al tomar otra celda, tenia un valor más caro. Eventualmente se corrigió eso. Ver a la vuelta de Ari.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2060"/>
  </sheetPr>
  <dimension ref="A1:EE640"/>
  <sheetViews>
    <sheetView tabSelected="1" zoomScale="85" zoomScaleNormal="85" workbookViewId="0">
      <pane xSplit="1" topLeftCell="B1" activePane="topRight" state="frozen"/>
      <selection pane="topRight" activeCell="H3" sqref="H3"/>
    </sheetView>
  </sheetViews>
  <sheetFormatPr baseColWidth="10" defaultColWidth="9.109375" defaultRowHeight="14.4"/>
  <cols>
    <col min="1" max="1" width="14.5546875" style="1" bestFit="1" customWidth="1"/>
    <col min="2" max="2" width="9.6640625" customWidth="1"/>
    <col min="3" max="4" width="8.6640625" customWidth="1"/>
    <col min="5" max="5" width="11.6640625" style="1" bestFit="1" customWidth="1"/>
    <col min="6" max="6" width="10.88671875" style="1" bestFit="1" customWidth="1"/>
    <col min="7" max="7" width="11.109375" style="1" bestFit="1" customWidth="1"/>
    <col min="8" max="8" width="10.6640625" style="1" bestFit="1" customWidth="1"/>
    <col min="9" max="9" width="12.33203125" style="1" customWidth="1"/>
    <col min="10" max="10" width="10.109375" style="1" bestFit="1" customWidth="1"/>
    <col min="11" max="11" width="8.6640625" style="1" bestFit="1" customWidth="1"/>
    <col min="12" max="12" width="9.33203125" style="1" bestFit="1" customWidth="1"/>
    <col min="13" max="13" width="11.88671875" style="1" bestFit="1" customWidth="1"/>
    <col min="14" max="14" width="4.6640625" style="1" bestFit="1" customWidth="1"/>
    <col min="15" max="15" width="11" style="1" bestFit="1" customWidth="1"/>
    <col min="16" max="16" width="8.88671875" style="1" bestFit="1" customWidth="1"/>
    <col min="17" max="17" width="8.5546875" style="1" bestFit="1" customWidth="1"/>
    <col min="18" max="18" width="8.5546875" style="1" customWidth="1"/>
    <col min="19" max="20" width="10.33203125" style="1" bestFit="1" customWidth="1"/>
    <col min="21" max="21" width="2.33203125" style="1" customWidth="1"/>
    <col min="22" max="22" width="10.33203125" style="1" bestFit="1" customWidth="1"/>
    <col min="23" max="23" width="10.33203125" bestFit="1" customWidth="1"/>
    <col min="24" max="24" width="14.44140625" style="1" bestFit="1" customWidth="1"/>
    <col min="25" max="25" width="10.44140625" style="1" bestFit="1" customWidth="1"/>
    <col min="26" max="26" width="11.88671875" style="1" bestFit="1" customWidth="1"/>
    <col min="27" max="27" width="14.33203125" style="1" customWidth="1"/>
    <col min="28" max="28" width="8.88671875" style="1" hidden="1" customWidth="1"/>
    <col min="29" max="29" width="27.44140625" style="1" bestFit="1" customWidth="1"/>
    <col min="30" max="31" width="8.88671875" style="1"/>
    <col min="32" max="32" width="9.5546875" style="1" bestFit="1" customWidth="1"/>
    <col min="33" max="135" width="8.88671875" style="1"/>
  </cols>
  <sheetData>
    <row r="1" spans="1:135" s="1" customFormat="1" ht="33.75" customHeight="1" thickBot="1">
      <c r="A1" s="772" t="s">
        <v>0</v>
      </c>
      <c r="E1" s="921" t="s">
        <v>1</v>
      </c>
      <c r="G1" s="921" t="s">
        <v>2</v>
      </c>
      <c r="K1" s="40">
        <v>0.05</v>
      </c>
      <c r="L1" s="198">
        <v>2.4E-2</v>
      </c>
      <c r="M1" s="40">
        <v>0.05</v>
      </c>
      <c r="N1" s="9">
        <v>0.4</v>
      </c>
      <c r="O1" s="1" t="s">
        <v>3</v>
      </c>
      <c r="V1" s="189"/>
      <c r="W1" s="1" t="s">
        <v>4</v>
      </c>
      <c r="AA1" s="9"/>
    </row>
    <row r="2" spans="1:135" ht="40.5" customHeight="1" thickBot="1">
      <c r="A2" s="14" t="s">
        <v>5</v>
      </c>
      <c r="B2" s="921" t="s">
        <v>6</v>
      </c>
      <c r="C2" s="921"/>
      <c r="D2" s="921"/>
      <c r="H2" s="15" t="s">
        <v>7</v>
      </c>
      <c r="I2" s="15" t="s">
        <v>8</v>
      </c>
      <c r="J2" s="15" t="s">
        <v>9</v>
      </c>
      <c r="K2" s="183" t="s">
        <v>10</v>
      </c>
      <c r="L2" s="183" t="s">
        <v>11</v>
      </c>
      <c r="M2" s="183" t="s">
        <v>12</v>
      </c>
      <c r="N2" s="183">
        <v>10</v>
      </c>
      <c r="O2" s="1" t="s">
        <v>13</v>
      </c>
      <c r="S2" s="9"/>
      <c r="V2" s="45" t="s">
        <v>14</v>
      </c>
      <c r="W2" s="921"/>
      <c r="X2" s="43" t="s">
        <v>15</v>
      </c>
      <c r="Y2" s="43" t="s">
        <v>16</v>
      </c>
      <c r="Z2" s="55" t="s">
        <v>17</v>
      </c>
      <c r="AA2" s="441" t="s">
        <v>18</v>
      </c>
      <c r="DV2" s="921"/>
      <c r="DW2" s="921"/>
      <c r="DX2" s="921"/>
      <c r="DY2" s="921"/>
      <c r="DZ2" s="921"/>
      <c r="EA2" s="921"/>
      <c r="EB2" s="921"/>
      <c r="EC2" s="921"/>
      <c r="ED2" s="921"/>
      <c r="EE2" s="921"/>
    </row>
    <row r="3" spans="1:135" ht="38.25" customHeight="1" thickBot="1">
      <c r="A3" s="689" t="s">
        <v>19</v>
      </c>
      <c r="B3" s="690">
        <v>45778</v>
      </c>
      <c r="C3" s="691">
        <v>0.03</v>
      </c>
      <c r="D3" s="691">
        <v>6.2E-2</v>
      </c>
      <c r="E3" s="692">
        <v>1271</v>
      </c>
      <c r="F3" s="101">
        <v>45778</v>
      </c>
      <c r="G3" s="101"/>
      <c r="H3" s="693">
        <v>0.05</v>
      </c>
      <c r="I3" s="694">
        <v>0.03</v>
      </c>
      <c r="J3" s="695"/>
      <c r="K3" s="695">
        <v>0.05</v>
      </c>
      <c r="L3" s="695"/>
      <c r="M3" s="695"/>
      <c r="N3" s="695"/>
      <c r="O3" s="695" t="s">
        <v>20</v>
      </c>
      <c r="P3" s="696" t="s">
        <v>21</v>
      </c>
      <c r="Q3" s="697" t="s">
        <v>22</v>
      </c>
      <c r="R3" s="211"/>
      <c r="S3" s="215">
        <v>0.75</v>
      </c>
      <c r="T3" s="212"/>
      <c r="U3" s="11"/>
      <c r="V3" s="216">
        <v>45854</v>
      </c>
      <c r="W3" s="921"/>
      <c r="X3" s="43">
        <v>1.21</v>
      </c>
      <c r="Y3" s="43"/>
      <c r="Z3" s="57"/>
      <c r="AA3" s="216"/>
      <c r="DV3" s="921"/>
      <c r="DW3" s="921"/>
      <c r="DX3" s="921"/>
      <c r="DY3" s="921"/>
      <c r="DZ3" s="921"/>
      <c r="EA3" s="921"/>
      <c r="EB3" s="921"/>
      <c r="EC3" s="921"/>
      <c r="ED3" s="921"/>
      <c r="EE3" s="921"/>
    </row>
    <row r="4" spans="1:135" ht="16.5" customHeight="1">
      <c r="A4" s="698" t="s">
        <v>23</v>
      </c>
      <c r="B4" s="649">
        <v>61.93</v>
      </c>
      <c r="C4" s="649">
        <f>(B4-(B4*C$3))</f>
        <v>60.072099999999999</v>
      </c>
      <c r="D4" s="649">
        <f>(C4+(C4*D$3))</f>
        <v>63.796570199999998</v>
      </c>
      <c r="E4" s="8">
        <f>(D4*E$3)</f>
        <v>81085.440724200002</v>
      </c>
      <c r="F4" s="19">
        <v>116917.647</v>
      </c>
      <c r="G4" s="19">
        <f>(F4*1.21)</f>
        <v>141470.35287</v>
      </c>
      <c r="H4" s="8">
        <f>F4-(F4*H$3)</f>
        <v>111071.76465</v>
      </c>
      <c r="I4" s="8">
        <f>H4-(H4*I3)</f>
        <v>107739.6117105</v>
      </c>
      <c r="J4" s="8">
        <f>(I4-(I4*J3))</f>
        <v>107739.6117105</v>
      </c>
      <c r="K4" s="8">
        <f>(J4*K$3)</f>
        <v>5386.9805855250006</v>
      </c>
      <c r="L4" s="8">
        <f>(((J4*L$3)))</f>
        <v>0</v>
      </c>
      <c r="M4" s="8">
        <f>(J4*M$3)</f>
        <v>0</v>
      </c>
      <c r="N4" s="8"/>
      <c r="O4" s="8">
        <f>(J4-K4-L4-M4-N4)</f>
        <v>102352.631124975</v>
      </c>
      <c r="P4" s="102">
        <f>(J4-E4)/E4</f>
        <v>0.32871710073032934</v>
      </c>
      <c r="Q4" s="102">
        <f>(O4-E4)/O4</f>
        <v>0.20778352414611845</v>
      </c>
      <c r="R4" s="204"/>
      <c r="S4" s="213">
        <f>(E4*1.75)</f>
        <v>141899.52126735001</v>
      </c>
      <c r="T4" s="214">
        <f>(S4*1.21)</f>
        <v>171698.42073349349</v>
      </c>
      <c r="U4" s="128"/>
      <c r="V4" s="217">
        <f>([1]Varta!W4+2000)</f>
        <v>177000</v>
      </c>
      <c r="W4" s="440">
        <f>CEILING(V4,50)</f>
        <v>177000</v>
      </c>
      <c r="X4" s="442">
        <f>(W4/1.21)</f>
        <v>146280.99173553719</v>
      </c>
      <c r="Y4" s="192">
        <f>(X4-E4)/E4</f>
        <v>0.80403523035769275</v>
      </c>
      <c r="Z4" s="444">
        <f>(X4-E4)/X4</f>
        <v>0.44568710013399998</v>
      </c>
      <c r="AA4" s="440">
        <f>W4+$AF$4</f>
        <v>187000</v>
      </c>
      <c r="AC4" s="178" t="s">
        <v>24</v>
      </c>
      <c r="AD4" s="174" t="s">
        <v>25</v>
      </c>
      <c r="AE4" s="174"/>
      <c r="AF4" s="175">
        <v>10000</v>
      </c>
      <c r="DV4" s="921"/>
      <c r="DW4" s="921"/>
      <c r="DX4" s="921"/>
      <c r="DY4" s="921"/>
      <c r="DZ4" s="921"/>
      <c r="EA4" s="921"/>
      <c r="EB4" s="921"/>
      <c r="EC4" s="921"/>
      <c r="ED4" s="921"/>
      <c r="EE4" s="921"/>
    </row>
    <row r="5" spans="1:135">
      <c r="A5" s="698" t="s">
        <v>26</v>
      </c>
      <c r="B5" s="649">
        <v>0</v>
      </c>
      <c r="C5" s="649">
        <f t="shared" ref="C5:C31" si="0">(B5-(B5*C$3))</f>
        <v>0</v>
      </c>
      <c r="D5" s="649">
        <f t="shared" ref="D5:D33" si="1">(C5+(C5*D$3))</f>
        <v>0</v>
      </c>
      <c r="E5" s="8">
        <f t="shared" ref="E5:E33" si="2">(D5*E$3)</f>
        <v>0</v>
      </c>
      <c r="F5" s="19"/>
      <c r="G5" s="19"/>
      <c r="H5" s="8"/>
      <c r="I5" s="8"/>
      <c r="J5" s="8"/>
      <c r="K5" s="8">
        <f t="shared" ref="K5:K31" si="3">(J5*K$3)</f>
        <v>0</v>
      </c>
      <c r="L5" s="8">
        <f t="shared" ref="L5:L31" si="4">(((J5*L$3)))</f>
        <v>0</v>
      </c>
      <c r="M5" s="8">
        <f t="shared" ref="M5:M31" si="5">(J5*M$3)</f>
        <v>0</v>
      </c>
      <c r="N5" s="8"/>
      <c r="O5" s="8">
        <f t="shared" ref="O5:O31" si="6">(J5-K5-L5-M5-N5)</f>
        <v>0</v>
      </c>
      <c r="P5" s="102" t="e">
        <f t="shared" ref="P5:P33" si="7">(J5-E5)/E5</f>
        <v>#DIV/0!</v>
      </c>
      <c r="Q5" s="102" t="e">
        <f t="shared" ref="Q5:Q33" si="8">(O5-E5)/O5</f>
        <v>#DIV/0!</v>
      </c>
      <c r="R5" s="204"/>
      <c r="S5" s="213">
        <f>(E5*1.75)</f>
        <v>0</v>
      </c>
      <c r="T5" s="214">
        <f t="shared" ref="T5:T31" si="9">(S5*1.21)</f>
        <v>0</v>
      </c>
      <c r="U5" s="128"/>
      <c r="V5" s="217"/>
      <c r="W5" s="440"/>
      <c r="X5" s="442">
        <f t="shared" ref="X5:X33" si="10">(W5/1.21)</f>
        <v>0</v>
      </c>
      <c r="Y5" s="190"/>
      <c r="Z5" s="445"/>
      <c r="AA5" s="440"/>
      <c r="AC5" s="185"/>
      <c r="AD5" s="183" t="s">
        <v>27</v>
      </c>
      <c r="AE5" s="183"/>
      <c r="AF5" s="184">
        <v>14000</v>
      </c>
      <c r="DV5" s="921"/>
      <c r="DW5" s="921"/>
      <c r="DX5" s="921"/>
      <c r="DY5" s="921"/>
      <c r="DZ5" s="921"/>
      <c r="EA5" s="921"/>
      <c r="EB5" s="921"/>
      <c r="EC5" s="921"/>
      <c r="ED5" s="921"/>
      <c r="EE5" s="921"/>
    </row>
    <row r="6" spans="1:135" ht="15" thickBot="1">
      <c r="A6" s="698" t="s">
        <v>28</v>
      </c>
      <c r="B6" s="649"/>
      <c r="C6" s="649"/>
      <c r="D6" s="649"/>
      <c r="E6" s="8"/>
      <c r="F6" s="19">
        <v>0</v>
      </c>
      <c r="G6" s="19"/>
      <c r="H6" s="8">
        <f t="shared" ref="H6:H21" si="11">F6-(F6*H$3)</f>
        <v>0</v>
      </c>
      <c r="I6" s="8">
        <f>H6-(H6*I3)</f>
        <v>0</v>
      </c>
      <c r="J6" s="8">
        <f>(I6-(I6*J3))</f>
        <v>0</v>
      </c>
      <c r="K6" s="8">
        <f t="shared" si="3"/>
        <v>0</v>
      </c>
      <c r="L6" s="8">
        <f t="shared" si="4"/>
        <v>0</v>
      </c>
      <c r="M6" s="8">
        <f t="shared" si="5"/>
        <v>0</v>
      </c>
      <c r="N6" s="8"/>
      <c r="O6" s="8">
        <f t="shared" si="6"/>
        <v>0</v>
      </c>
      <c r="P6" s="102" t="e">
        <f t="shared" si="7"/>
        <v>#DIV/0!</v>
      </c>
      <c r="Q6" s="102" t="e">
        <f t="shared" si="8"/>
        <v>#DIV/0!</v>
      </c>
      <c r="R6" s="204"/>
      <c r="S6" s="213">
        <f>(E6*1.75)</f>
        <v>0</v>
      </c>
      <c r="T6" s="214">
        <f t="shared" si="9"/>
        <v>0</v>
      </c>
      <c r="U6" s="128"/>
      <c r="V6" s="217"/>
      <c r="W6" s="440"/>
      <c r="X6" s="442">
        <f t="shared" si="10"/>
        <v>0</v>
      </c>
      <c r="Y6" s="190" t="e">
        <f t="shared" ref="Y6:Y21" si="12">(X6-E6)/E6</f>
        <v>#DIV/0!</v>
      </c>
      <c r="Z6" s="445" t="e">
        <f t="shared" ref="Z6:Z21" si="13">(X6-E6)/X6</f>
        <v>#DIV/0!</v>
      </c>
      <c r="AA6" s="440"/>
      <c r="AC6" s="179"/>
      <c r="AD6" s="180" t="s">
        <v>29</v>
      </c>
      <c r="AE6" s="180"/>
      <c r="AF6" s="181">
        <v>19000</v>
      </c>
      <c r="DV6" s="921"/>
      <c r="DW6" s="921"/>
      <c r="DX6" s="921"/>
      <c r="DY6" s="921"/>
      <c r="DZ6" s="921"/>
      <c r="EA6" s="921"/>
      <c r="EB6" s="921"/>
      <c r="EC6" s="921"/>
      <c r="ED6" s="921"/>
      <c r="EE6" s="921"/>
    </row>
    <row r="7" spans="1:135">
      <c r="A7" s="698" t="s">
        <v>30</v>
      </c>
      <c r="B7" s="649">
        <v>60.86</v>
      </c>
      <c r="C7" s="649">
        <f t="shared" si="0"/>
        <v>59.034199999999998</v>
      </c>
      <c r="D7" s="649">
        <f>(C7+(C7*D$3))</f>
        <v>62.694320399999995</v>
      </c>
      <c r="E7" s="8">
        <f>(D7*E$3)</f>
        <v>79684.481228399993</v>
      </c>
      <c r="F7" s="19">
        <v>114897.594</v>
      </c>
      <c r="G7" s="19">
        <f t="shared" ref="G7:G38" si="14">(F7*1.21)</f>
        <v>139026.08874000001</v>
      </c>
      <c r="H7" s="8">
        <f t="shared" si="11"/>
        <v>109152.71429999999</v>
      </c>
      <c r="I7" s="8">
        <f>H7-(H7*I3)</f>
        <v>105878.13287099999</v>
      </c>
      <c r="J7" s="8">
        <f>(I7-(I7*J3))</f>
        <v>105878.13287099999</v>
      </c>
      <c r="K7" s="8">
        <f t="shared" si="3"/>
        <v>5293.9066435499999</v>
      </c>
      <c r="L7" s="8">
        <f t="shared" si="4"/>
        <v>0</v>
      </c>
      <c r="M7" s="8">
        <f t="shared" si="5"/>
        <v>0</v>
      </c>
      <c r="N7" s="8"/>
      <c r="O7" s="8">
        <f t="shared" si="6"/>
        <v>100584.22622745</v>
      </c>
      <c r="P7" s="102">
        <f t="shared" si="7"/>
        <v>0.32871710073032939</v>
      </c>
      <c r="Q7" s="102">
        <f t="shared" si="8"/>
        <v>0.2077835241461185</v>
      </c>
      <c r="R7" s="204"/>
      <c r="S7" s="213">
        <f>(E7*1.75)</f>
        <v>139447.84214969998</v>
      </c>
      <c r="T7" s="214">
        <f t="shared" si="9"/>
        <v>168731.88900113697</v>
      </c>
      <c r="U7" s="128"/>
      <c r="V7" s="217">
        <f>([1]Varta!W7+2000)</f>
        <v>187000</v>
      </c>
      <c r="W7" s="440">
        <f t="shared" ref="W7:W32" si="15">CEILING(V7,50)</f>
        <v>187000</v>
      </c>
      <c r="X7" s="442">
        <f>(W7/1.21)</f>
        <v>154545.45454545456</v>
      </c>
      <c r="Y7" s="190">
        <f t="shared" si="12"/>
        <v>0.93946741150865021</v>
      </c>
      <c r="Z7" s="445">
        <f t="shared" si="13"/>
        <v>0.48439453322800008</v>
      </c>
      <c r="AA7" s="440">
        <f t="shared" ref="AA7:AA32" si="16">W7+$AF$4</f>
        <v>197000</v>
      </c>
      <c r="DV7" s="921"/>
      <c r="DW7" s="921"/>
      <c r="DX7" s="921"/>
      <c r="DY7" s="921"/>
      <c r="DZ7" s="921"/>
      <c r="EA7" s="921"/>
      <c r="EB7" s="921"/>
      <c r="EC7" s="921"/>
      <c r="ED7" s="921"/>
      <c r="EE7" s="921"/>
    </row>
    <row r="8" spans="1:135">
      <c r="A8" s="698" t="s">
        <v>31</v>
      </c>
      <c r="B8" s="649">
        <v>81.239999999999995</v>
      </c>
      <c r="C8" s="649">
        <f t="shared" si="0"/>
        <v>78.802799999999991</v>
      </c>
      <c r="D8" s="649">
        <f t="shared" si="1"/>
        <v>83.688573599999984</v>
      </c>
      <c r="E8" s="8">
        <f t="shared" si="2"/>
        <v>106368.17704559998</v>
      </c>
      <c r="F8" s="19">
        <v>153372.99599999998</v>
      </c>
      <c r="G8" s="19">
        <f t="shared" si="14"/>
        <v>185581.32515999998</v>
      </c>
      <c r="H8" s="8">
        <f t="shared" si="11"/>
        <v>145704.34619999997</v>
      </c>
      <c r="I8" s="8">
        <f>H8-(H8*I3)</f>
        <v>141333.21581399997</v>
      </c>
      <c r="J8" s="8">
        <f>(I8-(I8*J3))</f>
        <v>141333.21581399997</v>
      </c>
      <c r="K8" s="8">
        <f t="shared" si="3"/>
        <v>7066.6607906999989</v>
      </c>
      <c r="L8" s="8">
        <f t="shared" si="4"/>
        <v>0</v>
      </c>
      <c r="M8" s="8">
        <f t="shared" si="5"/>
        <v>0</v>
      </c>
      <c r="N8" s="8"/>
      <c r="O8" s="8">
        <f t="shared" si="6"/>
        <v>134266.55502329997</v>
      </c>
      <c r="P8" s="102">
        <f t="shared" si="7"/>
        <v>0.32871710073032928</v>
      </c>
      <c r="Q8" s="102">
        <f t="shared" si="8"/>
        <v>0.20778352414611842</v>
      </c>
      <c r="R8" s="204"/>
      <c r="S8" s="213">
        <f>(E8*1.75)</f>
        <v>186144.30982979995</v>
      </c>
      <c r="T8" s="214">
        <f t="shared" si="9"/>
        <v>225234.61489405794</v>
      </c>
      <c r="U8" s="128"/>
      <c r="V8" s="217">
        <v>240000</v>
      </c>
      <c r="W8" s="440">
        <f t="shared" si="15"/>
        <v>240000</v>
      </c>
      <c r="X8" s="442">
        <f t="shared" si="10"/>
        <v>198347.10743801654</v>
      </c>
      <c r="Y8" s="190">
        <f t="shared" si="12"/>
        <v>0.86472225948730175</v>
      </c>
      <c r="Z8" s="445">
        <f t="shared" si="13"/>
        <v>0.46372710739510015</v>
      </c>
      <c r="AA8" s="440">
        <f>W8+$AF$5</f>
        <v>254000</v>
      </c>
      <c r="AC8" s="1" t="s">
        <v>32</v>
      </c>
      <c r="DV8" s="921"/>
      <c r="DW8" s="921"/>
      <c r="DX8" s="921"/>
      <c r="DY8" s="921"/>
      <c r="DZ8" s="921"/>
      <c r="EA8" s="921"/>
      <c r="EB8" s="921"/>
      <c r="EC8" s="921"/>
      <c r="ED8" s="921"/>
      <c r="EE8" s="921"/>
    </row>
    <row r="9" spans="1:135" ht="15" customHeight="1">
      <c r="A9" s="698" t="s">
        <v>33</v>
      </c>
      <c r="B9" s="649">
        <v>42.29</v>
      </c>
      <c r="C9" s="649">
        <f t="shared" si="0"/>
        <v>41.021299999999997</v>
      </c>
      <c r="D9" s="649">
        <f t="shared" si="1"/>
        <v>43.564620599999998</v>
      </c>
      <c r="E9" s="8">
        <f t="shared" si="2"/>
        <v>55370.632782599998</v>
      </c>
      <c r="F9" s="19">
        <v>79839.290999999997</v>
      </c>
      <c r="G9" s="19">
        <f t="shared" si="14"/>
        <v>96605.542109999995</v>
      </c>
      <c r="H9" s="8">
        <f t="shared" si="11"/>
        <v>75847.326449999993</v>
      </c>
      <c r="I9" s="8">
        <f>H9-(H9*I3)</f>
        <v>73571.906656499996</v>
      </c>
      <c r="J9" s="8">
        <f>(I9-(I9*J3))</f>
        <v>73571.906656499996</v>
      </c>
      <c r="K9" s="8">
        <f t="shared" si="3"/>
        <v>3678.5953328249998</v>
      </c>
      <c r="L9" s="8">
        <f t="shared" si="4"/>
        <v>0</v>
      </c>
      <c r="M9" s="8">
        <f t="shared" si="5"/>
        <v>0</v>
      </c>
      <c r="N9" s="8"/>
      <c r="O9" s="8">
        <f>(J9-K9-L9-M9-N9)</f>
        <v>69893.311323674992</v>
      </c>
      <c r="P9" s="102">
        <f t="shared" si="7"/>
        <v>0.32871710073032934</v>
      </c>
      <c r="Q9" s="102">
        <f>(O9-E9)/O9</f>
        <v>0.20778352414611842</v>
      </c>
      <c r="R9" s="204"/>
      <c r="S9" s="213">
        <f>(E9*1.7)</f>
        <v>94130.075730419994</v>
      </c>
      <c r="T9" s="214">
        <f t="shared" si="9"/>
        <v>113897.39163380819</v>
      </c>
      <c r="U9" s="128"/>
      <c r="V9" s="217">
        <f>([1]Varta!W9+2000)</f>
        <v>122000</v>
      </c>
      <c r="W9" s="440">
        <f t="shared" si="15"/>
        <v>122000</v>
      </c>
      <c r="X9" s="442">
        <f t="shared" si="10"/>
        <v>100826.44628099173</v>
      </c>
      <c r="Y9" s="190">
        <f>(X9-E9)/E9</f>
        <v>0.82093722274880776</v>
      </c>
      <c r="Z9" s="445">
        <f t="shared" si="13"/>
        <v>0.45083224863159016</v>
      </c>
      <c r="AA9" s="440">
        <f>W9+$AF$4</f>
        <v>132000</v>
      </c>
      <c r="AC9" s="1" t="s">
        <v>34</v>
      </c>
      <c r="AD9" s="11">
        <v>0.1</v>
      </c>
      <c r="EC9" s="921"/>
      <c r="ED9" s="921"/>
      <c r="EE9" s="921"/>
    </row>
    <row r="10" spans="1:135" ht="14.4" customHeight="1">
      <c r="A10" s="698" t="s">
        <v>35</v>
      </c>
      <c r="B10" s="649">
        <v>39.950000000000003</v>
      </c>
      <c r="C10" s="649">
        <f t="shared" si="0"/>
        <v>38.7515</v>
      </c>
      <c r="D10" s="649">
        <f t="shared" si="1"/>
        <v>41.154093000000003</v>
      </c>
      <c r="E10" s="8">
        <f t="shared" si="2"/>
        <v>52306.852203000002</v>
      </c>
      <c r="F10" s="19">
        <v>75421.604999999996</v>
      </c>
      <c r="G10" s="19">
        <f t="shared" si="14"/>
        <v>91260.142049999995</v>
      </c>
      <c r="H10" s="8">
        <f t="shared" si="11"/>
        <v>71650.524749999997</v>
      </c>
      <c r="I10" s="8">
        <f>H10-(H10*I3)</f>
        <v>69501.00900749999</v>
      </c>
      <c r="J10" s="8">
        <f>(I10-(I10*J3))</f>
        <v>69501.00900749999</v>
      </c>
      <c r="K10" s="8">
        <f t="shared" si="3"/>
        <v>3475.0504503749999</v>
      </c>
      <c r="L10" s="8">
        <f t="shared" si="4"/>
        <v>0</v>
      </c>
      <c r="M10" s="8">
        <f t="shared" si="5"/>
        <v>0</v>
      </c>
      <c r="N10" s="8"/>
      <c r="O10" s="8">
        <f t="shared" si="6"/>
        <v>66025.958557124992</v>
      </c>
      <c r="P10" s="102">
        <f t="shared" si="7"/>
        <v>0.32871710073032906</v>
      </c>
      <c r="Q10" s="102">
        <f>(O10-E10)/O10</f>
        <v>0.20778352414611834</v>
      </c>
      <c r="R10" s="204"/>
      <c r="S10" s="213">
        <f>(E10*1.75)</f>
        <v>91536.991355250007</v>
      </c>
      <c r="T10" s="214">
        <f t="shared" si="9"/>
        <v>110759.7595398525</v>
      </c>
      <c r="U10" s="128"/>
      <c r="V10" s="217">
        <f>([1]Varta!W10+2000)</f>
        <v>122000</v>
      </c>
      <c r="W10" s="440">
        <f t="shared" si="15"/>
        <v>122000</v>
      </c>
      <c r="X10" s="442">
        <f t="shared" si="10"/>
        <v>100826.44628099173</v>
      </c>
      <c r="Y10" s="190">
        <f t="shared" si="12"/>
        <v>0.92759537296738614</v>
      </c>
      <c r="Z10" s="445">
        <f t="shared" si="13"/>
        <v>0.48121892487188522</v>
      </c>
      <c r="AA10" s="440">
        <f t="shared" si="16"/>
        <v>132000</v>
      </c>
      <c r="AC10" s="1" t="s">
        <v>36</v>
      </c>
      <c r="AD10" s="11">
        <v>0</v>
      </c>
      <c r="EC10" s="921"/>
      <c r="ED10" s="921"/>
      <c r="EE10" s="921"/>
    </row>
    <row r="11" spans="1:135">
      <c r="A11" s="698" t="s">
        <v>37</v>
      </c>
      <c r="B11" s="649">
        <v>42.8</v>
      </c>
      <c r="C11" s="649">
        <f t="shared" si="0"/>
        <v>41.515999999999998</v>
      </c>
      <c r="D11" s="649">
        <f t="shared" si="1"/>
        <v>44.089991999999995</v>
      </c>
      <c r="E11" s="8">
        <f t="shared" si="2"/>
        <v>56038.379831999991</v>
      </c>
      <c r="F11" s="19">
        <v>80802.119999999981</v>
      </c>
      <c r="G11" s="19">
        <f t="shared" si="14"/>
        <v>97770.565199999968</v>
      </c>
      <c r="H11" s="8">
        <f t="shared" si="11"/>
        <v>76762.013999999981</v>
      </c>
      <c r="I11" s="8">
        <f>H11-(H11*I3)</f>
        <v>74459.153579999984</v>
      </c>
      <c r="J11" s="8">
        <f>(I11-(I11*J3))</f>
        <v>74459.153579999984</v>
      </c>
      <c r="K11" s="8">
        <f t="shared" si="3"/>
        <v>3722.9576789999992</v>
      </c>
      <c r="L11" s="8">
        <f t="shared" si="4"/>
        <v>0</v>
      </c>
      <c r="M11" s="8">
        <f t="shared" si="5"/>
        <v>0</v>
      </c>
      <c r="N11" s="8"/>
      <c r="O11" s="8">
        <f t="shared" si="6"/>
        <v>70736.195900999985</v>
      </c>
      <c r="P11" s="102">
        <f t="shared" si="7"/>
        <v>0.32871710073032923</v>
      </c>
      <c r="Q11" s="102">
        <f t="shared" si="8"/>
        <v>0.20778352414611842</v>
      </c>
      <c r="R11" s="204"/>
      <c r="S11" s="213">
        <f>(E11*1.75)</f>
        <v>98067.164705999981</v>
      </c>
      <c r="T11" s="214">
        <f t="shared" si="9"/>
        <v>118661.26929425997</v>
      </c>
      <c r="U11" s="128"/>
      <c r="V11" s="217">
        <f>([1]Varta!W11+2000)</f>
        <v>120000</v>
      </c>
      <c r="W11" s="440">
        <f t="shared" si="15"/>
        <v>120000</v>
      </c>
      <c r="X11" s="442">
        <f t="shared" si="10"/>
        <v>99173.553719008269</v>
      </c>
      <c r="Y11" s="190">
        <f>(X11-E11)/E11</f>
        <v>0.76974341542930358</v>
      </c>
      <c r="Z11" s="445">
        <f>(X11-E11)/X11</f>
        <v>0.43494633669400012</v>
      </c>
      <c r="AA11" s="440">
        <f t="shared" si="16"/>
        <v>130000</v>
      </c>
      <c r="AC11" s="1" t="s">
        <v>38</v>
      </c>
      <c r="AD11" s="11">
        <v>0.05</v>
      </c>
      <c r="EC11" s="921"/>
      <c r="ED11" s="921"/>
      <c r="EE11" s="921"/>
    </row>
    <row r="12" spans="1:135">
      <c r="A12" s="698" t="s">
        <v>39</v>
      </c>
      <c r="B12" s="649">
        <v>45.53</v>
      </c>
      <c r="C12" s="649">
        <f t="shared" si="0"/>
        <v>44.164100000000005</v>
      </c>
      <c r="D12" s="649">
        <f t="shared" si="1"/>
        <v>46.902274200000008</v>
      </c>
      <c r="E12" s="8">
        <f t="shared" si="2"/>
        <v>59612.790508200007</v>
      </c>
      <c r="F12" s="19">
        <v>85956.087</v>
      </c>
      <c r="G12" s="19">
        <f t="shared" si="14"/>
        <v>104006.86526999999</v>
      </c>
      <c r="H12" s="8">
        <f t="shared" si="11"/>
        <v>81658.282649999994</v>
      </c>
      <c r="I12" s="8">
        <f>H12-(H12*I3)</f>
        <v>79208.534170499988</v>
      </c>
      <c r="J12" s="8">
        <f>(I12-(I12*J3))</f>
        <v>79208.534170499988</v>
      </c>
      <c r="K12" s="8">
        <f t="shared" si="3"/>
        <v>3960.4267085249994</v>
      </c>
      <c r="L12" s="8">
        <f t="shared" si="4"/>
        <v>0</v>
      </c>
      <c r="M12" s="8">
        <f t="shared" si="5"/>
        <v>0</v>
      </c>
      <c r="N12" s="8"/>
      <c r="O12" s="8">
        <f t="shared" si="6"/>
        <v>75248.107461974985</v>
      </c>
      <c r="P12" s="102">
        <f t="shared" si="7"/>
        <v>0.328717100730329</v>
      </c>
      <c r="Q12" s="102">
        <f t="shared" si="8"/>
        <v>0.20778352414611823</v>
      </c>
      <c r="R12" s="204"/>
      <c r="S12" s="213">
        <f>(E12*1.7)</f>
        <v>101341.74386394001</v>
      </c>
      <c r="T12" s="214">
        <f t="shared" si="9"/>
        <v>122623.51007536741</v>
      </c>
      <c r="U12" s="128"/>
      <c r="V12" s="217">
        <f>([1]Varta!W12+2000)</f>
        <v>131000</v>
      </c>
      <c r="W12" s="440">
        <f t="shared" si="15"/>
        <v>131000</v>
      </c>
      <c r="X12" s="442">
        <f t="shared" si="10"/>
        <v>108264.46280991736</v>
      </c>
      <c r="Y12" s="190">
        <f t="shared" si="12"/>
        <v>0.81612808068471643</v>
      </c>
      <c r="Z12" s="445">
        <f t="shared" si="13"/>
        <v>0.44937804187082436</v>
      </c>
      <c r="AA12" s="440">
        <f t="shared" si="16"/>
        <v>141000</v>
      </c>
      <c r="AC12" s="1" t="s">
        <v>40</v>
      </c>
      <c r="AD12" s="11">
        <v>0.03</v>
      </c>
      <c r="AI12" s="9"/>
      <c r="EA12" s="921"/>
      <c r="EB12" s="921"/>
      <c r="EC12" s="921"/>
      <c r="ED12" s="921"/>
      <c r="EE12" s="921"/>
    </row>
    <row r="13" spans="1:135">
      <c r="A13" s="698" t="s">
        <v>41</v>
      </c>
      <c r="B13" s="649">
        <v>45.6</v>
      </c>
      <c r="C13" s="649">
        <f t="shared" si="0"/>
        <v>44.231999999999999</v>
      </c>
      <c r="D13" s="649">
        <f t="shared" si="1"/>
        <v>46.974384000000001</v>
      </c>
      <c r="E13" s="8">
        <f t="shared" si="2"/>
        <v>59704.442064000003</v>
      </c>
      <c r="F13" s="19">
        <v>86088.239999999991</v>
      </c>
      <c r="G13" s="19">
        <f t="shared" si="14"/>
        <v>104166.77039999998</v>
      </c>
      <c r="H13" s="8">
        <f t="shared" si="11"/>
        <v>81783.827999999994</v>
      </c>
      <c r="I13" s="8">
        <f>H13-(H13*I3)</f>
        <v>79330.313159999991</v>
      </c>
      <c r="J13" s="8">
        <f>(I13-(I13*J3))</f>
        <v>79330.313159999991</v>
      </c>
      <c r="K13" s="8">
        <f t="shared" si="3"/>
        <v>3966.5156579999998</v>
      </c>
      <c r="L13" s="8">
        <f t="shared" si="4"/>
        <v>0</v>
      </c>
      <c r="M13" s="8">
        <f t="shared" si="5"/>
        <v>0</v>
      </c>
      <c r="N13" s="8"/>
      <c r="O13" s="8">
        <f t="shared" si="6"/>
        <v>75363.797501999987</v>
      </c>
      <c r="P13" s="102">
        <f t="shared" si="7"/>
        <v>0.32871710073032911</v>
      </c>
      <c r="Q13" s="102">
        <f t="shared" si="8"/>
        <v>0.20778352414611831</v>
      </c>
      <c r="R13" s="204"/>
      <c r="S13" s="213">
        <f t="shared" ref="S13:S19" si="17">(E13*1.75)</f>
        <v>104482.773612</v>
      </c>
      <c r="T13" s="214">
        <f t="shared" si="9"/>
        <v>126424.15607052</v>
      </c>
      <c r="U13" s="128"/>
      <c r="V13" s="217">
        <v>132000</v>
      </c>
      <c r="W13" s="440">
        <f t="shared" si="15"/>
        <v>132000</v>
      </c>
      <c r="X13" s="442">
        <f>(W13/1.21)</f>
        <v>109090.90909090909</v>
      </c>
      <c r="Y13" s="190">
        <f t="shared" si="12"/>
        <v>0.82718245610551733</v>
      </c>
      <c r="Z13" s="445">
        <f t="shared" si="13"/>
        <v>0.45270928107999997</v>
      </c>
      <c r="AA13" s="440">
        <f t="shared" si="16"/>
        <v>142000</v>
      </c>
      <c r="AC13" s="1" t="s">
        <v>42</v>
      </c>
      <c r="AD13" s="11">
        <v>0</v>
      </c>
      <c r="EC13" s="921"/>
      <c r="ED13" s="921"/>
      <c r="EE13" s="921"/>
    </row>
    <row r="14" spans="1:135">
      <c r="A14" s="698" t="s">
        <v>43</v>
      </c>
      <c r="B14" s="649">
        <v>51.5</v>
      </c>
      <c r="C14" s="649">
        <f t="shared" si="0"/>
        <v>49.954999999999998</v>
      </c>
      <c r="D14" s="649">
        <f t="shared" si="1"/>
        <v>53.052209999999995</v>
      </c>
      <c r="E14" s="8">
        <f t="shared" si="2"/>
        <v>67429.358909999995</v>
      </c>
      <c r="F14" s="19">
        <v>97226.849999999991</v>
      </c>
      <c r="G14" s="19">
        <f t="shared" si="14"/>
        <v>117644.48849999999</v>
      </c>
      <c r="H14" s="8">
        <f>F14-(F14*H$3)</f>
        <v>92365.507499999992</v>
      </c>
      <c r="I14" s="8">
        <f>H14-(H14*I3)</f>
        <v>89594.542275</v>
      </c>
      <c r="J14" s="8">
        <f>(I14-(I14*J3))</f>
        <v>89594.542275</v>
      </c>
      <c r="K14" s="8">
        <f t="shared" si="3"/>
        <v>4479.7271137500002</v>
      </c>
      <c r="L14" s="8">
        <f t="shared" si="4"/>
        <v>0</v>
      </c>
      <c r="M14" s="8">
        <f t="shared" si="5"/>
        <v>0</v>
      </c>
      <c r="N14" s="8"/>
      <c r="O14" s="8">
        <f t="shared" si="6"/>
        <v>85114.815161249993</v>
      </c>
      <c r="P14" s="102">
        <f t="shared" si="7"/>
        <v>0.32871710073032945</v>
      </c>
      <c r="Q14" s="102">
        <f>(O14-E14)/O14</f>
        <v>0.20778352414611848</v>
      </c>
      <c r="R14" s="204"/>
      <c r="S14" s="213">
        <f t="shared" si="17"/>
        <v>118001.37809249999</v>
      </c>
      <c r="T14" s="214">
        <f>(S14*1.21)</f>
        <v>142781.66749192498</v>
      </c>
      <c r="U14" s="128"/>
      <c r="V14" s="217">
        <f>([1]Varta!W14+2000)</f>
        <v>151000</v>
      </c>
      <c r="W14" s="440">
        <f t="shared" si="15"/>
        <v>151000</v>
      </c>
      <c r="X14" s="442">
        <f t="shared" si="10"/>
        <v>124793.38842975207</v>
      </c>
      <c r="Y14" s="190">
        <f t="shared" si="12"/>
        <v>0.85072779049134339</v>
      </c>
      <c r="Z14" s="445">
        <f t="shared" si="13"/>
        <v>0.45967202462847689</v>
      </c>
      <c r="AA14" s="440">
        <f t="shared" si="16"/>
        <v>161000</v>
      </c>
      <c r="AC14" s="1" t="s">
        <v>44</v>
      </c>
      <c r="AD14" s="11">
        <v>0</v>
      </c>
      <c r="EC14" s="921"/>
      <c r="ED14" s="921"/>
      <c r="EE14" s="921"/>
    </row>
    <row r="15" spans="1:135">
      <c r="A15" s="698" t="s">
        <v>45</v>
      </c>
      <c r="B15" s="649">
        <v>46.92</v>
      </c>
      <c r="C15" s="649">
        <f t="shared" si="0"/>
        <v>45.5124</v>
      </c>
      <c r="D15" s="649">
        <f t="shared" si="1"/>
        <v>48.3341688</v>
      </c>
      <c r="E15" s="8">
        <f t="shared" si="2"/>
        <v>61432.728544800004</v>
      </c>
      <c r="F15" s="19">
        <v>88580.267999999996</v>
      </c>
      <c r="G15" s="19">
        <f t="shared" si="14"/>
        <v>107182.12427999999</v>
      </c>
      <c r="H15" s="8">
        <f t="shared" si="11"/>
        <v>84151.2546</v>
      </c>
      <c r="I15" s="8">
        <f>H15-(H15*I3)</f>
        <v>81626.716962000006</v>
      </c>
      <c r="J15" s="8">
        <f>(I15-(I15*J3))</f>
        <v>81626.716962000006</v>
      </c>
      <c r="K15" s="8">
        <f t="shared" si="3"/>
        <v>4081.3358481000005</v>
      </c>
      <c r="L15" s="8">
        <f t="shared" si="4"/>
        <v>0</v>
      </c>
      <c r="M15" s="8">
        <f t="shared" si="5"/>
        <v>0</v>
      </c>
      <c r="N15" s="8"/>
      <c r="O15" s="8">
        <f t="shared" si="6"/>
        <v>77545.381113900003</v>
      </c>
      <c r="P15" s="102">
        <f t="shared" si="7"/>
        <v>0.32871710073032934</v>
      </c>
      <c r="Q15" s="102">
        <f t="shared" si="8"/>
        <v>0.20778352414611845</v>
      </c>
      <c r="R15" s="204"/>
      <c r="S15" s="213">
        <f t="shared" si="17"/>
        <v>107507.2749534</v>
      </c>
      <c r="T15" s="214">
        <f t="shared" si="9"/>
        <v>130083.80269361399</v>
      </c>
      <c r="U15" s="128"/>
      <c r="V15" s="217">
        <v>143000</v>
      </c>
      <c r="W15" s="440">
        <f t="shared" si="15"/>
        <v>143000</v>
      </c>
      <c r="X15" s="442">
        <f t="shared" si="10"/>
        <v>118181.81818181819</v>
      </c>
      <c r="Y15" s="190">
        <f t="shared" si="12"/>
        <v>0.92375987492780398</v>
      </c>
      <c r="Z15" s="445">
        <f t="shared" si="13"/>
        <v>0.48018460462092311</v>
      </c>
      <c r="AA15" s="440">
        <f t="shared" si="16"/>
        <v>153000</v>
      </c>
      <c r="AD15" s="11">
        <v>0.05</v>
      </c>
      <c r="EC15" s="921"/>
      <c r="ED15" s="921"/>
      <c r="EE15" s="921"/>
    </row>
    <row r="16" spans="1:135">
      <c r="A16" s="698" t="s">
        <v>46</v>
      </c>
      <c r="B16" s="649">
        <v>57.75</v>
      </c>
      <c r="C16" s="649">
        <f t="shared" si="0"/>
        <v>56.017499999999998</v>
      </c>
      <c r="D16" s="649">
        <f t="shared" si="1"/>
        <v>59.490584999999996</v>
      </c>
      <c r="E16" s="8">
        <f t="shared" si="2"/>
        <v>75612.533534999995</v>
      </c>
      <c r="F16" s="19">
        <v>109026.22499999999</v>
      </c>
      <c r="G16" s="19">
        <f t="shared" si="14"/>
        <v>131921.73224999997</v>
      </c>
      <c r="H16" s="8">
        <f t="shared" si="11"/>
        <v>103574.91374999999</v>
      </c>
      <c r="I16" s="8">
        <f>H16-(H16*I3)</f>
        <v>100467.66633749999</v>
      </c>
      <c r="J16" s="8">
        <f>(I16-(I16*J3))</f>
        <v>100467.66633749999</v>
      </c>
      <c r="K16" s="8">
        <f t="shared" si="3"/>
        <v>5023.3833168749998</v>
      </c>
      <c r="L16" s="8">
        <f t="shared" si="4"/>
        <v>0</v>
      </c>
      <c r="M16" s="8">
        <f t="shared" si="5"/>
        <v>0</v>
      </c>
      <c r="N16" s="8"/>
      <c r="O16" s="8">
        <f t="shared" si="6"/>
        <v>95444.283020624993</v>
      </c>
      <c r="P16" s="102">
        <f t="shared" si="7"/>
        <v>0.32871710073032934</v>
      </c>
      <c r="Q16" s="102">
        <f t="shared" si="8"/>
        <v>0.20778352414611848</v>
      </c>
      <c r="R16" s="204"/>
      <c r="S16" s="213">
        <f t="shared" si="17"/>
        <v>132321.93368625001</v>
      </c>
      <c r="T16" s="214">
        <f t="shared" si="9"/>
        <v>160109.5397603625</v>
      </c>
      <c r="U16" s="128"/>
      <c r="V16" s="217">
        <v>169900</v>
      </c>
      <c r="W16" s="440">
        <f t="shared" si="15"/>
        <v>169900</v>
      </c>
      <c r="X16" s="442">
        <f t="shared" si="10"/>
        <v>140413.22314049586</v>
      </c>
      <c r="Y16" s="190">
        <f t="shared" si="12"/>
        <v>0.85700989738031352</v>
      </c>
      <c r="Z16" s="445">
        <f t="shared" si="13"/>
        <v>0.46149990831459681</v>
      </c>
      <c r="AA16" s="440">
        <f t="shared" si="16"/>
        <v>179900</v>
      </c>
      <c r="AD16" s="11">
        <v>7.0000000000000007E-2</v>
      </c>
      <c r="EC16" s="921"/>
      <c r="ED16" s="921"/>
      <c r="EE16" s="921"/>
    </row>
    <row r="17" spans="1:135">
      <c r="A17" s="698" t="s">
        <v>47</v>
      </c>
      <c r="B17" s="649">
        <v>64.58</v>
      </c>
      <c r="C17" s="649">
        <f t="shared" si="0"/>
        <v>62.642600000000002</v>
      </c>
      <c r="D17" s="649">
        <f t="shared" si="1"/>
        <v>66.526441200000008</v>
      </c>
      <c r="E17" s="8">
        <f t="shared" si="2"/>
        <v>84555.106765200006</v>
      </c>
      <c r="F17" s="19">
        <v>121920.58199999999</v>
      </c>
      <c r="G17" s="19">
        <f t="shared" si="14"/>
        <v>147523.90422</v>
      </c>
      <c r="H17" s="8">
        <f t="shared" si="11"/>
        <v>115824.5529</v>
      </c>
      <c r="I17" s="8">
        <f>H17-(H17*I3)</f>
        <v>112349.81631299999</v>
      </c>
      <c r="J17" s="8">
        <f>(I17-(I17*J3))</f>
        <v>112349.81631299999</v>
      </c>
      <c r="K17" s="8">
        <f t="shared" si="3"/>
        <v>5617.4908156499996</v>
      </c>
      <c r="L17" s="8">
        <f t="shared" si="4"/>
        <v>0</v>
      </c>
      <c r="M17" s="8">
        <f t="shared" si="5"/>
        <v>0</v>
      </c>
      <c r="N17" s="8"/>
      <c r="O17" s="8">
        <f t="shared" si="6"/>
        <v>106732.32549734999</v>
      </c>
      <c r="P17" s="102">
        <f t="shared" si="7"/>
        <v>0.32871710073032911</v>
      </c>
      <c r="Q17" s="102">
        <f t="shared" si="8"/>
        <v>0.20778352414611831</v>
      </c>
      <c r="R17" s="204"/>
      <c r="S17" s="213">
        <f t="shared" si="17"/>
        <v>147971.4368391</v>
      </c>
      <c r="T17" s="214">
        <f t="shared" si="9"/>
        <v>179045.43857531101</v>
      </c>
      <c r="U17" s="128"/>
      <c r="V17" s="217">
        <f>([1]Varta!W17+2000)</f>
        <v>182000</v>
      </c>
      <c r="W17" s="440">
        <f t="shared" si="15"/>
        <v>182000</v>
      </c>
      <c r="X17" s="442">
        <f t="shared" si="10"/>
        <v>150413.22314049586</v>
      </c>
      <c r="Y17" s="190">
        <f t="shared" si="12"/>
        <v>0.77887804645763636</v>
      </c>
      <c r="Z17" s="445">
        <f t="shared" si="13"/>
        <v>0.43784791656103289</v>
      </c>
      <c r="AA17" s="440">
        <f>W17+$AF$5</f>
        <v>196000</v>
      </c>
      <c r="AD17" s="11">
        <v>0.1</v>
      </c>
      <c r="EC17" s="921"/>
      <c r="ED17" s="921"/>
      <c r="EE17" s="921"/>
    </row>
    <row r="18" spans="1:135">
      <c r="A18" s="698" t="s">
        <v>48</v>
      </c>
      <c r="B18" s="649">
        <v>78.87</v>
      </c>
      <c r="C18" s="649">
        <f t="shared" si="0"/>
        <v>76.503900000000002</v>
      </c>
      <c r="D18" s="649">
        <f t="shared" si="1"/>
        <v>81.247141800000009</v>
      </c>
      <c r="E18" s="8">
        <f t="shared" si="2"/>
        <v>103265.11722780002</v>
      </c>
      <c r="F18" s="19">
        <v>148898.67300000001</v>
      </c>
      <c r="G18" s="19">
        <f t="shared" si="14"/>
        <v>180167.39433000001</v>
      </c>
      <c r="H18" s="8">
        <f t="shared" si="11"/>
        <v>141453.73935000002</v>
      </c>
      <c r="I18" s="8">
        <f>H18-(H18*I3)</f>
        <v>137210.12716950002</v>
      </c>
      <c r="J18" s="8">
        <f>(I18-(I18*J3))</f>
        <v>137210.12716950002</v>
      </c>
      <c r="K18" s="8">
        <f t="shared" si="3"/>
        <v>6860.5063584750014</v>
      </c>
      <c r="L18" s="8">
        <f t="shared" si="4"/>
        <v>0</v>
      </c>
      <c r="M18" s="8">
        <f t="shared" si="5"/>
        <v>0</v>
      </c>
      <c r="N18" s="8"/>
      <c r="O18" s="8">
        <f t="shared" si="6"/>
        <v>130349.62081102502</v>
      </c>
      <c r="P18" s="102">
        <f t="shared" si="7"/>
        <v>0.32871710073032928</v>
      </c>
      <c r="Q18" s="102">
        <f t="shared" si="8"/>
        <v>0.20778352414611845</v>
      </c>
      <c r="R18" s="204"/>
      <c r="S18" s="213">
        <f t="shared" si="17"/>
        <v>180713.95514865004</v>
      </c>
      <c r="T18" s="214">
        <f t="shared" si="9"/>
        <v>218663.88572986654</v>
      </c>
      <c r="U18" s="128"/>
      <c r="V18" s="217">
        <f>([1]Varta!W18+2000)</f>
        <v>238000</v>
      </c>
      <c r="W18" s="440">
        <f t="shared" si="15"/>
        <v>238000</v>
      </c>
      <c r="X18" s="442">
        <f t="shared" si="10"/>
        <v>196694.21487603307</v>
      </c>
      <c r="Y18" s="190">
        <f t="shared" si="12"/>
        <v>0.90474983379073726</v>
      </c>
      <c r="Z18" s="445">
        <f t="shared" si="13"/>
        <v>0.47499667291748737</v>
      </c>
      <c r="AA18" s="440">
        <f>W18+$AF$5</f>
        <v>252000</v>
      </c>
      <c r="EC18" s="921"/>
      <c r="ED18" s="921"/>
      <c r="EE18" s="921"/>
    </row>
    <row r="19" spans="1:135">
      <c r="A19" s="698" t="s">
        <v>49</v>
      </c>
      <c r="B19" s="649"/>
      <c r="C19" s="649"/>
      <c r="D19" s="649">
        <f t="shared" si="1"/>
        <v>0</v>
      </c>
      <c r="E19" s="8">
        <f t="shared" si="2"/>
        <v>0</v>
      </c>
      <c r="F19" s="19">
        <v>210595.245</v>
      </c>
      <c r="G19" s="19">
        <f t="shared" si="14"/>
        <v>254820.24644999998</v>
      </c>
      <c r="H19" s="8">
        <f t="shared" si="11"/>
        <v>200065.48275</v>
      </c>
      <c r="I19" s="8">
        <f>H19-(H19*I3)</f>
        <v>194063.51826749998</v>
      </c>
      <c r="J19" s="8">
        <f>(I19-(I19*J3))</f>
        <v>194063.51826749998</v>
      </c>
      <c r="K19" s="8">
        <f t="shared" si="3"/>
        <v>9703.1759133750002</v>
      </c>
      <c r="L19" s="8">
        <f t="shared" si="4"/>
        <v>0</v>
      </c>
      <c r="M19" s="8">
        <f t="shared" si="5"/>
        <v>0</v>
      </c>
      <c r="N19" s="8"/>
      <c r="O19" s="8">
        <f t="shared" si="6"/>
        <v>184360.34235412499</v>
      </c>
      <c r="P19" s="102" t="e">
        <f t="shared" si="7"/>
        <v>#DIV/0!</v>
      </c>
      <c r="Q19" s="102">
        <f t="shared" si="8"/>
        <v>1</v>
      </c>
      <c r="R19" s="204"/>
      <c r="S19" s="213">
        <f t="shared" si="17"/>
        <v>0</v>
      </c>
      <c r="T19" s="214">
        <f t="shared" si="9"/>
        <v>0</v>
      </c>
      <c r="U19" s="128"/>
      <c r="V19" s="217">
        <v>206000</v>
      </c>
      <c r="W19" s="440">
        <f t="shared" si="15"/>
        <v>206000</v>
      </c>
      <c r="X19" s="442">
        <f t="shared" si="10"/>
        <v>170247.93388429753</v>
      </c>
      <c r="Y19" s="190" t="e">
        <f t="shared" si="12"/>
        <v>#DIV/0!</v>
      </c>
      <c r="Z19" s="445">
        <f t="shared" si="13"/>
        <v>1</v>
      </c>
      <c r="AA19" s="440">
        <f>W19+$AF$5</f>
        <v>220000</v>
      </c>
      <c r="EC19" s="921"/>
      <c r="ED19" s="921"/>
      <c r="EE19" s="921"/>
    </row>
    <row r="20" spans="1:135" ht="15.75" customHeight="1">
      <c r="A20" s="698" t="s">
        <v>50</v>
      </c>
      <c r="B20" s="649">
        <v>93.86</v>
      </c>
      <c r="C20" s="649">
        <f t="shared" si="0"/>
        <v>91.044200000000004</v>
      </c>
      <c r="D20" s="649">
        <f t="shared" si="1"/>
        <v>96.688940400000007</v>
      </c>
      <c r="E20" s="8">
        <f t="shared" si="2"/>
        <v>122891.64324840001</v>
      </c>
      <c r="F20" s="19">
        <v>177198.29399999999</v>
      </c>
      <c r="G20" s="19">
        <f t="shared" si="14"/>
        <v>214409.93573999999</v>
      </c>
      <c r="H20" s="8">
        <f t="shared" si="11"/>
        <v>168338.3793</v>
      </c>
      <c r="I20" s="8">
        <f>H20-(H20*I3)</f>
        <v>163288.22792100001</v>
      </c>
      <c r="J20" s="8">
        <f>(I20-(I20*J3))</f>
        <v>163288.22792100001</v>
      </c>
      <c r="K20" s="8">
        <f t="shared" si="3"/>
        <v>8164.4113960500008</v>
      </c>
      <c r="L20" s="8">
        <f t="shared" si="4"/>
        <v>0</v>
      </c>
      <c r="M20" s="8">
        <f t="shared" si="5"/>
        <v>0</v>
      </c>
      <c r="N20" s="8"/>
      <c r="O20" s="8">
        <f t="shared" si="6"/>
        <v>155123.81652495</v>
      </c>
      <c r="P20" s="102">
        <f t="shared" si="7"/>
        <v>0.32871710073032934</v>
      </c>
      <c r="Q20" s="102">
        <f t="shared" si="8"/>
        <v>0.20778352414611842</v>
      </c>
      <c r="R20" s="204"/>
      <c r="S20" s="213">
        <f t="shared" ref="S20:S28" si="18">(E20*1.85)</f>
        <v>227349.54000954004</v>
      </c>
      <c r="T20" s="214">
        <f t="shared" si="9"/>
        <v>275092.94341154344</v>
      </c>
      <c r="U20" s="128"/>
      <c r="V20" s="217">
        <f>([1]Varta!W20+2000)</f>
        <v>274000</v>
      </c>
      <c r="W20" s="440">
        <f t="shared" si="15"/>
        <v>274000</v>
      </c>
      <c r="X20" s="442">
        <f t="shared" si="10"/>
        <v>226446.28099173555</v>
      </c>
      <c r="Y20" s="190">
        <f t="shared" si="12"/>
        <v>0.84264995573394097</v>
      </c>
      <c r="Z20" s="445">
        <f t="shared" si="13"/>
        <v>0.45730332726071532</v>
      </c>
      <c r="AA20" s="440">
        <f>W20+$AF$5</f>
        <v>288000</v>
      </c>
      <c r="EC20" s="921"/>
      <c r="ED20" s="921"/>
      <c r="EE20" s="921"/>
    </row>
    <row r="21" spans="1:135">
      <c r="A21" s="698" t="s">
        <v>51</v>
      </c>
      <c r="B21" s="649">
        <v>112.61</v>
      </c>
      <c r="C21" s="649">
        <f t="shared" si="0"/>
        <v>109.2317</v>
      </c>
      <c r="D21" s="649">
        <f t="shared" si="1"/>
        <v>116.0040654</v>
      </c>
      <c r="E21" s="8">
        <f t="shared" si="2"/>
        <v>147441.1671234</v>
      </c>
      <c r="F21" s="19">
        <v>212596.41899999999</v>
      </c>
      <c r="G21" s="19">
        <f t="shared" si="14"/>
        <v>257241.66699</v>
      </c>
      <c r="H21" s="8">
        <f t="shared" si="11"/>
        <v>201966.59805</v>
      </c>
      <c r="I21" s="8">
        <f>H21-(H21*I3)</f>
        <v>195907.60010849999</v>
      </c>
      <c r="J21" s="8">
        <f>(I21-(I21*J3))</f>
        <v>195907.60010849999</v>
      </c>
      <c r="K21" s="8">
        <f t="shared" si="3"/>
        <v>9795.3800054250005</v>
      </c>
      <c r="L21" s="8">
        <f t="shared" si="4"/>
        <v>0</v>
      </c>
      <c r="M21" s="8">
        <f t="shared" si="5"/>
        <v>0</v>
      </c>
      <c r="N21" s="8"/>
      <c r="O21" s="8">
        <f t="shared" si="6"/>
        <v>186112.220103075</v>
      </c>
      <c r="P21" s="102">
        <f t="shared" si="7"/>
        <v>0.32871710073032928</v>
      </c>
      <c r="Q21" s="102">
        <f t="shared" si="8"/>
        <v>0.2077835241461185</v>
      </c>
      <c r="R21" s="204"/>
      <c r="S21" s="213">
        <f t="shared" si="18"/>
        <v>272766.15917828999</v>
      </c>
      <c r="T21" s="214">
        <f t="shared" si="9"/>
        <v>330047.05260573089</v>
      </c>
      <c r="U21" s="128"/>
      <c r="V21" s="217">
        <f>([1]Varta!W21+2000)</f>
        <v>332000</v>
      </c>
      <c r="W21" s="440">
        <f t="shared" si="15"/>
        <v>332000</v>
      </c>
      <c r="X21" s="442">
        <f t="shared" si="10"/>
        <v>274380.1652892562</v>
      </c>
      <c r="Y21" s="190">
        <f t="shared" si="12"/>
        <v>0.86094678062074326</v>
      </c>
      <c r="Z21" s="445">
        <f t="shared" si="13"/>
        <v>0.46263911982134337</v>
      </c>
      <c r="AA21" s="440">
        <f>W21+$AF$6</f>
        <v>351000</v>
      </c>
      <c r="EC21" s="921"/>
      <c r="ED21" s="921"/>
      <c r="EE21" s="921"/>
    </row>
    <row r="22" spans="1:135" ht="15.75" customHeight="1">
      <c r="A22" s="698" t="s">
        <v>52</v>
      </c>
      <c r="B22" s="649">
        <v>113.78</v>
      </c>
      <c r="C22" s="649">
        <f t="shared" si="0"/>
        <v>110.36660000000001</v>
      </c>
      <c r="D22" s="649">
        <f t="shared" si="1"/>
        <v>117.2093292</v>
      </c>
      <c r="E22" s="8">
        <f t="shared" si="2"/>
        <v>148973.0574132</v>
      </c>
      <c r="F22" s="19"/>
      <c r="G22" s="19">
        <f t="shared" si="14"/>
        <v>0</v>
      </c>
      <c r="H22" s="8"/>
      <c r="I22" s="8"/>
      <c r="J22" s="8"/>
      <c r="K22" s="8">
        <f t="shared" si="3"/>
        <v>0</v>
      </c>
      <c r="L22" s="8">
        <f t="shared" si="4"/>
        <v>0</v>
      </c>
      <c r="M22" s="8">
        <f t="shared" si="5"/>
        <v>0</v>
      </c>
      <c r="N22" s="8"/>
      <c r="O22" s="8">
        <f t="shared" si="6"/>
        <v>0</v>
      </c>
      <c r="P22" s="102">
        <f t="shared" si="7"/>
        <v>-1</v>
      </c>
      <c r="Q22" s="102" t="e">
        <f t="shared" si="8"/>
        <v>#DIV/0!</v>
      </c>
      <c r="R22" s="204"/>
      <c r="S22" s="213">
        <f t="shared" si="18"/>
        <v>275600.15621442004</v>
      </c>
      <c r="T22" s="214">
        <f t="shared" si="9"/>
        <v>333476.18901944824</v>
      </c>
      <c r="U22" s="128"/>
      <c r="V22" s="217"/>
      <c r="W22" s="440"/>
      <c r="X22" s="442">
        <f t="shared" si="10"/>
        <v>0</v>
      </c>
      <c r="Y22" s="190"/>
      <c r="Z22" s="445"/>
      <c r="AA22" s="440"/>
      <c r="EC22" s="921"/>
      <c r="ED22" s="921"/>
      <c r="EE22" s="921"/>
    </row>
    <row r="23" spans="1:135">
      <c r="A23" s="698" t="s">
        <v>53</v>
      </c>
      <c r="B23" s="649">
        <v>129.32</v>
      </c>
      <c r="C23" s="649">
        <f t="shared" si="0"/>
        <v>125.4404</v>
      </c>
      <c r="D23" s="649">
        <f t="shared" si="1"/>
        <v>133.21770480000001</v>
      </c>
      <c r="E23" s="8">
        <f t="shared" si="2"/>
        <v>169319.70280080001</v>
      </c>
      <c r="F23" s="19">
        <v>244143.22799999997</v>
      </c>
      <c r="G23" s="19">
        <f t="shared" si="14"/>
        <v>295413.30587999994</v>
      </c>
      <c r="H23" s="8">
        <f>F23-(F23*H$3)</f>
        <v>231936.06659999996</v>
      </c>
      <c r="I23" s="8">
        <f>H23-(H23*I3)</f>
        <v>224977.98460199995</v>
      </c>
      <c r="J23" s="8">
        <f>(I23-(I23*J3))</f>
        <v>224977.98460199995</v>
      </c>
      <c r="K23" s="8">
        <f t="shared" si="3"/>
        <v>11248.899230099998</v>
      </c>
      <c r="L23" s="8">
        <f t="shared" si="4"/>
        <v>0</v>
      </c>
      <c r="M23" s="8">
        <f t="shared" si="5"/>
        <v>0</v>
      </c>
      <c r="N23" s="8"/>
      <c r="O23" s="8">
        <f t="shared" si="6"/>
        <v>213729.08537189994</v>
      </c>
      <c r="P23" s="102">
        <f t="shared" si="7"/>
        <v>0.328717100730329</v>
      </c>
      <c r="Q23" s="102">
        <f t="shared" si="8"/>
        <v>0.20778352414611823</v>
      </c>
      <c r="R23" s="204"/>
      <c r="S23" s="213">
        <f t="shared" si="18"/>
        <v>313241.45018148003</v>
      </c>
      <c r="T23" s="214">
        <f t="shared" si="9"/>
        <v>379022.15471959085</v>
      </c>
      <c r="U23" s="128"/>
      <c r="V23" s="217">
        <f>([1]Varta!W23+2000)</f>
        <v>371950</v>
      </c>
      <c r="W23" s="440">
        <f t="shared" si="15"/>
        <v>371950</v>
      </c>
      <c r="X23" s="442">
        <f t="shared" si="10"/>
        <v>307396.69421487604</v>
      </c>
      <c r="Y23" s="190">
        <f>(X23-E23)/E23</f>
        <v>0.81548094598606657</v>
      </c>
      <c r="Z23" s="445">
        <f>(X23-E23)/X23</f>
        <v>0.44918177069776044</v>
      </c>
      <c r="AA23" s="440">
        <f>W23+$AF$6</f>
        <v>390950</v>
      </c>
      <c r="EC23" s="921"/>
      <c r="ED23" s="921"/>
      <c r="EE23" s="921"/>
    </row>
    <row r="24" spans="1:135">
      <c r="A24" s="698" t="s">
        <v>54</v>
      </c>
      <c r="B24" s="649">
        <v>130.07</v>
      </c>
      <c r="C24" s="649">
        <f t="shared" si="0"/>
        <v>126.16789999999999</v>
      </c>
      <c r="D24" s="649">
        <f t="shared" si="1"/>
        <v>133.99030979999998</v>
      </c>
      <c r="E24" s="8">
        <f t="shared" si="2"/>
        <v>170301.68375579998</v>
      </c>
      <c r="F24" s="19">
        <v>245559.15299999996</v>
      </c>
      <c r="G24" s="19">
        <f t="shared" si="14"/>
        <v>297126.57512999995</v>
      </c>
      <c r="H24" s="8">
        <f>F24-(F24*H$3)</f>
        <v>233281.19534999997</v>
      </c>
      <c r="I24" s="8">
        <f>H24-(H24*I3)</f>
        <v>226282.75948949996</v>
      </c>
      <c r="J24" s="8">
        <f>(I24-(I24*J3))</f>
        <v>226282.75948949996</v>
      </c>
      <c r="K24" s="8">
        <f t="shared" si="3"/>
        <v>11314.137974474999</v>
      </c>
      <c r="L24" s="8">
        <f t="shared" si="4"/>
        <v>0</v>
      </c>
      <c r="M24" s="8">
        <f t="shared" si="5"/>
        <v>0</v>
      </c>
      <c r="N24" s="8"/>
      <c r="O24" s="8">
        <f t="shared" si="6"/>
        <v>214968.62151502498</v>
      </c>
      <c r="P24" s="102">
        <f t="shared" si="7"/>
        <v>0.32871710073032928</v>
      </c>
      <c r="Q24" s="102">
        <f t="shared" si="8"/>
        <v>0.20778352414611848</v>
      </c>
      <c r="R24" s="204"/>
      <c r="S24" s="213">
        <f t="shared" si="18"/>
        <v>315058.11494822998</v>
      </c>
      <c r="T24" s="214">
        <f t="shared" si="9"/>
        <v>381220.31908735825</v>
      </c>
      <c r="U24" s="128"/>
      <c r="V24" s="217">
        <f>([1]Varta!W24+2000)</f>
        <v>382000</v>
      </c>
      <c r="W24" s="440">
        <f t="shared" si="15"/>
        <v>382000</v>
      </c>
      <c r="X24" s="442">
        <f t="shared" si="10"/>
        <v>315702.47933884297</v>
      </c>
      <c r="Y24" s="190">
        <f>(X24-E24)/E24</f>
        <v>0.85378366423867524</v>
      </c>
      <c r="Z24" s="445">
        <f>(X24-E24)/X24</f>
        <v>0.46056272946461263</v>
      </c>
      <c r="AA24" s="440">
        <f>W24+$AF$6</f>
        <v>401000</v>
      </c>
      <c r="EC24" s="921"/>
      <c r="ED24" s="921"/>
      <c r="EE24" s="921"/>
    </row>
    <row r="25" spans="1:135">
      <c r="A25" s="698" t="s">
        <v>55</v>
      </c>
      <c r="B25" s="649">
        <v>158.01</v>
      </c>
      <c r="C25" s="649">
        <f t="shared" si="0"/>
        <v>153.2697</v>
      </c>
      <c r="D25" s="649">
        <f t="shared" si="1"/>
        <v>162.77242140000001</v>
      </c>
      <c r="E25" s="8">
        <f t="shared" si="2"/>
        <v>206883.74759940003</v>
      </c>
      <c r="F25" s="19"/>
      <c r="G25" s="19"/>
      <c r="H25" s="8"/>
      <c r="I25" s="8"/>
      <c r="J25" s="8"/>
      <c r="K25" s="8">
        <f t="shared" si="3"/>
        <v>0</v>
      </c>
      <c r="L25" s="8">
        <f t="shared" si="4"/>
        <v>0</v>
      </c>
      <c r="M25" s="8">
        <f t="shared" si="5"/>
        <v>0</v>
      </c>
      <c r="N25" s="8"/>
      <c r="O25" s="8">
        <f t="shared" si="6"/>
        <v>0</v>
      </c>
      <c r="P25" s="102">
        <f t="shared" si="7"/>
        <v>-1</v>
      </c>
      <c r="Q25" s="102" t="e">
        <f t="shared" si="8"/>
        <v>#DIV/0!</v>
      </c>
      <c r="R25" s="204"/>
      <c r="S25" s="213">
        <f t="shared" si="18"/>
        <v>382734.93305889005</v>
      </c>
      <c r="T25" s="214">
        <f t="shared" si="9"/>
        <v>463109.26900125697</v>
      </c>
      <c r="U25" s="128"/>
      <c r="V25" s="217"/>
      <c r="W25" s="440"/>
      <c r="X25" s="442">
        <f t="shared" si="10"/>
        <v>0</v>
      </c>
      <c r="Y25" s="190"/>
      <c r="Z25" s="445"/>
      <c r="AA25" s="440"/>
      <c r="EC25" s="921"/>
      <c r="ED25" s="921"/>
      <c r="EE25" s="921"/>
    </row>
    <row r="26" spans="1:135">
      <c r="A26" s="698" t="s">
        <v>56</v>
      </c>
      <c r="B26" s="649">
        <v>158.01</v>
      </c>
      <c r="C26" s="649">
        <f t="shared" si="0"/>
        <v>153.2697</v>
      </c>
      <c r="D26" s="649">
        <f t="shared" si="1"/>
        <v>162.77242140000001</v>
      </c>
      <c r="E26" s="8">
        <f t="shared" si="2"/>
        <v>206883.74759940003</v>
      </c>
      <c r="F26" s="19">
        <v>298307.07899999997</v>
      </c>
      <c r="G26" s="19">
        <f t="shared" si="14"/>
        <v>360951.56558999995</v>
      </c>
      <c r="H26" s="8">
        <f t="shared" ref="H26:H31" si="19">F26-(F26*H$3)</f>
        <v>283391.72504999995</v>
      </c>
      <c r="I26" s="8">
        <f>H26-(H26*I3)</f>
        <v>274889.97329849994</v>
      </c>
      <c r="J26" s="8">
        <f>(I26-(I26*J3))</f>
        <v>274889.97329849994</v>
      </c>
      <c r="K26" s="8">
        <f t="shared" si="3"/>
        <v>13744.498664924999</v>
      </c>
      <c r="L26" s="8">
        <f t="shared" si="4"/>
        <v>0</v>
      </c>
      <c r="M26" s="8">
        <f t="shared" si="5"/>
        <v>0</v>
      </c>
      <c r="N26" s="8"/>
      <c r="O26" s="8">
        <f t="shared" si="6"/>
        <v>261145.47463357495</v>
      </c>
      <c r="P26" s="102">
        <f t="shared" si="7"/>
        <v>0.32871710073032889</v>
      </c>
      <c r="Q26" s="102">
        <f t="shared" si="8"/>
        <v>0.20778352414611823</v>
      </c>
      <c r="R26" s="204"/>
      <c r="S26" s="213">
        <f t="shared" si="18"/>
        <v>382734.93305889005</v>
      </c>
      <c r="T26" s="214">
        <f t="shared" si="9"/>
        <v>463109.26900125697</v>
      </c>
      <c r="U26" s="128"/>
      <c r="V26" s="217">
        <f>([1]Varta!W26+2000)</f>
        <v>455900</v>
      </c>
      <c r="W26" s="440">
        <f t="shared" si="15"/>
        <v>455900</v>
      </c>
      <c r="X26" s="442">
        <f t="shared" si="10"/>
        <v>376776.85950413224</v>
      </c>
      <c r="Y26" s="190">
        <f t="shared" ref="Y26:Y33" si="20">(X26-E26)/E26</f>
        <v>0.8212008622045327</v>
      </c>
      <c r="Z26" s="445">
        <f t="shared" ref="Z26:Z33" si="21">(X26-E26)/X26</f>
        <v>0.45091174688468078</v>
      </c>
      <c r="AA26" s="440">
        <f>W26+$AF$6</f>
        <v>474900</v>
      </c>
      <c r="EC26" s="921"/>
      <c r="ED26" s="921"/>
      <c r="EE26" s="921"/>
    </row>
    <row r="27" spans="1:135">
      <c r="A27" s="698" t="s">
        <v>57</v>
      </c>
      <c r="B27" s="649">
        <v>160.41999999999999</v>
      </c>
      <c r="C27" s="649">
        <f t="shared" si="0"/>
        <v>155.60739999999998</v>
      </c>
      <c r="D27" s="649">
        <f t="shared" si="1"/>
        <v>165.25505879999997</v>
      </c>
      <c r="E27" s="8">
        <f t="shared" si="2"/>
        <v>210039.17973479995</v>
      </c>
      <c r="F27" s="19">
        <v>302856.91800000001</v>
      </c>
      <c r="G27" s="19">
        <f t="shared" si="14"/>
        <v>366456.87078</v>
      </c>
      <c r="H27" s="8">
        <f t="shared" si="19"/>
        <v>287714.07209999999</v>
      </c>
      <c r="I27" s="8">
        <f>H27-(H27*I3)</f>
        <v>279082.64993700001</v>
      </c>
      <c r="J27" s="8">
        <f>(I27-(I27*J3))</f>
        <v>279082.64993700001</v>
      </c>
      <c r="K27" s="8">
        <f t="shared" si="3"/>
        <v>13954.132496850001</v>
      </c>
      <c r="L27" s="8">
        <f t="shared" si="4"/>
        <v>0</v>
      </c>
      <c r="M27" s="8">
        <f t="shared" si="5"/>
        <v>0</v>
      </c>
      <c r="N27" s="8"/>
      <c r="O27" s="8">
        <f t="shared" si="6"/>
        <v>265128.51744015003</v>
      </c>
      <c r="P27" s="102">
        <f t="shared" si="7"/>
        <v>0.32871710073032967</v>
      </c>
      <c r="Q27" s="102">
        <f t="shared" si="8"/>
        <v>0.20778352414611873</v>
      </c>
      <c r="R27" s="204"/>
      <c r="S27" s="213">
        <f t="shared" si="18"/>
        <v>388572.48250937992</v>
      </c>
      <c r="T27" s="214">
        <f t="shared" si="9"/>
        <v>470172.70383634971</v>
      </c>
      <c r="U27" s="128"/>
      <c r="V27" s="217">
        <f>([1]Varta!W27+2000)</f>
        <v>464900</v>
      </c>
      <c r="W27" s="440">
        <f t="shared" si="15"/>
        <v>464900</v>
      </c>
      <c r="X27" s="442">
        <f t="shared" si="10"/>
        <v>384214.87603305787</v>
      </c>
      <c r="Y27" s="190">
        <f t="shared" si="20"/>
        <v>0.82925336367327251</v>
      </c>
      <c r="Z27" s="445">
        <f t="shared" si="21"/>
        <v>0.453328871845326</v>
      </c>
      <c r="AA27" s="440">
        <f>W27+$AF$6</f>
        <v>483900</v>
      </c>
      <c r="EC27" s="921"/>
      <c r="ED27" s="921"/>
      <c r="EE27" s="921"/>
    </row>
    <row r="28" spans="1:135">
      <c r="A28" s="698" t="s">
        <v>58</v>
      </c>
      <c r="B28" s="649">
        <v>211.48</v>
      </c>
      <c r="C28" s="649">
        <f t="shared" si="0"/>
        <v>205.13559999999998</v>
      </c>
      <c r="D28" s="649">
        <f t="shared" si="1"/>
        <v>217.85400719999998</v>
      </c>
      <c r="E28" s="8">
        <f t="shared" si="2"/>
        <v>276892.44315119996</v>
      </c>
      <c r="F28" s="19">
        <v>399253.09199999995</v>
      </c>
      <c r="G28" s="19">
        <f t="shared" si="14"/>
        <v>483096.24131999991</v>
      </c>
      <c r="H28" s="8">
        <f t="shared" si="19"/>
        <v>379290.43739999994</v>
      </c>
      <c r="I28" s="8">
        <f>H28-(H28*I3)</f>
        <v>367911.72427799995</v>
      </c>
      <c r="J28" s="8">
        <f>(I28-(I28*J3))</f>
        <v>367911.72427799995</v>
      </c>
      <c r="K28" s="8">
        <f t="shared" si="3"/>
        <v>18395.586213899998</v>
      </c>
      <c r="L28" s="8">
        <f t="shared" si="4"/>
        <v>0</v>
      </c>
      <c r="M28" s="8">
        <f t="shared" si="5"/>
        <v>0</v>
      </c>
      <c r="N28" s="8"/>
      <c r="O28" s="8">
        <f t="shared" si="6"/>
        <v>349516.13806409994</v>
      </c>
      <c r="P28" s="102">
        <f t="shared" si="7"/>
        <v>0.32871710073032934</v>
      </c>
      <c r="Q28" s="102">
        <f t="shared" si="8"/>
        <v>0.20778352414611845</v>
      </c>
      <c r="R28" s="204"/>
      <c r="S28" s="213">
        <f t="shared" si="18"/>
        <v>512251.01982971997</v>
      </c>
      <c r="T28" s="214">
        <f t="shared" si="9"/>
        <v>619823.73399396113</v>
      </c>
      <c r="U28" s="128"/>
      <c r="V28" s="217">
        <f>([1]Varta!W28+2000)</f>
        <v>652000</v>
      </c>
      <c r="W28" s="440">
        <f t="shared" si="15"/>
        <v>652000</v>
      </c>
      <c r="X28" s="442">
        <f t="shared" si="10"/>
        <v>538842.97520661156</v>
      </c>
      <c r="Y28" s="190">
        <f t="shared" si="20"/>
        <v>0.94603712934256867</v>
      </c>
      <c r="Z28" s="445">
        <f t="shared" si="21"/>
        <v>0.48613518985743565</v>
      </c>
      <c r="AA28" s="440">
        <f>W28+$AF$6</f>
        <v>671000</v>
      </c>
      <c r="EC28" s="921"/>
      <c r="ED28" s="921"/>
      <c r="EE28" s="921"/>
    </row>
    <row r="29" spans="1:135">
      <c r="A29" s="698" t="s">
        <v>59</v>
      </c>
      <c r="B29" s="649"/>
      <c r="C29" s="649"/>
      <c r="D29" s="649">
        <f t="shared" si="1"/>
        <v>0</v>
      </c>
      <c r="E29" s="8">
        <f t="shared" si="2"/>
        <v>0</v>
      </c>
      <c r="F29" s="19">
        <v>5</v>
      </c>
      <c r="G29" s="19">
        <f t="shared" si="14"/>
        <v>6.05</v>
      </c>
      <c r="H29" s="8">
        <f t="shared" si="19"/>
        <v>4.75</v>
      </c>
      <c r="I29" s="8">
        <f>H29-(H29*I3)</f>
        <v>4.6074999999999999</v>
      </c>
      <c r="J29" s="8">
        <f>(I29-(I29*J3))</f>
        <v>4.6074999999999999</v>
      </c>
      <c r="K29" s="8">
        <f t="shared" si="3"/>
        <v>0.230375</v>
      </c>
      <c r="L29" s="8">
        <f t="shared" si="4"/>
        <v>0</v>
      </c>
      <c r="M29" s="8">
        <f t="shared" si="5"/>
        <v>0</v>
      </c>
      <c r="N29" s="8"/>
      <c r="O29" s="8">
        <f t="shared" si="6"/>
        <v>4.3771249999999995</v>
      </c>
      <c r="P29" s="102" t="e">
        <f t="shared" si="7"/>
        <v>#DIV/0!</v>
      </c>
      <c r="Q29" s="102">
        <f t="shared" si="8"/>
        <v>1</v>
      </c>
      <c r="R29" s="204"/>
      <c r="S29" s="213">
        <f>(E29*1.8)</f>
        <v>0</v>
      </c>
      <c r="T29" s="214">
        <f t="shared" si="9"/>
        <v>0</v>
      </c>
      <c r="U29" s="128"/>
      <c r="V29" s="217"/>
      <c r="W29" s="440"/>
      <c r="X29" s="442">
        <f t="shared" si="10"/>
        <v>0</v>
      </c>
      <c r="Y29" s="190" t="e">
        <f t="shared" si="20"/>
        <v>#DIV/0!</v>
      </c>
      <c r="Z29" s="445" t="e">
        <f t="shared" si="21"/>
        <v>#DIV/0!</v>
      </c>
      <c r="AA29" s="440">
        <v>10</v>
      </c>
      <c r="EB29" s="921"/>
      <c r="EC29" s="921"/>
      <c r="ED29" s="921"/>
      <c r="EE29" s="921"/>
    </row>
    <row r="30" spans="1:135" s="1" customFormat="1">
      <c r="A30" s="698" t="s">
        <v>60</v>
      </c>
      <c r="B30" s="699">
        <v>84.35</v>
      </c>
      <c r="C30" s="649">
        <f t="shared" si="0"/>
        <v>81.819499999999991</v>
      </c>
      <c r="D30" s="649">
        <f t="shared" si="1"/>
        <v>86.892308999999983</v>
      </c>
      <c r="E30" s="8">
        <f t="shared" si="2"/>
        <v>110440.12473899998</v>
      </c>
      <c r="F30" s="19">
        <v>159244.36499999996</v>
      </c>
      <c r="G30" s="19">
        <f t="shared" si="14"/>
        <v>192685.68164999995</v>
      </c>
      <c r="H30" s="8">
        <f t="shared" si="19"/>
        <v>151282.14674999996</v>
      </c>
      <c r="I30" s="8">
        <f>H30-(H30*I$3)</f>
        <v>146743.68234749997</v>
      </c>
      <c r="J30" s="8">
        <f>(I30-(I30*J$3))</f>
        <v>146743.68234749997</v>
      </c>
      <c r="K30" s="8">
        <f>(J30*K$3)</f>
        <v>7337.184117374999</v>
      </c>
      <c r="L30" s="8">
        <f t="shared" si="4"/>
        <v>0</v>
      </c>
      <c r="M30" s="8">
        <f t="shared" si="5"/>
        <v>0</v>
      </c>
      <c r="N30" s="8"/>
      <c r="O30" s="8">
        <f t="shared" si="6"/>
        <v>139406.49823012497</v>
      </c>
      <c r="P30" s="102">
        <f t="shared" si="7"/>
        <v>0.32871710073032934</v>
      </c>
      <c r="Q30" s="102">
        <f t="shared" si="8"/>
        <v>0.20778352414611845</v>
      </c>
      <c r="R30" s="204"/>
      <c r="S30" s="213">
        <f>(E30*1.75)</f>
        <v>193270.21829324996</v>
      </c>
      <c r="T30" s="214">
        <f t="shared" si="9"/>
        <v>233856.96413483244</v>
      </c>
      <c r="U30" s="128"/>
      <c r="V30" s="217">
        <v>229000</v>
      </c>
      <c r="W30" s="440">
        <f t="shared" si="15"/>
        <v>229000</v>
      </c>
      <c r="X30" s="442">
        <f t="shared" si="10"/>
        <v>189256.19834710745</v>
      </c>
      <c r="Y30" s="422">
        <f t="shared" si="20"/>
        <v>0.71365433346232876</v>
      </c>
      <c r="Z30" s="449">
        <f t="shared" si="21"/>
        <v>0.41645174264545864</v>
      </c>
      <c r="AA30" s="440">
        <f t="shared" si="16"/>
        <v>239000</v>
      </c>
    </row>
    <row r="31" spans="1:135" s="1" customFormat="1">
      <c r="A31" s="698" t="s">
        <v>61</v>
      </c>
      <c r="B31" s="699">
        <v>91.68</v>
      </c>
      <c r="C31" s="649">
        <f t="shared" si="0"/>
        <v>88.929600000000008</v>
      </c>
      <c r="D31" s="649">
        <f t="shared" si="1"/>
        <v>94.443235200000004</v>
      </c>
      <c r="E31" s="8">
        <f t="shared" si="2"/>
        <v>120037.3519392</v>
      </c>
      <c r="F31" s="19">
        <v>173082.67200000002</v>
      </c>
      <c r="G31" s="19">
        <f t="shared" si="14"/>
        <v>209430.03312000001</v>
      </c>
      <c r="H31" s="8">
        <f t="shared" si="19"/>
        <v>164428.53840000002</v>
      </c>
      <c r="I31" s="8">
        <f>H31-(H31*I$3)</f>
        <v>159495.68224800003</v>
      </c>
      <c r="J31" s="8">
        <f>(I31-(I31*J$3))</f>
        <v>159495.68224800003</v>
      </c>
      <c r="K31" s="8">
        <f t="shared" si="3"/>
        <v>7974.7841124000015</v>
      </c>
      <c r="L31" s="8">
        <f t="shared" si="4"/>
        <v>0</v>
      </c>
      <c r="M31" s="8">
        <f t="shared" si="5"/>
        <v>0</v>
      </c>
      <c r="N31" s="8"/>
      <c r="O31" s="8">
        <f t="shared" si="6"/>
        <v>151520.89813560003</v>
      </c>
      <c r="P31" s="102">
        <f t="shared" si="7"/>
        <v>0.32871710073032956</v>
      </c>
      <c r="Q31" s="102">
        <f t="shared" si="8"/>
        <v>0.20778352414611861</v>
      </c>
      <c r="R31" s="204"/>
      <c r="S31" s="213">
        <f>(E31*1.75)</f>
        <v>210065.36589360001</v>
      </c>
      <c r="T31" s="214">
        <f t="shared" si="9"/>
        <v>254179.09273125601</v>
      </c>
      <c r="U31" s="128"/>
      <c r="V31" s="217">
        <v>280000</v>
      </c>
      <c r="W31" s="440">
        <f t="shared" si="15"/>
        <v>280000</v>
      </c>
      <c r="X31" s="442">
        <f t="shared" si="10"/>
        <v>231404.95867768597</v>
      </c>
      <c r="Y31" s="190">
        <f t="shared" si="20"/>
        <v>0.92777460464884842</v>
      </c>
      <c r="Z31" s="191">
        <f t="shared" si="21"/>
        <v>0.48126715769131428</v>
      </c>
      <c r="AA31" s="440">
        <f t="shared" si="16"/>
        <v>290000</v>
      </c>
    </row>
    <row r="32" spans="1:135" s="1" customFormat="1" ht="18">
      <c r="A32" s="698" t="s">
        <v>62</v>
      </c>
      <c r="B32" s="37"/>
      <c r="C32" s="649"/>
      <c r="D32" s="649">
        <f t="shared" si="1"/>
        <v>0</v>
      </c>
      <c r="E32" s="8">
        <f t="shared" si="2"/>
        <v>0</v>
      </c>
      <c r="F32" s="19">
        <v>0</v>
      </c>
      <c r="G32" s="19"/>
      <c r="H32" s="8"/>
      <c r="I32" s="8"/>
      <c r="J32" s="8"/>
      <c r="K32" s="8"/>
      <c r="L32" s="8"/>
      <c r="M32" s="8"/>
      <c r="N32" s="8"/>
      <c r="O32" s="8">
        <f t="shared" ref="O32:O33" si="22">(J32-K32-L32-M32-N32)</f>
        <v>0</v>
      </c>
      <c r="P32" s="102" t="e">
        <f t="shared" si="7"/>
        <v>#DIV/0!</v>
      </c>
      <c r="Q32" s="102" t="e">
        <f t="shared" si="8"/>
        <v>#DIV/0!</v>
      </c>
      <c r="R32" s="204"/>
      <c r="S32" s="213"/>
      <c r="T32" s="214"/>
      <c r="U32" s="128"/>
      <c r="V32" s="217">
        <f>([1]Varta!W32+2000)</f>
        <v>252000</v>
      </c>
      <c r="W32" s="440">
        <f t="shared" si="15"/>
        <v>252000</v>
      </c>
      <c r="X32" s="442">
        <f t="shared" si="10"/>
        <v>208264.46280991737</v>
      </c>
      <c r="Y32" s="190" t="e">
        <f t="shared" si="20"/>
        <v>#DIV/0!</v>
      </c>
      <c r="Z32" s="191">
        <f t="shared" si="21"/>
        <v>1</v>
      </c>
      <c r="AA32" s="440">
        <f t="shared" si="16"/>
        <v>262000</v>
      </c>
    </row>
    <row r="33" spans="1:27" s="1" customFormat="1" ht="18">
      <c r="A33" s="698" t="s">
        <v>63</v>
      </c>
      <c r="B33" s="37"/>
      <c r="C33" s="649"/>
      <c r="D33" s="649">
        <f t="shared" si="1"/>
        <v>0</v>
      </c>
      <c r="E33" s="8">
        <f t="shared" si="2"/>
        <v>0</v>
      </c>
      <c r="F33" s="19">
        <v>0</v>
      </c>
      <c r="G33" s="19"/>
      <c r="H33" s="8"/>
      <c r="I33" s="8"/>
      <c r="J33" s="8"/>
      <c r="K33" s="8"/>
      <c r="L33" s="8"/>
      <c r="M33" s="8"/>
      <c r="N33" s="8"/>
      <c r="O33" s="8">
        <f t="shared" si="22"/>
        <v>0</v>
      </c>
      <c r="P33" s="102" t="e">
        <f t="shared" si="7"/>
        <v>#DIV/0!</v>
      </c>
      <c r="Q33" s="102" t="e">
        <f t="shared" si="8"/>
        <v>#DIV/0!</v>
      </c>
      <c r="R33" s="204"/>
      <c r="S33" s="213"/>
      <c r="T33" s="214"/>
      <c r="U33" s="128"/>
      <c r="V33" s="217"/>
      <c r="W33" s="440"/>
      <c r="X33" s="442">
        <f t="shared" si="10"/>
        <v>0</v>
      </c>
      <c r="Y33" s="190" t="e">
        <f t="shared" si="20"/>
        <v>#DIV/0!</v>
      </c>
      <c r="Z33" s="191" t="e">
        <f t="shared" si="21"/>
        <v>#DIV/0!</v>
      </c>
      <c r="AA33" s="440">
        <f>W33+$AF$5</f>
        <v>14000</v>
      </c>
    </row>
    <row r="34" spans="1:27" s="1" customFormat="1">
      <c r="A34" s="5"/>
      <c r="B34" s="6"/>
      <c r="C34" s="6"/>
      <c r="D34" s="6"/>
      <c r="F34" s="75"/>
      <c r="G34" s="75"/>
      <c r="I34" s="23"/>
      <c r="J34" s="23"/>
      <c r="K34" s="23"/>
      <c r="L34" s="23"/>
      <c r="M34" s="23"/>
      <c r="N34" s="23"/>
      <c r="O34" s="23"/>
      <c r="V34" s="40"/>
      <c r="X34" s="9"/>
      <c r="Y34" s="40"/>
      <c r="Z34" s="40"/>
      <c r="AA34" s="40"/>
    </row>
    <row r="35" spans="1:27" s="1" customFormat="1" ht="14.25" customHeight="1" thickBot="1">
      <c r="A35" s="12" t="s">
        <v>64</v>
      </c>
      <c r="B35" s="6"/>
      <c r="C35" s="6"/>
      <c r="D35" s="6"/>
      <c r="F35" s="75"/>
      <c r="G35" s="75"/>
      <c r="I35" s="23"/>
      <c r="J35" s="23"/>
      <c r="K35" s="23"/>
      <c r="L35" s="23"/>
      <c r="M35" s="23"/>
      <c r="N35" s="23"/>
      <c r="O35" s="23"/>
      <c r="V35" s="41"/>
      <c r="Y35" s="40"/>
      <c r="Z35" s="40"/>
      <c r="AA35" s="41"/>
    </row>
    <row r="36" spans="1:27" s="1" customFormat="1" ht="15" thickBot="1">
      <c r="A36" s="5"/>
      <c r="B36" s="6"/>
      <c r="C36" s="6"/>
      <c r="D36" s="6"/>
      <c r="F36" s="75"/>
      <c r="G36" s="75"/>
      <c r="I36" s="23"/>
      <c r="P36" s="218" t="s">
        <v>65</v>
      </c>
      <c r="Q36" s="219" t="s">
        <v>66</v>
      </c>
      <c r="S36" s="221">
        <v>0.6</v>
      </c>
      <c r="T36" s="54"/>
      <c r="V36" s="41"/>
      <c r="Y36" s="40"/>
      <c r="Z36" s="40"/>
      <c r="AA36" s="41"/>
    </row>
    <row r="37" spans="1:27" s="1" customFormat="1" ht="20.25" customHeight="1" thickBot="1">
      <c r="A37" s="122" t="s">
        <v>67</v>
      </c>
      <c r="B37" s="123">
        <v>66.06</v>
      </c>
      <c r="C37" s="123"/>
      <c r="D37" s="123"/>
      <c r="E37" s="123">
        <f>(B37*E$3)</f>
        <v>83962.260000000009</v>
      </c>
      <c r="F37" s="459">
        <v>176106.37082458302</v>
      </c>
      <c r="G37" s="459">
        <f t="shared" si="14"/>
        <v>213088.70869774546</v>
      </c>
      <c r="H37" s="123">
        <f>(F37-(F37*H3))</f>
        <v>167301.05228335387</v>
      </c>
      <c r="I37" s="124">
        <f>(H37-(H37*I3))</f>
        <v>162282.02071485325</v>
      </c>
      <c r="P37" s="153">
        <f>((I37-E37)/E37)</f>
        <v>0.93279719620283241</v>
      </c>
      <c r="Q37" s="154">
        <f>(I37-E37)/I37</f>
        <v>0.48261514350051987</v>
      </c>
      <c r="R37" s="210"/>
      <c r="S37" s="222">
        <f>(E37*1.6)</f>
        <v>134339.61600000001</v>
      </c>
      <c r="T37" s="214">
        <v>44600</v>
      </c>
      <c r="U37" s="189"/>
      <c r="V37" s="217">
        <v>10</v>
      </c>
      <c r="W37" s="440">
        <v>10</v>
      </c>
      <c r="X37" s="452">
        <f>(W37/1.21)</f>
        <v>8.2644628099173563</v>
      </c>
      <c r="Y37" s="193">
        <f>(X37-E37)/E37</f>
        <v>-0.99990156931447627</v>
      </c>
      <c r="Z37" s="194">
        <f>(X37-E37)/X37</f>
        <v>-10158.43346</v>
      </c>
      <c r="AA37" s="440">
        <v>10</v>
      </c>
    </row>
    <row r="38" spans="1:27" s="1" customFormat="1" ht="20.25" customHeight="1" thickBot="1">
      <c r="A38" s="118" t="s">
        <v>68</v>
      </c>
      <c r="B38" s="119">
        <v>117.63</v>
      </c>
      <c r="C38" s="467"/>
      <c r="D38" s="467"/>
      <c r="E38" s="467">
        <f>(B38*E$3)</f>
        <v>149507.72999999998</v>
      </c>
      <c r="F38" s="460">
        <v>315137.68062656425</v>
      </c>
      <c r="G38" s="460">
        <f t="shared" si="14"/>
        <v>381316.59355814272</v>
      </c>
      <c r="H38" s="119">
        <f>(F38-(F38*H3))</f>
        <v>299380.79659523605</v>
      </c>
      <c r="I38" s="125">
        <f>(H38-(H38*I3))</f>
        <v>290399.37269737897</v>
      </c>
      <c r="P38" s="120">
        <f>((I38-E38)/E38)</f>
        <v>0.94237028879629847</v>
      </c>
      <c r="Q38" s="121">
        <f>(I38-E38)/I38</f>
        <v>0.48516510689642622</v>
      </c>
      <c r="R38" s="210"/>
      <c r="S38" s="222">
        <f>(E38*1.6)</f>
        <v>239212.36799999999</v>
      </c>
      <c r="T38" s="214">
        <v>75400</v>
      </c>
      <c r="U38" s="189"/>
      <c r="V38" s="217">
        <v>10</v>
      </c>
      <c r="W38" s="440">
        <v>10</v>
      </c>
      <c r="X38" s="452">
        <f>(W38/1.21)</f>
        <v>8.2644628099173563</v>
      </c>
      <c r="Y38" s="195">
        <f>(X38-E38)/E38</f>
        <v>-0.99994472217048624</v>
      </c>
      <c r="Z38" s="196">
        <f>(X38-E38)/X38</f>
        <v>-18089.435329999997</v>
      </c>
      <c r="AA38" s="440">
        <v>10</v>
      </c>
    </row>
    <row r="39" spans="1:27" s="1" customFormat="1">
      <c r="B39" s="12"/>
      <c r="C39" s="12"/>
      <c r="D39" s="12"/>
      <c r="E39" s="4"/>
      <c r="F39" s="32"/>
      <c r="G39" s="32"/>
      <c r="Q39" s="40"/>
      <c r="R39" s="50"/>
      <c r="S39" s="40"/>
      <c r="T39" s="40"/>
      <c r="U39" s="40"/>
      <c r="V39" s="41"/>
      <c r="AA39" s="41"/>
    </row>
    <row r="40" spans="1:27" s="1" customFormat="1">
      <c r="F40" s="9"/>
      <c r="G40" s="9"/>
      <c r="V40" s="9"/>
      <c r="AA40" s="9"/>
    </row>
    <row r="41" spans="1:27" s="1" customFormat="1">
      <c r="F41" s="9"/>
      <c r="G41" s="9"/>
    </row>
    <row r="42" spans="1:27" s="1" customFormat="1">
      <c r="X42" s="9"/>
    </row>
    <row r="43" spans="1:27" s="1" customFormat="1"/>
    <row r="44" spans="1:27" s="1" customFormat="1"/>
    <row r="45" spans="1:27" s="1" customFormat="1"/>
    <row r="46" spans="1:27" s="1" customFormat="1">
      <c r="H46" s="1">
        <v>100</v>
      </c>
      <c r="I46" s="1">
        <v>100</v>
      </c>
      <c r="P46" s="1">
        <v>100</v>
      </c>
      <c r="Q46" s="1">
        <v>100</v>
      </c>
    </row>
    <row r="47" spans="1:27" s="1" customFormat="1">
      <c r="H47" s="1">
        <f>(H46-(H46*48%))</f>
        <v>52</v>
      </c>
      <c r="I47" s="1">
        <f>(I46-(I46*43%))</f>
        <v>57</v>
      </c>
      <c r="P47" s="1">
        <f>(P46-(P46*46%))</f>
        <v>54</v>
      </c>
      <c r="Q47" s="1">
        <f>(Q46-(Q46*40%))</f>
        <v>60</v>
      </c>
    </row>
    <row r="48" spans="1:27" s="1" customFormat="1">
      <c r="H48" s="1">
        <f>(H47-(H47*10%))</f>
        <v>46.8</v>
      </c>
      <c r="I48" s="1">
        <f>(I47-(I47*20%))</f>
        <v>45.6</v>
      </c>
      <c r="P48" s="1">
        <f>(P47-(P47*10%))</f>
        <v>48.6</v>
      </c>
      <c r="Q48" s="1">
        <f>(Q47-(Q47*20%))</f>
        <v>48</v>
      </c>
    </row>
    <row r="49" spans="6:25" s="1" customFormat="1"/>
    <row r="50" spans="6:25" s="1" customFormat="1">
      <c r="I50" s="1">
        <v>42</v>
      </c>
      <c r="Q50" s="1">
        <v>40</v>
      </c>
    </row>
    <row r="51" spans="6:25" s="1" customFormat="1"/>
    <row r="52" spans="6:25" s="1" customFormat="1"/>
    <row r="53" spans="6:25" s="1" customFormat="1"/>
    <row r="54" spans="6:25" s="1" customFormat="1"/>
    <row r="55" spans="6:25" s="1" customFormat="1">
      <c r="F55" s="75"/>
      <c r="G55" s="75"/>
      <c r="H55" s="75"/>
      <c r="I55" s="75"/>
      <c r="T55" s="41"/>
      <c r="U55" s="41"/>
      <c r="X55" s="40"/>
      <c r="Y55" s="40"/>
    </row>
    <row r="56" spans="6:25" s="1" customFormat="1"/>
    <row r="57" spans="6:25" s="1" customFormat="1">
      <c r="W57" s="40">
        <f>(Q48-I48)/I48</f>
        <v>5.263157894736839E-2</v>
      </c>
    </row>
    <row r="58" spans="6:25" s="1" customFormat="1" ht="15.75" customHeight="1"/>
    <row r="59" spans="6:25" s="1" customFormat="1"/>
    <row r="60" spans="6:25" s="1" customFormat="1"/>
    <row r="61" spans="6:25" s="1" customFormat="1"/>
    <row r="62" spans="6:25" s="1" customFormat="1"/>
    <row r="63" spans="6:25" s="1" customFormat="1"/>
    <row r="64" spans="6:25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 ht="19.5" customHeight="1"/>
    <row r="79" s="1" customFormat="1"/>
    <row r="80" s="1" customFormat="1"/>
    <row r="81" spans="2:27" s="1" customFormat="1"/>
    <row r="82" spans="2:27" s="1" customFormat="1"/>
    <row r="83" spans="2:27" s="1" customFormat="1"/>
    <row r="84" spans="2:27" s="1" customFormat="1"/>
    <row r="85" spans="2:27" s="1" customFormat="1"/>
    <row r="86" spans="2:27" s="1" customFormat="1">
      <c r="B86" s="2"/>
      <c r="C86" s="2"/>
      <c r="D86" s="2"/>
    </row>
    <row r="87" spans="2:27" s="1" customFormat="1"/>
    <row r="88" spans="2:27" s="1" customFormat="1"/>
    <row r="89" spans="2:27" s="1" customFormat="1"/>
    <row r="90" spans="2:27" s="1" customFormat="1"/>
    <row r="91" spans="2:27" s="1" customFormat="1">
      <c r="E91" s="23"/>
      <c r="F91" s="75"/>
      <c r="G91" s="75"/>
      <c r="H91" s="75"/>
      <c r="J91" s="2"/>
      <c r="K91" s="2"/>
      <c r="L91" s="2"/>
      <c r="M91" s="2"/>
      <c r="N91" s="2"/>
      <c r="O91" s="2"/>
      <c r="Q91" s="41"/>
      <c r="R91" s="41"/>
      <c r="S91" s="41"/>
      <c r="T91" s="10"/>
      <c r="U91" s="10"/>
      <c r="V91" s="40"/>
      <c r="X91" s="40"/>
      <c r="AA91" s="40"/>
    </row>
    <row r="92" spans="2:27" s="1" customFormat="1"/>
    <row r="93" spans="2:27" s="1" customFormat="1"/>
    <row r="94" spans="2:27" s="1" customFormat="1"/>
    <row r="95" spans="2:27" s="1" customFormat="1"/>
    <row r="96" spans="2:27" s="1" customFormat="1"/>
    <row r="97" spans="6:26" s="1" customFormat="1"/>
    <row r="98" spans="6:26" s="1" customFormat="1"/>
    <row r="99" spans="6:26" s="1" customFormat="1"/>
    <row r="100" spans="6:26" s="1" customFormat="1"/>
    <row r="101" spans="6:26" s="1" customFormat="1"/>
    <row r="102" spans="6:26" s="1" customFormat="1"/>
    <row r="103" spans="6:26" s="1" customFormat="1"/>
    <row r="104" spans="6:26" s="1" customFormat="1"/>
    <row r="105" spans="6:26" s="1" customFormat="1"/>
    <row r="106" spans="6:26" s="1" customFormat="1"/>
    <row r="107" spans="6:26" s="1" customFormat="1"/>
    <row r="108" spans="6:26" s="1" customFormat="1"/>
    <row r="109" spans="6:26" s="1" customFormat="1"/>
    <row r="110" spans="6:26" s="1" customFormat="1"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X110" s="10"/>
      <c r="Y110" s="40"/>
      <c r="Z110" s="40"/>
    </row>
    <row r="111" spans="6:26" s="1" customFormat="1"/>
    <row r="112" spans="6:26" s="1" customFormat="1"/>
    <row r="113" spans="10:19" s="1" customFormat="1"/>
    <row r="114" spans="10:19" s="1" customFormat="1">
      <c r="Q114" s="41"/>
      <c r="R114" s="41"/>
      <c r="S114" s="41"/>
    </row>
    <row r="115" spans="10:19" s="1" customFormat="1">
      <c r="Q115" s="41"/>
      <c r="R115" s="41"/>
      <c r="S115" s="41"/>
    </row>
    <row r="116" spans="10:19" s="1" customFormat="1">
      <c r="Q116" s="41"/>
      <c r="R116" s="41"/>
      <c r="S116" s="41"/>
    </row>
    <row r="117" spans="10:19" s="1" customFormat="1">
      <c r="Q117" s="41"/>
      <c r="R117" s="41"/>
      <c r="S117" s="41"/>
    </row>
    <row r="118" spans="10:19" s="1" customFormat="1">
      <c r="Q118" s="41"/>
      <c r="R118" s="41"/>
      <c r="S118" s="41"/>
    </row>
    <row r="119" spans="10:19" s="1" customFormat="1">
      <c r="Q119" s="41"/>
      <c r="R119" s="41"/>
      <c r="S119" s="41"/>
    </row>
    <row r="120" spans="10:19" s="1" customFormat="1">
      <c r="Q120" s="41"/>
      <c r="R120" s="41"/>
      <c r="S120" s="41"/>
    </row>
    <row r="121" spans="10:19" s="1" customFormat="1">
      <c r="J121" s="41"/>
      <c r="K121" s="41"/>
      <c r="L121" s="41"/>
      <c r="M121" s="41"/>
      <c r="N121" s="41"/>
      <c r="O121" s="41"/>
    </row>
    <row r="122" spans="10:19" s="1" customFormat="1">
      <c r="J122" s="41"/>
      <c r="K122" s="41"/>
      <c r="L122" s="41"/>
      <c r="M122" s="41"/>
      <c r="N122" s="41"/>
      <c r="O122" s="41"/>
    </row>
    <row r="123" spans="10:19" s="1" customFormat="1">
      <c r="J123" s="41"/>
      <c r="K123" s="41"/>
      <c r="L123" s="41"/>
      <c r="M123" s="41"/>
      <c r="N123" s="41"/>
      <c r="O123" s="41"/>
    </row>
    <row r="124" spans="10:19" s="1" customFormat="1">
      <c r="J124" s="41"/>
      <c r="K124" s="41"/>
      <c r="L124" s="41"/>
      <c r="M124" s="41"/>
      <c r="N124" s="41"/>
      <c r="O124" s="41"/>
    </row>
    <row r="125" spans="10:19" s="1" customFormat="1">
      <c r="J125" s="41"/>
      <c r="K125" s="41"/>
      <c r="L125" s="41"/>
      <c r="M125" s="41"/>
      <c r="N125" s="41"/>
      <c r="O125" s="41"/>
    </row>
    <row r="126" spans="10:19" s="1" customFormat="1">
      <c r="J126" s="41"/>
      <c r="K126" s="41"/>
      <c r="L126" s="41"/>
      <c r="M126" s="41"/>
      <c r="N126" s="41"/>
      <c r="O126" s="41"/>
    </row>
    <row r="127" spans="10:19" s="1" customFormat="1">
      <c r="J127" s="41"/>
      <c r="K127" s="41"/>
      <c r="L127" s="41"/>
      <c r="M127" s="41"/>
      <c r="N127" s="41"/>
      <c r="O127" s="41"/>
    </row>
    <row r="128" spans="10:19" s="1" customFormat="1">
      <c r="J128" s="41"/>
      <c r="K128" s="41"/>
      <c r="L128" s="41"/>
      <c r="M128" s="41"/>
      <c r="N128" s="41"/>
      <c r="O128" s="41"/>
    </row>
    <row r="129" spans="10:15" s="1" customFormat="1">
      <c r="J129" s="41"/>
      <c r="K129" s="41"/>
      <c r="L129" s="41"/>
      <c r="M129" s="41"/>
      <c r="N129" s="41"/>
      <c r="O129" s="41"/>
    </row>
    <row r="130" spans="10:15" s="1" customFormat="1">
      <c r="J130" s="41"/>
      <c r="K130" s="41"/>
      <c r="L130" s="41"/>
      <c r="M130" s="41"/>
      <c r="N130" s="41"/>
      <c r="O130" s="41"/>
    </row>
    <row r="131" spans="10:15" s="1" customFormat="1" ht="17.25" customHeight="1">
      <c r="J131" s="41"/>
      <c r="K131" s="41"/>
      <c r="L131" s="41"/>
      <c r="M131" s="41"/>
      <c r="N131" s="41"/>
      <c r="O131" s="41"/>
    </row>
    <row r="132" spans="10:15" s="1" customFormat="1" ht="18.75" customHeight="1">
      <c r="J132" s="41"/>
      <c r="K132" s="41"/>
      <c r="L132" s="41"/>
      <c r="M132" s="41"/>
      <c r="N132" s="41"/>
      <c r="O132" s="41"/>
    </row>
    <row r="133" spans="10:15" s="1" customFormat="1" ht="17.25" customHeight="1">
      <c r="J133" s="41"/>
      <c r="K133" s="41"/>
      <c r="L133" s="41"/>
      <c r="M133" s="41"/>
      <c r="N133" s="41"/>
      <c r="O133" s="41"/>
    </row>
    <row r="134" spans="10:15" s="1" customFormat="1" ht="17.25" customHeight="1">
      <c r="J134" s="41"/>
      <c r="K134" s="41"/>
      <c r="L134" s="41"/>
      <c r="M134" s="41"/>
      <c r="N134" s="41"/>
      <c r="O134" s="41"/>
    </row>
    <row r="135" spans="10:15" s="1" customFormat="1">
      <c r="J135" s="41"/>
      <c r="K135" s="41"/>
      <c r="L135" s="41"/>
      <c r="M135" s="41"/>
      <c r="N135" s="41"/>
      <c r="O135" s="41"/>
    </row>
    <row r="136" spans="10:15" s="1" customFormat="1">
      <c r="J136" s="41"/>
      <c r="K136" s="41"/>
      <c r="L136" s="41"/>
      <c r="M136" s="41"/>
      <c r="N136" s="41"/>
      <c r="O136" s="41"/>
    </row>
    <row r="137" spans="10:15" s="1" customFormat="1" ht="19.5" customHeight="1"/>
    <row r="138" spans="10:15" s="1" customFormat="1" ht="20.25" customHeight="1"/>
    <row r="139" spans="10:15" s="1" customFormat="1" ht="20.25" customHeight="1"/>
    <row r="140" spans="10:15" s="1" customFormat="1" ht="17.25" customHeight="1"/>
    <row r="141" spans="10:15" s="1" customFormat="1" ht="18.75" customHeight="1"/>
    <row r="142" spans="10:15" s="1" customFormat="1" ht="20.25" customHeight="1"/>
    <row r="143" spans="10:15" s="1" customFormat="1" ht="21" customHeight="1"/>
    <row r="144" spans="10:15" s="1" customFormat="1" ht="21" customHeight="1"/>
    <row r="145" spans="10:15" s="1" customFormat="1"/>
    <row r="146" spans="10:15" s="1" customFormat="1"/>
    <row r="147" spans="10:15" s="1" customFormat="1"/>
    <row r="148" spans="10:15" s="1" customFormat="1" ht="19.5" customHeight="1"/>
    <row r="149" spans="10:15" s="1" customFormat="1" ht="23.25" customHeight="1"/>
    <row r="150" spans="10:15" s="1" customFormat="1" ht="23.25" customHeight="1"/>
    <row r="151" spans="10:15" s="1" customFormat="1"/>
    <row r="152" spans="10:15" s="1" customFormat="1" ht="24" customHeight="1"/>
    <row r="153" spans="10:15" s="1" customFormat="1" ht="26.25" customHeight="1"/>
    <row r="154" spans="10:15" s="1" customFormat="1" ht="24.75" customHeight="1">
      <c r="J154" s="10"/>
      <c r="K154" s="10"/>
      <c r="L154" s="10"/>
      <c r="M154" s="10"/>
      <c r="N154" s="10"/>
      <c r="O154" s="10"/>
    </row>
    <row r="155" spans="10:15" s="1" customFormat="1" ht="28.5" customHeight="1"/>
    <row r="156" spans="10:15" s="1" customFormat="1"/>
    <row r="157" spans="10:15" s="1" customFormat="1"/>
    <row r="158" spans="10:15" s="1" customFormat="1"/>
    <row r="159" spans="10:15" s="1" customFormat="1"/>
    <row r="160" spans="10:15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pans="2:4" s="1" customFormat="1">
      <c r="B577" s="921"/>
      <c r="C577" s="921"/>
      <c r="D577" s="921"/>
    </row>
    <row r="578" spans="2:4" s="1" customFormat="1">
      <c r="B578" s="921"/>
      <c r="C578" s="921"/>
      <c r="D578" s="921"/>
    </row>
    <row r="579" spans="2:4" s="1" customFormat="1">
      <c r="B579" s="921"/>
      <c r="C579" s="921"/>
      <c r="D579" s="921"/>
    </row>
    <row r="580" spans="2:4" s="1" customFormat="1">
      <c r="B580" s="921"/>
      <c r="C580" s="921"/>
      <c r="D580" s="921"/>
    </row>
    <row r="581" spans="2:4" s="1" customFormat="1">
      <c r="B581" s="921"/>
      <c r="C581" s="921"/>
      <c r="D581" s="921"/>
    </row>
    <row r="582" spans="2:4" s="1" customFormat="1">
      <c r="B582" s="921"/>
      <c r="C582" s="921"/>
      <c r="D582" s="921"/>
    </row>
    <row r="583" spans="2:4" s="1" customFormat="1">
      <c r="B583" s="921"/>
      <c r="C583" s="921"/>
      <c r="D583" s="921"/>
    </row>
    <row r="584" spans="2:4" s="1" customFormat="1">
      <c r="B584" s="921"/>
      <c r="C584" s="921"/>
      <c r="D584" s="921"/>
    </row>
    <row r="585" spans="2:4" s="1" customFormat="1">
      <c r="B585" s="921"/>
      <c r="C585" s="921"/>
      <c r="D585" s="921"/>
    </row>
    <row r="586" spans="2:4" s="1" customFormat="1">
      <c r="B586" s="921"/>
      <c r="C586" s="921"/>
      <c r="D586" s="921"/>
    </row>
    <row r="587" spans="2:4" s="1" customFormat="1">
      <c r="B587" s="921"/>
      <c r="C587" s="921"/>
      <c r="D587" s="921"/>
    </row>
    <row r="588" spans="2:4" s="1" customFormat="1">
      <c r="B588" s="921"/>
      <c r="C588" s="921"/>
      <c r="D588" s="921"/>
    </row>
    <row r="589" spans="2:4" s="1" customFormat="1">
      <c r="B589" s="921"/>
      <c r="C589" s="921"/>
      <c r="D589" s="921"/>
    </row>
    <row r="590" spans="2:4" s="1" customFormat="1">
      <c r="B590" s="921"/>
      <c r="C590" s="921"/>
      <c r="D590" s="921"/>
    </row>
    <row r="591" spans="2:4" s="1" customFormat="1">
      <c r="B591" s="921"/>
      <c r="C591" s="921"/>
      <c r="D591" s="921"/>
    </row>
    <row r="592" spans="2:4" s="1" customFormat="1">
      <c r="B592" s="921"/>
      <c r="C592" s="921"/>
      <c r="D592" s="921"/>
    </row>
    <row r="593" spans="2:4" s="1" customFormat="1">
      <c r="B593" s="921"/>
      <c r="C593" s="921"/>
      <c r="D593" s="921"/>
    </row>
    <row r="594" spans="2:4" s="1" customFormat="1">
      <c r="B594" s="921"/>
      <c r="C594" s="921"/>
      <c r="D594" s="921"/>
    </row>
    <row r="595" spans="2:4" s="1" customFormat="1">
      <c r="B595" s="921"/>
      <c r="C595" s="921"/>
      <c r="D595" s="921"/>
    </row>
    <row r="596" spans="2:4" s="1" customFormat="1">
      <c r="B596" s="921"/>
      <c r="C596" s="921"/>
      <c r="D596" s="921"/>
    </row>
    <row r="597" spans="2:4" s="1" customFormat="1">
      <c r="B597" s="921"/>
      <c r="C597" s="921"/>
      <c r="D597" s="921"/>
    </row>
    <row r="598" spans="2:4" s="1" customFormat="1">
      <c r="B598" s="921"/>
      <c r="C598" s="921"/>
      <c r="D598" s="921"/>
    </row>
    <row r="599" spans="2:4" s="1" customFormat="1">
      <c r="B599" s="921"/>
      <c r="C599" s="921"/>
      <c r="D599" s="921"/>
    </row>
    <row r="600" spans="2:4" s="1" customFormat="1">
      <c r="B600" s="921"/>
      <c r="C600" s="921"/>
      <c r="D600" s="921"/>
    </row>
    <row r="601" spans="2:4" s="1" customFormat="1">
      <c r="B601" s="921"/>
      <c r="C601" s="921"/>
      <c r="D601" s="921"/>
    </row>
    <row r="602" spans="2:4" s="1" customFormat="1">
      <c r="B602" s="921"/>
      <c r="C602" s="921"/>
      <c r="D602" s="921"/>
    </row>
    <row r="603" spans="2:4" s="1" customFormat="1">
      <c r="B603" s="921"/>
      <c r="C603" s="921"/>
      <c r="D603" s="921"/>
    </row>
    <row r="604" spans="2:4" s="1" customFormat="1">
      <c r="B604" s="921"/>
      <c r="C604" s="921"/>
      <c r="D604" s="921"/>
    </row>
    <row r="605" spans="2:4" s="1" customFormat="1">
      <c r="B605" s="921"/>
      <c r="C605" s="921"/>
      <c r="D605" s="921"/>
    </row>
    <row r="606" spans="2:4" s="1" customFormat="1">
      <c r="B606" s="921"/>
      <c r="C606" s="921"/>
      <c r="D606" s="921"/>
    </row>
    <row r="607" spans="2:4" s="1" customFormat="1">
      <c r="B607" s="921"/>
      <c r="C607" s="921"/>
      <c r="D607" s="921"/>
    </row>
    <row r="608" spans="2:4" s="1" customFormat="1">
      <c r="B608" s="921"/>
      <c r="C608" s="921"/>
      <c r="D608" s="921"/>
    </row>
    <row r="609" spans="2:4" s="1" customFormat="1">
      <c r="B609" s="921"/>
      <c r="C609" s="921"/>
      <c r="D609" s="921"/>
    </row>
    <row r="610" spans="2:4" s="1" customFormat="1">
      <c r="B610" s="921"/>
      <c r="C610" s="921"/>
      <c r="D610" s="921"/>
    </row>
    <row r="611" spans="2:4" s="1" customFormat="1">
      <c r="B611" s="921"/>
      <c r="C611" s="921"/>
      <c r="D611" s="921"/>
    </row>
    <row r="612" spans="2:4" s="1" customFormat="1">
      <c r="B612" s="921"/>
      <c r="C612" s="921"/>
      <c r="D612" s="921"/>
    </row>
    <row r="613" spans="2:4" s="1" customFormat="1">
      <c r="B613" s="921"/>
      <c r="C613" s="921"/>
      <c r="D613" s="921"/>
    </row>
    <row r="614" spans="2:4" s="1" customFormat="1">
      <c r="B614" s="921"/>
      <c r="C614" s="921"/>
      <c r="D614" s="921"/>
    </row>
    <row r="615" spans="2:4" s="1" customFormat="1">
      <c r="B615" s="921"/>
      <c r="C615" s="921"/>
      <c r="D615" s="921"/>
    </row>
    <row r="616" spans="2:4" s="1" customFormat="1">
      <c r="B616" s="921"/>
      <c r="C616" s="921"/>
      <c r="D616" s="921"/>
    </row>
    <row r="617" spans="2:4" s="1" customFormat="1">
      <c r="B617" s="921"/>
      <c r="C617" s="921"/>
      <c r="D617" s="921"/>
    </row>
    <row r="618" spans="2:4" s="1" customFormat="1">
      <c r="B618" s="921"/>
      <c r="C618" s="921"/>
      <c r="D618" s="921"/>
    </row>
    <row r="619" spans="2:4" s="1" customFormat="1">
      <c r="B619" s="921"/>
      <c r="C619" s="921"/>
      <c r="D619" s="921"/>
    </row>
    <row r="620" spans="2:4" s="1" customFormat="1">
      <c r="B620" s="921"/>
      <c r="C620" s="921"/>
      <c r="D620" s="921"/>
    </row>
    <row r="621" spans="2:4" s="1" customFormat="1">
      <c r="B621" s="921"/>
      <c r="C621" s="921"/>
      <c r="D621" s="921"/>
    </row>
    <row r="622" spans="2:4" s="1" customFormat="1">
      <c r="B622" s="921"/>
      <c r="C622" s="921"/>
      <c r="D622" s="921"/>
    </row>
    <row r="623" spans="2:4" s="1" customFormat="1">
      <c r="B623" s="921"/>
      <c r="C623" s="921"/>
      <c r="D623" s="921"/>
    </row>
    <row r="624" spans="2:4" s="1" customFormat="1">
      <c r="B624" s="921"/>
      <c r="C624" s="921"/>
      <c r="D624" s="921"/>
    </row>
    <row r="625" spans="2:4" s="1" customFormat="1">
      <c r="B625" s="921"/>
      <c r="C625" s="921"/>
      <c r="D625" s="921"/>
    </row>
    <row r="626" spans="2:4" s="1" customFormat="1">
      <c r="B626" s="921"/>
      <c r="C626" s="921"/>
      <c r="D626" s="921"/>
    </row>
    <row r="627" spans="2:4" s="1" customFormat="1">
      <c r="B627" s="921"/>
      <c r="C627" s="921"/>
      <c r="D627" s="921"/>
    </row>
    <row r="628" spans="2:4" s="1" customFormat="1">
      <c r="B628" s="921"/>
      <c r="C628" s="921"/>
      <c r="D628" s="921"/>
    </row>
    <row r="629" spans="2:4" s="1" customFormat="1">
      <c r="B629" s="921"/>
      <c r="C629" s="921"/>
      <c r="D629" s="921"/>
    </row>
    <row r="630" spans="2:4" s="1" customFormat="1">
      <c r="B630" s="921"/>
      <c r="C630" s="921"/>
      <c r="D630" s="921"/>
    </row>
    <row r="631" spans="2:4" s="1" customFormat="1">
      <c r="B631" s="921"/>
      <c r="C631" s="921"/>
      <c r="D631" s="921"/>
    </row>
    <row r="632" spans="2:4" s="1" customFormat="1">
      <c r="B632" s="921"/>
      <c r="C632" s="921"/>
      <c r="D632" s="921"/>
    </row>
    <row r="633" spans="2:4" s="1" customFormat="1">
      <c r="B633" s="921"/>
      <c r="C633" s="921"/>
      <c r="D633" s="921"/>
    </row>
    <row r="634" spans="2:4" s="1" customFormat="1">
      <c r="B634" s="921"/>
      <c r="C634" s="921"/>
      <c r="D634" s="921"/>
    </row>
    <row r="635" spans="2:4" s="1" customFormat="1">
      <c r="B635" s="921"/>
      <c r="C635" s="921"/>
      <c r="D635" s="921"/>
    </row>
    <row r="636" spans="2:4" s="1" customFormat="1">
      <c r="B636" s="921"/>
      <c r="C636" s="921"/>
      <c r="D636" s="921"/>
    </row>
    <row r="637" spans="2:4" s="1" customFormat="1">
      <c r="B637" s="921"/>
      <c r="C637" s="921"/>
      <c r="D637" s="921"/>
    </row>
    <row r="638" spans="2:4" s="1" customFormat="1">
      <c r="B638" s="921"/>
      <c r="C638" s="921"/>
      <c r="D638" s="921"/>
    </row>
    <row r="639" spans="2:4" s="1" customFormat="1">
      <c r="B639" s="921"/>
      <c r="C639" s="921"/>
      <c r="D639" s="921"/>
    </row>
    <row r="640" spans="2:4" s="1" customFormat="1">
      <c r="B640" s="921"/>
      <c r="C640" s="921"/>
      <c r="D640" s="921"/>
    </row>
  </sheetData>
  <dataValidations count="3">
    <dataValidation type="list" allowBlank="1" showInputMessage="1" showErrorMessage="1" sqref="H3" xr:uid="{4EF5A194-16F0-4A0F-AEF2-DB4C59E60A79}">
      <formula1>$AD$9:$AD$11</formula1>
    </dataValidation>
    <dataValidation type="list" allowBlank="1" showInputMessage="1" showErrorMessage="1" sqref="J3 AD15" xr:uid="{DD8DFA4A-975F-4AE9-BC03-1B72A4F5779D}">
      <formula1>$AD$14:$AD$17</formula1>
    </dataValidation>
    <dataValidation type="list" allowBlank="1" showInputMessage="1" showErrorMessage="1" sqref="I3" xr:uid="{1C70B800-1AAA-4337-9E42-36FB2D8D1621}">
      <formula1>$AD$12:$AD$13</formula1>
    </dataValidation>
  </dataValidations>
  <pageMargins left="0.25" right="0.25" top="0.75" bottom="0.75" header="0.3" footer="0.3"/>
  <pageSetup paperSize="9" orientation="portrait" horizontalDpi="300" verticalDpi="300" r:id="rId1"/>
  <ignoredErrors>
    <ignoredError sqref="S1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FD8B-6403-4664-9948-B64A338DDFAF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81"/>
  <sheetViews>
    <sheetView showGridLines="0" topLeftCell="A67" workbookViewId="0">
      <selection activeCell="I73" sqref="I73"/>
    </sheetView>
  </sheetViews>
  <sheetFormatPr baseColWidth="10" defaultColWidth="11.44140625" defaultRowHeight="14.4"/>
  <cols>
    <col min="1" max="1" width="19.88671875" customWidth="1"/>
    <col min="2" max="2" width="21.44140625" customWidth="1"/>
    <col min="3" max="3" width="13.88671875" bestFit="1" customWidth="1"/>
    <col min="4" max="4" width="13.33203125" bestFit="1" customWidth="1"/>
    <col min="5" max="5" width="11" customWidth="1"/>
    <col min="6" max="6" width="23.6640625" customWidth="1"/>
    <col min="7" max="7" width="12.109375" bestFit="1" customWidth="1"/>
    <col min="9" max="9" width="11.109375" bestFit="1" customWidth="1"/>
    <col min="10" max="10" width="36" bestFit="1" customWidth="1"/>
    <col min="11" max="11" width="9.33203125" customWidth="1"/>
  </cols>
  <sheetData>
    <row r="1" spans="1:10">
      <c r="A1" s="105" t="s">
        <v>1342</v>
      </c>
      <c r="B1" s="921"/>
      <c r="C1" s="921"/>
      <c r="D1" s="921"/>
      <c r="E1" s="921"/>
      <c r="F1" s="921"/>
      <c r="G1" s="921"/>
      <c r="H1" s="921"/>
      <c r="I1" s="921"/>
      <c r="J1" s="921"/>
    </row>
    <row r="2" spans="1:10" ht="17.399999999999999">
      <c r="A2" s="1000" t="s">
        <v>1343</v>
      </c>
      <c r="B2" s="1000"/>
      <c r="C2" s="1000"/>
      <c r="D2" s="1000"/>
      <c r="E2" s="994" t="s">
        <v>1344</v>
      </c>
      <c r="F2" s="994"/>
      <c r="G2" s="994"/>
      <c r="H2" s="991" t="s">
        <v>1345</v>
      </c>
      <c r="I2" s="991"/>
      <c r="J2" s="993" t="s">
        <v>1346</v>
      </c>
    </row>
    <row r="3" spans="1:10">
      <c r="A3" s="967" t="s">
        <v>1347</v>
      </c>
      <c r="B3" s="290" t="s">
        <v>1348</v>
      </c>
      <c r="C3" s="967" t="s">
        <v>1349</v>
      </c>
      <c r="D3" s="967" t="s">
        <v>1350</v>
      </c>
      <c r="E3" s="291" t="s">
        <v>1351</v>
      </c>
      <c r="F3" s="291" t="s">
        <v>1352</v>
      </c>
      <c r="G3" s="291" t="s">
        <v>1353</v>
      </c>
      <c r="H3" s="292" t="s">
        <v>1354</v>
      </c>
      <c r="I3" s="293" t="s">
        <v>1355</v>
      </c>
      <c r="J3" s="993"/>
    </row>
    <row r="4" spans="1:10">
      <c r="A4" s="295" t="s">
        <v>1356</v>
      </c>
      <c r="B4" s="295" t="s">
        <v>59</v>
      </c>
      <c r="C4" s="296">
        <v>135</v>
      </c>
      <c r="D4" s="296">
        <v>750</v>
      </c>
      <c r="E4" s="297">
        <v>510</v>
      </c>
      <c r="F4" s="297">
        <v>213</v>
      </c>
      <c r="G4" s="297">
        <v>236</v>
      </c>
      <c r="H4" s="298">
        <f>(Varta!F29)</f>
        <v>5</v>
      </c>
      <c r="I4" s="299">
        <f>+H4*1.21</f>
        <v>6.05</v>
      </c>
      <c r="J4" s="300" t="s">
        <v>1357</v>
      </c>
    </row>
    <row r="5" spans="1:10">
      <c r="A5" s="289"/>
      <c r="B5" s="295"/>
      <c r="C5" s="295"/>
      <c r="D5" s="296"/>
      <c r="E5" s="296"/>
      <c r="F5" s="296"/>
      <c r="G5" s="296"/>
      <c r="H5" s="301"/>
      <c r="I5" s="294"/>
      <c r="J5" s="302"/>
    </row>
    <row r="6" spans="1:10" ht="17.399999999999999">
      <c r="A6" s="997" t="s">
        <v>1358</v>
      </c>
      <c r="B6" s="997"/>
      <c r="C6" s="997"/>
      <c r="D6" s="997"/>
      <c r="E6" s="994" t="s">
        <v>1344</v>
      </c>
      <c r="F6" s="994"/>
      <c r="G6" s="994"/>
      <c r="H6" s="991" t="s">
        <v>1345</v>
      </c>
      <c r="I6" s="991"/>
      <c r="J6" s="993" t="s">
        <v>1346</v>
      </c>
    </row>
    <row r="7" spans="1:10">
      <c r="A7" s="967" t="s">
        <v>1347</v>
      </c>
      <c r="B7" s="290" t="s">
        <v>1348</v>
      </c>
      <c r="C7" s="967" t="s">
        <v>1349</v>
      </c>
      <c r="D7" s="967" t="s">
        <v>1350</v>
      </c>
      <c r="E7" s="291" t="s">
        <v>1351</v>
      </c>
      <c r="F7" s="291" t="s">
        <v>1352</v>
      </c>
      <c r="G7" s="291" t="s">
        <v>1353</v>
      </c>
      <c r="H7" s="292" t="s">
        <v>1354</v>
      </c>
      <c r="I7" s="293" t="s">
        <v>1355</v>
      </c>
      <c r="J7" s="993"/>
    </row>
    <row r="8" spans="1:10">
      <c r="A8" s="295" t="s">
        <v>1359</v>
      </c>
      <c r="B8" s="295" t="s">
        <v>37</v>
      </c>
      <c r="C8" s="296">
        <v>45</v>
      </c>
      <c r="D8" s="296">
        <v>350</v>
      </c>
      <c r="E8" s="297">
        <v>210</v>
      </c>
      <c r="F8" s="297">
        <v>175</v>
      </c>
      <c r="G8" s="297">
        <v>175</v>
      </c>
      <c r="H8" s="303">
        <f>(Varta!F11)</f>
        <v>80802.119999999981</v>
      </c>
      <c r="I8" s="299">
        <f>+H8*1.21</f>
        <v>97770.565199999968</v>
      </c>
      <c r="J8" s="300" t="s">
        <v>1360</v>
      </c>
    </row>
    <row r="9" spans="1:10">
      <c r="A9" s="295" t="s">
        <v>1361</v>
      </c>
      <c r="B9" s="295" t="s">
        <v>41</v>
      </c>
      <c r="C9" s="296">
        <v>50</v>
      </c>
      <c r="D9" s="296">
        <v>400</v>
      </c>
      <c r="E9" s="297">
        <v>210</v>
      </c>
      <c r="F9" s="297">
        <v>175</v>
      </c>
      <c r="G9" s="297">
        <v>190</v>
      </c>
      <c r="H9" s="303">
        <f>(Varta!F13)</f>
        <v>86088.239999999991</v>
      </c>
      <c r="I9" s="299">
        <f t="shared" ref="I9:I19" si="0">+H9*1.21</f>
        <v>104166.77039999998</v>
      </c>
      <c r="J9" s="300" t="s">
        <v>1362</v>
      </c>
    </row>
    <row r="10" spans="1:10">
      <c r="A10" s="295" t="s">
        <v>1363</v>
      </c>
      <c r="B10" s="295" t="s">
        <v>45</v>
      </c>
      <c r="C10" s="296">
        <v>60</v>
      </c>
      <c r="D10" s="296">
        <v>450</v>
      </c>
      <c r="E10" s="297">
        <v>243</v>
      </c>
      <c r="F10" s="297">
        <v>175</v>
      </c>
      <c r="G10" s="297">
        <v>175</v>
      </c>
      <c r="H10" s="303">
        <f>(Varta!F15)</f>
        <v>88580.267999999996</v>
      </c>
      <c r="I10" s="299">
        <f t="shared" si="0"/>
        <v>107182.12427999999</v>
      </c>
      <c r="J10" s="300" t="s">
        <v>1364</v>
      </c>
    </row>
    <row r="11" spans="1:10">
      <c r="A11" s="295" t="s">
        <v>1365</v>
      </c>
      <c r="B11" s="295" t="s">
        <v>43</v>
      </c>
      <c r="C11" s="296">
        <v>60</v>
      </c>
      <c r="D11" s="296">
        <v>460</v>
      </c>
      <c r="E11" s="297">
        <v>243</v>
      </c>
      <c r="F11" s="297">
        <v>175</v>
      </c>
      <c r="G11" s="297">
        <v>190</v>
      </c>
      <c r="H11" s="303">
        <f>(Varta!F14)</f>
        <v>97226.849999999991</v>
      </c>
      <c r="I11" s="299">
        <f t="shared" si="0"/>
        <v>117644.48849999999</v>
      </c>
      <c r="J11" s="300" t="s">
        <v>1366</v>
      </c>
    </row>
    <row r="12" spans="1:10">
      <c r="A12" s="295" t="s">
        <v>1367</v>
      </c>
      <c r="B12" s="295" t="s">
        <v>46</v>
      </c>
      <c r="C12" s="296">
        <v>70</v>
      </c>
      <c r="D12" s="296">
        <v>620</v>
      </c>
      <c r="E12" s="297">
        <v>275</v>
      </c>
      <c r="F12" s="297">
        <v>175</v>
      </c>
      <c r="G12" s="297">
        <v>175</v>
      </c>
      <c r="H12" s="303">
        <f>(Varta!F16)</f>
        <v>109026.22499999999</v>
      </c>
      <c r="I12" s="299">
        <f t="shared" si="0"/>
        <v>131921.73224999997</v>
      </c>
      <c r="J12" s="300" t="s">
        <v>1368</v>
      </c>
    </row>
    <row r="13" spans="1:10">
      <c r="A13" s="295" t="s">
        <v>1369</v>
      </c>
      <c r="B13" s="295" t="s">
        <v>1370</v>
      </c>
      <c r="C13" s="296">
        <v>90</v>
      </c>
      <c r="D13" s="296">
        <v>700</v>
      </c>
      <c r="E13" s="297">
        <v>377</v>
      </c>
      <c r="F13" s="297">
        <v>175</v>
      </c>
      <c r="G13" s="297">
        <v>191</v>
      </c>
      <c r="H13" s="303">
        <f>(Varta!F19)</f>
        <v>210595.245</v>
      </c>
      <c r="I13" s="299">
        <f t="shared" si="0"/>
        <v>254820.24644999998</v>
      </c>
      <c r="J13" s="300" t="s">
        <v>1371</v>
      </c>
    </row>
    <row r="14" spans="1:10">
      <c r="A14" s="295" t="s">
        <v>1372</v>
      </c>
      <c r="B14" s="295" t="s">
        <v>50</v>
      </c>
      <c r="C14" s="296">
        <v>100</v>
      </c>
      <c r="D14" s="296">
        <v>750</v>
      </c>
      <c r="E14" s="297">
        <v>330</v>
      </c>
      <c r="F14" s="297">
        <v>172</v>
      </c>
      <c r="G14" s="297">
        <v>241</v>
      </c>
      <c r="H14" s="303">
        <f>(Varta!F20)</f>
        <v>177198.29399999999</v>
      </c>
      <c r="I14" s="299">
        <f t="shared" si="0"/>
        <v>214409.93573999999</v>
      </c>
      <c r="J14" s="300" t="s">
        <v>1373</v>
      </c>
    </row>
    <row r="15" spans="1:10">
      <c r="A15" s="295" t="s">
        <v>1374</v>
      </c>
      <c r="B15" s="295" t="s">
        <v>1375</v>
      </c>
      <c r="C15" s="296">
        <v>170</v>
      </c>
      <c r="D15" s="296">
        <v>1000</v>
      </c>
      <c r="E15" s="297">
        <v>510</v>
      </c>
      <c r="F15" s="297">
        <v>213</v>
      </c>
      <c r="G15" s="297">
        <v>236</v>
      </c>
      <c r="H15" s="303">
        <f>(Varta!F23)</f>
        <v>244143.22799999997</v>
      </c>
      <c r="I15" s="299">
        <f t="shared" si="0"/>
        <v>295413.30587999994</v>
      </c>
      <c r="J15" s="300" t="s">
        <v>1376</v>
      </c>
    </row>
    <row r="16" spans="1:10">
      <c r="A16" s="295" t="s">
        <v>1377</v>
      </c>
      <c r="B16" s="295" t="s">
        <v>1378</v>
      </c>
      <c r="C16" s="296">
        <v>170</v>
      </c>
      <c r="D16" s="296">
        <v>1000</v>
      </c>
      <c r="E16" s="297">
        <v>510</v>
      </c>
      <c r="F16" s="297">
        <v>213</v>
      </c>
      <c r="G16" s="297">
        <v>236</v>
      </c>
      <c r="H16" s="303">
        <f>(Varta!F24)</f>
        <v>245559.15299999996</v>
      </c>
      <c r="I16" s="299">
        <f t="shared" si="0"/>
        <v>297126.57512999995</v>
      </c>
      <c r="J16" s="300" t="s">
        <v>1379</v>
      </c>
    </row>
    <row r="17" spans="1:10">
      <c r="A17" s="295" t="s">
        <v>1380</v>
      </c>
      <c r="B17" s="295" t="s">
        <v>1381</v>
      </c>
      <c r="C17" s="296">
        <v>190</v>
      </c>
      <c r="D17" s="296">
        <v>1100</v>
      </c>
      <c r="E17" s="297">
        <v>513</v>
      </c>
      <c r="F17" s="297">
        <v>223</v>
      </c>
      <c r="G17" s="297">
        <v>218</v>
      </c>
      <c r="H17" s="303">
        <f>(Varta!F26)</f>
        <v>298307.07899999997</v>
      </c>
      <c r="I17" s="299">
        <f t="shared" si="0"/>
        <v>360951.56558999995</v>
      </c>
      <c r="J17" s="300" t="s">
        <v>1382</v>
      </c>
    </row>
    <row r="18" spans="1:10">
      <c r="A18" s="295" t="s">
        <v>1383</v>
      </c>
      <c r="B18" s="295" t="s">
        <v>57</v>
      </c>
      <c r="C18" s="296">
        <v>200</v>
      </c>
      <c r="D18" s="296">
        <v>1000</v>
      </c>
      <c r="E18" s="297">
        <v>530</v>
      </c>
      <c r="F18" s="297">
        <v>280</v>
      </c>
      <c r="G18" s="297">
        <v>245</v>
      </c>
      <c r="H18" s="303">
        <f>(Varta!F27)</f>
        <v>302856.91800000001</v>
      </c>
      <c r="I18" s="299">
        <f t="shared" si="0"/>
        <v>366456.87078</v>
      </c>
      <c r="J18" s="300" t="s">
        <v>1384</v>
      </c>
    </row>
    <row r="19" spans="1:10">
      <c r="A19" s="295" t="s">
        <v>1385</v>
      </c>
      <c r="B19" s="295" t="s">
        <v>58</v>
      </c>
      <c r="C19" s="296">
        <v>225</v>
      </c>
      <c r="D19" s="296">
        <v>1050</v>
      </c>
      <c r="E19" s="306">
        <v>517</v>
      </c>
      <c r="F19" s="306">
        <v>275</v>
      </c>
      <c r="G19" s="306">
        <v>236</v>
      </c>
      <c r="H19" s="303">
        <f>(Varta!F28)</f>
        <v>399253.09199999995</v>
      </c>
      <c r="I19" s="299">
        <f t="shared" si="0"/>
        <v>483096.24131999991</v>
      </c>
      <c r="J19" s="300" t="s">
        <v>1386</v>
      </c>
    </row>
    <row r="20" spans="1:10">
      <c r="A20" s="289"/>
      <c r="B20" s="295"/>
      <c r="C20" s="295"/>
      <c r="D20" s="296"/>
      <c r="E20" s="296"/>
      <c r="F20" s="296"/>
      <c r="G20" s="296"/>
      <c r="H20" s="301"/>
      <c r="I20" s="294"/>
      <c r="J20" s="302"/>
    </row>
    <row r="21" spans="1:10" ht="17.399999999999999">
      <c r="A21" s="1001" t="s">
        <v>1387</v>
      </c>
      <c r="B21" s="1001"/>
      <c r="C21" s="1001"/>
      <c r="D21" s="1001"/>
      <c r="E21" s="994" t="s">
        <v>1344</v>
      </c>
      <c r="F21" s="994"/>
      <c r="G21" s="994"/>
      <c r="H21" s="991" t="s">
        <v>1345</v>
      </c>
      <c r="I21" s="991"/>
      <c r="J21" s="993" t="s">
        <v>1346</v>
      </c>
    </row>
    <row r="22" spans="1:10">
      <c r="A22" s="967" t="s">
        <v>1347</v>
      </c>
      <c r="B22" s="290" t="s">
        <v>1348</v>
      </c>
      <c r="C22" s="967" t="s">
        <v>1349</v>
      </c>
      <c r="D22" s="967" t="s">
        <v>1350</v>
      </c>
      <c r="E22" s="291" t="s">
        <v>1351</v>
      </c>
      <c r="F22" s="291" t="s">
        <v>1352</v>
      </c>
      <c r="G22" s="291" t="s">
        <v>1353</v>
      </c>
      <c r="H22" s="292" t="s">
        <v>1354</v>
      </c>
      <c r="I22" s="293" t="s">
        <v>1355</v>
      </c>
      <c r="J22" s="993"/>
    </row>
    <row r="23" spans="1:10">
      <c r="A23" s="295" t="s">
        <v>1388</v>
      </c>
      <c r="B23" s="295" t="s">
        <v>33</v>
      </c>
      <c r="C23" s="296">
        <v>38</v>
      </c>
      <c r="D23" s="296">
        <v>320</v>
      </c>
      <c r="E23" s="297">
        <v>196</v>
      </c>
      <c r="F23" s="297">
        <v>126</v>
      </c>
      <c r="G23" s="297">
        <v>225</v>
      </c>
      <c r="H23" s="298">
        <f>(Varta!F9)</f>
        <v>79839.290999999997</v>
      </c>
      <c r="I23" s="299">
        <f>+H23*1.21</f>
        <v>96605.542109999995</v>
      </c>
      <c r="J23" s="300" t="s">
        <v>1389</v>
      </c>
    </row>
    <row r="24" spans="1:10">
      <c r="A24" s="295" t="s">
        <v>1390</v>
      </c>
      <c r="B24" s="295" t="s">
        <v>1391</v>
      </c>
      <c r="C24" s="296">
        <v>50</v>
      </c>
      <c r="D24" s="296">
        <v>375</v>
      </c>
      <c r="E24" s="297">
        <v>237</v>
      </c>
      <c r="F24" s="297">
        <v>126</v>
      </c>
      <c r="G24" s="297">
        <v>225</v>
      </c>
      <c r="H24" s="298">
        <f>(Varta!F12)</f>
        <v>85956.087</v>
      </c>
      <c r="I24" s="299">
        <f t="shared" ref="I24:I26" si="1">+H24*1.21</f>
        <v>104006.86526999999</v>
      </c>
      <c r="J24" s="300" t="s">
        <v>1392</v>
      </c>
    </row>
    <row r="25" spans="1:10">
      <c r="A25" s="295" t="s">
        <v>1393</v>
      </c>
      <c r="B25" s="295" t="s">
        <v>47</v>
      </c>
      <c r="C25" s="296">
        <v>75</v>
      </c>
      <c r="D25" s="296">
        <v>530</v>
      </c>
      <c r="E25" s="297">
        <v>258</v>
      </c>
      <c r="F25" s="297">
        <v>171</v>
      </c>
      <c r="G25" s="297">
        <v>225</v>
      </c>
      <c r="H25" s="298">
        <f>(Varta!F17)</f>
        <v>121920.58199999999</v>
      </c>
      <c r="I25" s="299">
        <f t="shared" si="1"/>
        <v>147523.90422</v>
      </c>
      <c r="J25" s="300" t="s">
        <v>1394</v>
      </c>
    </row>
    <row r="26" spans="1:10">
      <c r="A26" s="295" t="s">
        <v>1395</v>
      </c>
      <c r="B26" s="295" t="s">
        <v>48</v>
      </c>
      <c r="C26" s="296">
        <v>90</v>
      </c>
      <c r="D26" s="296">
        <v>750</v>
      </c>
      <c r="E26" s="297">
        <v>320</v>
      </c>
      <c r="F26" s="297">
        <v>171</v>
      </c>
      <c r="G26" s="297">
        <v>227</v>
      </c>
      <c r="H26" s="298">
        <f>(Varta!F18)</f>
        <v>148898.67300000001</v>
      </c>
      <c r="I26" s="299">
        <f t="shared" si="1"/>
        <v>180167.39433000001</v>
      </c>
      <c r="J26" s="300" t="s">
        <v>1396</v>
      </c>
    </row>
    <row r="27" spans="1:10">
      <c r="A27" s="289"/>
      <c r="B27" s="295"/>
      <c r="C27" s="295"/>
      <c r="D27" s="296"/>
      <c r="E27" s="296"/>
      <c r="F27" s="296"/>
      <c r="G27" s="296"/>
      <c r="H27" s="301"/>
      <c r="I27" s="294"/>
      <c r="J27" s="302"/>
    </row>
    <row r="28" spans="1:10" ht="17.399999999999999">
      <c r="A28" s="1002" t="s">
        <v>1397</v>
      </c>
      <c r="B28" s="1002"/>
      <c r="C28" s="1002"/>
      <c r="D28" s="1002"/>
      <c r="E28" s="994" t="s">
        <v>1344</v>
      </c>
      <c r="F28" s="994"/>
      <c r="G28" s="994"/>
      <c r="H28" s="991" t="s">
        <v>1345</v>
      </c>
      <c r="I28" s="991"/>
      <c r="J28" s="993" t="s">
        <v>1346</v>
      </c>
    </row>
    <row r="29" spans="1:10">
      <c r="A29" s="967" t="s">
        <v>1347</v>
      </c>
      <c r="B29" s="290" t="s">
        <v>1348</v>
      </c>
      <c r="C29" s="967" t="s">
        <v>1349</v>
      </c>
      <c r="D29" s="967" t="s">
        <v>1350</v>
      </c>
      <c r="E29" s="291" t="s">
        <v>1351</v>
      </c>
      <c r="F29" s="291" t="s">
        <v>1352</v>
      </c>
      <c r="G29" s="291" t="s">
        <v>1353</v>
      </c>
      <c r="H29" s="292" t="s">
        <v>1354</v>
      </c>
      <c r="I29" s="293" t="s">
        <v>1355</v>
      </c>
      <c r="J29" s="993"/>
    </row>
    <row r="30" spans="1:10">
      <c r="A30" s="295" t="s">
        <v>1365</v>
      </c>
      <c r="B30" s="295" t="s">
        <v>23</v>
      </c>
      <c r="C30" s="296">
        <v>60</v>
      </c>
      <c r="D30" s="296">
        <v>600</v>
      </c>
      <c r="E30" s="297">
        <v>243</v>
      </c>
      <c r="F30" s="297">
        <v>175</v>
      </c>
      <c r="G30" s="297">
        <v>190</v>
      </c>
      <c r="H30" s="298">
        <f>(Varta!F4)</f>
        <v>116917.647</v>
      </c>
      <c r="I30" s="299">
        <f>+H30*1.21</f>
        <v>141470.35287</v>
      </c>
      <c r="J30" s="300" t="s">
        <v>1398</v>
      </c>
    </row>
    <row r="31" spans="1:10">
      <c r="A31" s="295" t="s">
        <v>1399</v>
      </c>
      <c r="B31" s="295" t="s">
        <v>30</v>
      </c>
      <c r="C31" s="296">
        <v>75</v>
      </c>
      <c r="D31" s="296">
        <v>700</v>
      </c>
      <c r="E31" s="297">
        <v>275</v>
      </c>
      <c r="F31" s="297">
        <v>175</v>
      </c>
      <c r="G31" s="297">
        <v>191</v>
      </c>
      <c r="H31" s="298">
        <f>(Varta!F7)</f>
        <v>114897.594</v>
      </c>
      <c r="I31" s="299">
        <f t="shared" ref="I31:I32" si="2">+H31*1.21</f>
        <v>139026.08874000001</v>
      </c>
      <c r="J31" s="300" t="s">
        <v>1400</v>
      </c>
    </row>
    <row r="32" spans="1:10">
      <c r="A32" s="295" t="s">
        <v>1369</v>
      </c>
      <c r="B32" s="295" t="s">
        <v>31</v>
      </c>
      <c r="C32" s="296">
        <v>95</v>
      </c>
      <c r="D32" s="296">
        <v>730</v>
      </c>
      <c r="E32" s="297">
        <v>377</v>
      </c>
      <c r="F32" s="297">
        <v>175</v>
      </c>
      <c r="G32" s="297">
        <v>191</v>
      </c>
      <c r="H32" s="298">
        <f>(Varta!F8)</f>
        <v>153372.99599999998</v>
      </c>
      <c r="I32" s="299">
        <f t="shared" si="2"/>
        <v>185581.32515999998</v>
      </c>
      <c r="J32" s="300" t="s">
        <v>1401</v>
      </c>
    </row>
    <row r="33" spans="1:10">
      <c r="A33" s="296"/>
      <c r="B33" s="295"/>
      <c r="C33" s="295"/>
      <c r="D33" s="307"/>
      <c r="E33" s="296"/>
      <c r="F33" s="296"/>
      <c r="G33" s="296"/>
      <c r="H33" s="301"/>
      <c r="I33" s="294"/>
      <c r="J33" s="308"/>
    </row>
    <row r="34" spans="1:10">
      <c r="A34" s="1003" t="s">
        <v>1402</v>
      </c>
      <c r="B34" s="1003"/>
      <c r="C34" s="1003"/>
      <c r="D34" s="1003"/>
      <c r="E34" s="296"/>
      <c r="F34" s="296"/>
      <c r="G34" s="296"/>
      <c r="H34" s="301"/>
      <c r="I34" s="294"/>
      <c r="J34" s="308"/>
    </row>
    <row r="35" spans="1:10">
      <c r="A35" s="1003"/>
      <c r="B35" s="1003"/>
      <c r="C35" s="1003"/>
      <c r="D35" s="1003"/>
      <c r="E35" s="994" t="s">
        <v>1344</v>
      </c>
      <c r="F35" s="994"/>
      <c r="G35" s="994"/>
      <c r="H35" s="991" t="s">
        <v>1345</v>
      </c>
      <c r="I35" s="991"/>
      <c r="J35" s="993" t="s">
        <v>1346</v>
      </c>
    </row>
    <row r="36" spans="1:10">
      <c r="A36" s="967" t="s">
        <v>1347</v>
      </c>
      <c r="B36" s="290" t="s">
        <v>1348</v>
      </c>
      <c r="C36" s="967" t="s">
        <v>1349</v>
      </c>
      <c r="D36" s="967" t="s">
        <v>1350</v>
      </c>
      <c r="E36" s="291" t="s">
        <v>1351</v>
      </c>
      <c r="F36" s="291" t="s">
        <v>1352</v>
      </c>
      <c r="G36" s="291" t="s">
        <v>1353</v>
      </c>
      <c r="H36" s="292" t="s">
        <v>1354</v>
      </c>
      <c r="I36" s="293" t="s">
        <v>1355</v>
      </c>
      <c r="J36" s="993"/>
    </row>
    <row r="37" spans="1:10">
      <c r="A37" s="295" t="s">
        <v>1403</v>
      </c>
      <c r="B37" s="295" t="s">
        <v>60</v>
      </c>
      <c r="C37" s="296">
        <v>60</v>
      </c>
      <c r="D37" s="296">
        <v>500</v>
      </c>
      <c r="E37" s="306">
        <v>243</v>
      </c>
      <c r="F37" s="306">
        <v>175</v>
      </c>
      <c r="G37" s="306">
        <v>190</v>
      </c>
      <c r="H37" s="298">
        <f>(Varta!F30)</f>
        <v>159244.36499999996</v>
      </c>
      <c r="I37" s="299">
        <f>+H37*1.21</f>
        <v>192685.68164999995</v>
      </c>
      <c r="J37" s="296" t="s">
        <v>1404</v>
      </c>
    </row>
    <row r="38" spans="1:10">
      <c r="A38" s="295" t="s">
        <v>1405</v>
      </c>
      <c r="B38" s="295" t="s">
        <v>61</v>
      </c>
      <c r="C38" s="296">
        <v>72</v>
      </c>
      <c r="D38" s="296">
        <v>700</v>
      </c>
      <c r="E38" s="297">
        <v>275</v>
      </c>
      <c r="F38" s="297">
        <v>175</v>
      </c>
      <c r="G38" s="297">
        <v>191</v>
      </c>
      <c r="H38" s="298">
        <f>(Varta!F31)</f>
        <v>173082.67200000002</v>
      </c>
      <c r="I38" s="299">
        <f>+H38*1.21</f>
        <v>209430.03312000001</v>
      </c>
      <c r="J38" s="296" t="s">
        <v>1406</v>
      </c>
    </row>
    <row r="39" spans="1:10">
      <c r="A39" s="105" t="s">
        <v>680</v>
      </c>
      <c r="B39" s="921"/>
      <c r="C39" s="921"/>
      <c r="D39" s="921"/>
      <c r="E39" s="921"/>
      <c r="F39" s="921"/>
      <c r="G39" s="921"/>
      <c r="H39" s="921"/>
      <c r="I39" s="921"/>
      <c r="J39" s="921"/>
    </row>
    <row r="41" spans="1:10">
      <c r="A41" s="993" t="s">
        <v>1347</v>
      </c>
      <c r="B41" s="993" t="s">
        <v>1407</v>
      </c>
      <c r="C41" s="993" t="s">
        <v>1408</v>
      </c>
      <c r="D41" s="994" t="s">
        <v>1344</v>
      </c>
      <c r="E41" s="994"/>
      <c r="F41" s="994"/>
      <c r="G41" s="991" t="s">
        <v>1345</v>
      </c>
      <c r="H41" s="991"/>
      <c r="I41" s="921"/>
      <c r="J41" s="921"/>
    </row>
    <row r="42" spans="1:10">
      <c r="A42" s="993"/>
      <c r="B42" s="993"/>
      <c r="C42" s="993"/>
      <c r="D42" s="291" t="s">
        <v>1351</v>
      </c>
      <c r="E42" s="291" t="s">
        <v>1352</v>
      </c>
      <c r="F42" s="291" t="s">
        <v>1353</v>
      </c>
      <c r="G42" s="293" t="s">
        <v>1354</v>
      </c>
      <c r="H42" s="293" t="s">
        <v>1355</v>
      </c>
      <c r="I42" s="921"/>
      <c r="J42" s="921"/>
    </row>
    <row r="43" spans="1:10">
      <c r="A43" s="295" t="s">
        <v>85</v>
      </c>
      <c r="B43" s="295" t="s">
        <v>86</v>
      </c>
      <c r="C43" s="296">
        <v>320</v>
      </c>
      <c r="D43" s="297">
        <v>210</v>
      </c>
      <c r="E43" s="297">
        <v>175</v>
      </c>
      <c r="F43" s="297">
        <v>175</v>
      </c>
      <c r="G43" s="298">
        <f>('Acubat-Lubeck'!T7)</f>
        <v>70040.000617999991</v>
      </c>
      <c r="H43" s="299">
        <f>+G43*1.21</f>
        <v>84748.40074777999</v>
      </c>
      <c r="I43" s="921"/>
      <c r="J43" s="921"/>
    </row>
    <row r="44" spans="1:10">
      <c r="A44" s="295" t="s">
        <v>87</v>
      </c>
      <c r="B44" s="295" t="s">
        <v>84</v>
      </c>
      <c r="C44" s="296">
        <v>480</v>
      </c>
      <c r="D44" s="297">
        <v>210</v>
      </c>
      <c r="E44" s="297">
        <v>175</v>
      </c>
      <c r="F44" s="297">
        <v>190</v>
      </c>
      <c r="G44" s="298">
        <f>('Acubat-Lubeck'!T8)</f>
        <v>80920</v>
      </c>
      <c r="H44" s="299">
        <f>(G44*1.21)</f>
        <v>97913.2</v>
      </c>
      <c r="I44" s="921"/>
      <c r="J44" s="921"/>
    </row>
    <row r="45" spans="1:10">
      <c r="A45" s="295" t="s">
        <v>88</v>
      </c>
      <c r="B45" s="295" t="s">
        <v>89</v>
      </c>
      <c r="C45" s="296">
        <v>340</v>
      </c>
      <c r="D45" s="297">
        <v>243</v>
      </c>
      <c r="E45" s="297">
        <v>175</v>
      </c>
      <c r="F45" s="297">
        <v>175</v>
      </c>
      <c r="G45" s="298">
        <f>('Acubat-Lubeck'!T9)</f>
        <v>77336.326620000007</v>
      </c>
      <c r="H45" s="299">
        <f t="shared" ref="H45:H53" si="3">+G45*1.21</f>
        <v>93576.955210200002</v>
      </c>
      <c r="I45" s="921"/>
      <c r="J45" s="921"/>
    </row>
    <row r="46" spans="1:10">
      <c r="A46" s="295" t="s">
        <v>90</v>
      </c>
      <c r="B46" s="295" t="s">
        <v>1409</v>
      </c>
      <c r="C46" s="296">
        <v>400</v>
      </c>
      <c r="D46" s="297">
        <v>243</v>
      </c>
      <c r="E46" s="297">
        <v>175</v>
      </c>
      <c r="F46" s="297">
        <v>175</v>
      </c>
      <c r="G46" s="298">
        <f>('Acubat-Lubeck'!T10)</f>
        <v>82460</v>
      </c>
      <c r="H46" s="299">
        <f t="shared" si="3"/>
        <v>99776.599999999991</v>
      </c>
      <c r="I46" s="921"/>
      <c r="J46" s="921"/>
    </row>
    <row r="47" spans="1:10">
      <c r="A47" s="295" t="s">
        <v>92</v>
      </c>
      <c r="B47" s="295" t="s">
        <v>93</v>
      </c>
      <c r="C47" s="296">
        <v>420</v>
      </c>
      <c r="D47" s="297">
        <v>243</v>
      </c>
      <c r="E47" s="297">
        <v>175</v>
      </c>
      <c r="F47" s="297">
        <v>190</v>
      </c>
      <c r="G47" s="298">
        <f>('Acubat-Lubeck'!T11)</f>
        <v>87700.806213999982</v>
      </c>
      <c r="H47" s="299">
        <f t="shared" si="3"/>
        <v>106117.97551893997</v>
      </c>
      <c r="I47" s="921"/>
      <c r="J47" s="921"/>
    </row>
    <row r="48" spans="1:10">
      <c r="A48" s="295" t="s">
        <v>94</v>
      </c>
      <c r="B48" s="295" t="s">
        <v>1410</v>
      </c>
      <c r="C48" s="296">
        <v>580</v>
      </c>
      <c r="D48" s="297">
        <v>275</v>
      </c>
      <c r="E48" s="297">
        <v>175</v>
      </c>
      <c r="F48" s="297">
        <v>175</v>
      </c>
      <c r="G48" s="298">
        <f>('Acubat-Lubeck'!T12)</f>
        <v>93952.070884000001</v>
      </c>
      <c r="H48" s="299">
        <f t="shared" si="3"/>
        <v>113682.00576964</v>
      </c>
      <c r="I48" s="921"/>
      <c r="J48" s="921"/>
    </row>
    <row r="49" spans="1:10">
      <c r="A49" s="295" t="s">
        <v>96</v>
      </c>
      <c r="B49" s="295" t="s">
        <v>1411</v>
      </c>
      <c r="C49" s="296">
        <v>600</v>
      </c>
      <c r="D49" s="297">
        <v>275</v>
      </c>
      <c r="E49" s="297">
        <v>175</v>
      </c>
      <c r="F49" s="297">
        <v>175</v>
      </c>
      <c r="G49" s="298">
        <f>('Acubat-Lubeck'!T13)</f>
        <v>97160</v>
      </c>
      <c r="H49" s="299">
        <f>(G49*1.21)</f>
        <v>117563.59999999999</v>
      </c>
      <c r="I49" s="921"/>
      <c r="J49" s="921"/>
    </row>
    <row r="50" spans="1:10">
      <c r="A50" s="295" t="s">
        <v>97</v>
      </c>
      <c r="B50" s="295" t="s">
        <v>1412</v>
      </c>
      <c r="C50" s="296">
        <v>650</v>
      </c>
      <c r="D50" s="297">
        <v>275</v>
      </c>
      <c r="E50" s="297">
        <v>175</v>
      </c>
      <c r="F50" s="297">
        <v>190</v>
      </c>
      <c r="G50" s="298">
        <f>('Acubat-Lubeck'!T14)</f>
        <v>124901.72841999997</v>
      </c>
      <c r="H50" s="299">
        <f>(G50*1.21)</f>
        <v>151131.09138819997</v>
      </c>
      <c r="I50" s="921"/>
      <c r="J50" s="921"/>
    </row>
    <row r="51" spans="1:10">
      <c r="A51" s="295" t="s">
        <v>98</v>
      </c>
      <c r="B51" s="295" t="s">
        <v>99</v>
      </c>
      <c r="C51" s="296">
        <v>700</v>
      </c>
      <c r="D51" s="297">
        <v>370</v>
      </c>
      <c r="E51" s="297">
        <v>176</v>
      </c>
      <c r="F51" s="297">
        <v>194</v>
      </c>
      <c r="G51" s="298">
        <f>('Acubat-Lubeck'!T15)</f>
        <v>145091.12283400001</v>
      </c>
      <c r="H51" s="299">
        <f>(G51*1.21)</f>
        <v>175560.25862914001</v>
      </c>
      <c r="I51" s="921"/>
      <c r="J51" s="921"/>
    </row>
    <row r="52" spans="1:10">
      <c r="A52" s="295" t="s">
        <v>100</v>
      </c>
      <c r="B52" s="295" t="s">
        <v>101</v>
      </c>
      <c r="C52" s="296">
        <v>720</v>
      </c>
      <c r="D52" s="297">
        <v>330</v>
      </c>
      <c r="E52" s="297">
        <v>172</v>
      </c>
      <c r="F52" s="297">
        <v>241</v>
      </c>
      <c r="G52" s="298">
        <f>('Acubat-Lubeck'!T16)</f>
        <v>143430.85882999998</v>
      </c>
      <c r="H52" s="299">
        <f t="shared" si="3"/>
        <v>173551.33918429998</v>
      </c>
      <c r="I52" s="921"/>
      <c r="J52" s="921"/>
    </row>
    <row r="53" spans="1:10">
      <c r="A53" s="295" t="s">
        <v>102</v>
      </c>
      <c r="B53" s="295" t="s">
        <v>103</v>
      </c>
      <c r="C53" s="296">
        <v>850</v>
      </c>
      <c r="D53" s="297">
        <v>510</v>
      </c>
      <c r="E53" s="297">
        <v>213</v>
      </c>
      <c r="F53" s="297">
        <v>236</v>
      </c>
      <c r="G53" s="298">
        <f>('Acubat-Lubeck'!T17)</f>
        <v>227401.12596599996</v>
      </c>
      <c r="H53" s="299">
        <f t="shared" si="3"/>
        <v>275155.36241885996</v>
      </c>
      <c r="I53" s="921"/>
      <c r="J53" s="921"/>
    </row>
    <row r="55" spans="1:10">
      <c r="A55" s="105" t="s">
        <v>308</v>
      </c>
      <c r="B55" s="921"/>
      <c r="C55" s="921"/>
      <c r="D55" s="921"/>
      <c r="E55" s="921"/>
      <c r="F55" s="921"/>
      <c r="G55" s="921"/>
      <c r="H55" s="921"/>
      <c r="I55" s="921"/>
      <c r="J55" s="921"/>
    </row>
    <row r="57" spans="1:10">
      <c r="A57" s="999" t="s">
        <v>1413</v>
      </c>
      <c r="B57" s="998" t="s">
        <v>1414</v>
      </c>
      <c r="C57" s="998" t="s">
        <v>1415</v>
      </c>
      <c r="D57" s="998" t="s">
        <v>1416</v>
      </c>
      <c r="E57" s="998" t="s">
        <v>1417</v>
      </c>
      <c r="F57" s="994" t="s">
        <v>1418</v>
      </c>
      <c r="G57" s="994"/>
      <c r="H57" s="994"/>
      <c r="I57" s="1007" t="s">
        <v>193</v>
      </c>
      <c r="J57" s="1007"/>
    </row>
    <row r="58" spans="1:10">
      <c r="A58" s="999"/>
      <c r="B58" s="998"/>
      <c r="C58" s="998"/>
      <c r="D58" s="998"/>
      <c r="E58" s="998"/>
      <c r="F58" s="291" t="s">
        <v>1351</v>
      </c>
      <c r="G58" s="291" t="s">
        <v>1352</v>
      </c>
      <c r="H58" s="291" t="s">
        <v>1353</v>
      </c>
      <c r="I58" s="309" t="s">
        <v>1354</v>
      </c>
      <c r="J58" s="293" t="s">
        <v>1355</v>
      </c>
    </row>
    <row r="59" spans="1:10" ht="16.5" customHeight="1">
      <c r="A59" s="310" t="s">
        <v>1419</v>
      </c>
      <c r="B59" s="315" t="s">
        <v>271</v>
      </c>
      <c r="C59" s="315">
        <v>40</v>
      </c>
      <c r="D59" s="315">
        <v>450</v>
      </c>
      <c r="E59" s="314" t="s">
        <v>1420</v>
      </c>
      <c r="F59" s="297">
        <v>197</v>
      </c>
      <c r="G59" s="297">
        <v>130</v>
      </c>
      <c r="H59" s="297">
        <v>229</v>
      </c>
      <c r="I59" s="340">
        <f>(Moura!G17)</f>
        <v>83831.255550000002</v>
      </c>
      <c r="J59" s="497">
        <f>(I59*1.21)</f>
        <v>101435.8192155</v>
      </c>
    </row>
    <row r="60" spans="1:10" ht="12.75" customHeight="1">
      <c r="A60" s="310" t="s">
        <v>1421</v>
      </c>
      <c r="B60" s="311" t="s">
        <v>259</v>
      </c>
      <c r="C60" s="311">
        <v>50</v>
      </c>
      <c r="D60" s="311">
        <v>530</v>
      </c>
      <c r="E60" s="312" t="s">
        <v>1422</v>
      </c>
      <c r="F60" s="297">
        <v>238</v>
      </c>
      <c r="G60" s="297">
        <v>129</v>
      </c>
      <c r="H60" s="297">
        <v>223</v>
      </c>
      <c r="I60" s="340">
        <f>(Moura!G18)</f>
        <v>90253.891350000005</v>
      </c>
      <c r="J60" s="497">
        <f>(I60*1.21)</f>
        <v>109207.2085335</v>
      </c>
    </row>
    <row r="61" spans="1:10">
      <c r="A61" s="295" t="s">
        <v>1423</v>
      </c>
      <c r="B61" s="296" t="s">
        <v>257</v>
      </c>
      <c r="C61" s="296">
        <v>45</v>
      </c>
      <c r="D61" s="296">
        <v>380</v>
      </c>
      <c r="E61" s="300" t="s">
        <v>1424</v>
      </c>
      <c r="F61" s="297">
        <v>212</v>
      </c>
      <c r="G61" s="297">
        <v>175</v>
      </c>
      <c r="H61" s="297">
        <v>175</v>
      </c>
      <c r="I61" s="340">
        <f>(Moura!G5)</f>
        <v>80802.119999999981</v>
      </c>
      <c r="J61" s="497">
        <f>+I61*1.21</f>
        <v>97770.565199999968</v>
      </c>
    </row>
    <row r="62" spans="1:10">
      <c r="A62" s="295" t="s">
        <v>1425</v>
      </c>
      <c r="B62" s="296" t="s">
        <v>1426</v>
      </c>
      <c r="C62" s="296">
        <v>50</v>
      </c>
      <c r="D62" s="296">
        <v>390</v>
      </c>
      <c r="E62" s="300" t="s">
        <v>1427</v>
      </c>
      <c r="F62" s="297">
        <v>212</v>
      </c>
      <c r="G62" s="297">
        <v>175</v>
      </c>
      <c r="H62" s="297">
        <v>190</v>
      </c>
      <c r="I62" s="340">
        <f>(Moura!G6)</f>
        <v>86088.239999999991</v>
      </c>
      <c r="J62" s="497">
        <f t="shared" ref="J62:J70" si="4">+I62*1.21</f>
        <v>104166.77039999998</v>
      </c>
    </row>
    <row r="63" spans="1:10">
      <c r="A63" s="295" t="s">
        <v>1428</v>
      </c>
      <c r="B63" s="296" t="s">
        <v>108</v>
      </c>
      <c r="C63" s="296">
        <v>48</v>
      </c>
      <c r="D63" s="296">
        <v>350</v>
      </c>
      <c r="E63" s="300" t="s">
        <v>1429</v>
      </c>
      <c r="F63" s="297">
        <v>246</v>
      </c>
      <c r="G63" s="297">
        <v>175</v>
      </c>
      <c r="H63" s="297">
        <v>175</v>
      </c>
      <c r="I63" s="340">
        <f>(Moura!G7)</f>
        <v>86088.239999999991</v>
      </c>
      <c r="J63" s="497">
        <f t="shared" si="4"/>
        <v>104166.77039999998</v>
      </c>
    </row>
    <row r="64" spans="1:10">
      <c r="A64" s="295" t="s">
        <v>1430</v>
      </c>
      <c r="B64" s="296" t="s">
        <v>1431</v>
      </c>
      <c r="C64" s="296">
        <v>60</v>
      </c>
      <c r="D64" s="296">
        <v>450</v>
      </c>
      <c r="E64" s="300" t="s">
        <v>1432</v>
      </c>
      <c r="F64" s="297">
        <v>246</v>
      </c>
      <c r="G64" s="297">
        <v>175</v>
      </c>
      <c r="H64" s="297">
        <v>175</v>
      </c>
      <c r="I64" s="340">
        <f>(Moura!G8)</f>
        <v>95666.689440000002</v>
      </c>
      <c r="J64" s="497">
        <f t="shared" si="4"/>
        <v>115756.69422239999</v>
      </c>
    </row>
    <row r="65" spans="1:10">
      <c r="A65" s="295" t="s">
        <v>1433</v>
      </c>
      <c r="B65" s="296" t="s">
        <v>1431</v>
      </c>
      <c r="C65" s="296">
        <v>60</v>
      </c>
      <c r="D65" s="296">
        <v>450</v>
      </c>
      <c r="E65" s="300" t="s">
        <v>1432</v>
      </c>
      <c r="F65" s="297">
        <v>246</v>
      </c>
      <c r="G65" s="297">
        <v>175</v>
      </c>
      <c r="H65" s="297">
        <v>175</v>
      </c>
      <c r="I65" s="340">
        <f>(Moura!G9)</f>
        <v>95666.689440000002</v>
      </c>
      <c r="J65" s="497">
        <f t="shared" si="4"/>
        <v>115756.69422239999</v>
      </c>
    </row>
    <row r="66" spans="1:10">
      <c r="A66" s="295" t="s">
        <v>1434</v>
      </c>
      <c r="B66" s="296" t="s">
        <v>110</v>
      </c>
      <c r="C66" s="296">
        <v>60</v>
      </c>
      <c r="D66" s="296">
        <v>470</v>
      </c>
      <c r="E66" s="300" t="s">
        <v>1435</v>
      </c>
      <c r="F66" s="297">
        <v>242</v>
      </c>
      <c r="G66" s="297">
        <v>175</v>
      </c>
      <c r="H66" s="297">
        <v>190</v>
      </c>
      <c r="I66" s="340">
        <f>(Moura!G10)</f>
        <v>102088.19249999999</v>
      </c>
      <c r="J66" s="497">
        <f t="shared" si="4"/>
        <v>123526.71292499999</v>
      </c>
    </row>
    <row r="67" spans="1:10">
      <c r="A67" s="295" t="s">
        <v>1436</v>
      </c>
      <c r="B67" s="296" t="s">
        <v>110</v>
      </c>
      <c r="C67" s="296">
        <v>65</v>
      </c>
      <c r="D67" s="296">
        <v>530</v>
      </c>
      <c r="E67" s="300" t="s">
        <v>1437</v>
      </c>
      <c r="F67" s="297">
        <v>282</v>
      </c>
      <c r="G67" s="297">
        <v>175</v>
      </c>
      <c r="H67" s="297">
        <v>175</v>
      </c>
      <c r="I67" s="340">
        <f>(Moura!G12)</f>
        <v>109026.22499999999</v>
      </c>
      <c r="J67" s="497">
        <f t="shared" si="4"/>
        <v>131921.73224999997</v>
      </c>
    </row>
    <row r="68" spans="1:10">
      <c r="A68" s="295" t="s">
        <v>1438</v>
      </c>
      <c r="B68" s="296" t="s">
        <v>110</v>
      </c>
      <c r="C68" s="296">
        <v>70</v>
      </c>
      <c r="D68" s="296">
        <v>620</v>
      </c>
      <c r="E68" s="300" t="s">
        <v>1439</v>
      </c>
      <c r="F68" s="297">
        <v>282</v>
      </c>
      <c r="G68" s="297">
        <v>175</v>
      </c>
      <c r="H68" s="297">
        <v>175</v>
      </c>
      <c r="I68" s="340">
        <f>(Moura!G13)</f>
        <v>116658.06075</v>
      </c>
      <c r="J68" s="497">
        <f t="shared" si="4"/>
        <v>141156.25350749999</v>
      </c>
    </row>
    <row r="69" spans="1:10">
      <c r="A69" s="295" t="s">
        <v>1440</v>
      </c>
      <c r="B69" s="296" t="s">
        <v>1441</v>
      </c>
      <c r="C69" s="296">
        <v>70</v>
      </c>
      <c r="D69" s="296">
        <v>600</v>
      </c>
      <c r="E69" s="300" t="s">
        <v>1442</v>
      </c>
      <c r="F69" s="297">
        <v>282</v>
      </c>
      <c r="G69" s="297">
        <v>175</v>
      </c>
      <c r="H69" s="297">
        <v>190</v>
      </c>
      <c r="I69" s="340">
        <f>(Moura!G15)</f>
        <v>122940.42558000001</v>
      </c>
      <c r="J69" s="497">
        <f t="shared" si="4"/>
        <v>148757.91495180002</v>
      </c>
    </row>
    <row r="70" spans="1:10" ht="15" customHeight="1">
      <c r="A70" s="295" t="s">
        <v>1443</v>
      </c>
      <c r="B70" s="296" t="s">
        <v>1444</v>
      </c>
      <c r="C70" s="296">
        <v>80</v>
      </c>
      <c r="D70" s="296">
        <v>650</v>
      </c>
      <c r="E70" s="300" t="s">
        <v>1445</v>
      </c>
      <c r="F70" s="297">
        <v>310</v>
      </c>
      <c r="G70" s="297">
        <v>175</v>
      </c>
      <c r="H70" s="297">
        <v>190</v>
      </c>
      <c r="I70" s="340">
        <f>(Moura!G21)</f>
        <v>134312.29231404958</v>
      </c>
      <c r="J70" s="497">
        <f t="shared" si="4"/>
        <v>162517.8737</v>
      </c>
    </row>
    <row r="71" spans="1:10">
      <c r="A71" s="295" t="s">
        <v>1446</v>
      </c>
      <c r="B71" s="296" t="s">
        <v>1444</v>
      </c>
      <c r="C71" s="296">
        <v>80</v>
      </c>
      <c r="D71" s="296">
        <v>650</v>
      </c>
      <c r="E71" s="300" t="s">
        <v>1447</v>
      </c>
      <c r="F71" s="297">
        <v>310</v>
      </c>
      <c r="G71" s="297">
        <v>175</v>
      </c>
      <c r="H71" s="297">
        <v>190</v>
      </c>
      <c r="I71" s="340">
        <f>(Moura!G33)</f>
        <v>246468.66421487604</v>
      </c>
      <c r="J71" s="497">
        <f>(I71*1.21)</f>
        <v>298227.08370000002</v>
      </c>
    </row>
    <row r="72" spans="1:10">
      <c r="A72" s="295" t="s">
        <v>1448</v>
      </c>
      <c r="B72" s="296" t="s">
        <v>1444</v>
      </c>
      <c r="C72" s="296">
        <v>72</v>
      </c>
      <c r="D72" s="296">
        <v>720</v>
      </c>
      <c r="E72" s="300" t="s">
        <v>1449</v>
      </c>
      <c r="F72" s="297">
        <v>282</v>
      </c>
      <c r="G72" s="297">
        <v>175</v>
      </c>
      <c r="H72" s="297">
        <v>190</v>
      </c>
      <c r="I72" s="340">
        <f>(Moura!G32)</f>
        <v>199045.07279999999</v>
      </c>
      <c r="J72" s="497">
        <f>(I72*1.21)</f>
        <v>240844.53808799997</v>
      </c>
    </row>
    <row r="73" spans="1:10">
      <c r="A73" s="295" t="s">
        <v>1450</v>
      </c>
      <c r="B73" s="296" t="s">
        <v>1444</v>
      </c>
      <c r="C73" s="296">
        <v>80</v>
      </c>
      <c r="D73" s="296">
        <v>650</v>
      </c>
      <c r="E73" s="300" t="s">
        <v>1451</v>
      </c>
      <c r="F73" s="297">
        <v>282</v>
      </c>
      <c r="G73" s="297">
        <v>175</v>
      </c>
      <c r="H73" s="297">
        <v>190</v>
      </c>
      <c r="I73" s="340">
        <f>(Moura!G34)</f>
        <v>331967.36247933883</v>
      </c>
      <c r="J73" s="497">
        <f>(I73*1.21)</f>
        <v>401680.5086</v>
      </c>
    </row>
    <row r="74" spans="1:10">
      <c r="A74" s="295" t="s">
        <v>1452</v>
      </c>
      <c r="B74" s="296" t="s">
        <v>1453</v>
      </c>
      <c r="C74" s="296">
        <v>95</v>
      </c>
      <c r="D74" s="296">
        <v>850</v>
      </c>
      <c r="E74" s="300" t="s">
        <v>1454</v>
      </c>
      <c r="F74" s="297">
        <v>350</v>
      </c>
      <c r="G74" s="297">
        <v>173</v>
      </c>
      <c r="H74" s="297">
        <v>192</v>
      </c>
      <c r="I74" s="340">
        <f>(Moura!G24)</f>
        <v>153372.99599999998</v>
      </c>
      <c r="J74" s="497">
        <f t="shared" ref="J74:J75" si="5">(I74*1.21)</f>
        <v>185581.32515999998</v>
      </c>
    </row>
    <row r="75" spans="1:10">
      <c r="A75" s="295" t="s">
        <v>1455</v>
      </c>
      <c r="B75" s="296" t="s">
        <v>275</v>
      </c>
      <c r="C75" s="296">
        <v>100</v>
      </c>
      <c r="D75" s="296">
        <v>900</v>
      </c>
      <c r="E75" s="300" t="s">
        <v>1456</v>
      </c>
      <c r="F75" s="297">
        <v>329</v>
      </c>
      <c r="G75" s="297">
        <v>172</v>
      </c>
      <c r="H75" s="297">
        <v>237</v>
      </c>
      <c r="I75" s="340">
        <f>(Moura!G25)</f>
        <v>177198.29399999999</v>
      </c>
      <c r="J75" s="497">
        <f t="shared" si="5"/>
        <v>214409.93573999999</v>
      </c>
    </row>
    <row r="76" spans="1:10">
      <c r="A76" s="295" t="s">
        <v>1457</v>
      </c>
      <c r="B76" s="296" t="s">
        <v>1444</v>
      </c>
      <c r="C76" s="296">
        <v>75</v>
      </c>
      <c r="D76" s="296">
        <v>530</v>
      </c>
      <c r="E76" s="300" t="s">
        <v>1458</v>
      </c>
      <c r="F76" s="297">
        <v>260</v>
      </c>
      <c r="G76" s="297">
        <v>172</v>
      </c>
      <c r="H76" s="297">
        <v>225</v>
      </c>
      <c r="I76" s="340">
        <f>(Moura!G19)</f>
        <v>148898.67300000001</v>
      </c>
      <c r="J76" s="497">
        <f t="shared" ref="J76" si="6">+I76*1.21</f>
        <v>180167.39433000001</v>
      </c>
    </row>
    <row r="77" spans="1:10">
      <c r="A77" s="295" t="s">
        <v>1459</v>
      </c>
      <c r="B77" s="296" t="s">
        <v>269</v>
      </c>
      <c r="C77" s="296">
        <v>90</v>
      </c>
      <c r="D77" s="296">
        <v>720</v>
      </c>
      <c r="E77" s="300" t="s">
        <v>1460</v>
      </c>
      <c r="F77" s="297">
        <v>296</v>
      </c>
      <c r="G77" s="297">
        <v>172</v>
      </c>
      <c r="H77" s="297">
        <v>232</v>
      </c>
      <c r="I77" s="498">
        <f>(Moura!G22)</f>
        <v>148898.67300000001</v>
      </c>
      <c r="J77" s="497">
        <f>+I77*1.21</f>
        <v>180167.39433000001</v>
      </c>
    </row>
    <row r="78" spans="1:10">
      <c r="A78" s="295" t="s">
        <v>1461</v>
      </c>
      <c r="B78" s="296" t="s">
        <v>269</v>
      </c>
      <c r="C78" s="296">
        <v>90</v>
      </c>
      <c r="D78" s="296">
        <v>720</v>
      </c>
      <c r="E78" s="300" t="s">
        <v>1460</v>
      </c>
      <c r="F78" s="297">
        <v>296</v>
      </c>
      <c r="G78" s="297">
        <v>172</v>
      </c>
      <c r="H78" s="297">
        <v>232</v>
      </c>
      <c r="I78" s="498">
        <f>(Moura!G23)</f>
        <v>148898.67300000001</v>
      </c>
      <c r="J78" s="497">
        <f t="shared" ref="J78" si="7">+I78*1.21</f>
        <v>180167.39433000001</v>
      </c>
    </row>
    <row r="79" spans="1:10">
      <c r="A79" s="295" t="s">
        <v>1462</v>
      </c>
      <c r="B79" s="296" t="s">
        <v>1463</v>
      </c>
      <c r="C79" s="296">
        <v>135</v>
      </c>
      <c r="D79" s="296">
        <v>890</v>
      </c>
      <c r="E79" s="300" t="s">
        <v>1464</v>
      </c>
      <c r="F79" s="297">
        <v>512</v>
      </c>
      <c r="G79" s="297">
        <v>211</v>
      </c>
      <c r="H79" s="297">
        <v>235</v>
      </c>
      <c r="I79" s="340">
        <f>(Moura!G26)</f>
        <v>218261.67247933883</v>
      </c>
      <c r="J79" s="497">
        <f>(I79*1.21)</f>
        <v>264096.6237</v>
      </c>
    </row>
    <row r="80" spans="1:10">
      <c r="A80" s="295" t="s">
        <v>1465</v>
      </c>
      <c r="B80" s="296" t="s">
        <v>111</v>
      </c>
      <c r="C80" s="296">
        <v>180</v>
      </c>
      <c r="D80" s="296">
        <v>1050</v>
      </c>
      <c r="E80" s="300" t="s">
        <v>1466</v>
      </c>
      <c r="F80" s="297">
        <v>512</v>
      </c>
      <c r="G80" s="297">
        <v>211</v>
      </c>
      <c r="H80" s="297">
        <v>235</v>
      </c>
      <c r="I80" s="340">
        <f>(Moura!G28)</f>
        <v>268557.55079999997</v>
      </c>
      <c r="J80" s="497">
        <f>(I80*1.21)</f>
        <v>324954.63646799995</v>
      </c>
    </row>
    <row r="81" spans="1:10">
      <c r="A81" s="295" t="s">
        <v>1467</v>
      </c>
      <c r="B81" s="296" t="s">
        <v>1468</v>
      </c>
      <c r="C81" s="296">
        <v>23</v>
      </c>
      <c r="D81" s="296">
        <v>275</v>
      </c>
      <c r="E81" s="300" t="s">
        <v>1469</v>
      </c>
      <c r="F81" s="297">
        <v>197</v>
      </c>
      <c r="G81" s="297">
        <v>130</v>
      </c>
      <c r="H81" s="297">
        <v>186</v>
      </c>
      <c r="I81" s="340">
        <f>(Moura!G35)</f>
        <v>91123.048429752074</v>
      </c>
      <c r="J81" s="497">
        <f t="shared" ref="J81" si="8">+I81*1.21</f>
        <v>110258.88860000001</v>
      </c>
    </row>
    <row r="84" spans="1:10">
      <c r="A84" s="318" t="s">
        <v>651</v>
      </c>
      <c r="B84" s="921"/>
      <c r="C84" s="921"/>
      <c r="D84" s="921"/>
      <c r="E84" s="921"/>
      <c r="F84" s="921"/>
      <c r="G84" s="921"/>
      <c r="H84" s="921"/>
      <c r="I84" s="921"/>
      <c r="J84" s="921"/>
    </row>
    <row r="85" spans="1:10">
      <c r="A85" s="993" t="s">
        <v>1470</v>
      </c>
      <c r="B85" s="967" t="s">
        <v>1471</v>
      </c>
      <c r="C85" s="967">
        <v>2</v>
      </c>
      <c r="D85" s="967" t="s">
        <v>1472</v>
      </c>
      <c r="E85" s="995" t="s">
        <v>1473</v>
      </c>
      <c r="F85" s="995"/>
      <c r="G85" s="995"/>
      <c r="H85" s="921"/>
      <c r="I85" s="991" t="s">
        <v>1345</v>
      </c>
      <c r="J85" s="991"/>
    </row>
    <row r="86" spans="1:10">
      <c r="A86" s="993"/>
      <c r="B86" s="967" t="s">
        <v>1474</v>
      </c>
      <c r="C86" s="967" t="s">
        <v>1475</v>
      </c>
      <c r="D86" s="316" t="s">
        <v>1476</v>
      </c>
      <c r="E86" s="291" t="s">
        <v>1351</v>
      </c>
      <c r="F86" s="291" t="s">
        <v>1352</v>
      </c>
      <c r="G86" s="291" t="s">
        <v>1353</v>
      </c>
      <c r="H86" s="291" t="s">
        <v>1477</v>
      </c>
      <c r="I86" s="293" t="s">
        <v>1354</v>
      </c>
      <c r="J86" s="293" t="s">
        <v>1355</v>
      </c>
    </row>
    <row r="87" spans="1:10">
      <c r="A87" s="295" t="s">
        <v>169</v>
      </c>
      <c r="B87" s="296">
        <v>265</v>
      </c>
      <c r="C87" s="296">
        <v>35</v>
      </c>
      <c r="D87" s="302" t="s">
        <v>1478</v>
      </c>
      <c r="E87" s="297">
        <v>198</v>
      </c>
      <c r="F87" s="297">
        <v>126</v>
      </c>
      <c r="G87" s="297">
        <v>199</v>
      </c>
      <c r="H87" s="297">
        <v>223</v>
      </c>
      <c r="I87" s="298">
        <f>('Willard - Elpra'!I4)</f>
        <v>91815.184649999996</v>
      </c>
      <c r="J87" s="299">
        <f>(I87*1.21)</f>
        <v>111096.37342649999</v>
      </c>
    </row>
    <row r="88" spans="1:10">
      <c r="A88" s="295" t="s">
        <v>170</v>
      </c>
      <c r="B88" s="296">
        <v>340</v>
      </c>
      <c r="C88" s="296">
        <v>46</v>
      </c>
      <c r="D88" s="302" t="s">
        <v>1479</v>
      </c>
      <c r="E88" s="297">
        <v>236</v>
      </c>
      <c r="F88" s="297">
        <v>126</v>
      </c>
      <c r="G88" s="297">
        <v>200</v>
      </c>
      <c r="H88" s="297">
        <v>224</v>
      </c>
      <c r="I88" s="298">
        <f>('Willard - Elpra'!I5)</f>
        <v>103147.30439999999</v>
      </c>
      <c r="J88" s="299">
        <f>(I88*1.21)</f>
        <v>124808.23832399999</v>
      </c>
    </row>
    <row r="89" spans="1:10">
      <c r="A89" s="295" t="s">
        <v>172</v>
      </c>
      <c r="B89" s="296">
        <v>520</v>
      </c>
      <c r="C89" s="296">
        <v>51</v>
      </c>
      <c r="D89" s="317" t="s">
        <v>1426</v>
      </c>
      <c r="E89" s="297">
        <v>207</v>
      </c>
      <c r="F89" s="297">
        <v>175</v>
      </c>
      <c r="G89" s="297">
        <v>188</v>
      </c>
      <c r="H89" s="297">
        <v>188</v>
      </c>
      <c r="I89" s="298">
        <f>('Willard - Elpra'!I7)</f>
        <v>118276.39276991997</v>
      </c>
      <c r="J89" s="299">
        <f>(+I89*1.21)</f>
        <v>143114.43525160316</v>
      </c>
    </row>
    <row r="90" spans="1:10">
      <c r="A90" s="295" t="s">
        <v>173</v>
      </c>
      <c r="B90" s="296">
        <v>490</v>
      </c>
      <c r="C90" s="296">
        <v>51</v>
      </c>
      <c r="D90" s="296" t="s">
        <v>108</v>
      </c>
      <c r="E90" s="297">
        <v>242</v>
      </c>
      <c r="F90" s="297">
        <v>175</v>
      </c>
      <c r="G90" s="297">
        <v>173</v>
      </c>
      <c r="H90" s="297">
        <v>173</v>
      </c>
      <c r="I90" s="298">
        <f>('Willard - Elpra'!I8)</f>
        <v>101867.30819999998</v>
      </c>
      <c r="J90" s="299">
        <f t="shared" ref="J90:J95" si="9">(+I90*1.21)</f>
        <v>123259.44292199997</v>
      </c>
    </row>
    <row r="91" spans="1:10">
      <c r="A91" s="295" t="s">
        <v>174</v>
      </c>
      <c r="B91" s="296">
        <v>590</v>
      </c>
      <c r="C91" s="296">
        <v>62</v>
      </c>
      <c r="D91" s="296" t="s">
        <v>110</v>
      </c>
      <c r="E91" s="297">
        <v>242</v>
      </c>
      <c r="F91" s="297">
        <v>175</v>
      </c>
      <c r="G91" s="297">
        <v>188</v>
      </c>
      <c r="H91" s="297">
        <v>188</v>
      </c>
      <c r="I91" s="298">
        <f>('Willard - Elpra'!I9)</f>
        <v>126394.905</v>
      </c>
      <c r="J91" s="299">
        <f t="shared" si="9"/>
        <v>152937.83504999999</v>
      </c>
    </row>
    <row r="92" spans="1:10">
      <c r="A92" s="295" t="s">
        <v>175</v>
      </c>
      <c r="B92" s="296">
        <v>590</v>
      </c>
      <c r="C92" s="296">
        <v>62</v>
      </c>
      <c r="D92" s="296" t="s">
        <v>110</v>
      </c>
      <c r="E92" s="297">
        <v>276</v>
      </c>
      <c r="F92" s="297">
        <v>175</v>
      </c>
      <c r="G92" s="297">
        <v>173</v>
      </c>
      <c r="H92" s="297">
        <v>173</v>
      </c>
      <c r="I92" s="298">
        <f>('Willard - Elpra'!I10)</f>
        <v>130831.46999999999</v>
      </c>
      <c r="J92" s="299">
        <f t="shared" si="9"/>
        <v>158306.07869999998</v>
      </c>
    </row>
    <row r="93" spans="1:10">
      <c r="A93" s="295" t="s">
        <v>176</v>
      </c>
      <c r="B93" s="296">
        <v>709</v>
      </c>
      <c r="C93" s="296">
        <v>75</v>
      </c>
      <c r="D93" s="296" t="s">
        <v>1444</v>
      </c>
      <c r="E93" s="297">
        <v>276</v>
      </c>
      <c r="F93" s="297">
        <v>175</v>
      </c>
      <c r="G93" s="297">
        <v>188</v>
      </c>
      <c r="H93" s="297">
        <v>188</v>
      </c>
      <c r="I93" s="298">
        <f>('Willard - Elpra'!I11)</f>
        <v>149366.87220000001</v>
      </c>
      <c r="J93" s="299">
        <f t="shared" si="9"/>
        <v>180733.915362</v>
      </c>
    </row>
    <row r="94" spans="1:10">
      <c r="A94" s="295" t="s">
        <v>177</v>
      </c>
      <c r="B94" s="296">
        <v>810</v>
      </c>
      <c r="C94" s="296">
        <v>110</v>
      </c>
      <c r="D94" s="296" t="s">
        <v>275</v>
      </c>
      <c r="E94" s="297">
        <v>331</v>
      </c>
      <c r="F94" s="297">
        <v>174</v>
      </c>
      <c r="G94" s="297">
        <v>220</v>
      </c>
      <c r="H94" s="297">
        <v>243</v>
      </c>
      <c r="I94" s="298">
        <f>('Willard - Elpra'!I12)</f>
        <v>212637.9528</v>
      </c>
      <c r="J94" s="299">
        <f t="shared" si="9"/>
        <v>257291.922888</v>
      </c>
    </row>
    <row r="95" spans="1:10">
      <c r="A95" s="295" t="s">
        <v>181</v>
      </c>
      <c r="B95" s="296">
        <v>1200</v>
      </c>
      <c r="C95" s="296">
        <v>155</v>
      </c>
      <c r="D95" s="296" t="s">
        <v>111</v>
      </c>
      <c r="E95" s="297">
        <v>517</v>
      </c>
      <c r="F95" s="297">
        <v>226</v>
      </c>
      <c r="G95" s="297">
        <v>195</v>
      </c>
      <c r="H95" s="297">
        <v>215</v>
      </c>
      <c r="I95" s="298">
        <f>('Willard - Elpra'!I16)</f>
        <v>287005.16565000004</v>
      </c>
      <c r="J95" s="299">
        <f t="shared" si="9"/>
        <v>347276.25043650006</v>
      </c>
    </row>
    <row r="98" spans="1:18" ht="17.399999999999999">
      <c r="A98" s="997" t="s">
        <v>1480</v>
      </c>
      <c r="B98" s="997"/>
      <c r="C98" s="997"/>
      <c r="D98" s="1"/>
      <c r="E98" s="1"/>
      <c r="F98" s="3"/>
      <c r="G98" s="1"/>
      <c r="H98" s="1"/>
      <c r="I98" s="1"/>
      <c r="J98" s="3"/>
      <c r="K98" s="1"/>
      <c r="L98" s="1"/>
      <c r="M98" s="322"/>
      <c r="N98" s="322"/>
      <c r="O98" s="323"/>
      <c r="P98" s="1"/>
      <c r="Q98" s="298"/>
      <c r="R98" s="324"/>
    </row>
    <row r="99" spans="1:18">
      <c r="A99" s="325" t="s">
        <v>1481</v>
      </c>
      <c r="B99" s="296">
        <v>12</v>
      </c>
      <c r="C99" s="296">
        <v>7</v>
      </c>
      <c r="D99" s="297">
        <v>151</v>
      </c>
      <c r="E99" s="297">
        <v>65</v>
      </c>
      <c r="F99" s="297">
        <v>93.5</v>
      </c>
      <c r="G99" s="297">
        <v>99</v>
      </c>
      <c r="H99" s="326">
        <v>5</v>
      </c>
      <c r="I99" s="298">
        <f>('Tempel - Melisam'!E3)</f>
        <v>15808</v>
      </c>
      <c r="J99" s="299">
        <f t="shared" ref="J99:J102" si="10">+I99*1.21</f>
        <v>19127.68</v>
      </c>
      <c r="K99" s="921"/>
      <c r="L99" s="921"/>
      <c r="M99" s="921"/>
      <c r="N99" s="921"/>
      <c r="O99" s="921"/>
      <c r="P99" s="921"/>
      <c r="Q99" s="921"/>
      <c r="R99" s="921"/>
    </row>
    <row r="100" spans="1:18">
      <c r="A100" s="295" t="s">
        <v>1482</v>
      </c>
      <c r="B100" s="296">
        <v>12</v>
      </c>
      <c r="C100" s="296">
        <v>12</v>
      </c>
      <c r="D100" s="297">
        <v>151</v>
      </c>
      <c r="E100" s="297">
        <v>98</v>
      </c>
      <c r="F100" s="297">
        <v>95</v>
      </c>
      <c r="G100" s="297">
        <v>101</v>
      </c>
      <c r="H100" s="326">
        <v>4</v>
      </c>
      <c r="I100" s="298">
        <f>('Tempel - Melisam'!E4)</f>
        <v>53913.599999999999</v>
      </c>
      <c r="J100" s="299">
        <f t="shared" si="10"/>
        <v>65235.455999999998</v>
      </c>
      <c r="K100" s="921"/>
      <c r="L100" s="921"/>
      <c r="M100" s="921"/>
      <c r="N100" s="921"/>
      <c r="O100" s="921"/>
      <c r="P100" s="921"/>
      <c r="Q100" s="921"/>
      <c r="R100" s="921"/>
    </row>
    <row r="101" spans="1:18">
      <c r="A101" s="295" t="s">
        <v>1483</v>
      </c>
      <c r="B101" s="296">
        <v>12</v>
      </c>
      <c r="C101" s="296">
        <v>18</v>
      </c>
      <c r="D101" s="297">
        <v>181.5</v>
      </c>
      <c r="E101" s="297">
        <v>77</v>
      </c>
      <c r="F101" s="297">
        <v>167.5</v>
      </c>
      <c r="G101" s="297">
        <v>167.5</v>
      </c>
      <c r="H101" s="326">
        <v>2</v>
      </c>
      <c r="I101" s="298">
        <f>('Tempel - Melisam'!E5)</f>
        <v>66560</v>
      </c>
      <c r="J101" s="299">
        <f t="shared" si="10"/>
        <v>80537.599999999991</v>
      </c>
      <c r="K101" s="921"/>
      <c r="L101" s="921"/>
      <c r="M101" s="921"/>
      <c r="N101" s="921"/>
      <c r="O101" s="921"/>
      <c r="P101" s="921"/>
      <c r="Q101" s="921"/>
      <c r="R101" s="921"/>
    </row>
    <row r="102" spans="1:18">
      <c r="A102" s="295" t="s">
        <v>1484</v>
      </c>
      <c r="B102" s="296">
        <v>12</v>
      </c>
      <c r="C102" s="296">
        <v>26</v>
      </c>
      <c r="D102" s="297">
        <v>166</v>
      </c>
      <c r="E102" s="297">
        <v>175</v>
      </c>
      <c r="F102" s="297">
        <v>125</v>
      </c>
      <c r="G102" s="297">
        <v>125</v>
      </c>
      <c r="H102" s="326">
        <v>1</v>
      </c>
      <c r="I102" s="298">
        <f>('Tempel - Melisam'!E6)</f>
        <v>96512</v>
      </c>
      <c r="J102" s="299">
        <f t="shared" si="10"/>
        <v>116779.51999999999</v>
      </c>
      <c r="K102" s="921"/>
      <c r="L102" s="921"/>
      <c r="M102" s="921"/>
      <c r="N102" s="921"/>
      <c r="O102" s="921"/>
      <c r="P102" s="921"/>
      <c r="Q102" s="921"/>
      <c r="R102" s="921"/>
    </row>
    <row r="105" spans="1:18" ht="17.399999999999999">
      <c r="A105" s="327" t="s">
        <v>64</v>
      </c>
      <c r="B105" s="327"/>
      <c r="C105" s="992" t="s">
        <v>1485</v>
      </c>
      <c r="D105" s="996" t="s">
        <v>1486</v>
      </c>
      <c r="E105" s="996"/>
      <c r="F105" s="994" t="s">
        <v>1344</v>
      </c>
      <c r="G105" s="994"/>
      <c r="H105" s="966"/>
      <c r="I105" s="971" t="s">
        <v>1487</v>
      </c>
      <c r="J105" s="921"/>
      <c r="K105" s="921"/>
      <c r="L105" s="921"/>
      <c r="M105" s="921"/>
      <c r="N105" s="921"/>
      <c r="O105" s="921"/>
      <c r="P105" s="921"/>
      <c r="Q105" s="921"/>
      <c r="R105" s="921"/>
    </row>
    <row r="106" spans="1:18">
      <c r="A106" s="967" t="s">
        <v>1413</v>
      </c>
      <c r="B106" s="967" t="s">
        <v>1347</v>
      </c>
      <c r="C106" s="992"/>
      <c r="D106" s="328" t="s">
        <v>1488</v>
      </c>
      <c r="E106" s="328" t="s">
        <v>1489</v>
      </c>
      <c r="F106" s="291" t="s">
        <v>1351</v>
      </c>
      <c r="G106" s="291" t="s">
        <v>1352</v>
      </c>
      <c r="H106" s="291" t="s">
        <v>1353</v>
      </c>
      <c r="I106" s="971"/>
      <c r="J106" s="292" t="s">
        <v>1354</v>
      </c>
      <c r="K106" s="293" t="s">
        <v>1355</v>
      </c>
      <c r="L106" s="921"/>
      <c r="M106" s="921"/>
      <c r="N106" s="921"/>
      <c r="O106" s="921"/>
      <c r="P106" s="921"/>
      <c r="Q106" s="921"/>
      <c r="R106" s="921"/>
    </row>
    <row r="107" spans="1:18">
      <c r="A107" s="969" t="s">
        <v>1490</v>
      </c>
      <c r="B107" s="295" t="s">
        <v>67</v>
      </c>
      <c r="C107" s="296">
        <v>12</v>
      </c>
      <c r="D107" s="296">
        <v>60</v>
      </c>
      <c r="E107" s="296">
        <v>49</v>
      </c>
      <c r="F107" s="297">
        <v>243</v>
      </c>
      <c r="G107" s="297">
        <v>175</v>
      </c>
      <c r="H107" s="297">
        <v>175</v>
      </c>
      <c r="I107" s="329">
        <v>14.6</v>
      </c>
      <c r="J107" s="298">
        <f>(Varta!F37)</f>
        <v>176106.37082458302</v>
      </c>
      <c r="K107" s="299">
        <f>+J107*1.21</f>
        <v>213088.70869774546</v>
      </c>
      <c r="L107" s="921"/>
      <c r="M107" s="921"/>
      <c r="N107" s="921"/>
      <c r="O107" s="921"/>
      <c r="P107" s="921"/>
      <c r="Q107" s="921"/>
      <c r="R107" s="921"/>
    </row>
    <row r="108" spans="1:18">
      <c r="A108" s="969" t="s">
        <v>1491</v>
      </c>
      <c r="B108" s="295" t="s">
        <v>68</v>
      </c>
      <c r="C108" s="296">
        <v>12</v>
      </c>
      <c r="D108" s="296">
        <v>105</v>
      </c>
      <c r="E108" s="296">
        <v>85</v>
      </c>
      <c r="F108" s="297">
        <v>330</v>
      </c>
      <c r="G108" s="297">
        <v>172</v>
      </c>
      <c r="H108" s="297">
        <v>240</v>
      </c>
      <c r="I108" s="329">
        <v>27.1</v>
      </c>
      <c r="J108" s="298">
        <f>(Varta!F38)</f>
        <v>315137.68062656425</v>
      </c>
      <c r="K108" s="299">
        <f>+J108*1.21</f>
        <v>381316.59355814272</v>
      </c>
      <c r="L108" s="921"/>
      <c r="M108" s="921"/>
      <c r="N108" s="921"/>
      <c r="O108" s="921"/>
      <c r="P108" s="921"/>
      <c r="Q108" s="921"/>
      <c r="R108" s="921"/>
    </row>
    <row r="111" spans="1:18" ht="17.399999999999999">
      <c r="A111" s="330" t="s">
        <v>1492</v>
      </c>
      <c r="B111" s="330"/>
      <c r="C111" s="992" t="s">
        <v>1485</v>
      </c>
      <c r="D111" s="331" t="s">
        <v>1486</v>
      </c>
      <c r="E111" s="331" t="s">
        <v>1493</v>
      </c>
      <c r="F111" s="991" t="s">
        <v>1345</v>
      </c>
      <c r="G111" s="991"/>
      <c r="H111" s="921"/>
      <c r="I111" s="921"/>
      <c r="J111" s="921"/>
      <c r="K111" s="921"/>
      <c r="L111" s="921"/>
      <c r="M111" s="921"/>
      <c r="N111" s="921"/>
      <c r="O111" s="921"/>
      <c r="P111" s="921"/>
      <c r="Q111" s="921"/>
      <c r="R111" s="921"/>
    </row>
    <row r="112" spans="1:18">
      <c r="A112" s="967" t="s">
        <v>1413</v>
      </c>
      <c r="B112" s="967"/>
      <c r="C112" s="992"/>
      <c r="D112" s="328" t="s">
        <v>1488</v>
      </c>
      <c r="E112" s="291" t="s">
        <v>1494</v>
      </c>
      <c r="F112" s="292" t="s">
        <v>1354</v>
      </c>
      <c r="G112" s="293" t="s">
        <v>1355</v>
      </c>
      <c r="H112" s="921"/>
      <c r="I112" s="921"/>
      <c r="J112" s="921"/>
      <c r="K112" s="921"/>
      <c r="L112" s="921"/>
      <c r="M112" s="921"/>
      <c r="N112" s="921"/>
      <c r="O112" s="921"/>
      <c r="P112" s="921"/>
      <c r="Q112" s="921"/>
      <c r="R112" s="921"/>
    </row>
    <row r="113" spans="1:7">
      <c r="A113" s="969" t="s">
        <v>1495</v>
      </c>
      <c r="B113" s="295" t="s">
        <v>1496</v>
      </c>
      <c r="C113" s="296" t="s">
        <v>1497</v>
      </c>
      <c r="D113" s="296">
        <v>150</v>
      </c>
      <c r="E113" s="297" t="s">
        <v>1498</v>
      </c>
      <c r="F113" s="298">
        <f>(Newmax!E4)</f>
        <v>212739.64949951999</v>
      </c>
      <c r="G113" s="299">
        <f>(F113*1.21)</f>
        <v>257414.97589441919</v>
      </c>
    </row>
    <row r="115" spans="1:7" ht="17.399999999999999">
      <c r="A115" s="330" t="s">
        <v>1085</v>
      </c>
      <c r="B115" s="330"/>
      <c r="C115" s="992" t="s">
        <v>1485</v>
      </c>
      <c r="D115" s="331" t="s">
        <v>1486</v>
      </c>
      <c r="E115" s="331" t="s">
        <v>1493</v>
      </c>
      <c r="F115" s="991" t="s">
        <v>1345</v>
      </c>
      <c r="G115" s="991"/>
    </row>
    <row r="116" spans="1:7">
      <c r="A116" s="967" t="s">
        <v>1413</v>
      </c>
      <c r="B116" s="967"/>
      <c r="C116" s="992"/>
      <c r="D116" s="328" t="s">
        <v>1488</v>
      </c>
      <c r="E116" s="291" t="s">
        <v>1494</v>
      </c>
      <c r="F116" s="292" t="s">
        <v>1354</v>
      </c>
      <c r="G116" s="293" t="s">
        <v>1355</v>
      </c>
    </row>
    <row r="117" spans="1:7">
      <c r="A117" s="295" t="s">
        <v>1499</v>
      </c>
      <c r="B117" s="295" t="s">
        <v>1500</v>
      </c>
      <c r="C117" s="296" t="s">
        <v>1501</v>
      </c>
      <c r="D117" s="296">
        <v>210</v>
      </c>
      <c r="E117" s="297" t="s">
        <v>1502</v>
      </c>
      <c r="F117" s="298">
        <f>('Battery Trading'!G4)</f>
        <v>418803.47308800014</v>
      </c>
      <c r="G117" s="299">
        <f>(F117*1.21)</f>
        <v>506752.20243648015</v>
      </c>
    </row>
    <row r="118" spans="1:7">
      <c r="A118" s="969" t="s">
        <v>1503</v>
      </c>
      <c r="B118" s="295" t="s">
        <v>1504</v>
      </c>
      <c r="C118" s="296" t="s">
        <v>1501</v>
      </c>
      <c r="D118" s="296">
        <v>225</v>
      </c>
      <c r="E118" s="297" t="s">
        <v>1502</v>
      </c>
      <c r="F118" s="298">
        <f>('Battery Trading'!G5)</f>
        <v>468446.12614800013</v>
      </c>
      <c r="G118" s="299">
        <f t="shared" ref="G118:G122" si="11">(F118*1.21)</f>
        <v>566819.8126390801</v>
      </c>
    </row>
    <row r="119" spans="1:7">
      <c r="A119" s="346" t="s">
        <v>1505</v>
      </c>
      <c r="B119" s="347" t="s">
        <v>1506</v>
      </c>
      <c r="C119" s="296" t="s">
        <v>1501</v>
      </c>
      <c r="D119" s="348">
        <v>390</v>
      </c>
      <c r="E119" s="349" t="s">
        <v>1507</v>
      </c>
      <c r="F119" s="298">
        <f>('Battery Trading'!G6)</f>
        <v>917035.19107200031</v>
      </c>
      <c r="G119" s="299">
        <f t="shared" si="11"/>
        <v>1109612.5811971202</v>
      </c>
    </row>
    <row r="120" spans="1:7">
      <c r="A120" s="346" t="s">
        <v>1508</v>
      </c>
      <c r="B120" s="310" t="s">
        <v>1509</v>
      </c>
      <c r="C120" s="296" t="s">
        <v>1501</v>
      </c>
      <c r="D120" s="348">
        <v>295</v>
      </c>
      <c r="E120" s="349" t="s">
        <v>1510</v>
      </c>
      <c r="F120" s="298">
        <f>('Battery Trading'!G7)</f>
        <v>725685.32836800022</v>
      </c>
      <c r="G120" s="299">
        <f t="shared" si="11"/>
        <v>878079.24732528022</v>
      </c>
    </row>
    <row r="121" spans="1:7">
      <c r="A121" s="346" t="s">
        <v>1511</v>
      </c>
      <c r="B121" s="310" t="s">
        <v>1512</v>
      </c>
      <c r="C121" s="296" t="s">
        <v>1497</v>
      </c>
      <c r="D121" s="348">
        <v>105</v>
      </c>
      <c r="E121" s="349" t="s">
        <v>1513</v>
      </c>
      <c r="F121" s="298">
        <f>('Battery Trading'!G8)</f>
        <v>450935.80852320004</v>
      </c>
      <c r="G121" s="299">
        <f t="shared" si="11"/>
        <v>545632.3283130721</v>
      </c>
    </row>
    <row r="122" spans="1:7">
      <c r="A122" s="346" t="s">
        <v>1514</v>
      </c>
      <c r="B122" s="310" t="s">
        <v>1515</v>
      </c>
      <c r="C122" s="296" t="s">
        <v>1497</v>
      </c>
      <c r="D122" s="348">
        <v>150</v>
      </c>
      <c r="E122" s="349" t="s">
        <v>1516</v>
      </c>
      <c r="F122" s="298">
        <f>('Battery Trading'!G9)</f>
        <v>709438.64191200014</v>
      </c>
      <c r="G122" s="299">
        <f t="shared" si="11"/>
        <v>858420.75671352015</v>
      </c>
    </row>
    <row r="125" spans="1:7" ht="17.399999999999999">
      <c r="A125" s="327" t="s">
        <v>707</v>
      </c>
      <c r="B125" s="331" t="s">
        <v>1486</v>
      </c>
      <c r="C125" s="971" t="s">
        <v>1517</v>
      </c>
      <c r="D125" s="971" t="s">
        <v>1518</v>
      </c>
      <c r="E125" s="991" t="s">
        <v>1345</v>
      </c>
      <c r="F125" s="991"/>
      <c r="G125" s="921"/>
    </row>
    <row r="126" spans="1:7">
      <c r="A126" s="967" t="s">
        <v>1413</v>
      </c>
      <c r="B126" s="328" t="s">
        <v>1488</v>
      </c>
      <c r="C126" s="971"/>
      <c r="D126" s="971"/>
      <c r="E126" s="292" t="s">
        <v>1354</v>
      </c>
      <c r="F126" s="293" t="s">
        <v>1355</v>
      </c>
      <c r="G126" s="921"/>
    </row>
    <row r="127" spans="1:7">
      <c r="A127" s="969" t="s">
        <v>1519</v>
      </c>
      <c r="B127" s="296">
        <v>50</v>
      </c>
      <c r="C127" s="329">
        <v>800</v>
      </c>
      <c r="D127" s="329" t="s">
        <v>1520</v>
      </c>
      <c r="E127" s="298">
        <v>160470.93834164809</v>
      </c>
      <c r="F127" s="299">
        <f>+E127*1.21</f>
        <v>194169.83539339417</v>
      </c>
      <c r="G127" s="356" t="s">
        <v>1521</v>
      </c>
    </row>
    <row r="128" spans="1:7">
      <c r="A128" s="969" t="s">
        <v>1522</v>
      </c>
      <c r="B128" s="296">
        <v>50</v>
      </c>
      <c r="C128" s="329">
        <v>750</v>
      </c>
      <c r="D128" s="329" t="s">
        <v>1523</v>
      </c>
      <c r="E128" s="298">
        <v>187655.38</v>
      </c>
      <c r="F128" s="299">
        <f>+E128*1.21</f>
        <v>227063.0098</v>
      </c>
      <c r="G128" s="356" t="s">
        <v>1521</v>
      </c>
    </row>
    <row r="131" spans="1:8" ht="17.399999999999999">
      <c r="A131" s="997" t="s">
        <v>1524</v>
      </c>
      <c r="B131" s="997"/>
      <c r="C131" s="997"/>
      <c r="D131" s="334"/>
      <c r="E131" s="334"/>
      <c r="F131" s="335"/>
      <c r="G131" s="344"/>
      <c r="H131" s="921"/>
    </row>
    <row r="132" spans="1:8">
      <c r="A132" s="993" t="s">
        <v>1347</v>
      </c>
      <c r="B132" s="993" t="s">
        <v>1525</v>
      </c>
      <c r="C132" s="993" t="s">
        <v>1526</v>
      </c>
      <c r="D132" s="970" t="s">
        <v>1344</v>
      </c>
      <c r="E132" s="970"/>
      <c r="F132" s="970"/>
      <c r="G132" s="991" t="s">
        <v>1345</v>
      </c>
      <c r="H132" s="991"/>
    </row>
    <row r="133" spans="1:8">
      <c r="A133" s="993"/>
      <c r="B133" s="993"/>
      <c r="C133" s="993"/>
      <c r="D133" s="291" t="s">
        <v>1351</v>
      </c>
      <c r="E133" s="291" t="s">
        <v>1352</v>
      </c>
      <c r="F133" s="291" t="s">
        <v>1353</v>
      </c>
      <c r="G133" s="293" t="s">
        <v>1354</v>
      </c>
      <c r="H133" s="293" t="s">
        <v>1355</v>
      </c>
    </row>
    <row r="134" spans="1:8">
      <c r="A134" s="295" t="s">
        <v>1527</v>
      </c>
      <c r="B134" s="295" t="s">
        <v>1528</v>
      </c>
      <c r="C134" s="296">
        <v>12</v>
      </c>
      <c r="D134" s="297">
        <v>119</v>
      </c>
      <c r="E134" s="297">
        <v>59</v>
      </c>
      <c r="F134" s="297">
        <v>130</v>
      </c>
      <c r="G134" s="298">
        <f>(Moto!AA5)</f>
        <v>51000</v>
      </c>
      <c r="H134" s="921">
        <f>(G134*1.21)</f>
        <v>61710</v>
      </c>
    </row>
    <row r="135" spans="1:8">
      <c r="A135" s="295" t="s">
        <v>1529</v>
      </c>
      <c r="B135" s="295" t="s">
        <v>1530</v>
      </c>
      <c r="C135" s="296">
        <v>12</v>
      </c>
      <c r="D135" s="297">
        <v>136</v>
      </c>
      <c r="E135" s="297">
        <v>75</v>
      </c>
      <c r="F135" s="297">
        <v>122</v>
      </c>
      <c r="G135" s="298">
        <f>(Moto!AA8)</f>
        <v>62000</v>
      </c>
      <c r="H135" s="921">
        <f t="shared" ref="H135:H146" si="12">(G135*1.21)</f>
        <v>75020</v>
      </c>
    </row>
    <row r="136" spans="1:8">
      <c r="A136" s="295" t="s">
        <v>1531</v>
      </c>
      <c r="B136" s="295" t="s">
        <v>1532</v>
      </c>
      <c r="C136" s="296">
        <v>12</v>
      </c>
      <c r="D136" s="297">
        <v>146</v>
      </c>
      <c r="E136" s="297">
        <v>60</v>
      </c>
      <c r="F136" s="297">
        <v>130</v>
      </c>
      <c r="G136" s="298">
        <f>(Moto!AA8)</f>
        <v>62000</v>
      </c>
      <c r="H136" s="921">
        <f t="shared" si="12"/>
        <v>75020</v>
      </c>
    </row>
    <row r="137" spans="1:8">
      <c r="A137" s="295" t="s">
        <v>1533</v>
      </c>
      <c r="B137" s="295" t="s">
        <v>1534</v>
      </c>
      <c r="C137" s="296">
        <v>12</v>
      </c>
      <c r="D137" s="297">
        <v>135</v>
      </c>
      <c r="E137" s="297">
        <v>75</v>
      </c>
      <c r="F137" s="297">
        <v>139</v>
      </c>
      <c r="G137" s="298">
        <f>(Moto!AA9)</f>
        <v>64000</v>
      </c>
      <c r="H137" s="921">
        <f t="shared" si="12"/>
        <v>77440</v>
      </c>
    </row>
    <row r="138" spans="1:8">
      <c r="A138" s="295" t="s">
        <v>1535</v>
      </c>
      <c r="B138" s="295" t="s">
        <v>1536</v>
      </c>
      <c r="C138" s="296">
        <v>12</v>
      </c>
      <c r="D138" s="297">
        <v>135</v>
      </c>
      <c r="E138" s="297">
        <v>90</v>
      </c>
      <c r="F138" s="297">
        <v>166</v>
      </c>
      <c r="G138" s="298">
        <f>(Moto!AA13)</f>
        <v>102000</v>
      </c>
      <c r="H138" s="921">
        <f t="shared" si="12"/>
        <v>123420</v>
      </c>
    </row>
    <row r="139" spans="1:8">
      <c r="A139" s="295" t="s">
        <v>333</v>
      </c>
      <c r="B139" s="295" t="s">
        <v>1537</v>
      </c>
      <c r="C139" s="296">
        <v>12</v>
      </c>
      <c r="D139" s="297">
        <v>113</v>
      </c>
      <c r="E139" s="297">
        <v>70</v>
      </c>
      <c r="F139" s="297">
        <v>85</v>
      </c>
      <c r="G139" s="298">
        <f>(Moto!AA15)</f>
        <v>43000</v>
      </c>
      <c r="H139" s="921">
        <f t="shared" si="12"/>
        <v>52030</v>
      </c>
    </row>
    <row r="140" spans="1:8">
      <c r="A140" s="295" t="s">
        <v>339</v>
      </c>
      <c r="B140" s="295" t="s">
        <v>1538</v>
      </c>
      <c r="C140" s="296">
        <v>12</v>
      </c>
      <c r="D140" s="297">
        <v>139</v>
      </c>
      <c r="E140" s="297">
        <v>66</v>
      </c>
      <c r="F140" s="297">
        <v>102</v>
      </c>
      <c r="G140" s="298">
        <f>(Moto!AA17)</f>
        <v>54000</v>
      </c>
      <c r="H140" s="921">
        <f t="shared" si="12"/>
        <v>65340</v>
      </c>
    </row>
    <row r="141" spans="1:8">
      <c r="A141" s="295" t="s">
        <v>341</v>
      </c>
      <c r="B141" s="295" t="s">
        <v>1539</v>
      </c>
      <c r="C141" s="296">
        <v>12</v>
      </c>
      <c r="D141" s="297">
        <v>113</v>
      </c>
      <c r="E141" s="297">
        <v>70</v>
      </c>
      <c r="F141" s="297">
        <v>130</v>
      </c>
      <c r="G141" s="298">
        <f>(Moto!AA18)</f>
        <v>63000</v>
      </c>
      <c r="H141" s="921">
        <f t="shared" si="12"/>
        <v>76230</v>
      </c>
    </row>
    <row r="142" spans="1:8">
      <c r="A142" s="295" t="s">
        <v>345</v>
      </c>
      <c r="B142" s="295" t="s">
        <v>1540</v>
      </c>
      <c r="C142" s="296">
        <v>12</v>
      </c>
      <c r="D142" s="297">
        <v>150</v>
      </c>
      <c r="E142" s="297">
        <v>87</v>
      </c>
      <c r="F142" s="297">
        <v>93</v>
      </c>
      <c r="G142" s="298">
        <f>(Moto!AA19)</f>
        <v>66000</v>
      </c>
      <c r="H142" s="921">
        <f t="shared" si="12"/>
        <v>79860</v>
      </c>
    </row>
    <row r="143" spans="1:8">
      <c r="A143" s="295" t="s">
        <v>347</v>
      </c>
      <c r="B143" s="295" t="s">
        <v>1541</v>
      </c>
      <c r="C143" s="296">
        <v>12</v>
      </c>
      <c r="D143" s="297">
        <v>150</v>
      </c>
      <c r="E143" s="297">
        <v>87</v>
      </c>
      <c r="F143" s="297">
        <v>105</v>
      </c>
      <c r="G143" s="298">
        <f>(Moto!AA20)</f>
        <v>78000</v>
      </c>
      <c r="H143" s="921">
        <f t="shared" si="12"/>
        <v>94380</v>
      </c>
    </row>
    <row r="144" spans="1:8">
      <c r="A144" s="295" t="s">
        <v>350</v>
      </c>
      <c r="B144" s="295" t="s">
        <v>1542</v>
      </c>
      <c r="C144" s="296">
        <v>12</v>
      </c>
      <c r="D144" s="297">
        <v>150</v>
      </c>
      <c r="E144" s="297">
        <v>87</v>
      </c>
      <c r="F144" s="297">
        <v>130</v>
      </c>
      <c r="G144" s="298">
        <f>(Moto!AA21)</f>
        <v>85000</v>
      </c>
      <c r="H144" s="921">
        <f t="shared" si="12"/>
        <v>102850</v>
      </c>
    </row>
    <row r="145" spans="1:8">
      <c r="A145" s="295" t="s">
        <v>358</v>
      </c>
      <c r="B145" s="295" t="s">
        <v>1543</v>
      </c>
      <c r="C145" s="296">
        <v>12</v>
      </c>
      <c r="D145" s="297">
        <v>113</v>
      </c>
      <c r="E145" s="297">
        <v>70</v>
      </c>
      <c r="F145" s="297">
        <v>105</v>
      </c>
      <c r="G145" s="298">
        <f>(Moto!AA26)</f>
        <v>59000</v>
      </c>
      <c r="H145" s="921">
        <f t="shared" si="12"/>
        <v>71390</v>
      </c>
    </row>
    <row r="146" spans="1:8">
      <c r="A146" s="295" t="s">
        <v>360</v>
      </c>
      <c r="B146" s="295" t="s">
        <v>1544</v>
      </c>
      <c r="C146" s="296">
        <v>12</v>
      </c>
      <c r="D146" s="297">
        <v>150</v>
      </c>
      <c r="E146" s="297">
        <v>87</v>
      </c>
      <c r="F146" s="297">
        <v>93</v>
      </c>
      <c r="G146" s="298">
        <f>(Moto!AA27)</f>
        <v>68000</v>
      </c>
      <c r="H146" s="921">
        <f t="shared" si="12"/>
        <v>82280</v>
      </c>
    </row>
    <row r="147" spans="1:8">
      <c r="A147" s="921"/>
      <c r="B147" s="921"/>
      <c r="C147" s="921"/>
      <c r="D147" s="921"/>
      <c r="E147" s="921"/>
      <c r="F147" s="921"/>
      <c r="G147" s="921"/>
      <c r="H147" s="336"/>
    </row>
    <row r="148" spans="1:8" ht="17.399999999999999">
      <c r="A148" s="327" t="s">
        <v>1545</v>
      </c>
      <c r="B148" s="327"/>
      <c r="C148" s="337"/>
      <c r="D148" s="337"/>
      <c r="E148" s="991" t="s">
        <v>1345</v>
      </c>
      <c r="F148" s="991"/>
      <c r="G148" s="921"/>
      <c r="H148" s="336"/>
    </row>
    <row r="149" spans="1:8">
      <c r="A149" s="338"/>
      <c r="B149" s="339"/>
      <c r="C149" s="337"/>
      <c r="D149" s="337"/>
      <c r="E149" s="292" t="s">
        <v>1354</v>
      </c>
      <c r="F149" s="293" t="s">
        <v>1355</v>
      </c>
      <c r="G149" s="921"/>
      <c r="H149" s="336"/>
    </row>
    <row r="150" spans="1:8">
      <c r="A150" s="990" t="s">
        <v>1546</v>
      </c>
      <c r="B150" s="990"/>
      <c r="C150" s="990"/>
      <c r="D150" s="990"/>
      <c r="E150" s="340">
        <f>(Lusqtoff!G27)</f>
        <v>84215.72159999999</v>
      </c>
      <c r="F150" s="299">
        <f>+E150*1.21</f>
        <v>101901.02313599999</v>
      </c>
      <c r="G150" s="921"/>
      <c r="H150" s="336"/>
    </row>
    <row r="151" spans="1:8">
      <c r="A151" s="990" t="s">
        <v>1547</v>
      </c>
      <c r="B151" s="990"/>
      <c r="C151" s="990"/>
      <c r="D151" s="990"/>
      <c r="E151" s="340">
        <f>(Lusqtoff!G28)</f>
        <v>107555.2</v>
      </c>
      <c r="F151" s="299">
        <f>+E151*1.21</f>
        <v>130141.79199999999</v>
      </c>
      <c r="G151" s="921"/>
      <c r="H151" s="336"/>
    </row>
    <row r="152" spans="1:8">
      <c r="A152" s="990" t="s">
        <v>1548</v>
      </c>
      <c r="B152" s="990"/>
      <c r="C152" s="990"/>
      <c r="D152" s="990"/>
      <c r="E152" s="340">
        <f>(Lusqtoff!G29)</f>
        <v>169824</v>
      </c>
      <c r="F152" s="299">
        <f>+E152*1.21</f>
        <v>205487.04</v>
      </c>
      <c r="G152" s="921"/>
      <c r="H152" s="336"/>
    </row>
    <row r="153" spans="1:8">
      <c r="A153" s="1004" t="s">
        <v>413</v>
      </c>
      <c r="B153" s="1004"/>
      <c r="C153" s="1004"/>
      <c r="D153" s="1004"/>
      <c r="E153" s="340">
        <f>(Lusqtoff!G30)</f>
        <v>211991.29920000001</v>
      </c>
      <c r="F153" s="341">
        <f>(E153*1.21)</f>
        <v>256509.47203199999</v>
      </c>
      <c r="G153" s="921"/>
      <c r="H153" s="336"/>
    </row>
    <row r="154" spans="1:8" ht="17.399999999999999">
      <c r="A154" s="327" t="s">
        <v>1549</v>
      </c>
      <c r="B154" s="327"/>
      <c r="C154" s="337"/>
      <c r="D154" s="337"/>
      <c r="E154" s="991" t="s">
        <v>1345</v>
      </c>
      <c r="F154" s="991"/>
      <c r="G154" s="921"/>
      <c r="H154" s="336"/>
    </row>
    <row r="155" spans="1:8">
      <c r="A155" s="338"/>
      <c r="B155" s="339"/>
      <c r="C155" s="337"/>
      <c r="D155" s="337"/>
      <c r="E155" s="292"/>
      <c r="F155" s="293"/>
      <c r="G155" s="921"/>
      <c r="H155" s="336"/>
    </row>
    <row r="156" spans="1:8">
      <c r="A156" s="990" t="s">
        <v>1550</v>
      </c>
      <c r="B156" s="990"/>
      <c r="C156" s="990"/>
      <c r="D156" s="990"/>
      <c r="E156" s="342">
        <f>(Lusqtoff!G25)</f>
        <v>98429.990399999981</v>
      </c>
      <c r="F156" s="343">
        <f>(E156*1.21)</f>
        <v>119100.28838399997</v>
      </c>
      <c r="G156" s="921"/>
      <c r="H156" s="336"/>
    </row>
    <row r="157" spans="1:8">
      <c r="A157" s="990" t="s">
        <v>1551</v>
      </c>
      <c r="B157" s="990"/>
      <c r="C157" s="990"/>
      <c r="D157" s="990"/>
      <c r="E157" s="342">
        <f>(Lusqtoff!G26)</f>
        <v>159719.47200000001</v>
      </c>
      <c r="F157" s="343">
        <f>(E157*1.21)</f>
        <v>193260.56112</v>
      </c>
      <c r="G157" s="921"/>
      <c r="H157" s="336"/>
    </row>
    <row r="158" spans="1:8" ht="17.399999999999999">
      <c r="A158" s="327" t="s">
        <v>1552</v>
      </c>
      <c r="B158" s="327"/>
      <c r="C158" s="337"/>
      <c r="D158" s="337"/>
      <c r="E158" s="991" t="s">
        <v>1345</v>
      </c>
      <c r="F158" s="991"/>
      <c r="G158" s="921"/>
      <c r="H158" s="326"/>
    </row>
    <row r="159" spans="1:8">
      <c r="A159" s="338"/>
      <c r="B159" s="339"/>
      <c r="C159" s="337"/>
      <c r="D159" s="337"/>
      <c r="E159" s="292"/>
      <c r="F159" s="293"/>
      <c r="G159" s="921"/>
      <c r="H159" s="921"/>
    </row>
    <row r="160" spans="1:8">
      <c r="A160" s="990" t="s">
        <v>975</v>
      </c>
      <c r="B160" s="990"/>
      <c r="C160" s="990"/>
      <c r="D160" s="990"/>
      <c r="E160" s="352">
        <f>(Lusqtoff!G43)</f>
        <v>203279.32800000001</v>
      </c>
      <c r="F160" s="343">
        <f t="shared" ref="F160:F167" si="13">(E160*1.21)</f>
        <v>245967.98688000001</v>
      </c>
      <c r="G160" s="921"/>
      <c r="H160" s="921"/>
    </row>
    <row r="161" spans="1:6">
      <c r="A161" s="990" t="s">
        <v>1553</v>
      </c>
      <c r="B161" s="990"/>
      <c r="C161" s="990"/>
      <c r="D161" s="990"/>
      <c r="E161" s="352">
        <f>(Lusqtoff!G42)</f>
        <v>33395.889599999995</v>
      </c>
      <c r="F161" s="343">
        <f t="shared" si="13"/>
        <v>40409.026415999993</v>
      </c>
    </row>
    <row r="162" spans="1:6">
      <c r="A162" s="1005" t="s">
        <v>457</v>
      </c>
      <c r="B162" s="1006"/>
      <c r="C162" s="1006"/>
      <c r="D162" s="1006"/>
      <c r="E162" s="352">
        <f>(Lusqtoff!G53)</f>
        <v>119063.60639999999</v>
      </c>
      <c r="F162" s="343">
        <f t="shared" si="13"/>
        <v>144066.96374399998</v>
      </c>
    </row>
    <row r="163" spans="1:6">
      <c r="A163" s="1005" t="s">
        <v>1554</v>
      </c>
      <c r="B163" s="1006"/>
      <c r="C163" s="1006"/>
      <c r="D163" s="1006"/>
      <c r="E163" s="352">
        <f>(Lusqtoff!G46)</f>
        <v>121967.59679999998</v>
      </c>
      <c r="F163" s="343">
        <f t="shared" si="13"/>
        <v>147580.79212799997</v>
      </c>
    </row>
    <row r="164" spans="1:6">
      <c r="A164" s="1005" t="s">
        <v>1555</v>
      </c>
      <c r="B164" s="1006"/>
      <c r="C164" s="1006"/>
      <c r="D164" s="1006"/>
      <c r="E164" s="352">
        <f>(Lusqtoff!G52)</f>
        <v>114707.62079999999</v>
      </c>
      <c r="F164" s="343">
        <f t="shared" si="13"/>
        <v>138796.22116799999</v>
      </c>
    </row>
    <row r="165" spans="1:6">
      <c r="A165" s="968"/>
      <c r="B165" s="351" t="s">
        <v>461</v>
      </c>
      <c r="C165" s="968"/>
      <c r="D165" s="968"/>
      <c r="E165" s="352">
        <f>(Lusqtoff!G55)</f>
        <v>37751.875200000002</v>
      </c>
      <c r="F165" s="341">
        <f t="shared" si="13"/>
        <v>45679.768992000005</v>
      </c>
    </row>
    <row r="166" spans="1:6">
      <c r="A166" s="968"/>
      <c r="B166" s="351" t="s">
        <v>1556</v>
      </c>
      <c r="C166" s="968"/>
      <c r="D166" s="968"/>
      <c r="E166" s="352">
        <f>(Lusqtoff!G33)</f>
        <v>31134.399999999998</v>
      </c>
      <c r="F166" s="341">
        <f t="shared" si="13"/>
        <v>37672.623999999996</v>
      </c>
    </row>
    <row r="167" spans="1:6">
      <c r="A167" s="968"/>
      <c r="B167" s="351" t="s">
        <v>1557</v>
      </c>
      <c r="C167" s="968"/>
      <c r="D167" s="968"/>
      <c r="E167" s="352">
        <f>(Lusqtoff!G16)</f>
        <v>12439.112679999998</v>
      </c>
      <c r="F167" s="341">
        <f t="shared" si="13"/>
        <v>15051.326342799997</v>
      </c>
    </row>
    <row r="169" spans="1:6" ht="17.399999999999999">
      <c r="A169" s="327" t="s">
        <v>1549</v>
      </c>
      <c r="B169" s="327"/>
      <c r="C169" s="337"/>
      <c r="D169" s="337"/>
      <c r="E169" s="991" t="s">
        <v>1345</v>
      </c>
      <c r="F169" s="991"/>
    </row>
    <row r="170" spans="1:6">
      <c r="A170" s="338"/>
      <c r="B170" s="339"/>
      <c r="C170" s="337"/>
      <c r="D170" s="337"/>
      <c r="E170" s="292" t="s">
        <v>1354</v>
      </c>
      <c r="F170" s="293" t="s">
        <v>1355</v>
      </c>
    </row>
    <row r="171" spans="1:6">
      <c r="A171" s="990" t="s">
        <v>1558</v>
      </c>
      <c r="B171" s="990"/>
      <c r="C171" s="990"/>
      <c r="D171" s="990"/>
      <c r="E171" s="298">
        <f>(Lusqtoff!G4)</f>
        <v>77836</v>
      </c>
      <c r="F171" s="299">
        <f>+E171*1.21</f>
        <v>94181.56</v>
      </c>
    </row>
    <row r="172" spans="1:6">
      <c r="A172" s="990" t="s">
        <v>1559</v>
      </c>
      <c r="B172" s="990"/>
      <c r="C172" s="990"/>
      <c r="D172" s="990"/>
      <c r="E172" s="298">
        <f>(Lusqtoff!G5)</f>
        <v>139326.44</v>
      </c>
      <c r="F172" s="299">
        <f>+E172*1.21</f>
        <v>168584.99239999999</v>
      </c>
    </row>
    <row r="174" spans="1:6" ht="17.399999999999999">
      <c r="A174" s="327" t="s">
        <v>1560</v>
      </c>
      <c r="B174" s="327"/>
      <c r="C174" s="337"/>
      <c r="D174" s="337"/>
      <c r="E174" s="991" t="s">
        <v>1345</v>
      </c>
      <c r="F174" s="991"/>
    </row>
    <row r="175" spans="1:6">
      <c r="A175" s="338"/>
      <c r="B175" s="339"/>
      <c r="C175" s="337"/>
      <c r="D175" s="337"/>
      <c r="E175" s="292" t="s">
        <v>1354</v>
      </c>
      <c r="F175" s="293" t="s">
        <v>1355</v>
      </c>
    </row>
    <row r="176" spans="1:6">
      <c r="A176" s="990" t="s">
        <v>1561</v>
      </c>
      <c r="B176" s="990"/>
      <c r="C176" s="990"/>
      <c r="D176" s="990"/>
      <c r="E176" s="298">
        <f>('Terminales - Liquimoly - Bari'!F4)</f>
        <v>1740.1499999999999</v>
      </c>
      <c r="F176" s="299">
        <f t="shared" ref="F176:F181" si="14">+E176*1.21</f>
        <v>2105.5814999999998</v>
      </c>
    </row>
    <row r="177" spans="1:6">
      <c r="A177" s="990" t="s">
        <v>1562</v>
      </c>
      <c r="B177" s="990"/>
      <c r="C177" s="990"/>
      <c r="D177" s="990"/>
      <c r="E177" s="298">
        <f>('Terminales - Liquimoly - Bari'!F5)</f>
        <v>2268</v>
      </c>
      <c r="F177" s="299">
        <f t="shared" si="14"/>
        <v>2744.2799999999997</v>
      </c>
    </row>
    <row r="178" spans="1:6">
      <c r="A178" s="990" t="s">
        <v>1563</v>
      </c>
      <c r="B178" s="990"/>
      <c r="C178" s="990"/>
      <c r="D178" s="990"/>
      <c r="E178" s="298">
        <f>('Terminales - Liquimoly - Bari'!F6)</f>
        <v>4783.0499999999993</v>
      </c>
      <c r="F178" s="299">
        <f t="shared" si="14"/>
        <v>5787.490499999999</v>
      </c>
    </row>
    <row r="179" spans="1:6">
      <c r="A179" s="990" t="s">
        <v>1564</v>
      </c>
      <c r="B179" s="990"/>
      <c r="C179" s="990"/>
      <c r="D179" s="990"/>
      <c r="E179" s="298">
        <f>('Terminales - Liquimoly - Bari'!F7)</f>
        <v>1875.1499999999999</v>
      </c>
      <c r="F179" s="299">
        <f t="shared" si="14"/>
        <v>2268.9314999999997</v>
      </c>
    </row>
    <row r="180" spans="1:6">
      <c r="A180" s="990" t="s">
        <v>1565</v>
      </c>
      <c r="B180" s="990"/>
      <c r="C180" s="990"/>
      <c r="D180" s="990"/>
      <c r="E180" s="298">
        <f>('Terminales - Liquimoly - Bari'!F8)</f>
        <v>1663.1999999999998</v>
      </c>
      <c r="F180" s="299">
        <f t="shared" si="14"/>
        <v>2012.4719999999998</v>
      </c>
    </row>
    <row r="181" spans="1:6">
      <c r="A181" s="990" t="s">
        <v>1566</v>
      </c>
      <c r="B181" s="990"/>
      <c r="C181" s="990"/>
      <c r="D181" s="990"/>
      <c r="E181" s="298">
        <f>('Terminales - Liquimoly - Bari'!F9)</f>
        <v>6627.1500000000005</v>
      </c>
      <c r="F181" s="299">
        <f t="shared" si="14"/>
        <v>8018.8515000000007</v>
      </c>
    </row>
  </sheetData>
  <mergeCells count="73">
    <mergeCell ref="E148:F148"/>
    <mergeCell ref="H2:I2"/>
    <mergeCell ref="J2:J3"/>
    <mergeCell ref="H6:I6"/>
    <mergeCell ref="J6:J7"/>
    <mergeCell ref="H21:I21"/>
    <mergeCell ref="J21:J22"/>
    <mergeCell ref="H35:I35"/>
    <mergeCell ref="J35:J36"/>
    <mergeCell ref="G41:H41"/>
    <mergeCell ref="G132:H132"/>
    <mergeCell ref="H28:I28"/>
    <mergeCell ref="J28:J29"/>
    <mergeCell ref="I57:J57"/>
    <mergeCell ref="I85:J85"/>
    <mergeCell ref="E57:E58"/>
    <mergeCell ref="A162:D162"/>
    <mergeCell ref="A163:D163"/>
    <mergeCell ref="A164:D164"/>
    <mergeCell ref="A156:D156"/>
    <mergeCell ref="A157:D157"/>
    <mergeCell ref="E158:F158"/>
    <mergeCell ref="A160:D160"/>
    <mergeCell ref="A161:D161"/>
    <mergeCell ref="A150:D150"/>
    <mergeCell ref="A151:D151"/>
    <mergeCell ref="A152:D152"/>
    <mergeCell ref="A153:D153"/>
    <mergeCell ref="E154:F154"/>
    <mergeCell ref="A131:C131"/>
    <mergeCell ref="A132:A133"/>
    <mergeCell ref="C132:C133"/>
    <mergeCell ref="B132:B133"/>
    <mergeCell ref="E125:F125"/>
    <mergeCell ref="F57:H57"/>
    <mergeCell ref="A28:D28"/>
    <mergeCell ref="E28:G28"/>
    <mergeCell ref="A34:D35"/>
    <mergeCell ref="E35:G35"/>
    <mergeCell ref="A41:A42"/>
    <mergeCell ref="C41:C42"/>
    <mergeCell ref="A2:D2"/>
    <mergeCell ref="E2:G2"/>
    <mergeCell ref="A6:D6"/>
    <mergeCell ref="E6:G6"/>
    <mergeCell ref="A21:D21"/>
    <mergeCell ref="E21:G21"/>
    <mergeCell ref="C111:C112"/>
    <mergeCell ref="F111:G111"/>
    <mergeCell ref="C115:C116"/>
    <mergeCell ref="F115:G115"/>
    <mergeCell ref="B41:B42"/>
    <mergeCell ref="D41:F41"/>
    <mergeCell ref="E85:G85"/>
    <mergeCell ref="C105:C106"/>
    <mergeCell ref="D105:E105"/>
    <mergeCell ref="F105:G105"/>
    <mergeCell ref="A98:C98"/>
    <mergeCell ref="B57:B58"/>
    <mergeCell ref="A85:A86"/>
    <mergeCell ref="A57:A58"/>
    <mergeCell ref="C57:C58"/>
    <mergeCell ref="D57:D58"/>
    <mergeCell ref="E169:F169"/>
    <mergeCell ref="A171:D171"/>
    <mergeCell ref="A172:D172"/>
    <mergeCell ref="E174:F174"/>
    <mergeCell ref="A176:D176"/>
    <mergeCell ref="A177:D177"/>
    <mergeCell ref="A178:D178"/>
    <mergeCell ref="A179:D179"/>
    <mergeCell ref="A180:D180"/>
    <mergeCell ref="A181:D181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9CEE-3799-4A76-995E-36171D67BE0D}">
  <sheetPr>
    <pageSetUpPr fitToPage="1"/>
  </sheetPr>
  <dimension ref="A3:Q165"/>
  <sheetViews>
    <sheetView workbookViewId="0">
      <selection activeCell="J11" sqref="J11"/>
    </sheetView>
  </sheetViews>
  <sheetFormatPr baseColWidth="10" defaultColWidth="11.44140625" defaultRowHeight="14.4"/>
  <cols>
    <col min="1" max="1" width="17.88671875" customWidth="1"/>
    <col min="2" max="2" width="11.5546875" customWidth="1"/>
    <col min="3" max="3" width="8.33203125" customWidth="1"/>
    <col min="4" max="4" width="6.33203125" customWidth="1"/>
    <col min="5" max="5" width="8.44140625" customWidth="1"/>
    <col min="6" max="6" width="8.109375" customWidth="1"/>
    <col min="7" max="7" width="9.88671875" customWidth="1"/>
    <col min="8" max="8" width="0" hidden="1" customWidth="1"/>
    <col min="9" max="9" width="12.44140625" bestFit="1" customWidth="1"/>
    <col min="10" max="10" width="13.5546875" bestFit="1" customWidth="1"/>
    <col min="11" max="11" width="13" bestFit="1" customWidth="1"/>
    <col min="12" max="12" width="31.6640625" customWidth="1"/>
    <col min="16" max="16" width="13" bestFit="1" customWidth="1"/>
  </cols>
  <sheetData>
    <row r="3" spans="1:17">
      <c r="A3" s="921"/>
      <c r="B3" s="921"/>
      <c r="C3" s="921"/>
      <c r="D3" s="921"/>
      <c r="E3" s="921"/>
      <c r="F3" s="921"/>
      <c r="G3" s="921"/>
      <c r="H3" s="921"/>
      <c r="I3" s="921"/>
      <c r="J3" s="921"/>
      <c r="K3" s="921"/>
      <c r="L3" s="138">
        <v>45461</v>
      </c>
      <c r="M3" s="921"/>
      <c r="N3" s="921"/>
      <c r="O3" s="921"/>
      <c r="P3" s="921"/>
      <c r="Q3" s="921"/>
    </row>
    <row r="4" spans="1:17">
      <c r="A4" s="105" t="s">
        <v>1342</v>
      </c>
      <c r="B4" s="921"/>
      <c r="C4" s="921"/>
      <c r="D4" s="921"/>
      <c r="E4" s="921"/>
      <c r="F4" s="921"/>
      <c r="G4" s="921"/>
      <c r="H4" s="921"/>
      <c r="I4" s="921"/>
      <c r="J4" s="921"/>
      <c r="K4" s="921"/>
      <c r="L4" s="921"/>
      <c r="M4" s="921"/>
      <c r="N4" s="921"/>
      <c r="O4" s="921"/>
      <c r="P4" s="921"/>
      <c r="Q4" s="921"/>
    </row>
    <row r="5" spans="1:17" ht="17.399999999999999">
      <c r="A5" s="331" t="s">
        <v>1343</v>
      </c>
      <c r="B5" s="331"/>
      <c r="C5" s="331"/>
      <c r="D5" s="331"/>
      <c r="E5" s="994" t="s">
        <v>1344</v>
      </c>
      <c r="F5" s="994"/>
      <c r="G5" s="994"/>
      <c r="H5" s="991" t="s">
        <v>1345</v>
      </c>
      <c r="I5" s="991"/>
      <c r="J5" s="991"/>
      <c r="K5" s="966" t="s">
        <v>114</v>
      </c>
      <c r="L5" s="993" t="s">
        <v>1346</v>
      </c>
      <c r="M5" s="921"/>
      <c r="N5" s="921"/>
      <c r="O5" s="921"/>
      <c r="P5" s="921"/>
      <c r="Q5" s="921"/>
    </row>
    <row r="6" spans="1:17">
      <c r="A6" s="967" t="s">
        <v>1347</v>
      </c>
      <c r="B6" s="290" t="s">
        <v>1348</v>
      </c>
      <c r="C6" s="967" t="s">
        <v>1349</v>
      </c>
      <c r="D6" s="967" t="s">
        <v>1567</v>
      </c>
      <c r="E6" s="291" t="s">
        <v>1351</v>
      </c>
      <c r="F6" s="291" t="s">
        <v>1352</v>
      </c>
      <c r="G6" s="291" t="s">
        <v>1353</v>
      </c>
      <c r="H6" s="292" t="s">
        <v>1354</v>
      </c>
      <c r="I6" s="594" t="s">
        <v>14</v>
      </c>
      <c r="J6" s="293" t="s">
        <v>1568</v>
      </c>
      <c r="K6" s="590">
        <v>0.48299999999999998</v>
      </c>
      <c r="L6" s="993"/>
      <c r="M6" s="921"/>
      <c r="N6" s="921"/>
      <c r="O6" s="921"/>
      <c r="P6" s="146"/>
      <c r="Q6" s="921"/>
    </row>
    <row r="7" spans="1:17">
      <c r="A7" s="295" t="s">
        <v>1356</v>
      </c>
      <c r="B7" s="295" t="s">
        <v>59</v>
      </c>
      <c r="C7" s="296">
        <v>135</v>
      </c>
      <c r="D7" s="296">
        <v>750</v>
      </c>
      <c r="E7" s="297">
        <v>510</v>
      </c>
      <c r="F7" s="297">
        <v>213</v>
      </c>
      <c r="G7" s="297">
        <v>236</v>
      </c>
      <c r="H7" s="298">
        <f>(Varta!F29)</f>
        <v>5</v>
      </c>
      <c r="I7" s="594" t="e">
        <f>(Publico!#REF!)</f>
        <v>#REF!</v>
      </c>
      <c r="J7" s="585">
        <f>+H7*1.21</f>
        <v>6.05</v>
      </c>
      <c r="K7" s="599">
        <f>(J7-(J7*K$6))</f>
        <v>3.12785</v>
      </c>
      <c r="L7" s="300" t="s">
        <v>1357</v>
      </c>
      <c r="M7" s="921"/>
      <c r="N7" s="921"/>
      <c r="O7" s="921"/>
      <c r="P7" s="146"/>
      <c r="Q7" s="921"/>
    </row>
    <row r="8" spans="1:17">
      <c r="A8" s="289"/>
      <c r="B8" s="295"/>
      <c r="C8" s="295"/>
      <c r="D8" s="296"/>
      <c r="E8" s="296"/>
      <c r="F8" s="296"/>
      <c r="G8" s="296"/>
      <c r="H8" s="301"/>
      <c r="I8" s="301"/>
      <c r="J8" s="294"/>
      <c r="K8" s="294"/>
      <c r="L8" s="302"/>
      <c r="M8" s="921"/>
      <c r="N8" s="921"/>
      <c r="O8" s="112"/>
      <c r="P8" s="589"/>
      <c r="Q8" s="135"/>
    </row>
    <row r="9" spans="1:17" ht="17.399999999999999">
      <c r="A9" s="584" t="s">
        <v>1358</v>
      </c>
      <c r="B9" s="584"/>
      <c r="C9" s="584"/>
      <c r="D9" s="584"/>
      <c r="E9" s="994" t="s">
        <v>1344</v>
      </c>
      <c r="F9" s="994"/>
      <c r="G9" s="994"/>
      <c r="H9" s="991" t="s">
        <v>1345</v>
      </c>
      <c r="I9" s="991"/>
      <c r="J9" s="991"/>
      <c r="K9" s="966" t="s">
        <v>114</v>
      </c>
      <c r="L9" s="993" t="s">
        <v>1346</v>
      </c>
      <c r="M9" s="921"/>
      <c r="N9" s="921"/>
      <c r="O9" s="135"/>
      <c r="P9" s="451"/>
      <c r="Q9" s="135"/>
    </row>
    <row r="10" spans="1:17">
      <c r="A10" s="967" t="s">
        <v>1347</v>
      </c>
      <c r="B10" s="290" t="s">
        <v>1348</v>
      </c>
      <c r="C10" s="967" t="s">
        <v>1349</v>
      </c>
      <c r="D10" s="967" t="s">
        <v>1350</v>
      </c>
      <c r="E10" s="291" t="s">
        <v>1351</v>
      </c>
      <c r="F10" s="291" t="s">
        <v>1352</v>
      </c>
      <c r="G10" s="291" t="s">
        <v>1353</v>
      </c>
      <c r="H10" s="292" t="s">
        <v>1354</v>
      </c>
      <c r="I10" s="594" t="s">
        <v>14</v>
      </c>
      <c r="J10" s="293" t="s">
        <v>1568</v>
      </c>
      <c r="K10" s="590">
        <v>0.48299999999999998</v>
      </c>
      <c r="L10" s="993"/>
      <c r="M10" s="921"/>
      <c r="N10" s="921"/>
      <c r="O10" s="921"/>
      <c r="P10" s="451"/>
      <c r="Q10" s="921"/>
    </row>
    <row r="11" spans="1:17">
      <c r="A11" s="295" t="s">
        <v>1569</v>
      </c>
      <c r="B11" s="295" t="s">
        <v>1570</v>
      </c>
      <c r="C11" s="296">
        <v>40</v>
      </c>
      <c r="D11" s="296">
        <v>300</v>
      </c>
      <c r="E11" s="297">
        <v>175</v>
      </c>
      <c r="F11" s="297">
        <v>175</v>
      </c>
      <c r="G11" s="297">
        <v>190</v>
      </c>
      <c r="H11" s="303">
        <f>(Varta!F10)</f>
        <v>75421.604999999996</v>
      </c>
      <c r="I11" s="596" t="e">
        <f>(Publico!#REF!)</f>
        <v>#REF!</v>
      </c>
      <c r="J11" s="586">
        <f>(H11*1.21)</f>
        <v>91260.142049999995</v>
      </c>
      <c r="K11" s="599">
        <f t="shared" ref="K11:K23" si="0">(J11-(J11*K$6))</f>
        <v>47181.493439849997</v>
      </c>
      <c r="L11" s="305" t="s">
        <v>1571</v>
      </c>
      <c r="M11" s="921"/>
      <c r="N11" s="921"/>
      <c r="O11" s="921"/>
      <c r="P11" s="135"/>
      <c r="Q11" s="921"/>
    </row>
    <row r="12" spans="1:17">
      <c r="A12" s="295" t="s">
        <v>1359</v>
      </c>
      <c r="B12" s="295" t="s">
        <v>37</v>
      </c>
      <c r="C12" s="296">
        <v>45</v>
      </c>
      <c r="D12" s="296">
        <v>350</v>
      </c>
      <c r="E12" s="297">
        <v>210</v>
      </c>
      <c r="F12" s="297">
        <v>175</v>
      </c>
      <c r="G12" s="297">
        <v>175</v>
      </c>
      <c r="H12" s="303">
        <f>(Varta!F11)</f>
        <v>80802.119999999981</v>
      </c>
      <c r="I12" s="596" t="e">
        <f>(Publico!#REF!)</f>
        <v>#REF!</v>
      </c>
      <c r="J12" s="585">
        <f t="shared" ref="J12:J23" si="1">+H12*1.21</f>
        <v>97770.565199999968</v>
      </c>
      <c r="K12" s="599">
        <f t="shared" si="0"/>
        <v>50547.382208399984</v>
      </c>
      <c r="L12" s="300" t="s">
        <v>1360</v>
      </c>
      <c r="M12" s="921"/>
      <c r="N12" s="921"/>
      <c r="O12" s="921"/>
      <c r="P12" s="451"/>
      <c r="Q12" s="921"/>
    </row>
    <row r="13" spans="1:17">
      <c r="A13" s="295" t="s">
        <v>1361</v>
      </c>
      <c r="B13" s="295" t="s">
        <v>41</v>
      </c>
      <c r="C13" s="296">
        <v>50</v>
      </c>
      <c r="D13" s="296">
        <v>400</v>
      </c>
      <c r="E13" s="297">
        <v>210</v>
      </c>
      <c r="F13" s="297">
        <v>175</v>
      </c>
      <c r="G13" s="297">
        <v>190</v>
      </c>
      <c r="H13" s="303">
        <f>(Varta!F13)</f>
        <v>86088.239999999991</v>
      </c>
      <c r="I13" s="596" t="e">
        <f>(Publico!#REF!)</f>
        <v>#REF!</v>
      </c>
      <c r="J13" s="585">
        <f t="shared" si="1"/>
        <v>104166.77039999998</v>
      </c>
      <c r="K13" s="599">
        <f t="shared" si="0"/>
        <v>53854.220296799991</v>
      </c>
      <c r="L13" s="300" t="s">
        <v>1362</v>
      </c>
      <c r="M13" s="921"/>
      <c r="N13" s="921"/>
      <c r="O13" s="921"/>
      <c r="P13" s="921"/>
      <c r="Q13" s="921"/>
    </row>
    <row r="14" spans="1:17">
      <c r="A14" s="295" t="s">
        <v>1363</v>
      </c>
      <c r="B14" s="295" t="s">
        <v>45</v>
      </c>
      <c r="C14" s="296">
        <v>60</v>
      </c>
      <c r="D14" s="296">
        <v>450</v>
      </c>
      <c r="E14" s="297">
        <v>243</v>
      </c>
      <c r="F14" s="297">
        <v>175</v>
      </c>
      <c r="G14" s="297">
        <v>175</v>
      </c>
      <c r="H14" s="303">
        <f>(Varta!F15)</f>
        <v>88580.267999999996</v>
      </c>
      <c r="I14" s="596" t="e">
        <f>(Publico!#REF!)</f>
        <v>#REF!</v>
      </c>
      <c r="J14" s="585">
        <f t="shared" si="1"/>
        <v>107182.12427999999</v>
      </c>
      <c r="K14" s="599">
        <f t="shared" si="0"/>
        <v>55413.158252759997</v>
      </c>
      <c r="L14" s="300" t="s">
        <v>1364</v>
      </c>
      <c r="M14" s="921"/>
      <c r="N14" s="921"/>
      <c r="O14" s="921"/>
      <c r="P14" s="197"/>
      <c r="Q14" s="921"/>
    </row>
    <row r="15" spans="1:17">
      <c r="A15" s="295" t="s">
        <v>1365</v>
      </c>
      <c r="B15" s="295" t="s">
        <v>43</v>
      </c>
      <c r="C15" s="296">
        <v>60</v>
      </c>
      <c r="D15" s="296">
        <v>460</v>
      </c>
      <c r="E15" s="297">
        <v>243</v>
      </c>
      <c r="F15" s="297">
        <v>175</v>
      </c>
      <c r="G15" s="297">
        <v>190</v>
      </c>
      <c r="H15" s="303">
        <f>(Varta!F14)</f>
        <v>97226.849999999991</v>
      </c>
      <c r="I15" s="596" t="e">
        <f>(Publico!#REF!)</f>
        <v>#REF!</v>
      </c>
      <c r="J15" s="585">
        <f t="shared" si="1"/>
        <v>117644.48849999999</v>
      </c>
      <c r="K15" s="599">
        <f t="shared" si="0"/>
        <v>60822.200554499999</v>
      </c>
      <c r="L15" s="300" t="s">
        <v>1366</v>
      </c>
      <c r="M15" s="921"/>
      <c r="N15" s="921"/>
      <c r="O15" s="921"/>
      <c r="P15" s="921"/>
      <c r="Q15" s="921"/>
    </row>
    <row r="16" spans="1:17">
      <c r="A16" s="295" t="s">
        <v>1367</v>
      </c>
      <c r="B16" s="295" t="s">
        <v>46</v>
      </c>
      <c r="C16" s="296">
        <v>70</v>
      </c>
      <c r="D16" s="296">
        <v>620</v>
      </c>
      <c r="E16" s="297">
        <v>275</v>
      </c>
      <c r="F16" s="297">
        <v>175</v>
      </c>
      <c r="G16" s="297">
        <v>175</v>
      </c>
      <c r="H16" s="303">
        <f>(Varta!F16)</f>
        <v>109026.22499999999</v>
      </c>
      <c r="I16" s="596" t="e">
        <f>(Publico!#REF!)</f>
        <v>#REF!</v>
      </c>
      <c r="J16" s="585">
        <f t="shared" si="1"/>
        <v>131921.73224999997</v>
      </c>
      <c r="K16" s="599">
        <f t="shared" si="0"/>
        <v>68203.535573249988</v>
      </c>
      <c r="L16" s="300" t="s">
        <v>1368</v>
      </c>
      <c r="M16" s="921"/>
      <c r="N16" s="921"/>
      <c r="O16" s="921"/>
      <c r="P16" s="921"/>
      <c r="Q16" s="921"/>
    </row>
    <row r="17" spans="1:12">
      <c r="A17" s="295" t="s">
        <v>1369</v>
      </c>
      <c r="B17" s="295" t="s">
        <v>1370</v>
      </c>
      <c r="C17" s="296">
        <v>90</v>
      </c>
      <c r="D17" s="296">
        <v>700</v>
      </c>
      <c r="E17" s="297">
        <v>377</v>
      </c>
      <c r="F17" s="297">
        <v>175</v>
      </c>
      <c r="G17" s="297">
        <v>191</v>
      </c>
      <c r="H17" s="303">
        <f>(Varta!F19)</f>
        <v>210595.245</v>
      </c>
      <c r="I17" s="596" t="e">
        <f>(Publico!#REF!)</f>
        <v>#REF!</v>
      </c>
      <c r="J17" s="585">
        <f>+H17*1.21</f>
        <v>254820.24644999998</v>
      </c>
      <c r="K17" s="599">
        <f t="shared" si="0"/>
        <v>131742.06741465</v>
      </c>
      <c r="L17" s="300" t="s">
        <v>1371</v>
      </c>
    </row>
    <row r="18" spans="1:12">
      <c r="A18" s="295" t="s">
        <v>1372</v>
      </c>
      <c r="B18" s="295" t="s">
        <v>50</v>
      </c>
      <c r="C18" s="296">
        <v>100</v>
      </c>
      <c r="D18" s="296">
        <v>750</v>
      </c>
      <c r="E18" s="297">
        <v>330</v>
      </c>
      <c r="F18" s="297">
        <v>172</v>
      </c>
      <c r="G18" s="297">
        <v>241</v>
      </c>
      <c r="H18" s="303">
        <f>(Varta!F20)</f>
        <v>177198.29399999999</v>
      </c>
      <c r="I18" s="596" t="e">
        <f>(Publico!#REF!)</f>
        <v>#REF!</v>
      </c>
      <c r="J18" s="585">
        <f t="shared" si="1"/>
        <v>214409.93573999999</v>
      </c>
      <c r="K18" s="599">
        <f t="shared" si="0"/>
        <v>110849.93677757999</v>
      </c>
      <c r="L18" s="300" t="s">
        <v>1373</v>
      </c>
    </row>
    <row r="19" spans="1:12">
      <c r="A19" s="295" t="s">
        <v>1374</v>
      </c>
      <c r="B19" s="295" t="s">
        <v>1375</v>
      </c>
      <c r="C19" s="296">
        <v>170</v>
      </c>
      <c r="D19" s="296">
        <v>1000</v>
      </c>
      <c r="E19" s="297">
        <v>510</v>
      </c>
      <c r="F19" s="297">
        <v>213</v>
      </c>
      <c r="G19" s="297">
        <v>236</v>
      </c>
      <c r="H19" s="303">
        <f>(Varta!F23)</f>
        <v>244143.22799999997</v>
      </c>
      <c r="I19" s="596" t="e">
        <f>(Publico!#REF!)</f>
        <v>#REF!</v>
      </c>
      <c r="J19" s="585">
        <f t="shared" si="1"/>
        <v>295413.30587999994</v>
      </c>
      <c r="K19" s="599">
        <f t="shared" si="0"/>
        <v>152728.67913995998</v>
      </c>
      <c r="L19" s="300" t="s">
        <v>1376</v>
      </c>
    </row>
    <row r="20" spans="1:12">
      <c r="A20" s="295" t="s">
        <v>1377</v>
      </c>
      <c r="B20" s="295" t="s">
        <v>1378</v>
      </c>
      <c r="C20" s="296">
        <v>170</v>
      </c>
      <c r="D20" s="296">
        <v>1000</v>
      </c>
      <c r="E20" s="297">
        <v>510</v>
      </c>
      <c r="F20" s="297">
        <v>213</v>
      </c>
      <c r="G20" s="297">
        <v>236</v>
      </c>
      <c r="H20" s="303">
        <f>(Varta!F24)</f>
        <v>245559.15299999996</v>
      </c>
      <c r="I20" s="596" t="e">
        <f>(Publico!#REF!)</f>
        <v>#REF!</v>
      </c>
      <c r="J20" s="585">
        <f t="shared" si="1"/>
        <v>297126.57512999995</v>
      </c>
      <c r="K20" s="599">
        <f t="shared" si="0"/>
        <v>153614.43934220998</v>
      </c>
      <c r="L20" s="300" t="s">
        <v>1379</v>
      </c>
    </row>
    <row r="21" spans="1:12">
      <c r="A21" s="295" t="s">
        <v>1380</v>
      </c>
      <c r="B21" s="295" t="s">
        <v>1381</v>
      </c>
      <c r="C21" s="296">
        <v>190</v>
      </c>
      <c r="D21" s="296">
        <v>1100</v>
      </c>
      <c r="E21" s="297">
        <v>513</v>
      </c>
      <c r="F21" s="297">
        <v>223</v>
      </c>
      <c r="G21" s="297">
        <v>218</v>
      </c>
      <c r="H21" s="303">
        <f>(Varta!F26)</f>
        <v>298307.07899999997</v>
      </c>
      <c r="I21" s="596" t="e">
        <f>(Publico!#REF!)</f>
        <v>#REF!</v>
      </c>
      <c r="J21" s="585">
        <f t="shared" si="1"/>
        <v>360951.56558999995</v>
      </c>
      <c r="K21" s="599">
        <f t="shared" si="0"/>
        <v>186611.95941002999</v>
      </c>
      <c r="L21" s="300" t="s">
        <v>1382</v>
      </c>
    </row>
    <row r="22" spans="1:12">
      <c r="A22" s="295" t="s">
        <v>1383</v>
      </c>
      <c r="B22" s="295" t="s">
        <v>57</v>
      </c>
      <c r="C22" s="296">
        <v>200</v>
      </c>
      <c r="D22" s="296">
        <v>1000</v>
      </c>
      <c r="E22" s="297">
        <v>530</v>
      </c>
      <c r="F22" s="297">
        <v>280</v>
      </c>
      <c r="G22" s="297">
        <v>245</v>
      </c>
      <c r="H22" s="303">
        <f>(Varta!F27)</f>
        <v>302856.91800000001</v>
      </c>
      <c r="I22" s="596" t="e">
        <f>(Publico!#REF!)</f>
        <v>#REF!</v>
      </c>
      <c r="J22" s="585">
        <f t="shared" si="1"/>
        <v>366456.87078</v>
      </c>
      <c r="K22" s="599">
        <f t="shared" si="0"/>
        <v>189458.20219326002</v>
      </c>
      <c r="L22" s="300" t="s">
        <v>1384</v>
      </c>
    </row>
    <row r="23" spans="1:12">
      <c r="A23" s="295" t="s">
        <v>1385</v>
      </c>
      <c r="B23" s="295" t="s">
        <v>58</v>
      </c>
      <c r="C23" s="296">
        <v>225</v>
      </c>
      <c r="D23" s="296">
        <v>1050</v>
      </c>
      <c r="E23" s="306">
        <v>517</v>
      </c>
      <c r="F23" s="306">
        <v>275</v>
      </c>
      <c r="G23" s="306">
        <v>236</v>
      </c>
      <c r="H23" s="303">
        <f>(Varta!F28)</f>
        <v>399253.09199999995</v>
      </c>
      <c r="I23" s="596" t="e">
        <f>(Publico!#REF!)</f>
        <v>#REF!</v>
      </c>
      <c r="J23" s="585">
        <f t="shared" si="1"/>
        <v>483096.24131999991</v>
      </c>
      <c r="K23" s="599">
        <f t="shared" si="0"/>
        <v>249760.75676243997</v>
      </c>
      <c r="L23" s="300" t="s">
        <v>1386</v>
      </c>
    </row>
    <row r="24" spans="1:12">
      <c r="A24" s="289"/>
      <c r="B24" s="295"/>
      <c r="C24" s="295"/>
      <c r="D24" s="296"/>
      <c r="E24" s="296"/>
      <c r="F24" s="296"/>
      <c r="G24" s="296"/>
      <c r="H24" s="301"/>
      <c r="I24" s="301"/>
      <c r="J24" s="294"/>
      <c r="K24" s="294"/>
      <c r="L24" s="302"/>
    </row>
    <row r="25" spans="1:12" ht="17.399999999999999">
      <c r="A25" s="1001" t="s">
        <v>1387</v>
      </c>
      <c r="B25" s="1001"/>
      <c r="C25" s="1001"/>
      <c r="D25" s="1001"/>
      <c r="E25" s="994" t="s">
        <v>1344</v>
      </c>
      <c r="F25" s="994"/>
      <c r="G25" s="994"/>
      <c r="H25" s="991" t="s">
        <v>1345</v>
      </c>
      <c r="I25" s="991"/>
      <c r="J25" s="991"/>
      <c r="K25" s="966" t="s">
        <v>114</v>
      </c>
      <c r="L25" s="993" t="s">
        <v>1346</v>
      </c>
    </row>
    <row r="26" spans="1:12">
      <c r="A26" s="967" t="s">
        <v>1347</v>
      </c>
      <c r="B26" s="290" t="s">
        <v>1348</v>
      </c>
      <c r="C26" s="967" t="s">
        <v>1349</v>
      </c>
      <c r="D26" s="967" t="s">
        <v>1350</v>
      </c>
      <c r="E26" s="291" t="s">
        <v>1351</v>
      </c>
      <c r="F26" s="291" t="s">
        <v>1352</v>
      </c>
      <c r="G26" s="291" t="s">
        <v>1353</v>
      </c>
      <c r="H26" s="292" t="s">
        <v>1354</v>
      </c>
      <c r="I26" s="594" t="s">
        <v>14</v>
      </c>
      <c r="J26" s="293" t="s">
        <v>1568</v>
      </c>
      <c r="K26" s="590">
        <v>0.48299999999999998</v>
      </c>
      <c r="L26" s="993"/>
    </row>
    <row r="27" spans="1:12">
      <c r="A27" s="295" t="s">
        <v>1388</v>
      </c>
      <c r="B27" s="295" t="s">
        <v>33</v>
      </c>
      <c r="C27" s="296">
        <v>38</v>
      </c>
      <c r="D27" s="296">
        <v>320</v>
      </c>
      <c r="E27" s="297">
        <v>196</v>
      </c>
      <c r="F27" s="297">
        <v>126</v>
      </c>
      <c r="G27" s="297">
        <v>225</v>
      </c>
      <c r="H27" s="298">
        <f>(Varta!F9)</f>
        <v>79839.290999999997</v>
      </c>
      <c r="I27" s="594" t="e">
        <f>(Publico!#REF!)</f>
        <v>#REF!</v>
      </c>
      <c r="J27" s="585">
        <f>+H27*1.21</f>
        <v>96605.542109999995</v>
      </c>
      <c r="K27" s="599">
        <f t="shared" ref="K27:K30" si="2">(J27-(J27*K$6))</f>
        <v>49945.06527087</v>
      </c>
      <c r="L27" s="300" t="s">
        <v>1389</v>
      </c>
    </row>
    <row r="28" spans="1:12">
      <c r="A28" s="295" t="s">
        <v>1390</v>
      </c>
      <c r="B28" s="295" t="s">
        <v>1391</v>
      </c>
      <c r="C28" s="296">
        <v>50</v>
      </c>
      <c r="D28" s="296">
        <v>375</v>
      </c>
      <c r="E28" s="297">
        <v>237</v>
      </c>
      <c r="F28" s="297">
        <v>126</v>
      </c>
      <c r="G28" s="297">
        <v>225</v>
      </c>
      <c r="H28" s="298">
        <f>(Varta!F12)</f>
        <v>85956.087</v>
      </c>
      <c r="I28" s="594" t="e">
        <f>(Publico!#REF!)</f>
        <v>#REF!</v>
      </c>
      <c r="J28" s="585">
        <f>+H28*1.21</f>
        <v>104006.86526999999</v>
      </c>
      <c r="K28" s="599">
        <f t="shared" si="2"/>
        <v>53771.549344589999</v>
      </c>
      <c r="L28" s="300" t="s">
        <v>1392</v>
      </c>
    </row>
    <row r="29" spans="1:12">
      <c r="A29" s="295" t="s">
        <v>1393</v>
      </c>
      <c r="B29" s="295" t="s">
        <v>47</v>
      </c>
      <c r="C29" s="296">
        <v>75</v>
      </c>
      <c r="D29" s="296">
        <v>530</v>
      </c>
      <c r="E29" s="297">
        <v>258</v>
      </c>
      <c r="F29" s="297">
        <v>171</v>
      </c>
      <c r="G29" s="297">
        <v>225</v>
      </c>
      <c r="H29" s="298">
        <f>(Varta!F17)</f>
        <v>121920.58199999999</v>
      </c>
      <c r="I29" s="594" t="e">
        <f>(Publico!#REF!)</f>
        <v>#REF!</v>
      </c>
      <c r="J29" s="585">
        <f>+H29*1.21</f>
        <v>147523.90422</v>
      </c>
      <c r="K29" s="599">
        <f t="shared" si="2"/>
        <v>76269.858481739997</v>
      </c>
      <c r="L29" s="300" t="s">
        <v>1394</v>
      </c>
    </row>
    <row r="30" spans="1:12">
      <c r="A30" s="295" t="s">
        <v>1395</v>
      </c>
      <c r="B30" s="295" t="s">
        <v>48</v>
      </c>
      <c r="C30" s="296">
        <v>90</v>
      </c>
      <c r="D30" s="296">
        <v>750</v>
      </c>
      <c r="E30" s="297">
        <v>320</v>
      </c>
      <c r="F30" s="297">
        <v>171</v>
      </c>
      <c r="G30" s="297">
        <v>227</v>
      </c>
      <c r="H30" s="298">
        <f>(Varta!F18)</f>
        <v>148898.67300000001</v>
      </c>
      <c r="I30" s="594" t="e">
        <f>(Publico!#REF!)</f>
        <v>#REF!</v>
      </c>
      <c r="J30" s="585">
        <f>+H30*1.21</f>
        <v>180167.39433000001</v>
      </c>
      <c r="K30" s="599">
        <f t="shared" si="2"/>
        <v>93146.542868610006</v>
      </c>
      <c r="L30" s="300" t="s">
        <v>1396</v>
      </c>
    </row>
    <row r="31" spans="1:12">
      <c r="A31" s="289"/>
      <c r="B31" s="295"/>
      <c r="C31" s="295"/>
      <c r="D31" s="296"/>
      <c r="E31" s="296"/>
      <c r="F31" s="296"/>
      <c r="G31" s="296"/>
      <c r="H31" s="301"/>
      <c r="I31" s="301"/>
      <c r="J31" s="294"/>
      <c r="K31" s="294"/>
      <c r="L31" s="302"/>
    </row>
    <row r="32" spans="1:12" ht="17.399999999999999">
      <c r="A32" s="1002" t="s">
        <v>1397</v>
      </c>
      <c r="B32" s="1002"/>
      <c r="C32" s="1002"/>
      <c r="D32" s="1002"/>
      <c r="E32" s="994" t="s">
        <v>1344</v>
      </c>
      <c r="F32" s="994"/>
      <c r="G32" s="994"/>
      <c r="H32" s="991" t="s">
        <v>1345</v>
      </c>
      <c r="I32" s="991"/>
      <c r="J32" s="991"/>
      <c r="K32" s="966" t="s">
        <v>114</v>
      </c>
      <c r="L32" s="993" t="s">
        <v>1346</v>
      </c>
    </row>
    <row r="33" spans="1:12">
      <c r="A33" s="967" t="s">
        <v>1347</v>
      </c>
      <c r="B33" s="290" t="s">
        <v>1348</v>
      </c>
      <c r="C33" s="967" t="s">
        <v>1349</v>
      </c>
      <c r="D33" s="967" t="s">
        <v>1350</v>
      </c>
      <c r="E33" s="291" t="s">
        <v>1351</v>
      </c>
      <c r="F33" s="291" t="s">
        <v>1352</v>
      </c>
      <c r="G33" s="291" t="s">
        <v>1353</v>
      </c>
      <c r="H33" s="292" t="s">
        <v>1354</v>
      </c>
      <c r="I33" s="594" t="s">
        <v>14</v>
      </c>
      <c r="J33" s="293" t="s">
        <v>1568</v>
      </c>
      <c r="K33" s="590">
        <v>0.48299999999999998</v>
      </c>
      <c r="L33" s="993"/>
    </row>
    <row r="34" spans="1:12">
      <c r="A34" s="295" t="s">
        <v>1365</v>
      </c>
      <c r="B34" s="295" t="s">
        <v>23</v>
      </c>
      <c r="C34" s="296">
        <v>60</v>
      </c>
      <c r="D34" s="296">
        <v>600</v>
      </c>
      <c r="E34" s="297">
        <v>243</v>
      </c>
      <c r="F34" s="297">
        <v>175</v>
      </c>
      <c r="G34" s="297">
        <v>190</v>
      </c>
      <c r="H34" s="298">
        <f>(Varta!F4)</f>
        <v>116917.647</v>
      </c>
      <c r="I34" s="594" t="e">
        <f>(Publico!#REF!)</f>
        <v>#REF!</v>
      </c>
      <c r="J34" s="585">
        <f>+H34*1.21</f>
        <v>141470.35287</v>
      </c>
      <c r="K34" s="599">
        <f t="shared" ref="K34:K36" si="3">(J34-(J34*K$6))</f>
        <v>73140.172433790009</v>
      </c>
      <c r="L34" s="300" t="s">
        <v>1398</v>
      </c>
    </row>
    <row r="35" spans="1:12">
      <c r="A35" s="295" t="s">
        <v>1367</v>
      </c>
      <c r="B35" s="295" t="s">
        <v>1572</v>
      </c>
      <c r="C35" s="296">
        <v>75</v>
      </c>
      <c r="D35" s="296">
        <v>700</v>
      </c>
      <c r="E35" s="297">
        <v>275</v>
      </c>
      <c r="F35" s="297">
        <v>175</v>
      </c>
      <c r="G35" s="297">
        <v>175</v>
      </c>
      <c r="H35" s="298">
        <f>(Varta!F6)</f>
        <v>0</v>
      </c>
      <c r="I35" s="594" t="e">
        <f>(Publico!#REF!)</f>
        <v>#REF!</v>
      </c>
      <c r="J35" s="585">
        <f>+H35*1.21</f>
        <v>0</v>
      </c>
      <c r="K35" s="599">
        <f t="shared" si="3"/>
        <v>0</v>
      </c>
      <c r="L35" s="300" t="s">
        <v>1573</v>
      </c>
    </row>
    <row r="36" spans="1:12">
      <c r="A36" s="295" t="s">
        <v>1399</v>
      </c>
      <c r="B36" s="295" t="s">
        <v>30</v>
      </c>
      <c r="C36" s="296">
        <v>75</v>
      </c>
      <c r="D36" s="296">
        <v>700</v>
      </c>
      <c r="E36" s="297">
        <v>275</v>
      </c>
      <c r="F36" s="297">
        <v>175</v>
      </c>
      <c r="G36" s="297">
        <v>191</v>
      </c>
      <c r="H36" s="298">
        <f>(Varta!F7)</f>
        <v>114897.594</v>
      </c>
      <c r="I36" s="594" t="e">
        <f>(Publico!#REF!)</f>
        <v>#REF!</v>
      </c>
      <c r="J36" s="585">
        <f>+H36*1.21</f>
        <v>139026.08874000001</v>
      </c>
      <c r="K36" s="599">
        <f t="shared" si="3"/>
        <v>71876.48787858001</v>
      </c>
      <c r="L36" s="300" t="s">
        <v>1400</v>
      </c>
    </row>
    <row r="37" spans="1:12">
      <c r="A37" s="295" t="s">
        <v>1369</v>
      </c>
      <c r="B37" s="295" t="s">
        <v>31</v>
      </c>
      <c r="C37" s="296">
        <v>95</v>
      </c>
      <c r="D37" s="296">
        <v>730</v>
      </c>
      <c r="E37" s="297">
        <v>377</v>
      </c>
      <c r="F37" s="297">
        <v>175</v>
      </c>
      <c r="G37" s="297">
        <v>191</v>
      </c>
      <c r="H37" s="298">
        <f>(Varta!F8)</f>
        <v>153372.99599999998</v>
      </c>
      <c r="I37" s="594" t="e">
        <f>(Publico!#REF!)</f>
        <v>#REF!</v>
      </c>
      <c r="J37" s="585">
        <f>+H37*1.21</f>
        <v>185581.32515999998</v>
      </c>
      <c r="K37" s="599">
        <f>(J37-(J37*K$6))</f>
        <v>95945.545107719998</v>
      </c>
      <c r="L37" s="300" t="s">
        <v>1401</v>
      </c>
    </row>
    <row r="38" spans="1:12">
      <c r="A38" s="296"/>
      <c r="B38" s="295"/>
      <c r="C38" s="295"/>
      <c r="D38" s="307"/>
      <c r="E38" s="296"/>
      <c r="F38" s="296"/>
      <c r="G38" s="296"/>
      <c r="H38" s="301"/>
      <c r="I38" s="301"/>
      <c r="J38" s="294"/>
      <c r="K38" s="294"/>
      <c r="L38" s="308"/>
    </row>
    <row r="39" spans="1:12">
      <c r="A39" s="1003" t="s">
        <v>1402</v>
      </c>
      <c r="B39" s="1003"/>
      <c r="C39" s="1003"/>
      <c r="D39" s="1003"/>
      <c r="E39" s="296"/>
      <c r="F39" s="296"/>
      <c r="G39" s="296"/>
      <c r="H39" s="301"/>
      <c r="I39" s="301"/>
      <c r="J39" s="294"/>
      <c r="K39" s="294"/>
      <c r="L39" s="308"/>
    </row>
    <row r="40" spans="1:12">
      <c r="A40" s="1003"/>
      <c r="B40" s="1003"/>
      <c r="C40" s="1003"/>
      <c r="D40" s="1003"/>
      <c r="E40" s="994" t="s">
        <v>1344</v>
      </c>
      <c r="F40" s="994"/>
      <c r="G40" s="994"/>
      <c r="H40" s="991" t="s">
        <v>1345</v>
      </c>
      <c r="I40" s="991"/>
      <c r="J40" s="991"/>
      <c r="K40" s="966" t="s">
        <v>114</v>
      </c>
      <c r="L40" s="993" t="s">
        <v>1346</v>
      </c>
    </row>
    <row r="41" spans="1:12">
      <c r="A41" s="967" t="s">
        <v>1347</v>
      </c>
      <c r="B41" s="290" t="s">
        <v>1348</v>
      </c>
      <c r="C41" s="967" t="s">
        <v>1349</v>
      </c>
      <c r="D41" s="967" t="s">
        <v>1350</v>
      </c>
      <c r="E41" s="291" t="s">
        <v>1351</v>
      </c>
      <c r="F41" s="291" t="s">
        <v>1352</v>
      </c>
      <c r="G41" s="291" t="s">
        <v>1353</v>
      </c>
      <c r="H41" s="292" t="s">
        <v>1354</v>
      </c>
      <c r="I41" s="594" t="s">
        <v>14</v>
      </c>
      <c r="J41" s="293" t="s">
        <v>1568</v>
      </c>
      <c r="K41" s="590">
        <v>0.48299999999999998</v>
      </c>
      <c r="L41" s="993"/>
    </row>
    <row r="42" spans="1:12">
      <c r="A42" s="295" t="s">
        <v>1403</v>
      </c>
      <c r="B42" s="295" t="s">
        <v>60</v>
      </c>
      <c r="C42" s="296">
        <v>60</v>
      </c>
      <c r="D42" s="296">
        <v>500</v>
      </c>
      <c r="E42" s="306">
        <v>243</v>
      </c>
      <c r="F42" s="306">
        <v>175</v>
      </c>
      <c r="G42" s="306">
        <v>190</v>
      </c>
      <c r="H42" s="298">
        <f>(Varta!F30)</f>
        <v>159244.36499999996</v>
      </c>
      <c r="I42" s="594" t="e">
        <f>(Publico!#REF!)</f>
        <v>#REF!</v>
      </c>
      <c r="J42" s="585">
        <f>+H42*1.21</f>
        <v>192685.68164999995</v>
      </c>
      <c r="K42" s="599">
        <f t="shared" ref="K42:K43" si="4">(J42-(J42*K$6))</f>
        <v>99618.497413049976</v>
      </c>
      <c r="L42" s="296" t="s">
        <v>1404</v>
      </c>
    </row>
    <row r="43" spans="1:12">
      <c r="A43" s="295" t="s">
        <v>1405</v>
      </c>
      <c r="B43" s="295" t="s">
        <v>61</v>
      </c>
      <c r="C43" s="296">
        <v>72</v>
      </c>
      <c r="D43" s="296">
        <v>700</v>
      </c>
      <c r="E43" s="297">
        <v>275</v>
      </c>
      <c r="F43" s="297">
        <v>175</v>
      </c>
      <c r="G43" s="297">
        <v>191</v>
      </c>
      <c r="H43" s="298">
        <f>(Varta!F31)</f>
        <v>173082.67200000002</v>
      </c>
      <c r="I43" s="594" t="e">
        <f>(Publico!#REF!)</f>
        <v>#REF!</v>
      </c>
      <c r="J43" s="585">
        <f>+H43*1.21</f>
        <v>209430.03312000001</v>
      </c>
      <c r="K43" s="599">
        <f t="shared" si="4"/>
        <v>108275.32712304001</v>
      </c>
      <c r="L43" s="296" t="s">
        <v>1406</v>
      </c>
    </row>
    <row r="44" spans="1:12">
      <c r="A44" s="105"/>
      <c r="B44" s="921"/>
      <c r="C44" s="921"/>
      <c r="D44" s="921"/>
      <c r="E44" s="921"/>
      <c r="F44" s="921"/>
      <c r="G44" s="921"/>
      <c r="H44" s="921"/>
      <c r="I44" s="921"/>
      <c r="J44" s="921"/>
      <c r="K44" s="921"/>
      <c r="L44" s="921"/>
    </row>
    <row r="46" spans="1:12">
      <c r="A46" s="105" t="s">
        <v>308</v>
      </c>
      <c r="B46" s="921"/>
      <c r="C46" s="921"/>
      <c r="D46" s="921"/>
      <c r="E46" s="921"/>
      <c r="F46" s="921"/>
      <c r="G46" s="921"/>
      <c r="H46" s="921"/>
      <c r="I46" s="921"/>
      <c r="J46" s="921"/>
      <c r="K46" s="921"/>
      <c r="L46" s="921"/>
    </row>
    <row r="47" spans="1:12" ht="15" customHeight="1">
      <c r="A47" s="999" t="s">
        <v>1413</v>
      </c>
      <c r="B47" s="998" t="s">
        <v>1414</v>
      </c>
      <c r="C47" s="998" t="s">
        <v>1415</v>
      </c>
      <c r="D47" s="998" t="s">
        <v>1416</v>
      </c>
      <c r="E47" s="994" t="s">
        <v>1418</v>
      </c>
      <c r="F47" s="994"/>
      <c r="G47" s="994"/>
      <c r="H47" s="991" t="s">
        <v>1345</v>
      </c>
      <c r="I47" s="991"/>
      <c r="J47" s="991"/>
      <c r="K47" s="966" t="s">
        <v>114</v>
      </c>
      <c r="L47" s="998" t="s">
        <v>1417</v>
      </c>
    </row>
    <row r="48" spans="1:12">
      <c r="A48" s="999"/>
      <c r="B48" s="998"/>
      <c r="C48" s="998"/>
      <c r="D48" s="998"/>
      <c r="E48" s="291" t="s">
        <v>1351</v>
      </c>
      <c r="F48" s="291" t="s">
        <v>1352</v>
      </c>
      <c r="G48" s="291" t="s">
        <v>1353</v>
      </c>
      <c r="H48" s="292" t="s">
        <v>1354</v>
      </c>
      <c r="I48" s="594" t="s">
        <v>14</v>
      </c>
      <c r="J48" s="293" t="s">
        <v>1568</v>
      </c>
      <c r="K48" s="590">
        <v>0.48299999999999998</v>
      </c>
      <c r="L48" s="998"/>
    </row>
    <row r="49" spans="1:12">
      <c r="A49" s="310" t="s">
        <v>1419</v>
      </c>
      <c r="B49" s="315" t="s">
        <v>271</v>
      </c>
      <c r="C49" s="315">
        <v>40</v>
      </c>
      <c r="D49" s="315">
        <v>450</v>
      </c>
      <c r="E49" s="297">
        <v>197</v>
      </c>
      <c r="F49" s="297">
        <v>130</v>
      </c>
      <c r="G49" s="297">
        <v>229</v>
      </c>
      <c r="H49" s="340">
        <f>(Moura!G6)</f>
        <v>86088.239999999991</v>
      </c>
      <c r="I49" s="594" t="e">
        <f>(Publico!#REF!)</f>
        <v>#REF!</v>
      </c>
      <c r="J49" s="585">
        <f>(Mayorista!J59)</f>
        <v>101435.8192155</v>
      </c>
      <c r="K49" s="599">
        <f>(J49-(J49*K$48))</f>
        <v>52442.318534413498</v>
      </c>
      <c r="L49" s="314" t="s">
        <v>1420</v>
      </c>
    </row>
    <row r="50" spans="1:12">
      <c r="A50" s="310" t="s">
        <v>1421</v>
      </c>
      <c r="B50" s="311" t="s">
        <v>259</v>
      </c>
      <c r="C50" s="311">
        <v>50</v>
      </c>
      <c r="D50" s="311">
        <v>530</v>
      </c>
      <c r="E50" s="297">
        <v>238</v>
      </c>
      <c r="F50" s="297">
        <v>129</v>
      </c>
      <c r="G50" s="297">
        <v>223</v>
      </c>
      <c r="H50" s="340">
        <f>(Moura!G7)</f>
        <v>86088.239999999991</v>
      </c>
      <c r="I50" s="594" t="e">
        <f>(Publico!#REF!)</f>
        <v>#REF!</v>
      </c>
      <c r="J50" s="585">
        <f>(Mayorista!J60)</f>
        <v>109207.2085335</v>
      </c>
      <c r="K50" s="599">
        <f t="shared" ref="K50:K71" si="5">(J50-(J50*K$48))</f>
        <v>56460.1268118195</v>
      </c>
      <c r="L50" s="312" t="s">
        <v>1422</v>
      </c>
    </row>
    <row r="51" spans="1:12">
      <c r="A51" s="295" t="s">
        <v>1423</v>
      </c>
      <c r="B51" s="296" t="s">
        <v>257</v>
      </c>
      <c r="C51" s="296">
        <v>45</v>
      </c>
      <c r="D51" s="296">
        <v>380</v>
      </c>
      <c r="E51" s="297">
        <v>212</v>
      </c>
      <c r="F51" s="297">
        <v>175</v>
      </c>
      <c r="G51" s="297">
        <v>175</v>
      </c>
      <c r="H51" s="340" t="e">
        <f>(Moura!#REF!)</f>
        <v>#REF!</v>
      </c>
      <c r="I51" s="594" t="e">
        <f>(Publico!#REF!)</f>
        <v>#REF!</v>
      </c>
      <c r="J51" s="585">
        <f>(Mayorista!J61)</f>
        <v>97770.565199999968</v>
      </c>
      <c r="K51" s="599">
        <f t="shared" si="5"/>
        <v>50547.382208399984</v>
      </c>
      <c r="L51" s="300" t="s">
        <v>1424</v>
      </c>
    </row>
    <row r="52" spans="1:12">
      <c r="A52" s="295" t="s">
        <v>1425</v>
      </c>
      <c r="B52" s="296" t="s">
        <v>1426</v>
      </c>
      <c r="C52" s="296">
        <v>50</v>
      </c>
      <c r="D52" s="296">
        <v>390</v>
      </c>
      <c r="E52" s="297">
        <v>212</v>
      </c>
      <c r="F52" s="297">
        <v>175</v>
      </c>
      <c r="G52" s="297">
        <v>190</v>
      </c>
      <c r="H52" s="340" t="e">
        <f>(Moura!#REF!)</f>
        <v>#REF!</v>
      </c>
      <c r="I52" s="594" t="e">
        <f>(Publico!#REF!)</f>
        <v>#REF!</v>
      </c>
      <c r="J52" s="585">
        <f>(Mayorista!J62)</f>
        <v>104166.77039999998</v>
      </c>
      <c r="K52" s="599">
        <f t="shared" si="5"/>
        <v>53854.220296799991</v>
      </c>
      <c r="L52" s="300" t="s">
        <v>1427</v>
      </c>
    </row>
    <row r="53" spans="1:12">
      <c r="A53" s="295" t="s">
        <v>1428</v>
      </c>
      <c r="B53" s="296" t="s">
        <v>108</v>
      </c>
      <c r="C53" s="296">
        <v>48</v>
      </c>
      <c r="D53" s="296">
        <v>350</v>
      </c>
      <c r="E53" s="297">
        <v>246</v>
      </c>
      <c r="F53" s="297">
        <v>175</v>
      </c>
      <c r="G53" s="297">
        <v>175</v>
      </c>
      <c r="H53" s="340" t="e">
        <f>(Moura!#REF!)</f>
        <v>#REF!</v>
      </c>
      <c r="I53" s="594" t="e">
        <f>(Publico!#REF!)</f>
        <v>#REF!</v>
      </c>
      <c r="J53" s="585">
        <f>(Mayorista!J63)</f>
        <v>104166.77039999998</v>
      </c>
      <c r="K53" s="599">
        <f t="shared" si="5"/>
        <v>53854.220296799991</v>
      </c>
      <c r="L53" s="300" t="s">
        <v>1429</v>
      </c>
    </row>
    <row r="54" spans="1:12">
      <c r="A54" s="295" t="s">
        <v>1430</v>
      </c>
      <c r="B54" s="296" t="s">
        <v>1431</v>
      </c>
      <c r="C54" s="296">
        <v>60</v>
      </c>
      <c r="D54" s="296">
        <v>450</v>
      </c>
      <c r="E54" s="297">
        <v>246</v>
      </c>
      <c r="F54" s="297">
        <v>175</v>
      </c>
      <c r="G54" s="297">
        <v>175</v>
      </c>
      <c r="H54" s="340" t="e">
        <f>(Moura!#REF!)</f>
        <v>#REF!</v>
      </c>
      <c r="I54" s="594" t="e">
        <f>(Publico!#REF!)</f>
        <v>#REF!</v>
      </c>
      <c r="J54" s="585">
        <f>(Mayorista!J64)</f>
        <v>115756.69422239999</v>
      </c>
      <c r="K54" s="599">
        <f t="shared" si="5"/>
        <v>59846.210912980801</v>
      </c>
      <c r="L54" s="300" t="s">
        <v>1432</v>
      </c>
    </row>
    <row r="55" spans="1:12">
      <c r="A55" s="295" t="s">
        <v>1433</v>
      </c>
      <c r="B55" s="296" t="s">
        <v>1431</v>
      </c>
      <c r="C55" s="296">
        <v>60</v>
      </c>
      <c r="D55" s="296">
        <v>450</v>
      </c>
      <c r="E55" s="297">
        <v>246</v>
      </c>
      <c r="F55" s="297">
        <v>175</v>
      </c>
      <c r="G55" s="297">
        <v>175</v>
      </c>
      <c r="H55" s="340" t="e">
        <f>(Moura!#REF!)</f>
        <v>#REF!</v>
      </c>
      <c r="I55" s="594" t="e">
        <f>(Publico!#REF!)</f>
        <v>#REF!</v>
      </c>
      <c r="J55" s="585">
        <f>(Mayorista!J65)</f>
        <v>115756.69422239999</v>
      </c>
      <c r="K55" s="599">
        <f t="shared" si="5"/>
        <v>59846.210912980801</v>
      </c>
      <c r="L55" s="300" t="s">
        <v>1432</v>
      </c>
    </row>
    <row r="56" spans="1:12">
      <c r="A56" s="295" t="s">
        <v>1434</v>
      </c>
      <c r="B56" s="296" t="s">
        <v>110</v>
      </c>
      <c r="C56" s="296">
        <v>60</v>
      </c>
      <c r="D56" s="296">
        <v>470</v>
      </c>
      <c r="E56" s="297">
        <v>242</v>
      </c>
      <c r="F56" s="297">
        <v>175</v>
      </c>
      <c r="G56" s="297">
        <v>190</v>
      </c>
      <c r="H56" s="340" t="e">
        <f>(Moura!#REF!)</f>
        <v>#REF!</v>
      </c>
      <c r="I56" s="594" t="e">
        <f>(Publico!#REF!)</f>
        <v>#REF!</v>
      </c>
      <c r="J56" s="585">
        <f>(Mayorista!J66)</f>
        <v>123526.71292499999</v>
      </c>
      <c r="K56" s="599">
        <f t="shared" si="5"/>
        <v>63863.310582224993</v>
      </c>
      <c r="L56" s="300" t="s">
        <v>1435</v>
      </c>
    </row>
    <row r="57" spans="1:12">
      <c r="A57" s="295" t="s">
        <v>1436</v>
      </c>
      <c r="B57" s="296" t="s">
        <v>110</v>
      </c>
      <c r="C57" s="296">
        <v>65</v>
      </c>
      <c r="D57" s="296">
        <v>530</v>
      </c>
      <c r="E57" s="297">
        <v>282</v>
      </c>
      <c r="F57" s="297">
        <v>175</v>
      </c>
      <c r="G57" s="297">
        <v>175</v>
      </c>
      <c r="H57" s="340" t="e">
        <f>(Moura!#REF!)</f>
        <v>#REF!</v>
      </c>
      <c r="I57" s="594" t="e">
        <f>(Publico!#REF!)</f>
        <v>#REF!</v>
      </c>
      <c r="J57" s="585">
        <f>(Mayorista!J67)</f>
        <v>131921.73224999997</v>
      </c>
      <c r="K57" s="599">
        <f t="shared" si="5"/>
        <v>68203.535573249988</v>
      </c>
      <c r="L57" s="300" t="s">
        <v>1437</v>
      </c>
    </row>
    <row r="58" spans="1:12">
      <c r="A58" s="295" t="s">
        <v>1438</v>
      </c>
      <c r="B58" s="296" t="s">
        <v>110</v>
      </c>
      <c r="C58" s="296">
        <v>70</v>
      </c>
      <c r="D58" s="296">
        <v>620</v>
      </c>
      <c r="E58" s="297">
        <v>282</v>
      </c>
      <c r="F58" s="297">
        <v>175</v>
      </c>
      <c r="G58" s="297">
        <v>175</v>
      </c>
      <c r="H58" s="340" t="e">
        <f>(Moura!#REF!)</f>
        <v>#REF!</v>
      </c>
      <c r="I58" s="594" t="e">
        <f>(Publico!#REF!)</f>
        <v>#REF!</v>
      </c>
      <c r="J58" s="585">
        <f>(Mayorista!J68)</f>
        <v>141156.25350749999</v>
      </c>
      <c r="K58" s="599">
        <f t="shared" si="5"/>
        <v>72977.783063377501</v>
      </c>
      <c r="L58" s="300" t="s">
        <v>1439</v>
      </c>
    </row>
    <row r="59" spans="1:12">
      <c r="A59" s="295" t="s">
        <v>1440</v>
      </c>
      <c r="B59" s="296" t="s">
        <v>1441</v>
      </c>
      <c r="C59" s="296">
        <v>70</v>
      </c>
      <c r="D59" s="296">
        <v>600</v>
      </c>
      <c r="E59" s="297">
        <v>282</v>
      </c>
      <c r="F59" s="297">
        <v>175</v>
      </c>
      <c r="G59" s="297">
        <v>190</v>
      </c>
      <c r="H59" s="340" t="e">
        <f>(Moura!#REF!)</f>
        <v>#REF!</v>
      </c>
      <c r="I59" s="594" t="e">
        <f>(Publico!#REF!)</f>
        <v>#REF!</v>
      </c>
      <c r="J59" s="585">
        <f>(Mayorista!J69)</f>
        <v>148757.91495180002</v>
      </c>
      <c r="K59" s="599">
        <f t="shared" si="5"/>
        <v>76907.842030080617</v>
      </c>
      <c r="L59" s="300" t="s">
        <v>1442</v>
      </c>
    </row>
    <row r="60" spans="1:12">
      <c r="A60" s="295" t="s">
        <v>1443</v>
      </c>
      <c r="B60" s="296" t="s">
        <v>1444</v>
      </c>
      <c r="C60" s="296">
        <v>80</v>
      </c>
      <c r="D60" s="296">
        <v>690</v>
      </c>
      <c r="E60" s="297">
        <v>310</v>
      </c>
      <c r="F60" s="297">
        <v>175</v>
      </c>
      <c r="G60" s="297">
        <v>190</v>
      </c>
      <c r="H60" s="340">
        <f>(Moura!G3)</f>
        <v>45764</v>
      </c>
      <c r="I60" s="594" t="e">
        <f>(Publico!#REF!)</f>
        <v>#REF!</v>
      </c>
      <c r="J60" s="585">
        <f>(Mayorista!J70)</f>
        <v>162517.8737</v>
      </c>
      <c r="K60" s="599">
        <f t="shared" si="5"/>
        <v>84021.740702900002</v>
      </c>
      <c r="L60" s="300" t="s">
        <v>1445</v>
      </c>
    </row>
    <row r="61" spans="1:12">
      <c r="A61" s="295" t="s">
        <v>1446</v>
      </c>
      <c r="B61" s="296" t="s">
        <v>1444</v>
      </c>
      <c r="C61" s="296">
        <v>80</v>
      </c>
      <c r="D61" s="296">
        <v>690</v>
      </c>
      <c r="E61" s="297">
        <v>310</v>
      </c>
      <c r="F61" s="297">
        <v>175</v>
      </c>
      <c r="G61" s="297">
        <v>190</v>
      </c>
      <c r="H61" s="340">
        <f>(Moura!G22)</f>
        <v>148898.67300000001</v>
      </c>
      <c r="I61" s="594" t="e">
        <f>(Publico!#REF!)</f>
        <v>#REF!</v>
      </c>
      <c r="J61" s="585">
        <f>(Mayorista!J71)</f>
        <v>298227.08370000002</v>
      </c>
      <c r="K61" s="599">
        <f t="shared" si="5"/>
        <v>154183.40227290001</v>
      </c>
      <c r="L61" s="300" t="s">
        <v>1447</v>
      </c>
    </row>
    <row r="62" spans="1:12">
      <c r="A62" s="295" t="s">
        <v>1448</v>
      </c>
      <c r="B62" s="296" t="s">
        <v>1444</v>
      </c>
      <c r="C62" s="296">
        <v>72</v>
      </c>
      <c r="D62" s="296">
        <v>720</v>
      </c>
      <c r="E62" s="297">
        <v>282</v>
      </c>
      <c r="F62" s="297">
        <v>175</v>
      </c>
      <c r="G62" s="297">
        <v>190</v>
      </c>
      <c r="H62" s="340">
        <f>(Moura!G20)</f>
        <v>148898.67300000001</v>
      </c>
      <c r="I62" s="594" t="e">
        <f>(Publico!#REF!)</f>
        <v>#REF!</v>
      </c>
      <c r="J62" s="585">
        <f>(Mayorista!J72)</f>
        <v>240844.53808799997</v>
      </c>
      <c r="K62" s="599">
        <f t="shared" si="5"/>
        <v>124516.62619149599</v>
      </c>
      <c r="L62" s="300" t="s">
        <v>1449</v>
      </c>
    </row>
    <row r="63" spans="1:12">
      <c r="A63" s="295" t="s">
        <v>1450</v>
      </c>
      <c r="B63" s="296" t="s">
        <v>1444</v>
      </c>
      <c r="C63" s="296">
        <v>80</v>
      </c>
      <c r="D63" s="296">
        <v>650</v>
      </c>
      <c r="E63" s="300" t="s">
        <v>1451</v>
      </c>
      <c r="F63" s="297">
        <v>282</v>
      </c>
      <c r="G63" s="297">
        <v>175</v>
      </c>
      <c r="H63" s="297">
        <v>190</v>
      </c>
      <c r="I63" s="594" t="e">
        <f>(Publico!#REF!)</f>
        <v>#REF!</v>
      </c>
      <c r="J63" s="585">
        <f>(Mayorista!J73)</f>
        <v>401680.5086</v>
      </c>
      <c r="K63" s="599">
        <f>(J63-(J63*K48))</f>
        <v>207668.8229462</v>
      </c>
      <c r="L63" s="300" t="s">
        <v>1574</v>
      </c>
    </row>
    <row r="64" spans="1:12">
      <c r="A64" s="295" t="s">
        <v>1452</v>
      </c>
      <c r="B64" s="296" t="s">
        <v>1453</v>
      </c>
      <c r="C64" s="296">
        <v>95</v>
      </c>
      <c r="D64" s="296">
        <v>850</v>
      </c>
      <c r="E64" s="297">
        <v>350</v>
      </c>
      <c r="F64" s="297">
        <v>173</v>
      </c>
      <c r="G64" s="297">
        <v>192</v>
      </c>
      <c r="H64" s="340">
        <f>(Moura!G4)</f>
        <v>0</v>
      </c>
      <c r="I64" s="594" t="e">
        <f>(Publico!#REF!)</f>
        <v>#REF!</v>
      </c>
      <c r="J64" s="585">
        <f>(Mayorista!J74)</f>
        <v>185581.32515999998</v>
      </c>
      <c r="K64" s="599">
        <f t="shared" si="5"/>
        <v>95945.545107719998</v>
      </c>
      <c r="L64" s="300" t="s">
        <v>1454</v>
      </c>
    </row>
    <row r="65" spans="1:12">
      <c r="A65" s="295" t="s">
        <v>1455</v>
      </c>
      <c r="B65" s="296" t="s">
        <v>275</v>
      </c>
      <c r="C65" s="296">
        <v>100</v>
      </c>
      <c r="D65" s="296">
        <v>900</v>
      </c>
      <c r="E65" s="297">
        <v>329</v>
      </c>
      <c r="F65" s="297">
        <v>172</v>
      </c>
      <c r="G65" s="297">
        <v>237</v>
      </c>
      <c r="H65" s="340">
        <f>(Moura!G13)</f>
        <v>116658.06075</v>
      </c>
      <c r="I65" s="594" t="e">
        <f>(Publico!#REF!)</f>
        <v>#REF!</v>
      </c>
      <c r="J65" s="585">
        <f>(Mayorista!J75)</f>
        <v>214409.93573999999</v>
      </c>
      <c r="K65" s="599">
        <f t="shared" si="5"/>
        <v>110849.93677757999</v>
      </c>
      <c r="L65" s="300" t="s">
        <v>1456</v>
      </c>
    </row>
    <row r="66" spans="1:12">
      <c r="A66" s="295" t="s">
        <v>1457</v>
      </c>
      <c r="B66" s="296" t="s">
        <v>1444</v>
      </c>
      <c r="C66" s="296">
        <v>75</v>
      </c>
      <c r="D66" s="296">
        <v>530</v>
      </c>
      <c r="E66" s="297">
        <v>260</v>
      </c>
      <c r="F66" s="297">
        <v>172</v>
      </c>
      <c r="G66" s="297">
        <v>225</v>
      </c>
      <c r="H66" s="340">
        <f>(Moura!G8)</f>
        <v>95666.689440000002</v>
      </c>
      <c r="I66" s="594" t="e">
        <f>(Publico!#REF!)</f>
        <v>#REF!</v>
      </c>
      <c r="J66" s="585">
        <f>(Mayorista!J76)</f>
        <v>180167.39433000001</v>
      </c>
      <c r="K66" s="599">
        <f t="shared" si="5"/>
        <v>93146.542868610006</v>
      </c>
      <c r="L66" s="300" t="s">
        <v>1458</v>
      </c>
    </row>
    <row r="67" spans="1:12">
      <c r="A67" s="295" t="s">
        <v>1459</v>
      </c>
      <c r="B67" s="296" t="s">
        <v>269</v>
      </c>
      <c r="C67" s="296">
        <v>90</v>
      </c>
      <c r="D67" s="296">
        <v>720</v>
      </c>
      <c r="E67" s="297">
        <v>296</v>
      </c>
      <c r="F67" s="297">
        <v>172</v>
      </c>
      <c r="G67" s="297">
        <v>232</v>
      </c>
      <c r="H67" s="498">
        <f>(Moura!G10)</f>
        <v>102088.19249999999</v>
      </c>
      <c r="I67" s="594" t="e">
        <f>(Publico!#REF!)</f>
        <v>#REF!</v>
      </c>
      <c r="J67" s="585">
        <f>(Mayorista!J77)</f>
        <v>180167.39433000001</v>
      </c>
      <c r="K67" s="599">
        <f t="shared" si="5"/>
        <v>93146.542868610006</v>
      </c>
      <c r="L67" s="300" t="s">
        <v>1460</v>
      </c>
    </row>
    <row r="68" spans="1:12">
      <c r="A68" s="295" t="s">
        <v>1461</v>
      </c>
      <c r="B68" s="296" t="s">
        <v>269</v>
      </c>
      <c r="C68" s="296">
        <v>90</v>
      </c>
      <c r="D68" s="296">
        <v>720</v>
      </c>
      <c r="E68" s="297">
        <v>296</v>
      </c>
      <c r="F68" s="297">
        <v>172</v>
      </c>
      <c r="G68" s="297">
        <v>232</v>
      </c>
      <c r="H68" s="498">
        <f>(Moura!G11)</f>
        <v>102088.19249999999</v>
      </c>
      <c r="I68" s="594" t="e">
        <f>(Publico!#REF!)</f>
        <v>#REF!</v>
      </c>
      <c r="J68" s="585">
        <f>(Mayorista!J78)</f>
        <v>180167.39433000001</v>
      </c>
      <c r="K68" s="599">
        <f t="shared" si="5"/>
        <v>93146.542868610006</v>
      </c>
      <c r="L68" s="300" t="s">
        <v>1460</v>
      </c>
    </row>
    <row r="69" spans="1:12">
      <c r="A69" s="295" t="s">
        <v>1462</v>
      </c>
      <c r="B69" s="296" t="s">
        <v>1463</v>
      </c>
      <c r="C69" s="296">
        <v>135</v>
      </c>
      <c r="D69" s="296">
        <v>890</v>
      </c>
      <c r="E69" s="297">
        <v>512</v>
      </c>
      <c r="F69" s="297">
        <v>211</v>
      </c>
      <c r="G69" s="297">
        <v>235</v>
      </c>
      <c r="H69" s="340">
        <f>(Moura!G14)</f>
        <v>116658.06075</v>
      </c>
      <c r="I69" s="594" t="e">
        <f>(Publico!#REF!)</f>
        <v>#REF!</v>
      </c>
      <c r="J69" s="585">
        <f>(Mayorista!J79)</f>
        <v>264096.6237</v>
      </c>
      <c r="K69" s="599">
        <f t="shared" si="5"/>
        <v>136537.95445289998</v>
      </c>
      <c r="L69" s="300" t="s">
        <v>1464</v>
      </c>
    </row>
    <row r="70" spans="1:12">
      <c r="A70" s="295" t="s">
        <v>1465</v>
      </c>
      <c r="B70" s="296" t="s">
        <v>111</v>
      </c>
      <c r="C70" s="296">
        <v>180</v>
      </c>
      <c r="D70" s="296">
        <v>1050</v>
      </c>
      <c r="E70" s="297">
        <v>512</v>
      </c>
      <c r="F70" s="297">
        <v>211</v>
      </c>
      <c r="G70" s="297">
        <v>235</v>
      </c>
      <c r="H70" s="340">
        <f>(Moura!G16)</f>
        <v>122940.42558000001</v>
      </c>
      <c r="I70" s="594" t="e">
        <f>(Publico!#REF!)</f>
        <v>#REF!</v>
      </c>
      <c r="J70" s="585">
        <f>(Mayorista!J80)</f>
        <v>324954.63646799995</v>
      </c>
      <c r="K70" s="599">
        <f t="shared" si="5"/>
        <v>168001.54705395599</v>
      </c>
      <c r="L70" s="300" t="s">
        <v>1466</v>
      </c>
    </row>
    <row r="71" spans="1:12">
      <c r="A71" s="295" t="s">
        <v>1467</v>
      </c>
      <c r="B71" s="296" t="s">
        <v>1468</v>
      </c>
      <c r="C71" s="296">
        <v>23</v>
      </c>
      <c r="D71" s="296">
        <v>275</v>
      </c>
      <c r="E71" s="297">
        <v>197</v>
      </c>
      <c r="F71" s="297">
        <v>130</v>
      </c>
      <c r="G71" s="297">
        <v>186</v>
      </c>
      <c r="H71" s="340">
        <f>(Moura!G17)</f>
        <v>83831.255550000002</v>
      </c>
      <c r="I71" s="594">
        <f>(Publico!D257)</f>
        <v>126000</v>
      </c>
      <c r="J71" s="585">
        <f>(Mayorista!J81)</f>
        <v>110258.88860000001</v>
      </c>
      <c r="K71" s="599">
        <f t="shared" si="5"/>
        <v>57003.845406200002</v>
      </c>
      <c r="L71" s="300" t="s">
        <v>1469</v>
      </c>
    </row>
    <row r="72" spans="1:12">
      <c r="A72" s="295"/>
      <c r="B72" s="296"/>
      <c r="C72" s="296"/>
      <c r="D72" s="296"/>
      <c r="E72" s="296"/>
      <c r="F72" s="296"/>
      <c r="G72" s="296"/>
      <c r="H72" s="340"/>
      <c r="I72" s="615"/>
      <c r="J72" s="294"/>
      <c r="K72" s="294"/>
      <c r="L72" s="300"/>
    </row>
    <row r="73" spans="1:12">
      <c r="A73" s="295"/>
      <c r="B73" s="296"/>
      <c r="C73" s="296"/>
      <c r="D73" s="296"/>
      <c r="E73" s="296"/>
      <c r="F73" s="296"/>
      <c r="G73" s="296"/>
      <c r="H73" s="340"/>
      <c r="I73" s="615"/>
      <c r="J73" s="294"/>
      <c r="K73" s="294"/>
      <c r="L73" s="300"/>
    </row>
    <row r="74" spans="1:12">
      <c r="A74" s="295"/>
      <c r="B74" s="296"/>
      <c r="C74" s="296"/>
      <c r="D74" s="296"/>
      <c r="E74" s="296"/>
      <c r="F74" s="296"/>
      <c r="G74" s="296"/>
      <c r="H74" s="340"/>
      <c r="I74" s="615"/>
      <c r="J74" s="294"/>
      <c r="K74" s="294"/>
      <c r="L74" s="300"/>
    </row>
    <row r="75" spans="1:12">
      <c r="A75" s="295"/>
      <c r="B75" s="296"/>
      <c r="C75" s="296"/>
      <c r="D75" s="296"/>
      <c r="E75" s="296"/>
      <c r="F75" s="296"/>
      <c r="G75" s="296"/>
      <c r="H75" s="340"/>
      <c r="I75" s="615"/>
      <c r="J75" s="294"/>
      <c r="K75" s="294"/>
      <c r="L75" s="300"/>
    </row>
    <row r="76" spans="1:12">
      <c r="A76" s="295"/>
      <c r="B76" s="296"/>
      <c r="C76" s="296"/>
      <c r="D76" s="296"/>
      <c r="E76" s="296"/>
      <c r="F76" s="296"/>
      <c r="G76" s="296"/>
      <c r="H76" s="340"/>
      <c r="I76" s="615"/>
      <c r="J76" s="294"/>
      <c r="K76" s="294"/>
      <c r="L76" s="300"/>
    </row>
    <row r="77" spans="1:12">
      <c r="A77" s="295"/>
      <c r="B77" s="296"/>
      <c r="C77" s="296"/>
      <c r="D77" s="296"/>
      <c r="E77" s="296"/>
      <c r="F77" s="296"/>
      <c r="G77" s="296"/>
      <c r="H77" s="340"/>
      <c r="I77" s="615"/>
      <c r="J77" s="294"/>
      <c r="K77" s="294"/>
      <c r="L77" s="300"/>
    </row>
    <row r="78" spans="1:12">
      <c r="A78" s="295"/>
      <c r="B78" s="296"/>
      <c r="C78" s="296"/>
      <c r="D78" s="296"/>
      <c r="E78" s="296"/>
      <c r="F78" s="296"/>
      <c r="G78" s="296"/>
      <c r="H78" s="340"/>
      <c r="I78" s="615"/>
      <c r="J78" s="294"/>
      <c r="K78" s="294"/>
      <c r="L78" s="300"/>
    </row>
    <row r="79" spans="1:12">
      <c r="A79" s="295"/>
      <c r="B79" s="296"/>
      <c r="C79" s="296"/>
      <c r="D79" s="296"/>
      <c r="E79" s="296"/>
      <c r="F79" s="296"/>
      <c r="G79" s="296"/>
      <c r="H79" s="340"/>
      <c r="I79" s="615"/>
      <c r="J79" s="294"/>
      <c r="K79" s="294"/>
      <c r="L79" s="300"/>
    </row>
    <row r="80" spans="1:12">
      <c r="A80" s="295"/>
      <c r="B80" s="296"/>
      <c r="C80" s="296"/>
      <c r="D80" s="296"/>
      <c r="E80" s="296"/>
      <c r="F80" s="296"/>
      <c r="G80" s="296"/>
      <c r="H80" s="340"/>
      <c r="I80" s="615"/>
      <c r="J80" s="294"/>
      <c r="K80" s="294"/>
      <c r="L80" s="300"/>
    </row>
    <row r="81" spans="1:12">
      <c r="A81" s="295"/>
      <c r="B81" s="296"/>
      <c r="C81" s="296"/>
      <c r="D81" s="296"/>
      <c r="E81" s="296"/>
      <c r="F81" s="296"/>
      <c r="G81" s="296"/>
      <c r="H81" s="340"/>
      <c r="I81" s="615"/>
      <c r="J81" s="294"/>
      <c r="K81" s="294"/>
      <c r="L81" s="300"/>
    </row>
    <row r="82" spans="1:12">
      <c r="A82" s="295"/>
      <c r="B82" s="296"/>
      <c r="C82" s="296"/>
      <c r="D82" s="296"/>
      <c r="E82" s="296"/>
      <c r="F82" s="296"/>
      <c r="G82" s="296"/>
      <c r="H82" s="340"/>
      <c r="I82" s="615"/>
      <c r="J82" s="294"/>
      <c r="K82" s="294"/>
      <c r="L82" s="300"/>
    </row>
    <row r="83" spans="1:12">
      <c r="A83" s="295"/>
      <c r="B83" s="296"/>
      <c r="C83" s="296"/>
      <c r="D83" s="296"/>
      <c r="E83" s="296"/>
      <c r="F83" s="296"/>
      <c r="G83" s="296"/>
      <c r="H83" s="340"/>
      <c r="I83" s="615"/>
      <c r="J83" s="294"/>
      <c r="K83" s="294"/>
      <c r="L83" s="300"/>
    </row>
    <row r="84" spans="1:12">
      <c r="A84" s="295"/>
      <c r="B84" s="296"/>
      <c r="C84" s="296"/>
      <c r="D84" s="296"/>
      <c r="E84" s="296"/>
      <c r="F84" s="296"/>
      <c r="G84" s="296"/>
      <c r="H84" s="340"/>
      <c r="I84" s="615"/>
      <c r="J84" s="294"/>
      <c r="K84" s="294"/>
      <c r="L84" s="300"/>
    </row>
    <row r="85" spans="1:12">
      <c r="A85" s="295"/>
      <c r="B85" s="296"/>
      <c r="C85" s="296"/>
      <c r="D85" s="296"/>
      <c r="E85" s="296"/>
      <c r="F85" s="296"/>
      <c r="G85" s="296"/>
      <c r="H85" s="340"/>
      <c r="I85" s="615"/>
      <c r="J85" s="294"/>
      <c r="K85" s="294"/>
      <c r="L85" s="300"/>
    </row>
    <row r="87" spans="1:12">
      <c r="A87" s="318" t="s">
        <v>651</v>
      </c>
      <c r="B87" s="921"/>
      <c r="C87" s="921"/>
      <c r="D87" s="921"/>
      <c r="E87" s="921"/>
      <c r="F87" s="921"/>
      <c r="G87" s="921"/>
      <c r="H87" s="921"/>
      <c r="I87" s="921"/>
      <c r="J87" s="921"/>
      <c r="K87" s="921"/>
      <c r="L87" s="921"/>
    </row>
    <row r="88" spans="1:12">
      <c r="A88" s="993" t="s">
        <v>1470</v>
      </c>
      <c r="B88" s="967" t="s">
        <v>1471</v>
      </c>
      <c r="C88" s="967">
        <v>2</v>
      </c>
      <c r="D88" s="967" t="s">
        <v>1472</v>
      </c>
      <c r="E88" s="995" t="s">
        <v>1473</v>
      </c>
      <c r="F88" s="995"/>
      <c r="G88" s="995"/>
      <c r="H88" s="921"/>
      <c r="I88" s="991" t="s">
        <v>1345</v>
      </c>
      <c r="J88" s="991"/>
      <c r="K88" s="587" t="s">
        <v>114</v>
      </c>
      <c r="L88" s="998" t="s">
        <v>1417</v>
      </c>
    </row>
    <row r="89" spans="1:12">
      <c r="A89" s="993"/>
      <c r="B89" s="967" t="s">
        <v>1474</v>
      </c>
      <c r="C89" s="967" t="s">
        <v>1475</v>
      </c>
      <c r="D89" s="316" t="s">
        <v>1476</v>
      </c>
      <c r="E89" s="291" t="s">
        <v>1351</v>
      </c>
      <c r="F89" s="291" t="s">
        <v>1352</v>
      </c>
      <c r="G89" s="291" t="s">
        <v>1353</v>
      </c>
      <c r="H89" s="291" t="s">
        <v>1477</v>
      </c>
      <c r="I89" s="595" t="s">
        <v>14</v>
      </c>
      <c r="J89" s="293" t="s">
        <v>1568</v>
      </c>
      <c r="K89" s="590">
        <v>0.48299999999999998</v>
      </c>
      <c r="L89" s="998"/>
    </row>
    <row r="90" spans="1:12">
      <c r="A90" s="295" t="s">
        <v>169</v>
      </c>
      <c r="B90" s="296">
        <v>265</v>
      </c>
      <c r="C90" s="296">
        <v>35</v>
      </c>
      <c r="D90" s="302" t="s">
        <v>1478</v>
      </c>
      <c r="E90" s="297">
        <v>198</v>
      </c>
      <c r="F90" s="297">
        <v>126</v>
      </c>
      <c r="G90" s="297">
        <v>199</v>
      </c>
      <c r="H90" s="297">
        <v>223</v>
      </c>
      <c r="I90" s="596" t="e">
        <f>(Publico!#REF!)</f>
        <v>#REF!</v>
      </c>
      <c r="J90" s="585">
        <f>(Mayorista!J87)</f>
        <v>111096.37342649999</v>
      </c>
      <c r="K90" s="599">
        <f>(J90-(J90*K$89))</f>
        <v>57436.825061500502</v>
      </c>
      <c r="L90" s="314" t="s">
        <v>1420</v>
      </c>
    </row>
    <row r="91" spans="1:12">
      <c r="A91" s="295" t="s">
        <v>170</v>
      </c>
      <c r="B91" s="296">
        <v>340</v>
      </c>
      <c r="C91" s="296">
        <v>46</v>
      </c>
      <c r="D91" s="302" t="s">
        <v>1479</v>
      </c>
      <c r="E91" s="297">
        <v>236</v>
      </c>
      <c r="F91" s="297">
        <v>126</v>
      </c>
      <c r="G91" s="297">
        <v>200</v>
      </c>
      <c r="H91" s="297">
        <v>224</v>
      </c>
      <c r="I91" s="596" t="e">
        <f>(Publico!#REF!)</f>
        <v>#REF!</v>
      </c>
      <c r="J91" s="585">
        <f>(Mayorista!J88)</f>
        <v>124808.23832399999</v>
      </c>
      <c r="K91" s="599">
        <f t="shared" ref="K91:K98" si="6">(J91-(J91*K$89))</f>
        <v>64525.859213507996</v>
      </c>
      <c r="L91" s="312" t="s">
        <v>1422</v>
      </c>
    </row>
    <row r="92" spans="1:12">
      <c r="A92" s="295" t="s">
        <v>172</v>
      </c>
      <c r="B92" s="296">
        <v>520</v>
      </c>
      <c r="C92" s="296">
        <v>51</v>
      </c>
      <c r="D92" s="317" t="s">
        <v>1426</v>
      </c>
      <c r="E92" s="297">
        <v>207</v>
      </c>
      <c r="F92" s="297">
        <v>175</v>
      </c>
      <c r="G92" s="297">
        <v>188</v>
      </c>
      <c r="H92" s="297">
        <v>188</v>
      </c>
      <c r="I92" s="596" t="e">
        <f>(Publico!#REF!)</f>
        <v>#REF!</v>
      </c>
      <c r="J92" s="585">
        <f>(Mayorista!J89)</f>
        <v>143114.43525160316</v>
      </c>
      <c r="K92" s="599">
        <f t="shared" si="6"/>
        <v>73990.163025078844</v>
      </c>
      <c r="L92" s="300" t="s">
        <v>1427</v>
      </c>
    </row>
    <row r="93" spans="1:12">
      <c r="A93" s="295" t="s">
        <v>173</v>
      </c>
      <c r="B93" s="296">
        <v>490</v>
      </c>
      <c r="C93" s="296">
        <v>51</v>
      </c>
      <c r="D93" s="296" t="s">
        <v>108</v>
      </c>
      <c r="E93" s="297">
        <v>242</v>
      </c>
      <c r="F93" s="297">
        <v>175</v>
      </c>
      <c r="G93" s="297">
        <v>173</v>
      </c>
      <c r="H93" s="297">
        <v>173</v>
      </c>
      <c r="I93" s="596" t="e">
        <f>(Publico!#REF!)</f>
        <v>#REF!</v>
      </c>
      <c r="J93" s="585">
        <f>(Mayorista!J90)</f>
        <v>123259.44292199997</v>
      </c>
      <c r="K93" s="599">
        <f>(J93-(J93*K$89))</f>
        <v>63725.131990673988</v>
      </c>
      <c r="L93" s="300" t="s">
        <v>1429</v>
      </c>
    </row>
    <row r="94" spans="1:12">
      <c r="A94" s="295" t="s">
        <v>174</v>
      </c>
      <c r="B94" s="296">
        <v>590</v>
      </c>
      <c r="C94" s="296">
        <v>62</v>
      </c>
      <c r="D94" s="296" t="s">
        <v>110</v>
      </c>
      <c r="E94" s="297">
        <v>242</v>
      </c>
      <c r="F94" s="297">
        <v>175</v>
      </c>
      <c r="G94" s="297">
        <v>188</v>
      </c>
      <c r="H94" s="297">
        <v>188</v>
      </c>
      <c r="I94" s="596" t="e">
        <f>(Publico!#REF!)</f>
        <v>#REF!</v>
      </c>
      <c r="J94" s="585">
        <f>(Mayorista!J91)</f>
        <v>152937.83504999999</v>
      </c>
      <c r="K94" s="599">
        <f t="shared" si="6"/>
        <v>79068.860720850003</v>
      </c>
      <c r="L94" s="300" t="s">
        <v>1435</v>
      </c>
    </row>
    <row r="95" spans="1:12">
      <c r="A95" s="295" t="s">
        <v>175</v>
      </c>
      <c r="B95" s="296">
        <v>590</v>
      </c>
      <c r="C95" s="296">
        <v>62</v>
      </c>
      <c r="D95" s="296" t="s">
        <v>110</v>
      </c>
      <c r="E95" s="297">
        <v>276</v>
      </c>
      <c r="F95" s="297">
        <v>175</v>
      </c>
      <c r="G95" s="297">
        <v>173</v>
      </c>
      <c r="H95" s="297">
        <v>173</v>
      </c>
      <c r="I95" s="596" t="e">
        <f>(Publico!#REF!)</f>
        <v>#REF!</v>
      </c>
      <c r="J95" s="585">
        <f>(Mayorista!J92)</f>
        <v>158306.07869999998</v>
      </c>
      <c r="K95" s="599">
        <f t="shared" si="6"/>
        <v>81844.242687899998</v>
      </c>
      <c r="L95" s="300" t="s">
        <v>1439</v>
      </c>
    </row>
    <row r="96" spans="1:12">
      <c r="A96" s="295" t="s">
        <v>176</v>
      </c>
      <c r="B96" s="296">
        <v>709</v>
      </c>
      <c r="C96" s="296">
        <v>75</v>
      </c>
      <c r="D96" s="296" t="s">
        <v>1444</v>
      </c>
      <c r="E96" s="297">
        <v>276</v>
      </c>
      <c r="F96" s="297">
        <v>175</v>
      </c>
      <c r="G96" s="297">
        <v>188</v>
      </c>
      <c r="H96" s="297">
        <v>188</v>
      </c>
      <c r="I96" s="596" t="e">
        <f>(Publico!#REF!)</f>
        <v>#REF!</v>
      </c>
      <c r="J96" s="585">
        <f>(Mayorista!J93)</f>
        <v>180733.915362</v>
      </c>
      <c r="K96" s="599">
        <f t="shared" si="6"/>
        <v>93439.434242154006</v>
      </c>
      <c r="L96" s="300" t="s">
        <v>1442</v>
      </c>
    </row>
    <row r="97" spans="1:12">
      <c r="A97" s="295" t="s">
        <v>177</v>
      </c>
      <c r="B97" s="296">
        <v>810</v>
      </c>
      <c r="C97" s="296">
        <v>110</v>
      </c>
      <c r="D97" s="296" t="s">
        <v>275</v>
      </c>
      <c r="E97" s="297">
        <v>331</v>
      </c>
      <c r="F97" s="297">
        <v>174</v>
      </c>
      <c r="G97" s="297">
        <v>220</v>
      </c>
      <c r="H97" s="297">
        <v>243</v>
      </c>
      <c r="I97" s="596" t="e">
        <f>(Publico!#REF!)</f>
        <v>#REF!</v>
      </c>
      <c r="J97" s="585">
        <f>(Mayorista!J94)</f>
        <v>257291.922888</v>
      </c>
      <c r="K97" s="599">
        <f t="shared" si="6"/>
        <v>133019.92413309601</v>
      </c>
      <c r="L97" s="300" t="s">
        <v>1456</v>
      </c>
    </row>
    <row r="98" spans="1:12">
      <c r="A98" s="295" t="s">
        <v>181</v>
      </c>
      <c r="B98" s="296">
        <v>1200</v>
      </c>
      <c r="C98" s="296">
        <v>155</v>
      </c>
      <c r="D98" s="296" t="s">
        <v>111</v>
      </c>
      <c r="E98" s="297">
        <v>517</v>
      </c>
      <c r="F98" s="297">
        <v>226</v>
      </c>
      <c r="G98" s="297">
        <v>195</v>
      </c>
      <c r="H98" s="297">
        <v>215</v>
      </c>
      <c r="I98" s="596" t="e">
        <f>(Publico!#REF!)</f>
        <v>#REF!</v>
      </c>
      <c r="J98" s="585">
        <f>(Mayorista!J95)</f>
        <v>347276.25043650006</v>
      </c>
      <c r="K98" s="599">
        <f t="shared" si="6"/>
        <v>179541.82147567053</v>
      </c>
      <c r="L98" s="300" t="s">
        <v>1466</v>
      </c>
    </row>
    <row r="100" spans="1:12">
      <c r="A100" s="105" t="s">
        <v>1575</v>
      </c>
      <c r="B100" s="921"/>
      <c r="C100" s="921"/>
      <c r="D100" s="921"/>
      <c r="E100" s="921"/>
      <c r="F100" s="921"/>
      <c r="G100" s="921"/>
      <c r="H100" s="921"/>
      <c r="I100" s="921"/>
      <c r="J100" s="921"/>
      <c r="K100" s="921"/>
      <c r="L100" s="921"/>
    </row>
    <row r="102" spans="1:12" ht="15" customHeight="1">
      <c r="A102" s="993" t="s">
        <v>1347</v>
      </c>
      <c r="B102" s="993" t="s">
        <v>1407</v>
      </c>
      <c r="C102" s="993" t="s">
        <v>1349</v>
      </c>
      <c r="D102" s="993" t="s">
        <v>1408</v>
      </c>
      <c r="E102" s="994" t="s">
        <v>1344</v>
      </c>
      <c r="F102" s="994"/>
      <c r="G102" s="994"/>
      <c r="H102" s="991" t="s">
        <v>1345</v>
      </c>
      <c r="I102" s="991"/>
      <c r="J102" s="991"/>
      <c r="K102" s="588" t="s">
        <v>114</v>
      </c>
      <c r="L102" s="998" t="s">
        <v>1417</v>
      </c>
    </row>
    <row r="103" spans="1:12">
      <c r="A103" s="993"/>
      <c r="B103" s="993"/>
      <c r="C103" s="993"/>
      <c r="D103" s="993"/>
      <c r="E103" s="291" t="s">
        <v>1351</v>
      </c>
      <c r="F103" s="291" t="s">
        <v>1352</v>
      </c>
      <c r="G103" s="291" t="s">
        <v>1353</v>
      </c>
      <c r="H103" s="293" t="s">
        <v>1576</v>
      </c>
      <c r="I103" s="593" t="s">
        <v>14</v>
      </c>
      <c r="J103" s="293" t="s">
        <v>1568</v>
      </c>
      <c r="K103" s="590">
        <v>0.48299999999999998</v>
      </c>
      <c r="L103" s="998"/>
    </row>
    <row r="104" spans="1:12">
      <c r="A104" s="295" t="s">
        <v>85</v>
      </c>
      <c r="B104" s="295" t="s">
        <v>86</v>
      </c>
      <c r="C104" s="295">
        <v>45</v>
      </c>
      <c r="D104" s="296">
        <v>320</v>
      </c>
      <c r="E104" s="297">
        <v>210</v>
      </c>
      <c r="F104" s="297">
        <v>175</v>
      </c>
      <c r="G104" s="297">
        <v>175</v>
      </c>
      <c r="H104" s="585">
        <f>(Mayorista!H43)</f>
        <v>84748.40074777999</v>
      </c>
      <c r="I104" s="594" t="e">
        <f>(Publico!#REF!)</f>
        <v>#REF!</v>
      </c>
      <c r="J104" s="585">
        <f>(Mayorista!H43)</f>
        <v>84748.40074777999</v>
      </c>
      <c r="K104" s="600">
        <f>(H104-(H104*K$103))</f>
        <v>43814.923186602253</v>
      </c>
      <c r="L104" s="300" t="s">
        <v>1424</v>
      </c>
    </row>
    <row r="105" spans="1:12">
      <c r="A105" s="295" t="s">
        <v>87</v>
      </c>
      <c r="B105" s="295" t="s">
        <v>84</v>
      </c>
      <c r="C105" s="295">
        <v>50</v>
      </c>
      <c r="D105" s="296">
        <v>480</v>
      </c>
      <c r="E105" s="297">
        <v>210</v>
      </c>
      <c r="F105" s="297">
        <v>175</v>
      </c>
      <c r="G105" s="297">
        <v>190</v>
      </c>
      <c r="H105" s="585">
        <f>(Mayorista!H44)</f>
        <v>97913.2</v>
      </c>
      <c r="I105" s="594" t="e">
        <f>(Publico!#REF!)</f>
        <v>#REF!</v>
      </c>
      <c r="J105" s="585">
        <f>(Mayorista!H44)</f>
        <v>97913.2</v>
      </c>
      <c r="K105" s="600">
        <f t="shared" ref="K105:K114" si="7">(H105-(H105*K$103))</f>
        <v>50621.124400000001</v>
      </c>
      <c r="L105" s="300" t="s">
        <v>1427</v>
      </c>
    </row>
    <row r="106" spans="1:12">
      <c r="A106" s="295" t="s">
        <v>88</v>
      </c>
      <c r="B106" s="295" t="s">
        <v>89</v>
      </c>
      <c r="C106" s="295">
        <v>52</v>
      </c>
      <c r="D106" s="296">
        <v>340</v>
      </c>
      <c r="E106" s="297">
        <v>243</v>
      </c>
      <c r="F106" s="297">
        <v>175</v>
      </c>
      <c r="G106" s="297">
        <v>175</v>
      </c>
      <c r="H106" s="585">
        <f>(Mayorista!H45)</f>
        <v>93576.955210200002</v>
      </c>
      <c r="I106" s="594" t="e">
        <f>(Publico!#REF!)</f>
        <v>#REF!</v>
      </c>
      <c r="J106" s="585">
        <f>(Mayorista!H45)</f>
        <v>93576.955210200002</v>
      </c>
      <c r="K106" s="600">
        <f t="shared" si="7"/>
        <v>48379.285843673402</v>
      </c>
      <c r="L106" s="300" t="s">
        <v>1429</v>
      </c>
    </row>
    <row r="107" spans="1:12">
      <c r="A107" s="295" t="s">
        <v>90</v>
      </c>
      <c r="B107" s="295" t="s">
        <v>1409</v>
      </c>
      <c r="C107" s="295">
        <v>55</v>
      </c>
      <c r="D107" s="296">
        <v>400</v>
      </c>
      <c r="E107" s="297">
        <v>243</v>
      </c>
      <c r="F107" s="297">
        <v>175</v>
      </c>
      <c r="G107" s="297">
        <v>175</v>
      </c>
      <c r="H107" s="585">
        <f>(Mayorista!H46)</f>
        <v>99776.599999999991</v>
      </c>
      <c r="I107" s="594" t="e">
        <f>(Publico!#REF!)</f>
        <v>#REF!</v>
      </c>
      <c r="J107" s="585">
        <f>(Mayorista!H46)</f>
        <v>99776.599999999991</v>
      </c>
      <c r="K107" s="600">
        <f t="shared" si="7"/>
        <v>51584.502199999995</v>
      </c>
      <c r="L107" s="300" t="s">
        <v>1577</v>
      </c>
    </row>
    <row r="108" spans="1:12">
      <c r="A108" s="295" t="s">
        <v>92</v>
      </c>
      <c r="B108" s="295" t="s">
        <v>93</v>
      </c>
      <c r="C108" s="295">
        <v>60</v>
      </c>
      <c r="D108" s="296">
        <v>420</v>
      </c>
      <c r="E108" s="297">
        <v>243</v>
      </c>
      <c r="F108" s="297">
        <v>175</v>
      </c>
      <c r="G108" s="297">
        <v>190</v>
      </c>
      <c r="H108" s="585">
        <f>(Mayorista!H47)</f>
        <v>106117.97551893997</v>
      </c>
      <c r="I108" s="594" t="e">
        <f>(Publico!#REF!)</f>
        <v>#REF!</v>
      </c>
      <c r="J108" s="585">
        <f>(Mayorista!H47)</f>
        <v>106117.97551893997</v>
      </c>
      <c r="K108" s="600">
        <f t="shared" si="7"/>
        <v>54862.993343291964</v>
      </c>
      <c r="L108" s="300" t="s">
        <v>1435</v>
      </c>
    </row>
    <row r="109" spans="1:12">
      <c r="A109" s="295" t="s">
        <v>94</v>
      </c>
      <c r="B109" s="295" t="s">
        <v>1410</v>
      </c>
      <c r="C109" s="295">
        <v>60</v>
      </c>
      <c r="D109" s="296">
        <v>580</v>
      </c>
      <c r="E109" s="297">
        <v>275</v>
      </c>
      <c r="F109" s="297">
        <v>175</v>
      </c>
      <c r="G109" s="297">
        <v>175</v>
      </c>
      <c r="H109" s="585">
        <f>(Mayorista!H48)</f>
        <v>113682.00576964</v>
      </c>
      <c r="I109" s="594" t="e">
        <f>(Publico!#REF!)</f>
        <v>#REF!</v>
      </c>
      <c r="J109" s="585">
        <f>(Mayorista!H48)</f>
        <v>113682.00576964</v>
      </c>
      <c r="K109" s="600">
        <f t="shared" si="7"/>
        <v>58773.59698290388</v>
      </c>
      <c r="L109" s="300" t="s">
        <v>1578</v>
      </c>
    </row>
    <row r="110" spans="1:12">
      <c r="A110" s="295" t="s">
        <v>96</v>
      </c>
      <c r="B110" s="295" t="s">
        <v>1411</v>
      </c>
      <c r="C110" s="295">
        <v>63</v>
      </c>
      <c r="D110" s="296">
        <v>600</v>
      </c>
      <c r="E110" s="297">
        <v>275</v>
      </c>
      <c r="F110" s="297">
        <v>175</v>
      </c>
      <c r="G110" s="297">
        <v>175</v>
      </c>
      <c r="H110" s="585">
        <f>(Mayorista!H49)</f>
        <v>117563.59999999999</v>
      </c>
      <c r="I110" s="594" t="e">
        <f>(Publico!#REF!)</f>
        <v>#REF!</v>
      </c>
      <c r="J110" s="585">
        <f>(Mayorista!H49)</f>
        <v>117563.59999999999</v>
      </c>
      <c r="K110" s="600">
        <f t="shared" si="7"/>
        <v>60780.381199999996</v>
      </c>
      <c r="L110" s="300" t="s">
        <v>1439</v>
      </c>
    </row>
    <row r="111" spans="1:12">
      <c r="A111" s="295" t="s">
        <v>97</v>
      </c>
      <c r="B111" s="295" t="s">
        <v>1412</v>
      </c>
      <c r="C111" s="295">
        <v>65</v>
      </c>
      <c r="D111" s="296">
        <v>650</v>
      </c>
      <c r="E111" s="297">
        <v>275</v>
      </c>
      <c r="F111" s="297">
        <v>175</v>
      </c>
      <c r="G111" s="297">
        <v>190</v>
      </c>
      <c r="H111" s="585">
        <f>(Mayorista!H50)</f>
        <v>151131.09138819997</v>
      </c>
      <c r="I111" s="594" t="e">
        <f>(Publico!#REF!)</f>
        <v>#REF!</v>
      </c>
      <c r="J111" s="585">
        <f>(Mayorista!H50)</f>
        <v>151131.09138819997</v>
      </c>
      <c r="K111" s="600">
        <f t="shared" si="7"/>
        <v>78134.774247699388</v>
      </c>
      <c r="L111" s="300" t="s">
        <v>1579</v>
      </c>
    </row>
    <row r="112" spans="1:12">
      <c r="A112" s="295" t="s">
        <v>98</v>
      </c>
      <c r="B112" s="295" t="s">
        <v>99</v>
      </c>
      <c r="C112" s="295">
        <v>90</v>
      </c>
      <c r="D112" s="296">
        <v>700</v>
      </c>
      <c r="E112" s="297">
        <v>370</v>
      </c>
      <c r="F112" s="297">
        <v>176</v>
      </c>
      <c r="G112" s="297">
        <v>194</v>
      </c>
      <c r="H112" s="585">
        <f>(Mayorista!H51)</f>
        <v>175560.25862914001</v>
      </c>
      <c r="I112" s="594" t="e">
        <f>(Publico!#REF!)</f>
        <v>#REF!</v>
      </c>
      <c r="J112" s="585">
        <f>(Mayorista!H51)</f>
        <v>175560.25862914001</v>
      </c>
      <c r="K112" s="600">
        <f t="shared" si="7"/>
        <v>90764.65371126539</v>
      </c>
      <c r="L112" s="300" t="s">
        <v>1454</v>
      </c>
    </row>
    <row r="113" spans="1:12">
      <c r="A113" s="295" t="s">
        <v>100</v>
      </c>
      <c r="B113" s="295" t="s">
        <v>101</v>
      </c>
      <c r="C113" s="295">
        <v>110</v>
      </c>
      <c r="D113" s="296">
        <v>720</v>
      </c>
      <c r="E113" s="297">
        <v>330</v>
      </c>
      <c r="F113" s="297">
        <v>172</v>
      </c>
      <c r="G113" s="297">
        <v>241</v>
      </c>
      <c r="H113" s="585">
        <f>(Mayorista!H52)</f>
        <v>173551.33918429998</v>
      </c>
      <c r="I113" s="594" t="e">
        <f>(Publico!#REF!)</f>
        <v>#REF!</v>
      </c>
      <c r="J113" s="585">
        <f>(Mayorista!H52)</f>
        <v>173551.33918429998</v>
      </c>
      <c r="K113" s="600">
        <f t="shared" si="7"/>
        <v>89726.042358283099</v>
      </c>
      <c r="L113" s="300" t="s">
        <v>1456</v>
      </c>
    </row>
    <row r="114" spans="1:12">
      <c r="A114" s="295" t="s">
        <v>102</v>
      </c>
      <c r="B114" s="295" t="s">
        <v>103</v>
      </c>
      <c r="C114" s="295">
        <v>150</v>
      </c>
      <c r="D114" s="296">
        <v>850</v>
      </c>
      <c r="E114" s="297">
        <v>510</v>
      </c>
      <c r="F114" s="297">
        <v>213</v>
      </c>
      <c r="G114" s="297">
        <v>236</v>
      </c>
      <c r="H114" s="585">
        <f>(Mayorista!H53)</f>
        <v>275155.36241885996</v>
      </c>
      <c r="I114" s="594" t="e">
        <f>(Publico!#REF!)</f>
        <v>#REF!</v>
      </c>
      <c r="J114" s="585">
        <f>(Mayorista!H53)</f>
        <v>275155.36241885996</v>
      </c>
      <c r="K114" s="600">
        <f t="shared" si="7"/>
        <v>142255.3223705506</v>
      </c>
      <c r="L114" s="300" t="s">
        <v>1466</v>
      </c>
    </row>
    <row r="115" spans="1:12">
      <c r="A115" s="601" t="s">
        <v>307</v>
      </c>
      <c r="B115" s="921"/>
      <c r="C115" s="921"/>
      <c r="D115" s="604" t="s">
        <v>1580</v>
      </c>
      <c r="E115" s="921"/>
      <c r="F115" s="921"/>
      <c r="G115" s="921"/>
      <c r="H115" s="921"/>
      <c r="I115" s="592"/>
      <c r="J115" s="921"/>
      <c r="K115" s="921"/>
      <c r="L115" s="921"/>
    </row>
    <row r="116" spans="1:12">
      <c r="A116" s="993" t="s">
        <v>1347</v>
      </c>
      <c r="B116" s="993" t="s">
        <v>1525</v>
      </c>
      <c r="C116" s="993" t="s">
        <v>1526</v>
      </c>
      <c r="D116" s="994" t="s">
        <v>1344</v>
      </c>
      <c r="E116" s="994"/>
      <c r="F116" s="994"/>
      <c r="G116" s="994"/>
      <c r="H116" s="970"/>
      <c r="I116" s="991" t="s">
        <v>1345</v>
      </c>
      <c r="J116" s="991"/>
      <c r="K116" s="588" t="s">
        <v>114</v>
      </c>
      <c r="L116" s="921"/>
    </row>
    <row r="117" spans="1:12">
      <c r="A117" s="993"/>
      <c r="B117" s="993"/>
      <c r="C117" s="993"/>
      <c r="D117" s="291" t="s">
        <v>1351</v>
      </c>
      <c r="E117" s="291" t="s">
        <v>1352</v>
      </c>
      <c r="F117" s="291" t="s">
        <v>1353</v>
      </c>
      <c r="G117" s="291"/>
      <c r="H117" s="291"/>
      <c r="I117" s="593" t="s">
        <v>14</v>
      </c>
      <c r="J117" s="293" t="s">
        <v>1568</v>
      </c>
      <c r="K117" s="590">
        <v>0.48299999999999998</v>
      </c>
      <c r="L117" s="921"/>
    </row>
    <row r="118" spans="1:12">
      <c r="A118" s="295" t="s">
        <v>1527</v>
      </c>
      <c r="B118" s="295" t="s">
        <v>1528</v>
      </c>
      <c r="C118" s="296">
        <v>12</v>
      </c>
      <c r="D118" s="297">
        <v>119</v>
      </c>
      <c r="E118" s="297">
        <v>59</v>
      </c>
      <c r="F118" s="297">
        <v>130</v>
      </c>
      <c r="G118" s="297"/>
      <c r="H118" s="297"/>
      <c r="I118" s="602">
        <f>(Moto!AH5)</f>
        <v>41300</v>
      </c>
      <c r="J118" s="603">
        <f>(Mayorista!H134)</f>
        <v>61710</v>
      </c>
      <c r="K118" s="600">
        <f t="shared" ref="K118:K130" si="8">(J118-(J118*K$117))</f>
        <v>31904.07</v>
      </c>
      <c r="L118" s="921"/>
    </row>
    <row r="119" spans="1:12">
      <c r="A119" s="295" t="s">
        <v>1529</v>
      </c>
      <c r="B119" s="295" t="s">
        <v>1530</v>
      </c>
      <c r="C119" s="296">
        <v>12</v>
      </c>
      <c r="D119" s="297">
        <v>136</v>
      </c>
      <c r="E119" s="297">
        <v>75</v>
      </c>
      <c r="F119" s="297">
        <v>122</v>
      </c>
      <c r="G119" s="297"/>
      <c r="H119" s="297"/>
      <c r="I119" s="602">
        <f>(Moto!AH8)</f>
        <v>57200</v>
      </c>
      <c r="J119" s="603">
        <f>(Mayorista!H135)</f>
        <v>75020</v>
      </c>
      <c r="K119" s="600">
        <f t="shared" si="8"/>
        <v>38785.340000000004</v>
      </c>
      <c r="L119" s="921"/>
    </row>
    <row r="120" spans="1:12">
      <c r="A120" s="295" t="s">
        <v>1531</v>
      </c>
      <c r="B120" s="295" t="s">
        <v>1532</v>
      </c>
      <c r="C120" s="296">
        <v>12</v>
      </c>
      <c r="D120" s="297">
        <v>146</v>
      </c>
      <c r="E120" s="297">
        <v>60</v>
      </c>
      <c r="F120" s="297">
        <v>130</v>
      </c>
      <c r="G120" s="297"/>
      <c r="H120" s="297"/>
      <c r="I120" s="602">
        <f>(Moto!AH8)</f>
        <v>57200</v>
      </c>
      <c r="J120" s="603">
        <f>(Mayorista!H136)</f>
        <v>75020</v>
      </c>
      <c r="K120" s="600">
        <f t="shared" si="8"/>
        <v>38785.340000000004</v>
      </c>
      <c r="L120" s="921"/>
    </row>
    <row r="121" spans="1:12">
      <c r="A121" s="295" t="s">
        <v>1533</v>
      </c>
      <c r="B121" s="295" t="s">
        <v>1534</v>
      </c>
      <c r="C121" s="296">
        <v>12</v>
      </c>
      <c r="D121" s="297">
        <v>135</v>
      </c>
      <c r="E121" s="297">
        <v>75</v>
      </c>
      <c r="F121" s="297">
        <v>139</v>
      </c>
      <c r="G121" s="297"/>
      <c r="H121" s="297"/>
      <c r="I121" s="602">
        <f>(Moto!AH9)</f>
        <v>70300</v>
      </c>
      <c r="J121" s="603">
        <f>(Mayorista!H137)</f>
        <v>77440</v>
      </c>
      <c r="K121" s="600">
        <f t="shared" si="8"/>
        <v>40036.480000000003</v>
      </c>
      <c r="L121" s="921"/>
    </row>
    <row r="122" spans="1:12">
      <c r="A122" s="295" t="s">
        <v>1535</v>
      </c>
      <c r="B122" s="295" t="s">
        <v>1536</v>
      </c>
      <c r="C122" s="296">
        <v>12</v>
      </c>
      <c r="D122" s="297">
        <v>135</v>
      </c>
      <c r="E122" s="297">
        <v>90</v>
      </c>
      <c r="F122" s="297">
        <v>166</v>
      </c>
      <c r="G122" s="297"/>
      <c r="H122" s="297"/>
      <c r="I122" s="602">
        <f>(Moto!AH13)</f>
        <v>106300</v>
      </c>
      <c r="J122" s="603">
        <f>(Mayorista!H138)</f>
        <v>123420</v>
      </c>
      <c r="K122" s="600">
        <f t="shared" si="8"/>
        <v>63808.14</v>
      </c>
      <c r="L122" s="921"/>
    </row>
    <row r="123" spans="1:12">
      <c r="A123" s="295" t="s">
        <v>333</v>
      </c>
      <c r="B123" s="295" t="s">
        <v>1537</v>
      </c>
      <c r="C123" s="296">
        <v>12</v>
      </c>
      <c r="D123" s="297">
        <v>113</v>
      </c>
      <c r="E123" s="297">
        <v>70</v>
      </c>
      <c r="F123" s="297">
        <v>85</v>
      </c>
      <c r="G123" s="297"/>
      <c r="H123" s="297"/>
      <c r="I123" s="602">
        <f>(Moto!AH15)</f>
        <v>34250</v>
      </c>
      <c r="J123" s="603">
        <f>(Mayorista!H139)</f>
        <v>52030</v>
      </c>
      <c r="K123" s="600">
        <f t="shared" si="8"/>
        <v>26899.510000000002</v>
      </c>
      <c r="L123" s="921"/>
    </row>
    <row r="124" spans="1:12">
      <c r="A124" s="295" t="s">
        <v>339</v>
      </c>
      <c r="B124" s="295" t="s">
        <v>1538</v>
      </c>
      <c r="C124" s="296">
        <v>12</v>
      </c>
      <c r="D124" s="297">
        <v>139</v>
      </c>
      <c r="E124" s="297">
        <v>66</v>
      </c>
      <c r="F124" s="297">
        <v>102</v>
      </c>
      <c r="G124" s="297"/>
      <c r="H124" s="297"/>
      <c r="I124" s="602">
        <f>(Moto!AH17)</f>
        <v>52750</v>
      </c>
      <c r="J124" s="603">
        <f>(Mayorista!H140)</f>
        <v>65340</v>
      </c>
      <c r="K124" s="600">
        <f t="shared" si="8"/>
        <v>33780.78</v>
      </c>
      <c r="L124" s="921"/>
    </row>
    <row r="125" spans="1:12">
      <c r="A125" s="295" t="s">
        <v>341</v>
      </c>
      <c r="B125" s="295" t="s">
        <v>1539</v>
      </c>
      <c r="C125" s="296">
        <v>12</v>
      </c>
      <c r="D125" s="297">
        <v>113</v>
      </c>
      <c r="E125" s="297">
        <v>70</v>
      </c>
      <c r="F125" s="297">
        <v>130</v>
      </c>
      <c r="G125" s="297"/>
      <c r="H125" s="297"/>
      <c r="I125" s="602">
        <f>(Moto!AH18)</f>
        <v>54700</v>
      </c>
      <c r="J125" s="603">
        <f>(Mayorista!H141)</f>
        <v>76230</v>
      </c>
      <c r="K125" s="600">
        <f t="shared" si="8"/>
        <v>39410.910000000003</v>
      </c>
      <c r="L125" s="921"/>
    </row>
    <row r="126" spans="1:12">
      <c r="A126" s="295" t="s">
        <v>345</v>
      </c>
      <c r="B126" s="295" t="s">
        <v>1540</v>
      </c>
      <c r="C126" s="296">
        <v>12</v>
      </c>
      <c r="D126" s="297">
        <v>150</v>
      </c>
      <c r="E126" s="297">
        <v>87</v>
      </c>
      <c r="F126" s="297">
        <v>93</v>
      </c>
      <c r="G126" s="297"/>
      <c r="H126" s="297"/>
      <c r="I126" s="602">
        <f>(Moto!AH19)</f>
        <v>56250</v>
      </c>
      <c r="J126" s="603">
        <f>(Mayorista!H142)</f>
        <v>79860</v>
      </c>
      <c r="K126" s="600">
        <f t="shared" si="8"/>
        <v>41287.620000000003</v>
      </c>
      <c r="L126" s="921"/>
    </row>
    <row r="127" spans="1:12">
      <c r="A127" s="295" t="s">
        <v>347</v>
      </c>
      <c r="B127" s="295" t="s">
        <v>1541</v>
      </c>
      <c r="C127" s="296">
        <v>12</v>
      </c>
      <c r="D127" s="297">
        <v>150</v>
      </c>
      <c r="E127" s="297">
        <v>87</v>
      </c>
      <c r="F127" s="297">
        <v>105</v>
      </c>
      <c r="G127" s="297"/>
      <c r="H127" s="297"/>
      <c r="I127" s="602">
        <f>(Moto!AH20)</f>
        <v>69700</v>
      </c>
      <c r="J127" s="603">
        <f>(Mayorista!H143)</f>
        <v>94380</v>
      </c>
      <c r="K127" s="600">
        <f t="shared" si="8"/>
        <v>48794.46</v>
      </c>
      <c r="L127" s="921"/>
    </row>
    <row r="128" spans="1:12">
      <c r="A128" s="295" t="s">
        <v>350</v>
      </c>
      <c r="B128" s="295" t="s">
        <v>1542</v>
      </c>
      <c r="C128" s="296">
        <v>12</v>
      </c>
      <c r="D128" s="297">
        <v>150</v>
      </c>
      <c r="E128" s="297">
        <v>87</v>
      </c>
      <c r="F128" s="297">
        <v>130</v>
      </c>
      <c r="G128" s="297"/>
      <c r="H128" s="297"/>
      <c r="I128" s="602">
        <f>(Moto!AH21)</f>
        <v>91950</v>
      </c>
      <c r="J128" s="603">
        <f>(Mayorista!H144)</f>
        <v>102850</v>
      </c>
      <c r="K128" s="600">
        <f t="shared" si="8"/>
        <v>53173.450000000004</v>
      </c>
      <c r="L128" s="921"/>
    </row>
    <row r="129" spans="1:11">
      <c r="A129" s="295" t="s">
        <v>358</v>
      </c>
      <c r="B129" s="295" t="s">
        <v>1543</v>
      </c>
      <c r="C129" s="296">
        <v>12</v>
      </c>
      <c r="D129" s="297">
        <v>113</v>
      </c>
      <c r="E129" s="297">
        <v>70</v>
      </c>
      <c r="F129" s="297">
        <v>105</v>
      </c>
      <c r="G129" s="297"/>
      <c r="H129" s="297"/>
      <c r="I129" s="602">
        <f>(Moto!AH26)</f>
        <v>54700</v>
      </c>
      <c r="J129" s="603">
        <f>(Mayorista!H145)</f>
        <v>71390</v>
      </c>
      <c r="K129" s="600">
        <f t="shared" si="8"/>
        <v>36908.630000000005</v>
      </c>
    </row>
    <row r="130" spans="1:11">
      <c r="A130" s="295" t="s">
        <v>360</v>
      </c>
      <c r="B130" s="295" t="s">
        <v>1544</v>
      </c>
      <c r="C130" s="296">
        <v>12</v>
      </c>
      <c r="D130" s="297">
        <v>150</v>
      </c>
      <c r="E130" s="297">
        <v>87</v>
      </c>
      <c r="F130" s="297">
        <v>93</v>
      </c>
      <c r="G130" s="297"/>
      <c r="H130" s="297"/>
      <c r="I130" s="602">
        <f>(Moto!AH27)</f>
        <v>78350</v>
      </c>
      <c r="J130" s="603">
        <f>(Mayorista!H146)</f>
        <v>82280</v>
      </c>
      <c r="K130" s="600">
        <f t="shared" si="8"/>
        <v>42538.76</v>
      </c>
    </row>
    <row r="131" spans="1:11" s="1" customFormat="1">
      <c r="A131" s="295"/>
      <c r="B131" s="295"/>
      <c r="C131" s="296"/>
      <c r="D131" s="296"/>
      <c r="E131" s="296"/>
      <c r="F131" s="296"/>
      <c r="G131" s="296"/>
      <c r="H131" s="296"/>
      <c r="I131" s="621"/>
      <c r="J131" s="622"/>
      <c r="K131" s="623"/>
    </row>
    <row r="132" spans="1:11">
      <c r="A132" s="613" t="s">
        <v>966</v>
      </c>
      <c r="B132" s="604" t="s">
        <v>1581</v>
      </c>
      <c r="C132" s="921"/>
      <c r="D132" s="994" t="s">
        <v>1344</v>
      </c>
      <c r="E132" s="994"/>
      <c r="F132" s="994"/>
      <c r="G132" s="609"/>
      <c r="H132" s="921"/>
      <c r="I132" s="991" t="s">
        <v>1345</v>
      </c>
      <c r="J132" s="991"/>
      <c r="K132" s="588" t="s">
        <v>114</v>
      </c>
    </row>
    <row r="133" spans="1:11" ht="17.399999999999999">
      <c r="A133" s="997" t="s">
        <v>1480</v>
      </c>
      <c r="B133" s="997"/>
      <c r="C133" s="997"/>
      <c r="D133" s="291" t="s">
        <v>1351</v>
      </c>
      <c r="E133" s="291" t="s">
        <v>1352</v>
      </c>
      <c r="F133" s="291" t="s">
        <v>1353</v>
      </c>
      <c r="G133" s="297"/>
      <c r="H133" s="921"/>
      <c r="I133" s="593" t="s">
        <v>14</v>
      </c>
      <c r="J133" s="293" t="s">
        <v>1568</v>
      </c>
      <c r="K133" s="590">
        <v>0.48299999999999998</v>
      </c>
    </row>
    <row r="134" spans="1:11">
      <c r="A134" s="325" t="s">
        <v>1481</v>
      </c>
      <c r="B134" s="296">
        <v>12</v>
      </c>
      <c r="C134" s="296">
        <v>7</v>
      </c>
      <c r="D134" s="297">
        <v>151</v>
      </c>
      <c r="E134" s="297">
        <v>65</v>
      </c>
      <c r="F134" s="297">
        <v>93.5</v>
      </c>
      <c r="G134" s="297"/>
      <c r="H134" s="921"/>
      <c r="I134" s="610">
        <f>('Tempel - Melisam'!R3)</f>
        <v>24200</v>
      </c>
      <c r="J134" s="611">
        <f>(Mayorista!J99)</f>
        <v>19127.68</v>
      </c>
      <c r="K134" s="612">
        <f>(J134-(J134*K133))</f>
        <v>9889.0105600000006</v>
      </c>
    </row>
    <row r="135" spans="1:11">
      <c r="A135" s="295" t="s">
        <v>1482</v>
      </c>
      <c r="B135" s="296">
        <v>12</v>
      </c>
      <c r="C135" s="296">
        <v>12</v>
      </c>
      <c r="D135" s="297">
        <v>151</v>
      </c>
      <c r="E135" s="297">
        <v>98</v>
      </c>
      <c r="F135" s="297">
        <v>95</v>
      </c>
      <c r="G135" s="297"/>
      <c r="H135" s="921"/>
      <c r="I135" s="610">
        <f>('Tempel - Melisam'!R4)</f>
        <v>71500</v>
      </c>
      <c r="J135" s="611">
        <f>(Mayorista!J100)</f>
        <v>65235.455999999998</v>
      </c>
      <c r="K135" s="612">
        <f>(J135-(J135*K133))</f>
        <v>33726.730752000003</v>
      </c>
    </row>
    <row r="136" spans="1:11">
      <c r="A136" s="295" t="s">
        <v>1483</v>
      </c>
      <c r="B136" s="296">
        <v>12</v>
      </c>
      <c r="C136" s="296">
        <v>18</v>
      </c>
      <c r="D136" s="297">
        <v>181.5</v>
      </c>
      <c r="E136" s="297">
        <v>77</v>
      </c>
      <c r="F136" s="297">
        <v>167.5</v>
      </c>
      <c r="G136" s="297"/>
      <c r="H136" s="921"/>
      <c r="I136" s="610">
        <f>('Tempel - Melisam'!R5)</f>
        <v>93500</v>
      </c>
      <c r="J136" s="611">
        <f>(Mayorista!J101)</f>
        <v>80537.599999999991</v>
      </c>
      <c r="K136" s="612">
        <f>(J136-(J136*K133))</f>
        <v>41637.939199999993</v>
      </c>
    </row>
    <row r="137" spans="1:11">
      <c r="A137" s="295" t="s">
        <v>1484</v>
      </c>
      <c r="B137" s="296">
        <v>12</v>
      </c>
      <c r="C137" s="296">
        <v>26</v>
      </c>
      <c r="D137" s="297">
        <v>166</v>
      </c>
      <c r="E137" s="297">
        <v>175</v>
      </c>
      <c r="F137" s="297">
        <v>125</v>
      </c>
      <c r="G137" s="297"/>
      <c r="H137" s="921"/>
      <c r="I137" s="610">
        <f>('Tempel - Melisam'!R6)</f>
        <v>132000</v>
      </c>
      <c r="J137" s="611">
        <f>(Mayorista!J102)</f>
        <v>116779.51999999999</v>
      </c>
      <c r="K137" s="612">
        <f>(J137-(J137*K133))</f>
        <v>60375.011839999999</v>
      </c>
    </row>
    <row r="138" spans="1:11" ht="17.399999999999999">
      <c r="A138" s="620" t="s">
        <v>1545</v>
      </c>
      <c r="B138" s="616"/>
      <c r="C138" s="617"/>
      <c r="D138" s="617"/>
      <c r="E138" s="1008"/>
      <c r="F138" s="1008"/>
      <c r="G138" s="1008"/>
      <c r="H138" s="921"/>
      <c r="I138" s="991" t="s">
        <v>1345</v>
      </c>
      <c r="J138" s="991"/>
      <c r="K138" s="588" t="s">
        <v>114</v>
      </c>
    </row>
    <row r="139" spans="1:11">
      <c r="A139" s="618"/>
      <c r="B139" s="619"/>
      <c r="C139" s="617"/>
      <c r="D139" s="617"/>
      <c r="E139" s="1008"/>
      <c r="F139" s="1008"/>
      <c r="G139" s="1008"/>
      <c r="H139" s="921"/>
      <c r="I139" s="593" t="s">
        <v>14</v>
      </c>
      <c r="J139" s="293" t="s">
        <v>1568</v>
      </c>
      <c r="K139" s="590">
        <v>0.48299999999999998</v>
      </c>
    </row>
    <row r="140" spans="1:11">
      <c r="A140" s="990" t="s">
        <v>1546</v>
      </c>
      <c r="B140" s="990"/>
      <c r="C140" s="990"/>
      <c r="D140" s="990"/>
      <c r="E140" s="1008"/>
      <c r="F140" s="1008"/>
      <c r="G140" s="1008"/>
      <c r="H140" s="921"/>
      <c r="I140" s="624">
        <f>(Publico!D373)</f>
        <v>130900</v>
      </c>
      <c r="J140" s="585">
        <f>(Mayorista!F150)</f>
        <v>101901.02313599999</v>
      </c>
      <c r="K140" s="627">
        <f>(J140-(J140*K139))</f>
        <v>52682.828961311992</v>
      </c>
    </row>
    <row r="141" spans="1:11">
      <c r="A141" s="990" t="s">
        <v>1547</v>
      </c>
      <c r="B141" s="990"/>
      <c r="C141" s="990"/>
      <c r="D141" s="990"/>
      <c r="E141" s="1008"/>
      <c r="F141" s="1008"/>
      <c r="G141" s="1008"/>
      <c r="H141" s="921"/>
      <c r="I141" s="624">
        <f>(Publico!D374)</f>
        <v>170600</v>
      </c>
      <c r="J141" s="585">
        <f>(Mayorista!F151)</f>
        <v>130141.79199999999</v>
      </c>
      <c r="K141" s="627">
        <f>(J141-(J141*K139))</f>
        <v>67283.306463999994</v>
      </c>
    </row>
    <row r="142" spans="1:11">
      <c r="A142" s="990" t="s">
        <v>1548</v>
      </c>
      <c r="B142" s="990"/>
      <c r="C142" s="990"/>
      <c r="D142" s="990"/>
      <c r="E142" s="1008"/>
      <c r="F142" s="1008"/>
      <c r="G142" s="1008"/>
      <c r="H142" s="921"/>
      <c r="I142" s="624">
        <f>(Publico!D375)</f>
        <v>266800</v>
      </c>
      <c r="J142" s="585">
        <f>(Mayorista!F152)</f>
        <v>205487.04</v>
      </c>
      <c r="K142" s="627">
        <f>(J142-(J142*K139))</f>
        <v>106236.79968000001</v>
      </c>
    </row>
    <row r="143" spans="1:11">
      <c r="A143" s="1004" t="s">
        <v>413</v>
      </c>
      <c r="B143" s="1004"/>
      <c r="C143" s="1004"/>
      <c r="D143" s="1004"/>
      <c r="E143" s="1008"/>
      <c r="F143" s="1008"/>
      <c r="G143" s="1008"/>
      <c r="H143" s="921"/>
      <c r="I143" s="624">
        <f>(Publico!D376)</f>
        <v>295200</v>
      </c>
      <c r="J143" s="585">
        <f>(Mayorista!F153)</f>
        <v>256509.47203199999</v>
      </c>
      <c r="K143" s="627">
        <f>(J143-(J143*K139))</f>
        <v>132615.39704054402</v>
      </c>
    </row>
    <row r="144" spans="1:11" ht="17.399999999999999">
      <c r="A144" s="620" t="s">
        <v>1549</v>
      </c>
      <c r="B144" s="616"/>
      <c r="C144" s="617"/>
      <c r="D144" s="617"/>
      <c r="E144" s="1008"/>
      <c r="F144" s="1008"/>
      <c r="G144" s="1008"/>
      <c r="H144" s="921"/>
      <c r="I144" s="991" t="s">
        <v>1345</v>
      </c>
      <c r="J144" s="991"/>
      <c r="K144" s="588" t="s">
        <v>114</v>
      </c>
    </row>
    <row r="145" spans="1:11">
      <c r="A145" s="618"/>
      <c r="B145" s="619"/>
      <c r="C145" s="617"/>
      <c r="D145" s="617"/>
      <c r="E145" s="1008"/>
      <c r="F145" s="1008"/>
      <c r="G145" s="1008"/>
      <c r="H145" s="921"/>
      <c r="I145" s="593" t="s">
        <v>14</v>
      </c>
      <c r="J145" s="293" t="s">
        <v>1568</v>
      </c>
      <c r="K145" s="590">
        <v>0.48299999999999998</v>
      </c>
    </row>
    <row r="146" spans="1:11">
      <c r="A146" s="990" t="s">
        <v>1550</v>
      </c>
      <c r="B146" s="990"/>
      <c r="C146" s="990"/>
      <c r="D146" s="990"/>
      <c r="E146" s="1008"/>
      <c r="F146" s="1008"/>
      <c r="G146" s="1008"/>
      <c r="H146" s="921"/>
      <c r="I146" s="625">
        <f>(Publico!D371)</f>
        <v>205500</v>
      </c>
      <c r="J146" s="614">
        <f>(Mayorista!F156)</f>
        <v>119100.28838399997</v>
      </c>
      <c r="K146" s="612">
        <f>(J146-(J146*K145))</f>
        <v>61574.849094527985</v>
      </c>
    </row>
    <row r="147" spans="1:11">
      <c r="A147" s="990" t="s">
        <v>1551</v>
      </c>
      <c r="B147" s="990"/>
      <c r="C147" s="990"/>
      <c r="D147" s="990"/>
      <c r="E147" s="1008"/>
      <c r="F147" s="1008"/>
      <c r="G147" s="1008"/>
      <c r="H147" s="921"/>
      <c r="I147" s="625">
        <f>(Publico!D372)</f>
        <v>247400</v>
      </c>
      <c r="J147" s="614">
        <f>(Mayorista!F157)</f>
        <v>193260.56112</v>
      </c>
      <c r="K147" s="612">
        <f>(J147-(J147*K145))</f>
        <v>99915.710099040007</v>
      </c>
    </row>
    <row r="148" spans="1:11" ht="17.399999999999999">
      <c r="A148" s="620" t="s">
        <v>1552</v>
      </c>
      <c r="B148" s="616"/>
      <c r="C148" s="617"/>
      <c r="D148" s="617"/>
      <c r="E148" s="1008"/>
      <c r="F148" s="1008"/>
      <c r="G148" s="1008"/>
      <c r="H148" s="921"/>
      <c r="I148" s="991" t="s">
        <v>1345</v>
      </c>
      <c r="J148" s="991"/>
      <c r="K148" s="588" t="s">
        <v>114</v>
      </c>
    </row>
    <row r="149" spans="1:11">
      <c r="A149" s="618"/>
      <c r="B149" s="619"/>
      <c r="C149" s="617"/>
      <c r="D149" s="617"/>
      <c r="E149" s="1008"/>
      <c r="F149" s="1008"/>
      <c r="G149" s="1008"/>
      <c r="H149" s="921"/>
      <c r="I149" s="593" t="s">
        <v>14</v>
      </c>
      <c r="J149" s="293" t="s">
        <v>1568</v>
      </c>
      <c r="K149" s="590">
        <v>0.48299999999999998</v>
      </c>
    </row>
    <row r="150" spans="1:11">
      <c r="A150" s="990" t="s">
        <v>975</v>
      </c>
      <c r="B150" s="990"/>
      <c r="C150" s="990"/>
      <c r="D150" s="990"/>
      <c r="E150" s="1008"/>
      <c r="F150" s="1008"/>
      <c r="G150" s="1008"/>
      <c r="H150" s="921"/>
      <c r="I150" s="625">
        <f>(Publico!D419)</f>
        <v>315700</v>
      </c>
      <c r="J150" s="614">
        <f>(Mayorista!F160)</f>
        <v>245967.98688000001</v>
      </c>
      <c r="K150" s="612">
        <f>(J150-(J150*K149))</f>
        <v>127165.44921696001</v>
      </c>
    </row>
    <row r="151" spans="1:11">
      <c r="A151" s="990" t="s">
        <v>1553</v>
      </c>
      <c r="B151" s="990"/>
      <c r="C151" s="990"/>
      <c r="D151" s="990"/>
      <c r="E151" s="1008"/>
      <c r="F151" s="1008"/>
      <c r="G151" s="1008"/>
      <c r="H151" s="921"/>
      <c r="I151" s="625">
        <f>(Publico!D415)</f>
        <v>41200</v>
      </c>
      <c r="J151" s="614">
        <f>(Mayorista!F161)</f>
        <v>40409.026415999993</v>
      </c>
      <c r="K151" s="612">
        <f>(J151-(J151*K149))</f>
        <v>20891.466657071996</v>
      </c>
    </row>
    <row r="152" spans="1:11">
      <c r="A152" s="1005" t="s">
        <v>457</v>
      </c>
      <c r="B152" s="1006"/>
      <c r="C152" s="1006"/>
      <c r="D152" s="1006"/>
      <c r="E152" s="1008"/>
      <c r="F152" s="1008"/>
      <c r="G152" s="1008"/>
      <c r="H152" s="921"/>
      <c r="I152" s="625">
        <f>(Publico!D411)</f>
        <v>169600</v>
      </c>
      <c r="J152" s="614">
        <f>(Mayorista!F162)</f>
        <v>144066.96374399998</v>
      </c>
      <c r="K152" s="612">
        <f>(J152-(J152*K149))</f>
        <v>74482.620255647998</v>
      </c>
    </row>
    <row r="153" spans="1:11">
      <c r="A153" s="1005" t="s">
        <v>1554</v>
      </c>
      <c r="B153" s="1006"/>
      <c r="C153" s="1006"/>
      <c r="D153" s="1006"/>
      <c r="E153" s="1008"/>
      <c r="F153" s="1008"/>
      <c r="G153" s="1008"/>
      <c r="H153" s="921"/>
      <c r="I153" s="625">
        <f>(Publico!D392)</f>
        <v>173600</v>
      </c>
      <c r="J153" s="614">
        <f>(Mayorista!F163)</f>
        <v>147580.79212799997</v>
      </c>
      <c r="K153" s="612">
        <f>(J153-(J153*K149))</f>
        <v>76299.269530175981</v>
      </c>
    </row>
    <row r="154" spans="1:11">
      <c r="A154" s="1005" t="s">
        <v>1555</v>
      </c>
      <c r="B154" s="1006"/>
      <c r="C154" s="1006"/>
      <c r="D154" s="1006"/>
      <c r="E154" s="1008"/>
      <c r="F154" s="1008"/>
      <c r="G154" s="1008"/>
      <c r="H154" s="921"/>
      <c r="I154" s="625">
        <f>(Publico!D397)</f>
        <v>164700</v>
      </c>
      <c r="J154" s="614">
        <f>(Mayorista!F164)</f>
        <v>138796.22116799999</v>
      </c>
      <c r="K154" s="612">
        <f>(J154-(J154*K149))</f>
        <v>71757.646343856002</v>
      </c>
    </row>
    <row r="155" spans="1:11">
      <c r="A155" s="968"/>
      <c r="B155" s="351" t="s">
        <v>461</v>
      </c>
      <c r="C155" s="968"/>
      <c r="D155" s="968"/>
      <c r="E155" s="1008"/>
      <c r="F155" s="1008"/>
      <c r="G155" s="1008"/>
      <c r="H155" s="921"/>
      <c r="I155" s="625">
        <f>(Publico!D396)</f>
        <v>62700</v>
      </c>
      <c r="J155" s="614">
        <f>(Mayorista!F165)</f>
        <v>45679.768992000005</v>
      </c>
      <c r="K155" s="612">
        <f>(J155-(J155*K149))</f>
        <v>23616.440568864004</v>
      </c>
    </row>
    <row r="156" spans="1:11">
      <c r="A156" s="968"/>
      <c r="B156" s="351" t="s">
        <v>1556</v>
      </c>
      <c r="C156" s="968"/>
      <c r="D156" s="968"/>
      <c r="E156" s="1008"/>
      <c r="F156" s="1008"/>
      <c r="G156" s="1008"/>
      <c r="H156" s="921"/>
      <c r="I156" s="625">
        <f>(Publico!D380)</f>
        <v>52200</v>
      </c>
      <c r="J156" s="614">
        <f>(Mayorista!F166)</f>
        <v>37672.623999999996</v>
      </c>
      <c r="K156" s="612">
        <f>(J156-(J156*K149))</f>
        <v>19476.746607999998</v>
      </c>
    </row>
    <row r="157" spans="1:11">
      <c r="A157" s="968"/>
      <c r="B157" s="351" t="s">
        <v>1557</v>
      </c>
      <c r="C157" s="968"/>
      <c r="D157" s="968"/>
      <c r="E157" s="1008"/>
      <c r="F157" s="1008"/>
      <c r="G157" s="1008"/>
      <c r="H157" s="921"/>
      <c r="I157" s="625">
        <f>(Publico!D432)</f>
        <v>19700</v>
      </c>
      <c r="J157" s="614">
        <f>(Mayorista!F167)</f>
        <v>15051.326342799997</v>
      </c>
      <c r="K157" s="612">
        <f>(J157-(J157*K149))</f>
        <v>7781.5357192275987</v>
      </c>
    </row>
    <row r="158" spans="1:11" ht="17.399999999999999">
      <c r="A158" s="620" t="s">
        <v>1560</v>
      </c>
      <c r="B158" s="616"/>
      <c r="C158" s="617"/>
      <c r="D158" s="617"/>
      <c r="E158" s="1008"/>
      <c r="F158" s="1008"/>
      <c r="G158" s="1008"/>
      <c r="H158" s="921"/>
      <c r="I158" s="991" t="s">
        <v>1345</v>
      </c>
      <c r="J158" s="991"/>
      <c r="K158" s="588" t="s">
        <v>114</v>
      </c>
    </row>
    <row r="159" spans="1:11">
      <c r="A159" s="618"/>
      <c r="B159" s="619"/>
      <c r="C159" s="617"/>
      <c r="D159" s="617"/>
      <c r="E159" s="1008"/>
      <c r="F159" s="1008"/>
      <c r="G159" s="1008"/>
      <c r="H159" s="921"/>
      <c r="I159" s="593" t="s">
        <v>14</v>
      </c>
      <c r="J159" s="293" t="s">
        <v>1568</v>
      </c>
      <c r="K159" s="590">
        <v>0.48299999999999998</v>
      </c>
    </row>
    <row r="160" spans="1:11">
      <c r="A160" s="990" t="s">
        <v>1561</v>
      </c>
      <c r="B160" s="990"/>
      <c r="C160" s="990"/>
      <c r="D160" s="990"/>
      <c r="E160" s="1008"/>
      <c r="F160" s="1008"/>
      <c r="G160" s="1008"/>
      <c r="H160" s="921"/>
      <c r="I160" s="626">
        <f>(Publico!D359)</f>
        <v>3000</v>
      </c>
      <c r="J160" s="585">
        <f>(Mayorista!F176)</f>
        <v>2105.5814999999998</v>
      </c>
      <c r="K160" s="612">
        <f>(J160-(J160*K159))</f>
        <v>1088.5856355000001</v>
      </c>
    </row>
    <row r="161" spans="1:11">
      <c r="A161" s="990" t="s">
        <v>1562</v>
      </c>
      <c r="B161" s="990"/>
      <c r="C161" s="990"/>
      <c r="D161" s="990"/>
      <c r="E161" s="1008"/>
      <c r="F161" s="1008"/>
      <c r="G161" s="1008"/>
      <c r="H161" s="921"/>
      <c r="I161" s="626">
        <f>(Publico!D360)</f>
        <v>3700</v>
      </c>
      <c r="J161" s="585">
        <f>(Mayorista!F177)</f>
        <v>2744.2799999999997</v>
      </c>
      <c r="K161" s="612">
        <f>(J161-(J161*K159))</f>
        <v>1418.7927599999998</v>
      </c>
    </row>
    <row r="162" spans="1:11">
      <c r="A162" s="990" t="s">
        <v>1563</v>
      </c>
      <c r="B162" s="990"/>
      <c r="C162" s="990"/>
      <c r="D162" s="990"/>
      <c r="E162" s="1008"/>
      <c r="F162" s="1008"/>
      <c r="G162" s="1008"/>
      <c r="H162" s="921"/>
      <c r="I162" s="626">
        <f>(Publico!D361)</f>
        <v>6650</v>
      </c>
      <c r="J162" s="585">
        <f>(Mayorista!F178)</f>
        <v>5787.490499999999</v>
      </c>
      <c r="K162" s="612">
        <f>(J162-(J162*K159))</f>
        <v>2992.1325884999997</v>
      </c>
    </row>
    <row r="163" spans="1:11">
      <c r="A163" s="990" t="s">
        <v>1564</v>
      </c>
      <c r="B163" s="990"/>
      <c r="C163" s="990"/>
      <c r="D163" s="990"/>
      <c r="E163" s="1008"/>
      <c r="F163" s="1008"/>
      <c r="G163" s="1008"/>
      <c r="H163" s="921"/>
      <c r="I163" s="626">
        <f>(Publico!D362)</f>
        <v>3700</v>
      </c>
      <c r="J163" s="585">
        <f>(Mayorista!F179)</f>
        <v>2268.9314999999997</v>
      </c>
      <c r="K163" s="612">
        <f>(J163-(J163*K159))</f>
        <v>1173.0375855</v>
      </c>
    </row>
    <row r="164" spans="1:11">
      <c r="A164" s="990" t="s">
        <v>1565</v>
      </c>
      <c r="B164" s="990"/>
      <c r="C164" s="990"/>
      <c r="D164" s="990"/>
      <c r="E164" s="1008"/>
      <c r="F164" s="1008"/>
      <c r="G164" s="1008"/>
      <c r="H164" s="921"/>
      <c r="I164" s="626">
        <f>(Publico!D364)</f>
        <v>3100</v>
      </c>
      <c r="J164" s="585">
        <f>(Mayorista!F180)</f>
        <v>2012.4719999999998</v>
      </c>
      <c r="K164" s="612">
        <f>(J164-(J164*K159))</f>
        <v>1040.4480239999998</v>
      </c>
    </row>
    <row r="165" spans="1:11">
      <c r="A165" s="990" t="s">
        <v>1566</v>
      </c>
      <c r="B165" s="990"/>
      <c r="C165" s="990"/>
      <c r="D165" s="990"/>
      <c r="E165" s="1008"/>
      <c r="F165" s="1008"/>
      <c r="G165" s="1008"/>
      <c r="H165" s="921"/>
      <c r="I165" s="626">
        <f>(Publico!D363)</f>
        <v>10400</v>
      </c>
      <c r="J165" s="585">
        <f>(Mayorista!F181)</f>
        <v>8018.8515000000007</v>
      </c>
      <c r="K165" s="612">
        <f>(J165-(J165*K159))</f>
        <v>4145.7462255000009</v>
      </c>
    </row>
  </sheetData>
  <mergeCells count="66">
    <mergeCell ref="E5:G5"/>
    <mergeCell ref="H5:J5"/>
    <mergeCell ref="L5:L6"/>
    <mergeCell ref="E9:G9"/>
    <mergeCell ref="H9:J9"/>
    <mergeCell ref="L9:L10"/>
    <mergeCell ref="A39:D40"/>
    <mergeCell ref="E40:G40"/>
    <mergeCell ref="H40:J40"/>
    <mergeCell ref="L40:L41"/>
    <mergeCell ref="A25:D25"/>
    <mergeCell ref="E25:G25"/>
    <mergeCell ref="H25:J25"/>
    <mergeCell ref="L25:L26"/>
    <mergeCell ref="A32:D32"/>
    <mergeCell ref="E32:G32"/>
    <mergeCell ref="H32:J32"/>
    <mergeCell ref="L32:L33"/>
    <mergeCell ref="E47:G47"/>
    <mergeCell ref="H47:J47"/>
    <mergeCell ref="L47:L48"/>
    <mergeCell ref="A88:A89"/>
    <mergeCell ref="E88:G88"/>
    <mergeCell ref="L88:L89"/>
    <mergeCell ref="A47:A48"/>
    <mergeCell ref="B47:B48"/>
    <mergeCell ref="C47:C48"/>
    <mergeCell ref="D47:D48"/>
    <mergeCell ref="I88:J88"/>
    <mergeCell ref="L102:L103"/>
    <mergeCell ref="A102:A103"/>
    <mergeCell ref="B102:B103"/>
    <mergeCell ref="D102:D103"/>
    <mergeCell ref="E102:G102"/>
    <mergeCell ref="H102:J102"/>
    <mergeCell ref="C102:C103"/>
    <mergeCell ref="A133:C133"/>
    <mergeCell ref="D116:G116"/>
    <mergeCell ref="D132:F132"/>
    <mergeCell ref="I132:J132"/>
    <mergeCell ref="A116:A117"/>
    <mergeCell ref="B116:B117"/>
    <mergeCell ref="C116:C117"/>
    <mergeCell ref="I116:J116"/>
    <mergeCell ref="I138:J138"/>
    <mergeCell ref="A140:D140"/>
    <mergeCell ref="A141:D141"/>
    <mergeCell ref="A142:D142"/>
    <mergeCell ref="A143:D143"/>
    <mergeCell ref="I144:J144"/>
    <mergeCell ref="A146:D146"/>
    <mergeCell ref="A147:D147"/>
    <mergeCell ref="I148:J148"/>
    <mergeCell ref="A150:D150"/>
    <mergeCell ref="I158:J158"/>
    <mergeCell ref="A160:D160"/>
    <mergeCell ref="A161:D161"/>
    <mergeCell ref="A151:D151"/>
    <mergeCell ref="A152:D152"/>
    <mergeCell ref="A153:D153"/>
    <mergeCell ref="A154:D154"/>
    <mergeCell ref="A162:D162"/>
    <mergeCell ref="A163:D163"/>
    <mergeCell ref="A164:D164"/>
    <mergeCell ref="A165:D165"/>
    <mergeCell ref="E138:G165"/>
  </mergeCells>
  <pageMargins left="0.7" right="0.7" top="0.75" bottom="0.75" header="0.3" footer="0.3"/>
  <pageSetup paperSize="9" scale="62" fitToHeight="0" orientation="portrait" r:id="rId1"/>
  <ignoredErrors>
    <ignoredError sqref="I104:I114 K63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6A9E-3D7E-4955-B3F5-10910BFAD3F4}">
  <dimension ref="A1:S478"/>
  <sheetViews>
    <sheetView workbookViewId="0">
      <pane xSplit="3" ySplit="1" topLeftCell="H428" activePane="bottomRight" state="frozen"/>
      <selection pane="topRight"/>
      <selection pane="bottomLeft"/>
      <selection pane="bottomRight" activeCell="C475" sqref="C475:C478"/>
    </sheetView>
  </sheetViews>
  <sheetFormatPr baseColWidth="10" defaultColWidth="11.44140625" defaultRowHeight="14.4"/>
  <cols>
    <col min="1" max="1" width="35.5546875" customWidth="1"/>
    <col min="2" max="2" width="19" bestFit="1" customWidth="1"/>
    <col min="3" max="3" width="15.6640625" customWidth="1"/>
    <col min="4" max="4" width="13.109375" bestFit="1" customWidth="1"/>
    <col min="5" max="5" width="13.6640625" bestFit="1" customWidth="1"/>
    <col min="6" max="6" width="15.33203125" bestFit="1" customWidth="1"/>
    <col min="7" max="7" width="17.6640625" bestFit="1" customWidth="1"/>
    <col min="8" max="8" width="14" bestFit="1" customWidth="1"/>
    <col min="9" max="9" width="20.5546875" bestFit="1" customWidth="1"/>
    <col min="10" max="10" width="17.44140625" bestFit="1" customWidth="1"/>
    <col min="11" max="11" width="20.5546875" customWidth="1"/>
    <col min="12" max="12" width="13" bestFit="1" customWidth="1"/>
    <col min="18" max="18" width="13.88671875" bestFit="1" customWidth="1"/>
  </cols>
  <sheetData>
    <row r="1" spans="1:19" ht="15.75" customHeight="1" thickBot="1">
      <c r="A1" s="455" t="s">
        <v>518</v>
      </c>
      <c r="B1" s="921" t="s">
        <v>370</v>
      </c>
      <c r="C1" s="921" t="s">
        <v>519</v>
      </c>
      <c r="D1" s="921" t="s">
        <v>1582</v>
      </c>
      <c r="E1" s="921" t="s">
        <v>1583</v>
      </c>
      <c r="F1" s="921" t="s">
        <v>1584</v>
      </c>
      <c r="G1" s="921" t="s">
        <v>1585</v>
      </c>
      <c r="H1" s="921" t="s">
        <v>1586</v>
      </c>
      <c r="I1" s="921" t="s">
        <v>1587</v>
      </c>
      <c r="J1" s="921" t="s">
        <v>1588</v>
      </c>
      <c r="K1" s="921" t="s">
        <v>1589</v>
      </c>
      <c r="L1" s="921" t="s">
        <v>1590</v>
      </c>
      <c r="M1" s="471" t="s">
        <v>1591</v>
      </c>
      <c r="N1" s="367" t="s">
        <v>25</v>
      </c>
      <c r="O1" s="453"/>
      <c r="P1" s="454">
        <v>10000</v>
      </c>
      <c r="Q1" s="921"/>
      <c r="R1" s="367" t="s">
        <v>1592</v>
      </c>
      <c r="S1" s="368">
        <v>0.03</v>
      </c>
    </row>
    <row r="2" spans="1:19" ht="16.2" thickBot="1">
      <c r="A2" s="921" t="s">
        <v>522</v>
      </c>
      <c r="B2" s="921" t="s">
        <v>521</v>
      </c>
      <c r="C2" s="921" t="s">
        <v>1593</v>
      </c>
      <c r="D2" s="461">
        <v>10</v>
      </c>
      <c r="E2" s="473">
        <f>ROUNDUP(($D2+($D2*Publico!L$1)),-1)</f>
        <v>20</v>
      </c>
      <c r="F2" s="473">
        <f>ROUNDUP(($D2+($D2*Publico!L$2)),-1)</f>
        <v>20</v>
      </c>
      <c r="G2" s="473">
        <f>(D2)</f>
        <v>10</v>
      </c>
      <c r="H2" s="474">
        <v>10</v>
      </c>
      <c r="I2" s="474">
        <v>10</v>
      </c>
      <c r="J2" s="474">
        <v>10</v>
      </c>
      <c r="K2" s="474">
        <f>(J2)</f>
        <v>10</v>
      </c>
      <c r="L2" s="628">
        <v>10</v>
      </c>
      <c r="M2" s="472">
        <v>8400</v>
      </c>
      <c r="N2" s="501" t="s">
        <v>27</v>
      </c>
      <c r="O2" s="183"/>
      <c r="P2" s="184">
        <v>14000</v>
      </c>
      <c r="Q2" s="921"/>
      <c r="R2" s="367" t="s">
        <v>1594</v>
      </c>
      <c r="S2" s="368">
        <v>0.19</v>
      </c>
    </row>
    <row r="3" spans="1:19" ht="16.2" thickBot="1">
      <c r="A3" s="921" t="s">
        <v>524</v>
      </c>
      <c r="B3" s="921" t="s">
        <v>521</v>
      </c>
      <c r="C3" s="921" t="s">
        <v>525</v>
      </c>
      <c r="D3" s="461">
        <v>10</v>
      </c>
      <c r="E3" s="473">
        <f>ROUNDUP(($D3+($D3*Publico!L$1)),-1)</f>
        <v>20</v>
      </c>
      <c r="F3" s="473">
        <f>ROUNDUP(($D3+($D3*Publico!L$2)),-1)</f>
        <v>20</v>
      </c>
      <c r="G3" s="473">
        <f t="shared" ref="G3:G66" si="0">(D3)</f>
        <v>10</v>
      </c>
      <c r="H3" s="474">
        <v>10</v>
      </c>
      <c r="I3" s="474">
        <v>10</v>
      </c>
      <c r="J3" s="474">
        <v>10</v>
      </c>
      <c r="K3" s="474">
        <f t="shared" ref="K3:K66" si="1">(J3)</f>
        <v>10</v>
      </c>
      <c r="L3" s="628">
        <v>10</v>
      </c>
      <c r="M3" s="921"/>
      <c r="N3" s="637" t="s">
        <v>29</v>
      </c>
      <c r="O3" s="638"/>
      <c r="P3" s="639">
        <v>19000</v>
      </c>
      <c r="Q3" s="921"/>
      <c r="R3" s="429" t="s">
        <v>1595</v>
      </c>
      <c r="S3" s="921"/>
    </row>
    <row r="4" spans="1:19" ht="15.6">
      <c r="A4" s="921" t="s">
        <v>526</v>
      </c>
      <c r="B4" s="921" t="s">
        <v>521</v>
      </c>
      <c r="C4" s="921" t="s">
        <v>527</v>
      </c>
      <c r="D4" s="461">
        <v>10</v>
      </c>
      <c r="E4" s="473">
        <f>ROUNDUP(($D4+($D4*Publico!L$1)),-1)</f>
        <v>20</v>
      </c>
      <c r="F4" s="473">
        <f>ROUNDUP(($D4+($D4*Publico!L$2)),-1)</f>
        <v>20</v>
      </c>
      <c r="G4" s="473">
        <f t="shared" si="0"/>
        <v>10</v>
      </c>
      <c r="H4" s="474">
        <v>10</v>
      </c>
      <c r="I4" s="474">
        <v>10</v>
      </c>
      <c r="J4" s="474">
        <v>10</v>
      </c>
      <c r="K4" s="474">
        <f t="shared" si="1"/>
        <v>10</v>
      </c>
      <c r="L4" s="628">
        <v>10</v>
      </c>
      <c r="M4" s="921"/>
      <c r="N4" s="921"/>
      <c r="O4" s="921"/>
      <c r="P4" s="921"/>
      <c r="Q4" s="921"/>
      <c r="R4" s="667" t="s">
        <v>1596</v>
      </c>
      <c r="S4" s="668">
        <v>0.09</v>
      </c>
    </row>
    <row r="5" spans="1:19" ht="16.2" thickBot="1">
      <c r="A5" s="921" t="s">
        <v>1597</v>
      </c>
      <c r="B5" s="921" t="s">
        <v>521</v>
      </c>
      <c r="C5" s="921" t="s">
        <v>33</v>
      </c>
      <c r="D5" s="461">
        <f>(Varta!AA9)</f>
        <v>132000</v>
      </c>
      <c r="E5" s="473">
        <f>ROUNDUP(($D5+($D5*Publico!L$1)),-1)</f>
        <v>135960</v>
      </c>
      <c r="F5" s="473">
        <f>ROUNDUP(($D5+($D5*Publico!L$2)),-1)</f>
        <v>154440</v>
      </c>
      <c r="G5" s="473">
        <f t="shared" si="0"/>
        <v>132000</v>
      </c>
      <c r="H5" s="474">
        <f>(Varta!G9)</f>
        <v>96605.542109999995</v>
      </c>
      <c r="I5" s="474">
        <f>(J5*1.105)</f>
        <v>88222.416554999989</v>
      </c>
      <c r="J5" s="474">
        <f>(H5/1.21)</f>
        <v>79839.290999999997</v>
      </c>
      <c r="K5" s="474">
        <f t="shared" si="1"/>
        <v>79839.290999999997</v>
      </c>
      <c r="L5" s="456">
        <f>(Varta!E9)</f>
        <v>55370.632782599998</v>
      </c>
      <c r="M5" s="921"/>
      <c r="N5" s="921"/>
      <c r="O5" s="921"/>
      <c r="P5" s="921"/>
      <c r="Q5" s="921"/>
      <c r="R5" s="669" t="s">
        <v>1598</v>
      </c>
      <c r="S5" s="670">
        <v>0.16</v>
      </c>
    </row>
    <row r="6" spans="1:19" ht="15.6">
      <c r="A6" s="921" t="s">
        <v>1599</v>
      </c>
      <c r="B6" s="921" t="s">
        <v>521</v>
      </c>
      <c r="C6" s="921" t="s">
        <v>1600</v>
      </c>
      <c r="D6" s="461">
        <f>(Varta!AA12)</f>
        <v>141000</v>
      </c>
      <c r="E6" s="473">
        <f>ROUNDUP(($D6+($D6*Publico!L$1)),-1)</f>
        <v>145230</v>
      </c>
      <c r="F6" s="473">
        <f>ROUNDUP(($D6+($D6*Publico!L$2)),-1)</f>
        <v>164970</v>
      </c>
      <c r="G6" s="473">
        <f t="shared" si="0"/>
        <v>141000</v>
      </c>
      <c r="H6" s="474">
        <f>(Varta!G12)</f>
        <v>104006.86526999999</v>
      </c>
      <c r="I6" s="474">
        <f t="shared" ref="I6:I69" si="2">(J6*1.105)</f>
        <v>94981.476135000004</v>
      </c>
      <c r="J6" s="474">
        <f>(H6/1.21)</f>
        <v>85956.087</v>
      </c>
      <c r="K6" s="474">
        <f t="shared" si="1"/>
        <v>85956.087</v>
      </c>
      <c r="L6" s="456">
        <f>(Varta!E12)</f>
        <v>59612.790508200007</v>
      </c>
      <c r="M6" s="921"/>
      <c r="N6" s="921"/>
      <c r="O6" s="921"/>
      <c r="P6" s="921"/>
      <c r="Q6" s="921"/>
      <c r="R6" s="921"/>
      <c r="S6" s="921"/>
    </row>
    <row r="7" spans="1:19" ht="15.6">
      <c r="A7" s="921" t="s">
        <v>1601</v>
      </c>
      <c r="B7" s="921" t="s">
        <v>521</v>
      </c>
      <c r="C7" s="921" t="s">
        <v>1602</v>
      </c>
      <c r="D7" s="461">
        <f>(Varta!AA12)</f>
        <v>141000</v>
      </c>
      <c r="E7" s="473">
        <f>ROUNDUP(($D7+($D7*Publico!L$1)),-1)</f>
        <v>145230</v>
      </c>
      <c r="F7" s="473">
        <f>ROUNDUP(($D7+($D7*Publico!L$2)),-1)</f>
        <v>164970</v>
      </c>
      <c r="G7" s="473">
        <f t="shared" si="0"/>
        <v>141000</v>
      </c>
      <c r="H7" s="474">
        <f>(Varta!G12)</f>
        <v>104006.86526999999</v>
      </c>
      <c r="I7" s="474">
        <f t="shared" si="2"/>
        <v>94981.476135000004</v>
      </c>
      <c r="J7" s="474">
        <f>(H7/1.21)</f>
        <v>85956.087</v>
      </c>
      <c r="K7" s="474">
        <f t="shared" si="1"/>
        <v>85956.087</v>
      </c>
      <c r="L7" s="456">
        <f>(Varta!E12)</f>
        <v>59612.790508200007</v>
      </c>
      <c r="M7" s="921"/>
      <c r="N7" s="921"/>
      <c r="O7" s="921"/>
      <c r="P7" s="921"/>
      <c r="Q7" s="921"/>
      <c r="R7" s="921"/>
      <c r="S7" s="921"/>
    </row>
    <row r="8" spans="1:19" ht="15.6">
      <c r="A8" s="921" t="s">
        <v>1603</v>
      </c>
      <c r="B8" s="921" t="s">
        <v>521</v>
      </c>
      <c r="C8" s="921" t="s">
        <v>1570</v>
      </c>
      <c r="D8" s="461">
        <v>10</v>
      </c>
      <c r="E8" s="473">
        <f>ROUNDUP(($D8+($D8*Publico!L$1)),-1)</f>
        <v>20</v>
      </c>
      <c r="F8" s="473">
        <f>ROUNDUP(($D8+($D8*Publico!L$2)),-1)</f>
        <v>20</v>
      </c>
      <c r="G8" s="473">
        <f t="shared" si="0"/>
        <v>10</v>
      </c>
      <c r="H8" s="474">
        <v>10</v>
      </c>
      <c r="I8" s="474">
        <f t="shared" si="2"/>
        <v>11.05</v>
      </c>
      <c r="J8" s="474">
        <v>10</v>
      </c>
      <c r="K8" s="474">
        <f t="shared" si="1"/>
        <v>10</v>
      </c>
      <c r="L8" s="456">
        <f>(Varta!E10)</f>
        <v>52306.852203000002</v>
      </c>
      <c r="M8" s="921"/>
      <c r="N8" s="921"/>
      <c r="O8" s="921"/>
      <c r="P8" s="921"/>
      <c r="Q8" s="921"/>
      <c r="R8" s="921"/>
      <c r="S8" s="921"/>
    </row>
    <row r="9" spans="1:19" ht="15.6">
      <c r="A9" s="921" t="s">
        <v>1604</v>
      </c>
      <c r="B9" s="921" t="s">
        <v>521</v>
      </c>
      <c r="C9" s="921" t="s">
        <v>37</v>
      </c>
      <c r="D9" s="461">
        <f>(Varta!AA11)</f>
        <v>130000</v>
      </c>
      <c r="E9" s="473">
        <f>ROUNDUP(($D9+($D9*Publico!L$1)),-1)</f>
        <v>133900</v>
      </c>
      <c r="F9" s="473">
        <f>ROUNDUP(($D9+($D9*Publico!L$2)),-1)</f>
        <v>152100</v>
      </c>
      <c r="G9" s="473">
        <f t="shared" si="0"/>
        <v>130000</v>
      </c>
      <c r="H9" s="474">
        <f>(Varta!G11)</f>
        <v>97770.565199999968</v>
      </c>
      <c r="I9" s="474">
        <f t="shared" si="2"/>
        <v>89286.342599999974</v>
      </c>
      <c r="J9" s="474">
        <f t="shared" ref="J9:J35" si="3">(H9/1.21)</f>
        <v>80802.119999999981</v>
      </c>
      <c r="K9" s="474">
        <f t="shared" si="1"/>
        <v>80802.119999999981</v>
      </c>
      <c r="L9" s="456">
        <f>(Varta!E11)</f>
        <v>56038.379831999991</v>
      </c>
      <c r="M9" s="921"/>
      <c r="N9" s="921"/>
      <c r="O9" s="921"/>
      <c r="P9" s="921"/>
      <c r="Q9" s="921"/>
      <c r="R9" s="921"/>
      <c r="S9" s="921"/>
    </row>
    <row r="10" spans="1:19" ht="15.6">
      <c r="A10" s="921" t="s">
        <v>1605</v>
      </c>
      <c r="B10" s="921" t="s">
        <v>521</v>
      </c>
      <c r="C10" s="921" t="s">
        <v>41</v>
      </c>
      <c r="D10" s="461">
        <f>(Varta!AA13)</f>
        <v>142000</v>
      </c>
      <c r="E10" s="473">
        <f>ROUNDUP(($D10+($D10*Publico!L$1)),-1)</f>
        <v>146260</v>
      </c>
      <c r="F10" s="473">
        <f>ROUNDUP(($D10+($D10*Publico!L$2)),-1)</f>
        <v>166140</v>
      </c>
      <c r="G10" s="473">
        <f t="shared" si="0"/>
        <v>142000</v>
      </c>
      <c r="H10" s="474">
        <f>(Varta!G13)</f>
        <v>104166.77039999998</v>
      </c>
      <c r="I10" s="474">
        <f t="shared" si="2"/>
        <v>95127.505199999985</v>
      </c>
      <c r="J10" s="474">
        <f t="shared" si="3"/>
        <v>86088.239999999991</v>
      </c>
      <c r="K10" s="474">
        <f t="shared" si="1"/>
        <v>86088.239999999991</v>
      </c>
      <c r="L10" s="456">
        <f>(Varta!E13)</f>
        <v>59704.442064000003</v>
      </c>
      <c r="M10" s="921"/>
      <c r="N10" s="921"/>
      <c r="O10" s="921"/>
      <c r="P10" s="921"/>
      <c r="Q10" s="921"/>
      <c r="R10" s="921"/>
      <c r="S10" s="921"/>
    </row>
    <row r="11" spans="1:19" ht="15.6">
      <c r="A11" s="921" t="s">
        <v>1606</v>
      </c>
      <c r="B11" s="921" t="s">
        <v>521</v>
      </c>
      <c r="C11" s="921" t="s">
        <v>1607</v>
      </c>
      <c r="D11" s="461">
        <f>(Varta!AA15)</f>
        <v>153000</v>
      </c>
      <c r="E11" s="473">
        <f>ROUNDUP(($D11+($D11*Publico!L$1)),-1)</f>
        <v>157590</v>
      </c>
      <c r="F11" s="473">
        <f>ROUNDUP(($D11+($D11*Publico!L$2)),-1)</f>
        <v>179010</v>
      </c>
      <c r="G11" s="473">
        <f t="shared" si="0"/>
        <v>153000</v>
      </c>
      <c r="H11" s="474">
        <f>(Varta!G15)</f>
        <v>107182.12427999999</v>
      </c>
      <c r="I11" s="474">
        <f>(J11*1.105)</f>
        <v>97881.19614</v>
      </c>
      <c r="J11" s="474">
        <f t="shared" si="3"/>
        <v>88580.267999999996</v>
      </c>
      <c r="K11" s="474">
        <f t="shared" si="1"/>
        <v>88580.267999999996</v>
      </c>
      <c r="L11" s="456">
        <f>(Varta!E15)</f>
        <v>61432.728544800004</v>
      </c>
      <c r="M11" s="921"/>
      <c r="N11" s="921"/>
      <c r="O11" s="921"/>
      <c r="P11" s="921"/>
      <c r="Q11" s="921"/>
      <c r="R11" s="921"/>
      <c r="S11" s="921"/>
    </row>
    <row r="12" spans="1:19" ht="15.6">
      <c r="A12" s="921" t="s">
        <v>1608</v>
      </c>
      <c r="B12" s="921" t="s">
        <v>521</v>
      </c>
      <c r="C12" s="921" t="s">
        <v>1609</v>
      </c>
      <c r="D12" s="461">
        <f>(Varta!AA15)</f>
        <v>153000</v>
      </c>
      <c r="E12" s="473">
        <f>ROUNDUP(($D12+($D12*Publico!L$1)),-1)</f>
        <v>157590</v>
      </c>
      <c r="F12" s="473">
        <f>ROUNDUP(($D12+($D12*Publico!L$2)),-1)</f>
        <v>179010</v>
      </c>
      <c r="G12" s="473">
        <f t="shared" si="0"/>
        <v>153000</v>
      </c>
      <c r="H12" s="474">
        <f>(Varta!G15)</f>
        <v>107182.12427999999</v>
      </c>
      <c r="I12" s="474">
        <f t="shared" si="2"/>
        <v>97881.19614</v>
      </c>
      <c r="J12" s="474">
        <f t="shared" si="3"/>
        <v>88580.267999999996</v>
      </c>
      <c r="K12" s="474">
        <f t="shared" si="1"/>
        <v>88580.267999999996</v>
      </c>
      <c r="L12" s="456">
        <f>(Varta!E15)</f>
        <v>61432.728544800004</v>
      </c>
      <c r="M12" s="921"/>
      <c r="N12" s="921"/>
      <c r="O12" s="921"/>
      <c r="P12" s="921"/>
      <c r="Q12" s="921"/>
      <c r="R12" s="921"/>
      <c r="S12" s="921"/>
    </row>
    <row r="13" spans="1:19" ht="15.6">
      <c r="A13" s="921" t="s">
        <v>1610</v>
      </c>
      <c r="B13" s="921" t="s">
        <v>521</v>
      </c>
      <c r="C13" s="921" t="s">
        <v>1611</v>
      </c>
      <c r="D13" s="461">
        <f>(Varta!AA14)</f>
        <v>161000</v>
      </c>
      <c r="E13" s="473">
        <f>ROUNDUP(($D13+($D13*Publico!L$1)),-1)</f>
        <v>165830</v>
      </c>
      <c r="F13" s="473">
        <f>ROUNDUP(($D13+($D13*Publico!L$2)),-1)</f>
        <v>188370</v>
      </c>
      <c r="G13" s="473">
        <f t="shared" si="0"/>
        <v>161000</v>
      </c>
      <c r="H13" s="474">
        <f>(Varta!G14)</f>
        <v>117644.48849999999</v>
      </c>
      <c r="I13" s="474">
        <f t="shared" si="2"/>
        <v>107435.66924999999</v>
      </c>
      <c r="J13" s="474">
        <f t="shared" si="3"/>
        <v>97226.849999999991</v>
      </c>
      <c r="K13" s="474">
        <f t="shared" si="1"/>
        <v>97226.849999999991</v>
      </c>
      <c r="L13" s="456">
        <f>(Varta!E14)</f>
        <v>67429.358909999995</v>
      </c>
      <c r="M13" s="921"/>
      <c r="N13" s="921"/>
      <c r="O13" s="921"/>
      <c r="P13" s="921"/>
      <c r="Q13" s="921"/>
      <c r="R13" s="921"/>
      <c r="S13" s="921"/>
    </row>
    <row r="14" spans="1:19" ht="15.6">
      <c r="A14" s="921" t="s">
        <v>1612</v>
      </c>
      <c r="B14" s="921" t="s">
        <v>521</v>
      </c>
      <c r="C14" s="921" t="s">
        <v>1613</v>
      </c>
      <c r="D14" s="461">
        <f>(Varta!AA14)</f>
        <v>161000</v>
      </c>
      <c r="E14" s="473">
        <f>ROUNDUP(($D14+($D14*Publico!L$1)),-1)</f>
        <v>165830</v>
      </c>
      <c r="F14" s="473">
        <f>ROUNDUP(($D14+($D14*Publico!L$2)),-1)</f>
        <v>188370</v>
      </c>
      <c r="G14" s="473">
        <f t="shared" si="0"/>
        <v>161000</v>
      </c>
      <c r="H14" s="474">
        <f>(Varta!G14)</f>
        <v>117644.48849999999</v>
      </c>
      <c r="I14" s="474">
        <f t="shared" si="2"/>
        <v>107435.66924999999</v>
      </c>
      <c r="J14" s="474">
        <f t="shared" si="3"/>
        <v>97226.849999999991</v>
      </c>
      <c r="K14" s="474">
        <f t="shared" si="1"/>
        <v>97226.849999999991</v>
      </c>
      <c r="L14" s="456">
        <f>(Varta!E14)</f>
        <v>67429.358909999995</v>
      </c>
      <c r="M14" s="921"/>
      <c r="N14" s="921"/>
      <c r="O14" s="921"/>
      <c r="P14" s="921"/>
      <c r="Q14" s="921"/>
      <c r="R14" s="921"/>
      <c r="S14" s="921"/>
    </row>
    <row r="15" spans="1:19" ht="15.6">
      <c r="A15" s="921" t="s">
        <v>1614</v>
      </c>
      <c r="B15" s="921" t="s">
        <v>521</v>
      </c>
      <c r="C15" s="921" t="s">
        <v>1615</v>
      </c>
      <c r="D15" s="461">
        <f>(Varta!AA16)</f>
        <v>179900</v>
      </c>
      <c r="E15" s="473">
        <f>ROUNDUP(($D15+($D15*Publico!L$1)),-1)</f>
        <v>185300</v>
      </c>
      <c r="F15" s="473">
        <f>ROUNDUP(($D15+($D15*Publico!L$2)),-1)</f>
        <v>210490</v>
      </c>
      <c r="G15" s="473">
        <f t="shared" si="0"/>
        <v>179900</v>
      </c>
      <c r="H15" s="474">
        <f>(Varta!G16)</f>
        <v>131921.73224999997</v>
      </c>
      <c r="I15" s="474">
        <f t="shared" si="2"/>
        <v>120473.97862499997</v>
      </c>
      <c r="J15" s="474">
        <f t="shared" si="3"/>
        <v>109026.22499999998</v>
      </c>
      <c r="K15" s="474">
        <f t="shared" si="1"/>
        <v>109026.22499999998</v>
      </c>
      <c r="L15" s="456">
        <f>(Varta!E16)</f>
        <v>75612.533534999995</v>
      </c>
      <c r="M15" s="921"/>
      <c r="N15" s="921"/>
      <c r="O15" s="921"/>
      <c r="P15" s="921"/>
      <c r="Q15" s="921"/>
      <c r="R15" s="921"/>
      <c r="S15" s="921"/>
    </row>
    <row r="16" spans="1:19" ht="15.6">
      <c r="A16" s="921" t="s">
        <v>1616</v>
      </c>
      <c r="B16" s="921" t="s">
        <v>521</v>
      </c>
      <c r="C16" s="921" t="s">
        <v>1617</v>
      </c>
      <c r="D16" s="461">
        <f>(Varta!AA16)</f>
        <v>179900</v>
      </c>
      <c r="E16" s="473">
        <f>ROUNDUP(($D16+($D16*Publico!L$1)),-1)</f>
        <v>185300</v>
      </c>
      <c r="F16" s="473">
        <f>ROUNDUP(($D16+($D16*Publico!L$2)),-1)</f>
        <v>210490</v>
      </c>
      <c r="G16" s="473">
        <f t="shared" si="0"/>
        <v>179900</v>
      </c>
      <c r="H16" s="474">
        <f>(Varta!G16)</f>
        <v>131921.73224999997</v>
      </c>
      <c r="I16" s="474">
        <f t="shared" si="2"/>
        <v>120473.97862499997</v>
      </c>
      <c r="J16" s="474">
        <f t="shared" si="3"/>
        <v>109026.22499999998</v>
      </c>
      <c r="K16" s="474">
        <f t="shared" si="1"/>
        <v>109026.22499999998</v>
      </c>
      <c r="L16" s="456">
        <f>(Varta!E16)</f>
        <v>75612.533534999995</v>
      </c>
      <c r="M16" s="921"/>
      <c r="N16" s="921"/>
      <c r="O16" s="921"/>
      <c r="P16" s="921"/>
      <c r="Q16" s="921"/>
      <c r="R16" s="921"/>
      <c r="S16" s="921"/>
    </row>
    <row r="17" spans="1:12" ht="15.6">
      <c r="A17" s="921" t="s">
        <v>1618</v>
      </c>
      <c r="B17" s="921" t="s">
        <v>521</v>
      </c>
      <c r="C17" s="921" t="s">
        <v>1619</v>
      </c>
      <c r="D17" s="461">
        <f>(Varta!AA4)</f>
        <v>187000</v>
      </c>
      <c r="E17" s="473">
        <f>ROUNDUP(($D17+($D17*Publico!L$1)),-1)</f>
        <v>192610</v>
      </c>
      <c r="F17" s="473">
        <f>ROUNDUP(($D17+($D17*Publico!L$2)),-1)</f>
        <v>218790</v>
      </c>
      <c r="G17" s="473">
        <f t="shared" si="0"/>
        <v>187000</v>
      </c>
      <c r="H17" s="474">
        <f>(Varta!G4)</f>
        <v>141470.35287</v>
      </c>
      <c r="I17" s="474">
        <f t="shared" si="2"/>
        <v>129193.99993500001</v>
      </c>
      <c r="J17" s="474">
        <f t="shared" si="3"/>
        <v>116917.64700000001</v>
      </c>
      <c r="K17" s="474">
        <f t="shared" si="1"/>
        <v>116917.64700000001</v>
      </c>
      <c r="L17" s="456">
        <f>(Varta!E4)</f>
        <v>81085.440724200002</v>
      </c>
    </row>
    <row r="18" spans="1:12" ht="15.6">
      <c r="A18" s="921" t="s">
        <v>1620</v>
      </c>
      <c r="B18" s="921" t="s">
        <v>521</v>
      </c>
      <c r="C18" s="921" t="s">
        <v>1621</v>
      </c>
      <c r="D18" s="461">
        <f>(Varta!AA4)</f>
        <v>187000</v>
      </c>
      <c r="E18" s="473">
        <f>ROUNDUP(($D18+($D18*Publico!L$1)),-1)</f>
        <v>192610</v>
      </c>
      <c r="F18" s="473">
        <f>ROUNDUP(($D18+($D18*Publico!L$2)),-1)</f>
        <v>218790</v>
      </c>
      <c r="G18" s="473">
        <f t="shared" si="0"/>
        <v>187000</v>
      </c>
      <c r="H18" s="474">
        <f>(Varta!G4)</f>
        <v>141470.35287</v>
      </c>
      <c r="I18" s="474">
        <f t="shared" si="2"/>
        <v>129193.99993500001</v>
      </c>
      <c r="J18" s="474">
        <f t="shared" si="3"/>
        <v>116917.64700000001</v>
      </c>
      <c r="K18" s="474">
        <f t="shared" si="1"/>
        <v>116917.64700000001</v>
      </c>
      <c r="L18" s="456">
        <f>(Varta!E4)</f>
        <v>81085.440724200002</v>
      </c>
    </row>
    <row r="19" spans="1:12" ht="15.6">
      <c r="A19" s="921" t="s">
        <v>1622</v>
      </c>
      <c r="B19" s="921" t="s">
        <v>521</v>
      </c>
      <c r="C19" s="921" t="s">
        <v>60</v>
      </c>
      <c r="D19" s="461">
        <f>(Varta!AA30)</f>
        <v>239000</v>
      </c>
      <c r="E19" s="473">
        <f>ROUNDUP(($D19+($D19*Publico!L$1)),-1)</f>
        <v>246170</v>
      </c>
      <c r="F19" s="473">
        <f>ROUNDUP(($D19+($D19*Publico!L$2)),-1)</f>
        <v>279630</v>
      </c>
      <c r="G19" s="473">
        <f t="shared" si="0"/>
        <v>239000</v>
      </c>
      <c r="H19" s="474">
        <f>(Varta!G30)</f>
        <v>192685.68164999995</v>
      </c>
      <c r="I19" s="474">
        <f t="shared" si="2"/>
        <v>175965.02332499996</v>
      </c>
      <c r="J19" s="474">
        <f t="shared" si="3"/>
        <v>159244.36499999996</v>
      </c>
      <c r="K19" s="474">
        <f t="shared" si="1"/>
        <v>159244.36499999996</v>
      </c>
      <c r="L19" s="456">
        <f>(Varta!E30)</f>
        <v>110440.12473899998</v>
      </c>
    </row>
    <row r="20" spans="1:12" ht="15.6">
      <c r="A20" s="921" t="s">
        <v>1623</v>
      </c>
      <c r="B20" s="921" t="s">
        <v>521</v>
      </c>
      <c r="C20" s="921" t="s">
        <v>1624</v>
      </c>
      <c r="D20" s="461">
        <v>10</v>
      </c>
      <c r="E20" s="473">
        <f>ROUNDUP(($D20+($D20*Publico!L$1)),-1)</f>
        <v>20</v>
      </c>
      <c r="F20" s="473">
        <f>ROUNDUP(($D20+($D20*Publico!L$2)),-1)</f>
        <v>20</v>
      </c>
      <c r="G20" s="473">
        <f t="shared" si="0"/>
        <v>10</v>
      </c>
      <c r="H20" s="474">
        <v>10</v>
      </c>
      <c r="I20" s="474">
        <f t="shared" si="2"/>
        <v>9.132231404958679</v>
      </c>
      <c r="J20" s="474">
        <f t="shared" si="3"/>
        <v>8.2644628099173563</v>
      </c>
      <c r="K20" s="474">
        <f t="shared" si="1"/>
        <v>8.2644628099173563</v>
      </c>
      <c r="L20" s="456">
        <f>(Varta!E6)</f>
        <v>0</v>
      </c>
    </row>
    <row r="21" spans="1:12" ht="15.6">
      <c r="A21" s="921" t="s">
        <v>1625</v>
      </c>
      <c r="B21" s="921" t="s">
        <v>521</v>
      </c>
      <c r="C21" s="921" t="s">
        <v>1626</v>
      </c>
      <c r="D21" s="461">
        <v>10</v>
      </c>
      <c r="E21" s="473">
        <f>ROUNDUP(($D21+($D21*Publico!L$1)),-1)</f>
        <v>20</v>
      </c>
      <c r="F21" s="473">
        <f>ROUNDUP(($D21+($D21*Publico!L$2)),-1)</f>
        <v>20</v>
      </c>
      <c r="G21" s="473">
        <f t="shared" si="0"/>
        <v>10</v>
      </c>
      <c r="H21" s="474">
        <v>10</v>
      </c>
      <c r="I21" s="474">
        <f t="shared" si="2"/>
        <v>9.132231404958679</v>
      </c>
      <c r="J21" s="474">
        <f t="shared" si="3"/>
        <v>8.2644628099173563</v>
      </c>
      <c r="K21" s="474">
        <f t="shared" si="1"/>
        <v>8.2644628099173563</v>
      </c>
      <c r="L21" s="456">
        <f>(Varta!E6)</f>
        <v>0</v>
      </c>
    </row>
    <row r="22" spans="1:12" ht="15.6">
      <c r="A22" s="921" t="s">
        <v>1627</v>
      </c>
      <c r="B22" s="921" t="s">
        <v>521</v>
      </c>
      <c r="C22" s="921" t="s">
        <v>30</v>
      </c>
      <c r="D22" s="461">
        <f>(Varta!AA7)</f>
        <v>197000</v>
      </c>
      <c r="E22" s="473">
        <f>ROUNDUP(($D22+($D22*Publico!L$1)),-1)</f>
        <v>202910</v>
      </c>
      <c r="F22" s="473">
        <f>ROUNDUP(($D22+($D22*Publico!L$2)),-1)</f>
        <v>230490</v>
      </c>
      <c r="G22" s="473">
        <f t="shared" si="0"/>
        <v>197000</v>
      </c>
      <c r="H22" s="474">
        <f>(Varta!G7)</f>
        <v>139026.08874000001</v>
      </c>
      <c r="I22" s="474">
        <f t="shared" si="2"/>
        <v>126961.84137000001</v>
      </c>
      <c r="J22" s="474">
        <f t="shared" si="3"/>
        <v>114897.59400000001</v>
      </c>
      <c r="K22" s="474">
        <f t="shared" si="1"/>
        <v>114897.59400000001</v>
      </c>
      <c r="L22" s="456">
        <f>(Varta!E7)</f>
        <v>79684.481228399993</v>
      </c>
    </row>
    <row r="23" spans="1:12" ht="15.6">
      <c r="A23" s="921" t="s">
        <v>1628</v>
      </c>
      <c r="B23" s="921" t="s">
        <v>521</v>
      </c>
      <c r="C23" s="921" t="s">
        <v>1629</v>
      </c>
      <c r="D23" s="461">
        <f>(Varta!AA17)</f>
        <v>196000</v>
      </c>
      <c r="E23" s="473">
        <f>ROUNDUP(($D23+($D23*Publico!L$1)),-1)</f>
        <v>201880</v>
      </c>
      <c r="F23" s="473">
        <f>ROUNDUP(($D23+($D23*Publico!L$2)),-1)</f>
        <v>229320</v>
      </c>
      <c r="G23" s="473">
        <f t="shared" si="0"/>
        <v>196000</v>
      </c>
      <c r="H23" s="474">
        <f>(Varta!G17)</f>
        <v>147523.90422</v>
      </c>
      <c r="I23" s="474">
        <f t="shared" si="2"/>
        <v>134722.24310999998</v>
      </c>
      <c r="J23" s="474">
        <f t="shared" si="3"/>
        <v>121920.58199999999</v>
      </c>
      <c r="K23" s="474">
        <f t="shared" si="1"/>
        <v>121920.58199999999</v>
      </c>
      <c r="L23" s="456">
        <f>(Varta!E17)</f>
        <v>84555.106765200006</v>
      </c>
    </row>
    <row r="24" spans="1:12" ht="15.6">
      <c r="A24" s="921" t="s">
        <v>1630</v>
      </c>
      <c r="B24" s="921" t="s">
        <v>521</v>
      </c>
      <c r="C24" s="921" t="s">
        <v>1631</v>
      </c>
      <c r="D24" s="461">
        <f>(Varta!AA17)</f>
        <v>196000</v>
      </c>
      <c r="E24" s="473">
        <f>ROUNDUP(($D24+($D24*Publico!L$1)),-1)</f>
        <v>201880</v>
      </c>
      <c r="F24" s="473">
        <f>ROUNDUP(($D24+($D24*Publico!L$2)),-1)</f>
        <v>229320</v>
      </c>
      <c r="G24" s="473">
        <f t="shared" si="0"/>
        <v>196000</v>
      </c>
      <c r="H24" s="474">
        <f>(Varta!G17)</f>
        <v>147523.90422</v>
      </c>
      <c r="I24" s="474">
        <f t="shared" si="2"/>
        <v>134722.24310999998</v>
      </c>
      <c r="J24" s="474">
        <f t="shared" si="3"/>
        <v>121920.58199999999</v>
      </c>
      <c r="K24" s="474">
        <f t="shared" si="1"/>
        <v>121920.58199999999</v>
      </c>
      <c r="L24" s="456">
        <f>(Varta!E17)</f>
        <v>84555.106765200006</v>
      </c>
    </row>
    <row r="25" spans="1:12" ht="15.6">
      <c r="A25" s="921" t="s">
        <v>1632</v>
      </c>
      <c r="B25" s="921" t="s">
        <v>521</v>
      </c>
      <c r="C25" s="921" t="s">
        <v>1633</v>
      </c>
      <c r="D25" s="461">
        <f>(Varta!AA18)</f>
        <v>252000</v>
      </c>
      <c r="E25" s="473">
        <f>ROUNDUP(($D25+($D25*Publico!L$1)),-1)</f>
        <v>259560</v>
      </c>
      <c r="F25" s="473">
        <f>ROUNDUP(($D25+($D25*Publico!L$2)),-1)</f>
        <v>294840</v>
      </c>
      <c r="G25" s="473">
        <f t="shared" si="0"/>
        <v>252000</v>
      </c>
      <c r="H25" s="474">
        <f>(Varta!G18)</f>
        <v>180167.39433000001</v>
      </c>
      <c r="I25" s="474">
        <f t="shared" si="2"/>
        <v>164533.033665</v>
      </c>
      <c r="J25" s="474">
        <f t="shared" si="3"/>
        <v>148898.67300000001</v>
      </c>
      <c r="K25" s="474">
        <f t="shared" si="1"/>
        <v>148898.67300000001</v>
      </c>
      <c r="L25" s="456">
        <f>(Varta!E18)</f>
        <v>103265.11722780002</v>
      </c>
    </row>
    <row r="26" spans="1:12" ht="15.6">
      <c r="A26" s="921" t="s">
        <v>1634</v>
      </c>
      <c r="B26" s="921" t="s">
        <v>521</v>
      </c>
      <c r="C26" s="921" t="s">
        <v>1635</v>
      </c>
      <c r="D26" s="461">
        <f>(Varta!AA18)</f>
        <v>252000</v>
      </c>
      <c r="E26" s="473">
        <f>ROUNDUP(($D26+($D26*Publico!L$1)),-1)</f>
        <v>259560</v>
      </c>
      <c r="F26" s="473">
        <f>ROUNDUP(($D26+($D26*Publico!L$2)),-1)</f>
        <v>294840</v>
      </c>
      <c r="G26" s="473">
        <f t="shared" si="0"/>
        <v>252000</v>
      </c>
      <c r="H26" s="474">
        <f>(Varta!G18)</f>
        <v>180167.39433000001</v>
      </c>
      <c r="I26" s="474">
        <f t="shared" si="2"/>
        <v>164533.033665</v>
      </c>
      <c r="J26" s="474">
        <f t="shared" si="3"/>
        <v>148898.67300000001</v>
      </c>
      <c r="K26" s="474">
        <f t="shared" si="1"/>
        <v>148898.67300000001</v>
      </c>
      <c r="L26" s="456">
        <f>(Varta!E18)</f>
        <v>103265.11722780002</v>
      </c>
    </row>
    <row r="27" spans="1:12" ht="15.6">
      <c r="A27" s="921" t="s">
        <v>1636</v>
      </c>
      <c r="B27" s="921" t="s">
        <v>521</v>
      </c>
      <c r="C27" s="921" t="s">
        <v>1370</v>
      </c>
      <c r="D27" s="461">
        <f>(Varta!AA19)</f>
        <v>220000</v>
      </c>
      <c r="E27" s="473">
        <f>ROUNDUP(($D27+($D27*Publico!L$1)),-1)</f>
        <v>226600</v>
      </c>
      <c r="F27" s="473">
        <f>ROUNDUP(($D27+($D27*Publico!L$2)),-1)</f>
        <v>257400</v>
      </c>
      <c r="G27" s="473">
        <f t="shared" si="0"/>
        <v>220000</v>
      </c>
      <c r="H27" s="474">
        <f>(Varta!G19)</f>
        <v>254820.24644999998</v>
      </c>
      <c r="I27" s="474">
        <f t="shared" si="2"/>
        <v>232707.74572499999</v>
      </c>
      <c r="J27" s="474">
        <f t="shared" si="3"/>
        <v>210595.245</v>
      </c>
      <c r="K27" s="474">
        <f t="shared" si="1"/>
        <v>210595.245</v>
      </c>
      <c r="L27" s="456">
        <f>(Varta!E19)</f>
        <v>0</v>
      </c>
    </row>
    <row r="28" spans="1:12" ht="15.6">
      <c r="A28" s="921" t="s">
        <v>1637</v>
      </c>
      <c r="B28" s="921" t="s">
        <v>521</v>
      </c>
      <c r="C28" s="921" t="s">
        <v>31</v>
      </c>
      <c r="D28" s="461">
        <f>(Varta!AA8)</f>
        <v>254000</v>
      </c>
      <c r="E28" s="473">
        <f>ROUNDUP(($D28+($D28*Publico!L$1)),-1)</f>
        <v>261620</v>
      </c>
      <c r="F28" s="473">
        <f>ROUNDUP(($D28+($D28*Publico!L$2)),-1)</f>
        <v>297180</v>
      </c>
      <c r="G28" s="473">
        <f t="shared" si="0"/>
        <v>254000</v>
      </c>
      <c r="H28" s="474">
        <f>(Varta!G8)</f>
        <v>185581.32515999998</v>
      </c>
      <c r="I28" s="474">
        <f t="shared" si="2"/>
        <v>169477.16057999997</v>
      </c>
      <c r="J28" s="474">
        <f t="shared" si="3"/>
        <v>153372.99599999998</v>
      </c>
      <c r="K28" s="474">
        <f t="shared" si="1"/>
        <v>153372.99599999998</v>
      </c>
      <c r="L28" s="456">
        <f>(Varta!E8)</f>
        <v>106368.17704559998</v>
      </c>
    </row>
    <row r="29" spans="1:12" ht="15.6">
      <c r="A29" s="921" t="s">
        <v>1638</v>
      </c>
      <c r="B29" s="921" t="s">
        <v>521</v>
      </c>
      <c r="C29" s="921" t="s">
        <v>50</v>
      </c>
      <c r="D29" s="461">
        <f>(Varta!AA20)</f>
        <v>288000</v>
      </c>
      <c r="E29" s="473">
        <f>ROUNDUP(($D29+($D29*Publico!L$1)),-1)</f>
        <v>296640</v>
      </c>
      <c r="F29" s="473">
        <f>ROUNDUP(($D29+($D29*Publico!L$2)),-1)</f>
        <v>336960</v>
      </c>
      <c r="G29" s="473">
        <f t="shared" si="0"/>
        <v>288000</v>
      </c>
      <c r="H29" s="474">
        <f>(Varta!G20)</f>
        <v>214409.93573999999</v>
      </c>
      <c r="I29" s="474">
        <f t="shared" si="2"/>
        <v>195804.11486999999</v>
      </c>
      <c r="J29" s="474">
        <f t="shared" si="3"/>
        <v>177198.29399999999</v>
      </c>
      <c r="K29" s="474">
        <f t="shared" si="1"/>
        <v>177198.29399999999</v>
      </c>
      <c r="L29" s="456">
        <f>(Varta!E20)</f>
        <v>122891.64324840001</v>
      </c>
    </row>
    <row r="30" spans="1:12" ht="15.6">
      <c r="A30" s="921" t="s">
        <v>1639</v>
      </c>
      <c r="B30" s="921" t="s">
        <v>521</v>
      </c>
      <c r="C30" s="921" t="s">
        <v>51</v>
      </c>
      <c r="D30" s="461">
        <f>(Varta!AA21)</f>
        <v>351000</v>
      </c>
      <c r="E30" s="473">
        <f>ROUNDUP(($D30+($D30*Publico!L$1)),-1)</f>
        <v>361530</v>
      </c>
      <c r="F30" s="473">
        <f>ROUNDUP(($D30+($D30*Publico!L$2)),-1)</f>
        <v>410670</v>
      </c>
      <c r="G30" s="473">
        <f t="shared" si="0"/>
        <v>351000</v>
      </c>
      <c r="H30" s="474">
        <f>(Varta!G21)</f>
        <v>257241.66699</v>
      </c>
      <c r="I30" s="474">
        <f t="shared" si="2"/>
        <v>234919.042995</v>
      </c>
      <c r="J30" s="474">
        <f t="shared" si="3"/>
        <v>212596.41899999999</v>
      </c>
      <c r="K30" s="474">
        <f t="shared" si="1"/>
        <v>212596.41899999999</v>
      </c>
      <c r="L30" s="456">
        <f>(Varta!E21)</f>
        <v>147441.1671234</v>
      </c>
    </row>
    <row r="31" spans="1:12" ht="15.6">
      <c r="A31" s="921" t="s">
        <v>1640</v>
      </c>
      <c r="B31" s="921" t="s">
        <v>521</v>
      </c>
      <c r="C31" s="921" t="s">
        <v>53</v>
      </c>
      <c r="D31" s="461">
        <f>(Varta!AA23)</f>
        <v>390950</v>
      </c>
      <c r="E31" s="473">
        <f>ROUNDUP(($D31+($D31*Publico!L$1)),-1)</f>
        <v>402680</v>
      </c>
      <c r="F31" s="473">
        <f>ROUNDUP(($D31+($D31*Publico!L$2)),-1)</f>
        <v>457420</v>
      </c>
      <c r="G31" s="473">
        <f t="shared" si="0"/>
        <v>390950</v>
      </c>
      <c r="H31" s="474">
        <f>(Varta!G23)</f>
        <v>295413.30587999994</v>
      </c>
      <c r="I31" s="474">
        <f t="shared" si="2"/>
        <v>269778.26693999994</v>
      </c>
      <c r="J31" s="474">
        <f t="shared" si="3"/>
        <v>244143.22799999994</v>
      </c>
      <c r="K31" s="474">
        <f t="shared" si="1"/>
        <v>244143.22799999994</v>
      </c>
      <c r="L31" s="456">
        <f>(Varta!E23)</f>
        <v>169319.70280080001</v>
      </c>
    </row>
    <row r="32" spans="1:12" ht="15.6">
      <c r="A32" s="921" t="s">
        <v>1641</v>
      </c>
      <c r="B32" s="921" t="s">
        <v>521</v>
      </c>
      <c r="C32" s="921" t="s">
        <v>54</v>
      </c>
      <c r="D32" s="461">
        <f>(Varta!AA24)</f>
        <v>401000</v>
      </c>
      <c r="E32" s="473">
        <f>ROUNDUP(($D32+($D32*Publico!L$1)),-1)</f>
        <v>413030</v>
      </c>
      <c r="F32" s="473">
        <f>ROUNDUP(($D32+($D32*Publico!L$2)),-1)</f>
        <v>469170</v>
      </c>
      <c r="G32" s="473">
        <f t="shared" si="0"/>
        <v>401000</v>
      </c>
      <c r="H32" s="474">
        <f>(Varta!G24)</f>
        <v>297126.57512999995</v>
      </c>
      <c r="I32" s="474">
        <f t="shared" si="2"/>
        <v>271342.86406499997</v>
      </c>
      <c r="J32" s="474">
        <f t="shared" si="3"/>
        <v>245559.15299999996</v>
      </c>
      <c r="K32" s="474">
        <f t="shared" si="1"/>
        <v>245559.15299999996</v>
      </c>
      <c r="L32" s="456">
        <f>(Varta!E24)</f>
        <v>170301.68375579998</v>
      </c>
    </row>
    <row r="33" spans="1:12" ht="15.6">
      <c r="A33" s="921" t="s">
        <v>1642</v>
      </c>
      <c r="B33" s="921" t="s">
        <v>521</v>
      </c>
      <c r="C33" s="921" t="s">
        <v>56</v>
      </c>
      <c r="D33" s="461">
        <f>(Varta!AA26)</f>
        <v>474900</v>
      </c>
      <c r="E33" s="473">
        <f>ROUNDUP(($D33+($D33*Publico!L$1)),-1)</f>
        <v>489150</v>
      </c>
      <c r="F33" s="473">
        <f>ROUNDUP(($D33+($D33*Publico!L$2)),-1)</f>
        <v>555640</v>
      </c>
      <c r="G33" s="473">
        <f t="shared" si="0"/>
        <v>474900</v>
      </c>
      <c r="H33" s="474">
        <f>(Varta!G26)</f>
        <v>360951.56558999995</v>
      </c>
      <c r="I33" s="474">
        <f t="shared" si="2"/>
        <v>329629.32229499996</v>
      </c>
      <c r="J33" s="474">
        <f t="shared" si="3"/>
        <v>298307.07899999997</v>
      </c>
      <c r="K33" s="474">
        <f t="shared" si="1"/>
        <v>298307.07899999997</v>
      </c>
      <c r="L33" s="456">
        <f>(Varta!E26)</f>
        <v>206883.74759940003</v>
      </c>
    </row>
    <row r="34" spans="1:12" ht="15.6">
      <c r="A34" s="921" t="s">
        <v>1643</v>
      </c>
      <c r="B34" s="921" t="s">
        <v>521</v>
      </c>
      <c r="C34" s="921" t="s">
        <v>57</v>
      </c>
      <c r="D34" s="461">
        <f>(Varta!AA27)</f>
        <v>483900</v>
      </c>
      <c r="E34" s="473">
        <f>ROUNDUP(($D34+($D34*Publico!L$1)),-1)</f>
        <v>498420</v>
      </c>
      <c r="F34" s="473">
        <f>ROUNDUP(($D34+($D34*Publico!L$2)),-1)</f>
        <v>566170</v>
      </c>
      <c r="G34" s="473">
        <f t="shared" si="0"/>
        <v>483900</v>
      </c>
      <c r="H34" s="474">
        <f>(Varta!G27)</f>
        <v>366456.87078</v>
      </c>
      <c r="I34" s="474">
        <f t="shared" si="2"/>
        <v>334656.89438999997</v>
      </c>
      <c r="J34" s="474">
        <f t="shared" si="3"/>
        <v>302856.91800000001</v>
      </c>
      <c r="K34" s="474">
        <f t="shared" si="1"/>
        <v>302856.91800000001</v>
      </c>
      <c r="L34" s="456">
        <f>(Varta!E27)</f>
        <v>210039.17973479995</v>
      </c>
    </row>
    <row r="35" spans="1:12" ht="15.6">
      <c r="A35" s="921" t="s">
        <v>1644</v>
      </c>
      <c r="B35" s="921" t="s">
        <v>521</v>
      </c>
      <c r="C35" s="921" t="s">
        <v>58</v>
      </c>
      <c r="D35" s="461">
        <f>(Varta!AA28)</f>
        <v>671000</v>
      </c>
      <c r="E35" s="473">
        <f>ROUNDUP(($D35+($D35*Publico!L$1)),-1)</f>
        <v>691130</v>
      </c>
      <c r="F35" s="473">
        <f>ROUNDUP(($D35+($D35*Publico!L$2)),-1)</f>
        <v>785070</v>
      </c>
      <c r="G35" s="473">
        <f t="shared" si="0"/>
        <v>671000</v>
      </c>
      <c r="H35" s="474">
        <f>(Varta!G28)</f>
        <v>483096.24131999991</v>
      </c>
      <c r="I35" s="474">
        <f t="shared" si="2"/>
        <v>441174.66665999993</v>
      </c>
      <c r="J35" s="474">
        <f t="shared" si="3"/>
        <v>399253.09199999995</v>
      </c>
      <c r="K35" s="474">
        <f t="shared" si="1"/>
        <v>399253.09199999995</v>
      </c>
      <c r="L35" s="456">
        <f>(Varta!E28)</f>
        <v>276892.44315119996</v>
      </c>
    </row>
    <row r="36" spans="1:12" ht="15.6">
      <c r="A36" s="921" t="s">
        <v>589</v>
      </c>
      <c r="B36" s="921" t="s">
        <v>588</v>
      </c>
      <c r="C36" s="921" t="s">
        <v>1645</v>
      </c>
      <c r="D36" s="461">
        <v>10</v>
      </c>
      <c r="E36" s="473">
        <f>ROUNDUP(($D36+($D36*Publico!L$1)),-1)</f>
        <v>20</v>
      </c>
      <c r="F36" s="473">
        <f>ROUNDUP(($D36+($D36*Publico!L$2)),-1)</f>
        <v>20</v>
      </c>
      <c r="G36" s="473">
        <f t="shared" si="0"/>
        <v>10</v>
      </c>
      <c r="H36" s="474">
        <v>10</v>
      </c>
      <c r="I36" s="474">
        <f t="shared" si="2"/>
        <v>11.05</v>
      </c>
      <c r="J36" s="474">
        <v>10</v>
      </c>
      <c r="K36" s="474">
        <f t="shared" si="1"/>
        <v>10</v>
      </c>
      <c r="L36" s="921">
        <v>10</v>
      </c>
    </row>
    <row r="37" spans="1:12" ht="15.6">
      <c r="A37" s="921" t="s">
        <v>591</v>
      </c>
      <c r="B37" s="921" t="s">
        <v>588</v>
      </c>
      <c r="C37" s="921" t="s">
        <v>1646</v>
      </c>
      <c r="D37" s="461">
        <v>10</v>
      </c>
      <c r="E37" s="473">
        <f>ROUNDUP(($D37+($D37*Publico!L$1)),-1)</f>
        <v>20</v>
      </c>
      <c r="F37" s="473">
        <f>ROUNDUP(($D37+($D37*Publico!L$2)),-1)</f>
        <v>20</v>
      </c>
      <c r="G37" s="473">
        <f t="shared" si="0"/>
        <v>10</v>
      </c>
      <c r="H37" s="474">
        <v>10</v>
      </c>
      <c r="I37" s="474">
        <f t="shared" si="2"/>
        <v>11.05</v>
      </c>
      <c r="J37" s="474">
        <v>10</v>
      </c>
      <c r="K37" s="474">
        <f t="shared" si="1"/>
        <v>10</v>
      </c>
      <c r="L37" s="921">
        <v>10</v>
      </c>
    </row>
    <row r="38" spans="1:12" ht="15.6">
      <c r="A38" s="921" t="s">
        <v>593</v>
      </c>
      <c r="B38" s="921" t="s">
        <v>588</v>
      </c>
      <c r="C38" s="921" t="s">
        <v>594</v>
      </c>
      <c r="D38" s="461">
        <f>('Acubat-Lubeck'!AP7)</f>
        <v>100600</v>
      </c>
      <c r="E38" s="473">
        <f>ROUNDUP(($D38+($D38*Publico!L$1)),-1)</f>
        <v>103620</v>
      </c>
      <c r="F38" s="473">
        <f>ROUNDUP(($D38+($D38*Publico!L$2)),-1)</f>
        <v>117710</v>
      </c>
      <c r="G38" s="473">
        <f t="shared" si="0"/>
        <v>100600</v>
      </c>
      <c r="H38" s="474">
        <f>('Acubat-Lubeck'!U7)</f>
        <v>84748.40074777999</v>
      </c>
      <c r="I38" s="474">
        <f t="shared" si="2"/>
        <v>77394.20068288999</v>
      </c>
      <c r="J38" s="474">
        <f t="shared" ref="J38:J44" si="4">(H38/1.21)</f>
        <v>70040.000617999991</v>
      </c>
      <c r="K38" s="474">
        <f t="shared" si="1"/>
        <v>70040.000617999991</v>
      </c>
      <c r="L38" s="921">
        <f>('Acubat-Lubeck'!S7)</f>
        <v>50028.57187</v>
      </c>
    </row>
    <row r="39" spans="1:12" ht="15.6">
      <c r="A39" s="921" t="s">
        <v>595</v>
      </c>
      <c r="B39" s="921" t="s">
        <v>588</v>
      </c>
      <c r="C39" s="921" t="s">
        <v>1647</v>
      </c>
      <c r="D39" s="461">
        <f>('Acubat-Lubeck'!AP9)</f>
        <v>113850</v>
      </c>
      <c r="E39" s="473">
        <f>ROUNDUP(($D39+($D39*Publico!L$1)),-1)</f>
        <v>117270</v>
      </c>
      <c r="F39" s="473">
        <f>ROUNDUP(($D39+($D39*Publico!L$2)),-1)</f>
        <v>133210</v>
      </c>
      <c r="G39" s="473">
        <f t="shared" si="0"/>
        <v>113850</v>
      </c>
      <c r="H39" s="474">
        <f>('Acubat-Lubeck'!U9)</f>
        <v>93576.955210200002</v>
      </c>
      <c r="I39" s="474">
        <f t="shared" si="2"/>
        <v>85456.640915100012</v>
      </c>
      <c r="J39" s="474">
        <f t="shared" si="4"/>
        <v>77336.326620000007</v>
      </c>
      <c r="K39" s="474">
        <f t="shared" si="1"/>
        <v>77336.326620000007</v>
      </c>
      <c r="L39" s="921">
        <f>('Acubat-Lubeck'!S9)</f>
        <v>55240.233300000007</v>
      </c>
    </row>
    <row r="40" spans="1:12" ht="15.6">
      <c r="A40" s="921" t="s">
        <v>597</v>
      </c>
      <c r="B40" s="921" t="s">
        <v>588</v>
      </c>
      <c r="C40" s="921" t="s">
        <v>1648</v>
      </c>
      <c r="D40" s="461">
        <f>('Acubat-Lubeck'!AP10)</f>
        <v>124550</v>
      </c>
      <c r="E40" s="473">
        <f>ROUNDUP(($D40+($D40*Publico!L$1)),-1)</f>
        <v>128290</v>
      </c>
      <c r="F40" s="473">
        <f>ROUNDUP(($D40+($D40*Publico!L$2)),-1)</f>
        <v>145730</v>
      </c>
      <c r="G40" s="473">
        <f t="shared" si="0"/>
        <v>124550</v>
      </c>
      <c r="H40" s="474">
        <f>('Acubat-Lubeck'!U10)</f>
        <v>99776.599999999991</v>
      </c>
      <c r="I40" s="474">
        <f t="shared" si="2"/>
        <v>91118.3</v>
      </c>
      <c r="J40" s="474">
        <f t="shared" si="4"/>
        <v>82460</v>
      </c>
      <c r="K40" s="474">
        <f t="shared" si="1"/>
        <v>82460</v>
      </c>
      <c r="L40" s="921">
        <f>('Acubat-Lubeck'!S11)</f>
        <v>62643.433009999993</v>
      </c>
    </row>
    <row r="41" spans="1:12" ht="15.6">
      <c r="A41" s="921" t="s">
        <v>599</v>
      </c>
      <c r="B41" s="921" t="s">
        <v>588</v>
      </c>
      <c r="C41" s="921" t="s">
        <v>1649</v>
      </c>
      <c r="D41" s="461">
        <f>('Acubat-Lubeck'!AP11)</f>
        <v>129550</v>
      </c>
      <c r="E41" s="473">
        <f>ROUNDUP(($D41+($D41*Publico!L$1)),-1)</f>
        <v>133440</v>
      </c>
      <c r="F41" s="473">
        <f>ROUNDUP(($D41+($D41*Publico!L$2)),-1)</f>
        <v>151580</v>
      </c>
      <c r="G41" s="473">
        <f t="shared" si="0"/>
        <v>129550</v>
      </c>
      <c r="H41" s="474">
        <f>('Acubat-Lubeck'!U11)</f>
        <v>106117.97551893997</v>
      </c>
      <c r="I41" s="474">
        <f t="shared" si="2"/>
        <v>96909.390866469985</v>
      </c>
      <c r="J41" s="474">
        <f t="shared" si="4"/>
        <v>87700.806213999982</v>
      </c>
      <c r="K41" s="474">
        <f t="shared" si="1"/>
        <v>87700.806213999982</v>
      </c>
      <c r="L41" s="921">
        <f>('Acubat-Lubeck'!S11)</f>
        <v>62643.433009999993</v>
      </c>
    </row>
    <row r="42" spans="1:12" ht="15.6">
      <c r="A42" s="921" t="s">
        <v>601</v>
      </c>
      <c r="B42" s="921" t="s">
        <v>588</v>
      </c>
      <c r="C42" s="921" t="s">
        <v>1650</v>
      </c>
      <c r="D42" s="461">
        <f>('Acubat-Lubeck'!AP12)</f>
        <v>135250</v>
      </c>
      <c r="E42" s="473">
        <f>ROUNDUP(($D42+($D42*Publico!L$1)),-1)</f>
        <v>139310</v>
      </c>
      <c r="F42" s="473">
        <f>ROUNDUP(($D42+($D42*Publico!L$2)),-1)</f>
        <v>158250</v>
      </c>
      <c r="G42" s="473">
        <f t="shared" si="0"/>
        <v>135250</v>
      </c>
      <c r="H42" s="474">
        <f>('Acubat-Lubeck'!U12)</f>
        <v>113682.00576964</v>
      </c>
      <c r="I42" s="474">
        <f t="shared" si="2"/>
        <v>103817.03832681999</v>
      </c>
      <c r="J42" s="474">
        <f t="shared" si="4"/>
        <v>93952.070884000001</v>
      </c>
      <c r="K42" s="474">
        <f t="shared" si="1"/>
        <v>93952.070884000001</v>
      </c>
      <c r="L42" s="921">
        <f>('Acubat-Lubeck'!S12)</f>
        <v>67108.622060000009</v>
      </c>
    </row>
    <row r="43" spans="1:12" ht="15.6">
      <c r="A43" s="921" t="s">
        <v>603</v>
      </c>
      <c r="B43" s="921" t="s">
        <v>588</v>
      </c>
      <c r="C43" s="921" t="s">
        <v>1651</v>
      </c>
      <c r="D43" s="461">
        <f>('Acubat-Lubeck'!AP15)</f>
        <v>220000</v>
      </c>
      <c r="E43" s="473">
        <f>ROUNDUP(($D43+($D43*Publico!L$1)),-1)</f>
        <v>226600</v>
      </c>
      <c r="F43" s="473">
        <f>ROUNDUP(($D43+($D43*Publico!L$2)),-1)</f>
        <v>257400</v>
      </c>
      <c r="G43" s="473">
        <f t="shared" si="0"/>
        <v>220000</v>
      </c>
      <c r="H43" s="474">
        <f>('Acubat-Lubeck'!U15)</f>
        <v>175560.25862914001</v>
      </c>
      <c r="I43" s="474">
        <f t="shared" si="2"/>
        <v>160325.69073157001</v>
      </c>
      <c r="J43" s="474">
        <f t="shared" si="4"/>
        <v>145091.12283400001</v>
      </c>
      <c r="K43" s="474">
        <f t="shared" si="1"/>
        <v>145091.12283400001</v>
      </c>
      <c r="L43" s="921">
        <f>('Acubat-Lubeck'!S15)</f>
        <v>103636.51631000001</v>
      </c>
    </row>
    <row r="44" spans="1:12" ht="15.6">
      <c r="A44" s="921" t="s">
        <v>605</v>
      </c>
      <c r="B44" s="921" t="s">
        <v>588</v>
      </c>
      <c r="C44" s="921" t="s">
        <v>606</v>
      </c>
      <c r="D44" s="461">
        <f>('Acubat-Lubeck'!AP16)</f>
        <v>225900</v>
      </c>
      <c r="E44" s="473">
        <f>ROUNDUP(($D44+($D44*Publico!L$1)),-1)</f>
        <v>232680</v>
      </c>
      <c r="F44" s="473">
        <f>ROUNDUP(($D44+($D44*Publico!L$2)),-1)</f>
        <v>264310</v>
      </c>
      <c r="G44" s="473">
        <f t="shared" si="0"/>
        <v>225900</v>
      </c>
      <c r="H44" s="474">
        <f>('Acubat-Lubeck'!U16)</f>
        <v>173551.33918429998</v>
      </c>
      <c r="I44" s="474">
        <f t="shared" si="2"/>
        <v>158491.09900714998</v>
      </c>
      <c r="J44" s="474">
        <f t="shared" si="4"/>
        <v>143430.85882999998</v>
      </c>
      <c r="K44" s="474">
        <f t="shared" si="1"/>
        <v>143430.85882999998</v>
      </c>
      <c r="L44" s="921">
        <f>('Acubat-Lubeck'!S16)</f>
        <v>102450.61344999999</v>
      </c>
    </row>
    <row r="45" spans="1:12" ht="15.6">
      <c r="A45" s="921" t="s">
        <v>607</v>
      </c>
      <c r="B45" s="921" t="s">
        <v>588</v>
      </c>
      <c r="C45" s="921" t="s">
        <v>608</v>
      </c>
      <c r="D45" s="461">
        <v>10</v>
      </c>
      <c r="E45" s="473">
        <f>ROUNDUP(($D45+($D45*Publico!L$1)),-1)</f>
        <v>20</v>
      </c>
      <c r="F45" s="473">
        <f>ROUNDUP(($D45+($D45*Publico!L$2)),-1)</f>
        <v>20</v>
      </c>
      <c r="G45" s="473">
        <f t="shared" si="0"/>
        <v>10</v>
      </c>
      <c r="H45" s="474">
        <v>10</v>
      </c>
      <c r="I45" s="474">
        <f t="shared" si="2"/>
        <v>11.05</v>
      </c>
      <c r="J45" s="474">
        <v>10</v>
      </c>
      <c r="K45" s="474">
        <f t="shared" si="1"/>
        <v>10</v>
      </c>
      <c r="L45" s="628">
        <v>10</v>
      </c>
    </row>
    <row r="46" spans="1:12" ht="15.6">
      <c r="A46" s="921" t="s">
        <v>609</v>
      </c>
      <c r="B46" s="921" t="s">
        <v>588</v>
      </c>
      <c r="C46" s="921" t="s">
        <v>1652</v>
      </c>
      <c r="D46" s="461">
        <f>('Acubat-Lubeck'!AP17)</f>
        <v>315150</v>
      </c>
      <c r="E46" s="473">
        <f>ROUNDUP(($D46+($D46*Publico!L$1)),-1)</f>
        <v>324610</v>
      </c>
      <c r="F46" s="473">
        <f>ROUNDUP(($D46+($D46*Publico!L$2)),-1)</f>
        <v>368730</v>
      </c>
      <c r="G46" s="473">
        <f t="shared" si="0"/>
        <v>315150</v>
      </c>
      <c r="H46" s="474">
        <f>('Acubat-Lubeck'!U17)</f>
        <v>275155.36241885996</v>
      </c>
      <c r="I46" s="474">
        <f t="shared" si="2"/>
        <v>251278.24419242996</v>
      </c>
      <c r="J46" s="474">
        <f>(H46/1.21)</f>
        <v>227401.12596599996</v>
      </c>
      <c r="K46" s="474">
        <f t="shared" si="1"/>
        <v>227401.12596599996</v>
      </c>
      <c r="L46" s="921">
        <f>('Acubat-Lubeck'!S17)</f>
        <v>162429.37568999999</v>
      </c>
    </row>
    <row r="47" spans="1:12" ht="15.6">
      <c r="A47" s="921" t="s">
        <v>611</v>
      </c>
      <c r="B47" s="921" t="s">
        <v>588</v>
      </c>
      <c r="C47" s="921" t="s">
        <v>612</v>
      </c>
      <c r="D47" s="461">
        <v>10</v>
      </c>
      <c r="E47" s="473">
        <f>ROUNDUP(($D47+($D47*Publico!L$1)),-1)</f>
        <v>20</v>
      </c>
      <c r="F47" s="473">
        <f>ROUNDUP(($D47+($D47*Publico!L$2)),-1)</f>
        <v>20</v>
      </c>
      <c r="G47" s="473">
        <f t="shared" si="0"/>
        <v>10</v>
      </c>
      <c r="H47" s="474">
        <v>10</v>
      </c>
      <c r="I47" s="474">
        <f t="shared" si="2"/>
        <v>11.05</v>
      </c>
      <c r="J47" s="474">
        <v>10</v>
      </c>
      <c r="K47" s="474">
        <f t="shared" si="1"/>
        <v>10</v>
      </c>
      <c r="L47" s="628">
        <v>10</v>
      </c>
    </row>
    <row r="48" spans="1:12" ht="15.6">
      <c r="A48" s="921" t="s">
        <v>613</v>
      </c>
      <c r="B48" s="921" t="s">
        <v>588</v>
      </c>
      <c r="C48" s="921" t="s">
        <v>614</v>
      </c>
      <c r="D48" s="461">
        <v>10</v>
      </c>
      <c r="E48" s="473">
        <f>ROUNDUP(($D48+($D48*Publico!L$1)),-1)</f>
        <v>20</v>
      </c>
      <c r="F48" s="473">
        <f>ROUNDUP(($D48+($D48*Publico!L$2)),-1)</f>
        <v>20</v>
      </c>
      <c r="G48" s="473">
        <f t="shared" si="0"/>
        <v>10</v>
      </c>
      <c r="H48" s="474">
        <v>10</v>
      </c>
      <c r="I48" s="474">
        <f t="shared" si="2"/>
        <v>11.05</v>
      </c>
      <c r="J48" s="474">
        <v>10</v>
      </c>
      <c r="K48" s="474">
        <f t="shared" si="1"/>
        <v>10</v>
      </c>
      <c r="L48" s="628">
        <v>10</v>
      </c>
    </row>
    <row r="49" spans="1:16" ht="15.6">
      <c r="A49" s="921" t="s">
        <v>1653</v>
      </c>
      <c r="B49" s="921" t="s">
        <v>308</v>
      </c>
      <c r="C49" s="921" t="s">
        <v>1419</v>
      </c>
      <c r="D49" s="461">
        <f>(Moura!AB17)</f>
        <v>131000</v>
      </c>
      <c r="E49" s="473">
        <f>ROUNDUP(($D49+($D49*Publico!L$1)),-1)</f>
        <v>134930</v>
      </c>
      <c r="F49" s="473">
        <f>(Publico!B70)</f>
        <v>150348</v>
      </c>
      <c r="G49" s="473">
        <f t="shared" si="0"/>
        <v>131000</v>
      </c>
      <c r="H49" s="474">
        <f>(Moura!H17)</f>
        <v>101435.8192155</v>
      </c>
      <c r="I49" s="474">
        <f t="shared" si="2"/>
        <v>92633.537382750001</v>
      </c>
      <c r="J49" s="474">
        <f t="shared" ref="J49:J77" si="5">(H49/1.21)</f>
        <v>83831.255550000002</v>
      </c>
      <c r="K49" s="474">
        <f t="shared" si="1"/>
        <v>83831.255550000002</v>
      </c>
      <c r="L49" s="456">
        <f>(Moura!F17)</f>
        <v>62504.833884297521</v>
      </c>
      <c r="M49" s="921"/>
      <c r="N49" s="666"/>
      <c r="O49" s="666"/>
      <c r="P49" s="666"/>
    </row>
    <row r="50" spans="1:16" ht="15.6">
      <c r="A50" s="921" t="s">
        <v>1654</v>
      </c>
      <c r="B50" s="921" t="s">
        <v>308</v>
      </c>
      <c r="C50" s="921" t="s">
        <v>1421</v>
      </c>
      <c r="D50" s="461">
        <f>(Moura!AB18)</f>
        <v>147000</v>
      </c>
      <c r="E50" s="473">
        <f>ROUNDUP(($D50+($D50*Publico!L$1)),-1)</f>
        <v>151410</v>
      </c>
      <c r="F50" s="473">
        <f>(Publico!B73)</f>
        <v>168908</v>
      </c>
      <c r="G50" s="473">
        <f t="shared" si="0"/>
        <v>147000</v>
      </c>
      <c r="H50" s="474">
        <f>(Moura!H18)</f>
        <v>109207.2085335</v>
      </c>
      <c r="I50" s="474">
        <f t="shared" si="2"/>
        <v>99730.54994175001</v>
      </c>
      <c r="J50" s="474">
        <f t="shared" si="5"/>
        <v>90253.891350000005</v>
      </c>
      <c r="K50" s="474">
        <f t="shared" si="1"/>
        <v>90253.891350000005</v>
      </c>
      <c r="L50" s="456">
        <f>(Moura!F18)</f>
        <v>70770.619008264461</v>
      </c>
      <c r="M50" s="921"/>
      <c r="N50" s="666"/>
      <c r="O50" s="666"/>
      <c r="P50" s="666"/>
    </row>
    <row r="51" spans="1:16" ht="15.6">
      <c r="A51" s="921" t="s">
        <v>1655</v>
      </c>
      <c r="B51" s="921" t="s">
        <v>308</v>
      </c>
      <c r="C51" s="921" t="s">
        <v>1423</v>
      </c>
      <c r="D51" s="461">
        <f>(Moura!AB5)</f>
        <v>128000</v>
      </c>
      <c r="E51" s="473">
        <f>ROUNDUP(($D51+($D51*Publico!L$1)),-1)</f>
        <v>131840</v>
      </c>
      <c r="F51" s="473">
        <f>(Publico!B8)</f>
        <v>146868</v>
      </c>
      <c r="G51" s="473">
        <f t="shared" si="0"/>
        <v>128000</v>
      </c>
      <c r="H51" s="474">
        <f>(Moura!H5)</f>
        <v>97770.565199999968</v>
      </c>
      <c r="I51" s="474">
        <f t="shared" si="2"/>
        <v>89286.342599999974</v>
      </c>
      <c r="J51" s="474">
        <f t="shared" si="5"/>
        <v>80802.119999999981</v>
      </c>
      <c r="K51" s="474">
        <f t="shared" si="1"/>
        <v>80802.119999999981</v>
      </c>
      <c r="L51" s="456">
        <f>(Moura!F5)</f>
        <v>60954.999173553719</v>
      </c>
      <c r="M51" s="921"/>
      <c r="N51" s="666"/>
      <c r="O51" s="666"/>
      <c r="P51" s="666"/>
    </row>
    <row r="52" spans="1:16" ht="15.6">
      <c r="A52" s="921" t="s">
        <v>1656</v>
      </c>
      <c r="B52" s="921" t="s">
        <v>308</v>
      </c>
      <c r="C52" s="921" t="s">
        <v>1425</v>
      </c>
      <c r="D52" s="461">
        <f>(Moura!AB6)</f>
        <v>141000</v>
      </c>
      <c r="E52" s="473">
        <f>ROUNDUP(($D52+($D52*Publico!L$1)),-1)</f>
        <v>145230</v>
      </c>
      <c r="F52" s="473">
        <f>(Publico!B12)</f>
        <v>161948</v>
      </c>
      <c r="G52" s="473">
        <f t="shared" si="0"/>
        <v>141000</v>
      </c>
      <c r="H52" s="474">
        <f>(Moura!H6)</f>
        <v>104166.77039999998</v>
      </c>
      <c r="I52" s="474">
        <f t="shared" si="2"/>
        <v>95127.505199999985</v>
      </c>
      <c r="J52" s="474">
        <f t="shared" si="5"/>
        <v>86088.239999999991</v>
      </c>
      <c r="K52" s="474">
        <f t="shared" si="1"/>
        <v>86088.239999999991</v>
      </c>
      <c r="L52" s="456">
        <f>(Moura!F6)</f>
        <v>67670.949586776856</v>
      </c>
      <c r="M52" s="921"/>
      <c r="N52" s="666"/>
      <c r="O52" s="666"/>
      <c r="P52" s="666"/>
    </row>
    <row r="53" spans="1:16" ht="15.6">
      <c r="A53" s="921" t="s">
        <v>1657</v>
      </c>
      <c r="B53" s="921" t="s">
        <v>308</v>
      </c>
      <c r="C53" s="921" t="s">
        <v>1428</v>
      </c>
      <c r="D53" s="461">
        <f>(Moura!AB7)</f>
        <v>136000</v>
      </c>
      <c r="E53" s="473">
        <f>ROUNDUP(($D53+($D53*Publico!L$1)),-1)</f>
        <v>140080</v>
      </c>
      <c r="F53" s="473">
        <f>(Publico!B19)</f>
        <v>156148</v>
      </c>
      <c r="G53" s="473">
        <f t="shared" si="0"/>
        <v>136000</v>
      </c>
      <c r="H53" s="474">
        <f>(Moura!H7)</f>
        <v>104166.77039999998</v>
      </c>
      <c r="I53" s="474">
        <f t="shared" si="2"/>
        <v>95127.505199999985</v>
      </c>
      <c r="J53" s="474">
        <f t="shared" si="5"/>
        <v>86088.239999999991</v>
      </c>
      <c r="K53" s="474">
        <f t="shared" si="1"/>
        <v>86088.239999999991</v>
      </c>
      <c r="L53" s="456">
        <f>(Moura!F7)</f>
        <v>65087.891735537196</v>
      </c>
      <c r="M53" s="921"/>
      <c r="N53" s="666"/>
      <c r="O53" s="666"/>
      <c r="P53" s="666"/>
    </row>
    <row r="54" spans="1:16" ht="15.6">
      <c r="A54" s="921" t="s">
        <v>1658</v>
      </c>
      <c r="B54" s="921" t="s">
        <v>308</v>
      </c>
      <c r="C54" s="921" t="s">
        <v>1430</v>
      </c>
      <c r="D54" s="461">
        <f>(Moura!AB8)</f>
        <v>153000</v>
      </c>
      <c r="E54" s="473">
        <f>ROUNDUP(($D54+($D54*Publico!L$1)),-1)</f>
        <v>157590</v>
      </c>
      <c r="F54" s="473">
        <f>(Publico!B20)</f>
        <v>175868</v>
      </c>
      <c r="G54" s="473">
        <f t="shared" si="0"/>
        <v>153000</v>
      </c>
      <c r="H54" s="474">
        <f>(Moura!H8)</f>
        <v>115756.69422239999</v>
      </c>
      <c r="I54" s="474">
        <f t="shared" si="2"/>
        <v>105711.69183120001</v>
      </c>
      <c r="J54" s="474">
        <f t="shared" si="5"/>
        <v>95666.689440000002</v>
      </c>
      <c r="K54" s="474">
        <f t="shared" si="1"/>
        <v>95666.689440000002</v>
      </c>
      <c r="L54" s="456">
        <f>(Moura!F8)</f>
        <v>73870.288429752065</v>
      </c>
      <c r="M54" s="921"/>
      <c r="N54" s="666"/>
      <c r="O54" s="666"/>
      <c r="P54" s="666"/>
    </row>
    <row r="55" spans="1:16" ht="15.6">
      <c r="A55" s="921" t="s">
        <v>1659</v>
      </c>
      <c r="B55" s="921" t="s">
        <v>308</v>
      </c>
      <c r="C55" s="921" t="s">
        <v>1434</v>
      </c>
      <c r="D55" s="461">
        <f>(Moura!AB10)</f>
        <v>159000</v>
      </c>
      <c r="E55" s="473">
        <f>ROUNDUP(($D55+($D55*Publico!L$1)),-1)</f>
        <v>163770</v>
      </c>
      <c r="F55" s="473">
        <f>(Publico!B25)</f>
        <v>182828</v>
      </c>
      <c r="G55" s="473">
        <f t="shared" si="0"/>
        <v>159000</v>
      </c>
      <c r="H55" s="474">
        <f>(Moura!H10)</f>
        <v>123526.71292499999</v>
      </c>
      <c r="I55" s="474">
        <f t="shared" si="2"/>
        <v>112807.45271249999</v>
      </c>
      <c r="J55" s="474">
        <f t="shared" si="5"/>
        <v>102088.19249999999</v>
      </c>
      <c r="K55" s="474">
        <f t="shared" si="1"/>
        <v>102088.19249999999</v>
      </c>
      <c r="L55" s="456">
        <f>(Moura!F10)</f>
        <v>76969.957851239669</v>
      </c>
      <c r="M55" s="921"/>
      <c r="N55" s="666"/>
      <c r="O55" s="666"/>
      <c r="P55" s="666"/>
    </row>
    <row r="56" spans="1:16" ht="15.6">
      <c r="A56" s="921" t="s">
        <v>1660</v>
      </c>
      <c r="B56" s="921" t="s">
        <v>308</v>
      </c>
      <c r="C56" s="921" t="s">
        <v>1436</v>
      </c>
      <c r="D56" s="461">
        <f>(Moura!AB12)</f>
        <v>170000</v>
      </c>
      <c r="E56" s="473">
        <f>ROUNDUP(($D56+($D56*Publico!L$1)),-1)</f>
        <v>175100</v>
      </c>
      <c r="F56" s="473">
        <f>(Publico!B33)</f>
        <v>195588</v>
      </c>
      <c r="G56" s="473">
        <f t="shared" si="0"/>
        <v>170000</v>
      </c>
      <c r="H56" s="474">
        <f>(Moura!H12)</f>
        <v>131921.73224999997</v>
      </c>
      <c r="I56" s="474">
        <f t="shared" si="2"/>
        <v>120473.97862499997</v>
      </c>
      <c r="J56" s="474">
        <f t="shared" si="5"/>
        <v>109026.22499999998</v>
      </c>
      <c r="K56" s="474">
        <f t="shared" si="1"/>
        <v>109026.22499999998</v>
      </c>
      <c r="L56" s="456">
        <f>(Moura!F12)</f>
        <v>82652.685123966934</v>
      </c>
      <c r="M56" s="921"/>
      <c r="N56" s="666"/>
      <c r="O56" s="666"/>
      <c r="P56" s="666"/>
    </row>
    <row r="57" spans="1:16" ht="15.6">
      <c r="A57" s="921" t="s">
        <v>1661</v>
      </c>
      <c r="B57" s="921" t="s">
        <v>308</v>
      </c>
      <c r="C57" s="921" t="s">
        <v>1440</v>
      </c>
      <c r="D57" s="461">
        <f>(Moura!AB15)</f>
        <v>187000</v>
      </c>
      <c r="E57" s="473">
        <f>ROUNDUP(($D57+($D57*Publico!L$1)),-1)</f>
        <v>192610</v>
      </c>
      <c r="F57" s="473">
        <f>(Publico!B38)</f>
        <v>215308</v>
      </c>
      <c r="G57" s="473">
        <f t="shared" si="0"/>
        <v>187000</v>
      </c>
      <c r="H57" s="474">
        <f>(Moura!H15)</f>
        <v>148757.91495180002</v>
      </c>
      <c r="I57" s="474">
        <f t="shared" si="2"/>
        <v>135849.17026590003</v>
      </c>
      <c r="J57" s="474">
        <f t="shared" si="5"/>
        <v>122940.42558000002</v>
      </c>
      <c r="K57" s="474">
        <f t="shared" si="1"/>
        <v>122940.42558000002</v>
      </c>
      <c r="L57" s="456">
        <f>(Moura!F15)</f>
        <v>91435.081818181803</v>
      </c>
      <c r="M57" s="921"/>
      <c r="N57" s="666"/>
      <c r="O57" s="666"/>
      <c r="P57" s="666"/>
    </row>
    <row r="58" spans="1:16" ht="15.6">
      <c r="A58" s="921" t="s">
        <v>1662</v>
      </c>
      <c r="B58" s="921" t="s">
        <v>308</v>
      </c>
      <c r="C58" s="921" t="s">
        <v>1443</v>
      </c>
      <c r="D58" s="461">
        <f>(Moura!AB21)</f>
        <v>210000</v>
      </c>
      <c r="E58" s="473">
        <f>ROUNDUP(($D58+($D58*Publico!L$1)),-1)</f>
        <v>216300</v>
      </c>
      <c r="F58" s="473">
        <f>(Publico!B41)</f>
        <v>241988</v>
      </c>
      <c r="G58" s="473">
        <f t="shared" si="0"/>
        <v>210000</v>
      </c>
      <c r="H58" s="474">
        <f>(Moura!H21)</f>
        <v>162517.8737</v>
      </c>
      <c r="I58" s="474">
        <f t="shared" si="2"/>
        <v>148415.08300702478</v>
      </c>
      <c r="J58" s="474">
        <f t="shared" si="5"/>
        <v>134312.29231404958</v>
      </c>
      <c r="K58" s="474">
        <f t="shared" si="1"/>
        <v>134312.29231404958</v>
      </c>
      <c r="L58" s="456">
        <f>(Moura!F21)</f>
        <v>103317.14793388429</v>
      </c>
      <c r="M58" s="921"/>
      <c r="N58" s="666"/>
      <c r="O58" s="666"/>
      <c r="P58" s="666"/>
    </row>
    <row r="59" spans="1:16" ht="15.6">
      <c r="A59" s="921" t="s">
        <v>1663</v>
      </c>
      <c r="B59" s="921" t="s">
        <v>308</v>
      </c>
      <c r="C59" s="921" t="s">
        <v>1664</v>
      </c>
      <c r="D59" s="461">
        <f>(Moura!H31)</f>
        <v>192685.68164999995</v>
      </c>
      <c r="E59" s="473">
        <f>ROUNDUP(($D59+($D59*Publico!L$1)),-1)</f>
        <v>198470</v>
      </c>
      <c r="F59" s="473">
        <f>(Publico!B53)</f>
        <v>275628</v>
      </c>
      <c r="G59" s="473">
        <f t="shared" si="0"/>
        <v>192685.68164999995</v>
      </c>
      <c r="H59" s="474">
        <f>(Moura!H31)</f>
        <v>192685.68164999995</v>
      </c>
      <c r="I59" s="474">
        <f t="shared" si="2"/>
        <v>175965.02332499996</v>
      </c>
      <c r="J59" s="474">
        <f t="shared" si="5"/>
        <v>159244.36499999996</v>
      </c>
      <c r="K59" s="474">
        <f t="shared" si="1"/>
        <v>159244.36499999996</v>
      </c>
      <c r="L59" s="456">
        <f>(Moura!F31)</f>
        <v>118298.88347107438</v>
      </c>
      <c r="M59" s="921"/>
      <c r="N59" s="666"/>
      <c r="O59" s="666"/>
      <c r="P59" s="666"/>
    </row>
    <row r="60" spans="1:16" ht="15.6">
      <c r="A60" s="921" t="s">
        <v>1665</v>
      </c>
      <c r="B60" s="921" t="s">
        <v>308</v>
      </c>
      <c r="C60" s="921" t="s">
        <v>1666</v>
      </c>
      <c r="D60" s="461">
        <f>(Moura!AB32)</f>
        <v>301000</v>
      </c>
      <c r="E60" s="473">
        <f>ROUNDUP(($D60+($D60*Publico!L$1)),-1)</f>
        <v>310030</v>
      </c>
      <c r="F60" s="473">
        <f>(Publico!B56)</f>
        <v>347548</v>
      </c>
      <c r="G60" s="473">
        <f t="shared" si="0"/>
        <v>301000</v>
      </c>
      <c r="H60" s="474">
        <f>(Moura!H32)</f>
        <v>240844.53808799997</v>
      </c>
      <c r="I60" s="474">
        <f t="shared" si="2"/>
        <v>219944.805444</v>
      </c>
      <c r="J60" s="474">
        <f t="shared" si="5"/>
        <v>199045.07279999999</v>
      </c>
      <c r="K60" s="474">
        <f t="shared" si="1"/>
        <v>199045.07279999999</v>
      </c>
      <c r="L60" s="456">
        <f>(Moura!F32)</f>
        <v>150328.80082644627</v>
      </c>
      <c r="M60" s="921"/>
      <c r="N60" s="666"/>
      <c r="O60" s="666"/>
      <c r="P60" s="666"/>
    </row>
    <row r="61" spans="1:16" ht="15.6">
      <c r="A61" s="921" t="s">
        <v>1667</v>
      </c>
      <c r="B61" s="921" t="s">
        <v>308</v>
      </c>
      <c r="C61" s="921" t="s">
        <v>1452</v>
      </c>
      <c r="D61" s="461">
        <f>(Moura!AB24)</f>
        <v>249000</v>
      </c>
      <c r="E61" s="473">
        <f>ROUNDUP(($D61+($D61*Publico!L$1)),-1)</f>
        <v>256470</v>
      </c>
      <c r="F61" s="473">
        <f>(Publico!B49)</f>
        <v>286588</v>
      </c>
      <c r="G61" s="473">
        <f t="shared" si="0"/>
        <v>249000</v>
      </c>
      <c r="H61" s="474">
        <f>(Moura!H24)</f>
        <v>185581.32515999998</v>
      </c>
      <c r="I61" s="474">
        <f t="shared" si="2"/>
        <v>169477.16057999997</v>
      </c>
      <c r="J61" s="474">
        <f t="shared" si="5"/>
        <v>153372.99599999998</v>
      </c>
      <c r="K61" s="474">
        <f t="shared" si="1"/>
        <v>153372.99599999998</v>
      </c>
      <c r="L61" s="456">
        <f>(Moura!F24)</f>
        <v>121398.55289256197</v>
      </c>
      <c r="M61" s="921"/>
      <c r="N61" s="666"/>
      <c r="O61" s="666"/>
      <c r="P61" s="666"/>
    </row>
    <row r="62" spans="1:16" ht="15.6">
      <c r="A62" s="921" t="s">
        <v>1668</v>
      </c>
      <c r="B62" s="921" t="s">
        <v>308</v>
      </c>
      <c r="C62" s="921" t="s">
        <v>1455</v>
      </c>
      <c r="D62" s="461">
        <f>(Moura!AB25)</f>
        <v>287000</v>
      </c>
      <c r="E62" s="473">
        <f>ROUNDUP(($D62+($D62*Publico!L$1)),-1)</f>
        <v>295610</v>
      </c>
      <c r="F62" s="473">
        <f>(Publico!B44)</f>
        <v>330668</v>
      </c>
      <c r="G62" s="473">
        <f t="shared" si="0"/>
        <v>287000</v>
      </c>
      <c r="H62" s="474">
        <f>(Moura!H25)</f>
        <v>214409.93573999999</v>
      </c>
      <c r="I62" s="474">
        <f t="shared" si="2"/>
        <v>195804.11486999999</v>
      </c>
      <c r="J62" s="474">
        <f t="shared" si="5"/>
        <v>177198.29399999999</v>
      </c>
      <c r="K62" s="474">
        <f t="shared" si="1"/>
        <v>177198.29399999999</v>
      </c>
      <c r="L62" s="456">
        <f>(Moura!F25)</f>
        <v>141029.79256198349</v>
      </c>
      <c r="M62" s="921"/>
      <c r="N62" s="666"/>
      <c r="O62" s="666"/>
      <c r="P62" s="666"/>
    </row>
    <row r="63" spans="1:16" ht="15.6">
      <c r="A63" s="921" t="s">
        <v>643</v>
      </c>
      <c r="B63" s="921" t="s">
        <v>308</v>
      </c>
      <c r="C63" s="921" t="s">
        <v>1669</v>
      </c>
      <c r="D63" s="461">
        <f>(Moura!AB19)</f>
        <v>205000</v>
      </c>
      <c r="E63" s="473">
        <f>ROUNDUP(($D63+($D63*Publico!L$1)),-1)</f>
        <v>211150</v>
      </c>
      <c r="F63" s="473">
        <f>(Publico!B75)</f>
        <v>235548</v>
      </c>
      <c r="G63" s="473">
        <f t="shared" si="0"/>
        <v>205000</v>
      </c>
      <c r="H63" s="474">
        <f>(Moura!H19)</f>
        <v>180167.39433000001</v>
      </c>
      <c r="I63" s="474">
        <f t="shared" si="2"/>
        <v>164533.033665</v>
      </c>
      <c r="J63" s="474">
        <f t="shared" si="5"/>
        <v>148898.67300000001</v>
      </c>
      <c r="K63" s="474">
        <f t="shared" si="1"/>
        <v>148898.67300000001</v>
      </c>
      <c r="L63" s="456">
        <f>(Moura!F19)</f>
        <v>98667.643801652885</v>
      </c>
      <c r="M63" s="921"/>
      <c r="N63" s="666"/>
      <c r="O63" s="666"/>
      <c r="P63" s="666"/>
    </row>
    <row r="64" spans="1:16" ht="15.6">
      <c r="A64" s="921" t="s">
        <v>645</v>
      </c>
      <c r="B64" s="921" t="s">
        <v>308</v>
      </c>
      <c r="C64" s="921" t="s">
        <v>1670</v>
      </c>
      <c r="D64" s="461">
        <f>(Moura!AB20)</f>
        <v>205000</v>
      </c>
      <c r="E64" s="473">
        <f>ROUNDUP(($D64+($D64*Publico!L$1)),-1)</f>
        <v>211150</v>
      </c>
      <c r="F64" s="473">
        <f>(Publico!B75)</f>
        <v>235548</v>
      </c>
      <c r="G64" s="473">
        <f t="shared" si="0"/>
        <v>205000</v>
      </c>
      <c r="H64" s="474">
        <f>(Moura!H20)</f>
        <v>180167.39433000001</v>
      </c>
      <c r="I64" s="474">
        <f t="shared" si="2"/>
        <v>164533.033665</v>
      </c>
      <c r="J64" s="474">
        <f t="shared" si="5"/>
        <v>148898.67300000001</v>
      </c>
      <c r="K64" s="474">
        <f t="shared" si="1"/>
        <v>148898.67300000001</v>
      </c>
      <c r="L64" s="456">
        <f>(Moura!F20)</f>
        <v>98667.643801652885</v>
      </c>
      <c r="M64" s="921"/>
      <c r="N64" s="666"/>
      <c r="O64" s="666"/>
      <c r="P64" s="666"/>
    </row>
    <row r="65" spans="1:16" ht="15.6">
      <c r="A65" s="921" t="s">
        <v>647</v>
      </c>
      <c r="B65" s="921" t="s">
        <v>308</v>
      </c>
      <c r="C65" s="921" t="s">
        <v>1459</v>
      </c>
      <c r="D65" s="461">
        <f>(Moura!AB22)</f>
        <v>246000</v>
      </c>
      <c r="E65" s="473">
        <f>ROUNDUP(($D65+($D65*Publico!L$1)),-1)</f>
        <v>253380</v>
      </c>
      <c r="F65" s="473">
        <f>(Publico!B77)</f>
        <v>283108</v>
      </c>
      <c r="G65" s="473">
        <f t="shared" si="0"/>
        <v>246000</v>
      </c>
      <c r="H65" s="474">
        <f>(Moura!H22)</f>
        <v>180167.39433000001</v>
      </c>
      <c r="I65" s="474">
        <f t="shared" si="2"/>
        <v>164533.033665</v>
      </c>
      <c r="J65" s="474">
        <f t="shared" si="5"/>
        <v>148898.67300000001</v>
      </c>
      <c r="K65" s="474">
        <f t="shared" si="1"/>
        <v>148898.67300000001</v>
      </c>
      <c r="L65" s="456">
        <f>(Moura!F22)</f>
        <v>119848.71818181819</v>
      </c>
      <c r="M65" s="921"/>
      <c r="N65" s="666"/>
      <c r="O65" s="666"/>
      <c r="P65" s="666"/>
    </row>
    <row r="66" spans="1:16" ht="15.6">
      <c r="A66" s="921" t="s">
        <v>649</v>
      </c>
      <c r="B66" s="921" t="s">
        <v>308</v>
      </c>
      <c r="C66" s="921" t="s">
        <v>1461</v>
      </c>
      <c r="D66" s="461">
        <f>(Moura!AB23)</f>
        <v>246000</v>
      </c>
      <c r="E66" s="473">
        <f>ROUNDUP(($D66+($D66*Publico!L$1)),-1)</f>
        <v>253380</v>
      </c>
      <c r="F66" s="473">
        <f>(Publico!B77)</f>
        <v>283108</v>
      </c>
      <c r="G66" s="473">
        <f t="shared" si="0"/>
        <v>246000</v>
      </c>
      <c r="H66" s="474">
        <f>(Moura!H23)</f>
        <v>180167.39433000001</v>
      </c>
      <c r="I66" s="474">
        <f t="shared" si="2"/>
        <v>164533.033665</v>
      </c>
      <c r="J66" s="474">
        <f t="shared" si="5"/>
        <v>148898.67300000001</v>
      </c>
      <c r="K66" s="474">
        <f t="shared" si="1"/>
        <v>148898.67300000001</v>
      </c>
      <c r="L66" s="456">
        <f>(Moura!F23)</f>
        <v>119848.71818181819</v>
      </c>
      <c r="M66" s="921"/>
      <c r="N66" s="666"/>
      <c r="O66" s="666"/>
      <c r="P66" s="666"/>
    </row>
    <row r="67" spans="1:16" ht="15.6">
      <c r="A67" s="921" t="s">
        <v>652</v>
      </c>
      <c r="B67" s="921" t="s">
        <v>651</v>
      </c>
      <c r="C67" s="921" t="s">
        <v>1671</v>
      </c>
      <c r="D67" s="461">
        <f>('Willard - Elpra'!AE4)</f>
        <v>131800</v>
      </c>
      <c r="E67" s="473">
        <f>ROUNDUP(($D67+($D67*Publico!L$1)),-1)</f>
        <v>135760</v>
      </c>
      <c r="F67" s="473">
        <f>ROUNDUP(($D67+($D67*Publico!L$2)),-1)</f>
        <v>154210</v>
      </c>
      <c r="G67" s="473">
        <f t="shared" ref="G67:G130" si="6">(D67)</f>
        <v>131800</v>
      </c>
      <c r="H67" s="474">
        <f>('Willard - Elpra'!K4)</f>
        <v>111096.37342649999</v>
      </c>
      <c r="I67" s="474">
        <f t="shared" si="2"/>
        <v>101455.77903825</v>
      </c>
      <c r="J67" s="474">
        <f t="shared" si="5"/>
        <v>91815.184649999996</v>
      </c>
      <c r="K67" s="474">
        <f t="shared" ref="K67:K130" si="7">(J67)</f>
        <v>91815.184649999996</v>
      </c>
      <c r="L67" s="456">
        <f>('Willard - Elpra'!H4)</f>
        <v>69361.803992249988</v>
      </c>
      <c r="M67" s="921"/>
      <c r="N67" s="921"/>
      <c r="O67" s="921"/>
      <c r="P67" s="921"/>
    </row>
    <row r="68" spans="1:16" ht="15.6">
      <c r="A68" s="921" t="s">
        <v>654</v>
      </c>
      <c r="B68" s="921" t="s">
        <v>651</v>
      </c>
      <c r="C68" s="921" t="s">
        <v>1672</v>
      </c>
      <c r="D68" s="461">
        <f>('Willard - Elpra'!AE5)</f>
        <v>152700</v>
      </c>
      <c r="E68" s="473">
        <f>ROUNDUP(($D68+($D68*Publico!L$1)),-1)</f>
        <v>157290</v>
      </c>
      <c r="F68" s="473">
        <f>ROUNDUP(($D68+($D68*Publico!L$2)),-1)</f>
        <v>178660</v>
      </c>
      <c r="G68" s="473">
        <f t="shared" si="6"/>
        <v>152700</v>
      </c>
      <c r="H68" s="474">
        <f>('Willard - Elpra'!K5)</f>
        <v>124808.23832399999</v>
      </c>
      <c r="I68" s="474">
        <f t="shared" si="2"/>
        <v>113977.77136199998</v>
      </c>
      <c r="J68" s="474">
        <f t="shared" si="5"/>
        <v>103147.30439999999</v>
      </c>
      <c r="K68" s="474">
        <f t="shared" si="7"/>
        <v>103147.30439999999</v>
      </c>
      <c r="L68" s="456">
        <f>('Willard - Elpra'!H5)</f>
        <v>81227.493581850009</v>
      </c>
      <c r="M68" s="921"/>
      <c r="N68" s="921"/>
      <c r="O68" s="921"/>
      <c r="P68" s="921"/>
    </row>
    <row r="69" spans="1:16" ht="15.6">
      <c r="A69" s="921" t="s">
        <v>656</v>
      </c>
      <c r="B69" s="921" t="s">
        <v>651</v>
      </c>
      <c r="C69" s="921" t="s">
        <v>1673</v>
      </c>
      <c r="D69" s="461">
        <f>('Willard - Elpra'!AE6)</f>
        <v>148550</v>
      </c>
      <c r="E69" s="473">
        <f>ROUNDUP(($D69+($D69*Publico!L$1)),-1)</f>
        <v>153010</v>
      </c>
      <c r="F69" s="473">
        <f>ROUNDUP(($D69+($D69*Publico!L$2)),-1)</f>
        <v>173810</v>
      </c>
      <c r="G69" s="473">
        <f t="shared" si="6"/>
        <v>148550</v>
      </c>
      <c r="H69" s="474">
        <f>('Willard - Elpra'!K7)</f>
        <v>143114.43525160316</v>
      </c>
      <c r="I69" s="474">
        <f t="shared" si="2"/>
        <v>130695.41401076157</v>
      </c>
      <c r="J69" s="474">
        <f t="shared" si="5"/>
        <v>118276.39276991997</v>
      </c>
      <c r="K69" s="474">
        <f t="shared" si="7"/>
        <v>118276.39276991997</v>
      </c>
      <c r="L69" s="456">
        <f>('Willard - Elpra'!H7)</f>
        <v>84483.137692799981</v>
      </c>
      <c r="M69" s="921"/>
      <c r="N69" s="921"/>
      <c r="O69" s="921"/>
      <c r="P69" s="921"/>
    </row>
    <row r="70" spans="1:16" ht="15.6">
      <c r="A70" s="921" t="s">
        <v>658</v>
      </c>
      <c r="B70" s="921" t="s">
        <v>651</v>
      </c>
      <c r="C70" s="921" t="s">
        <v>1674</v>
      </c>
      <c r="D70" s="461">
        <f>('Willard - Elpra'!AE8)</f>
        <v>144850</v>
      </c>
      <c r="E70" s="473">
        <f>ROUNDUP(($D70+($D70*Publico!L$1)),-1)</f>
        <v>149200</v>
      </c>
      <c r="F70" s="473">
        <f>ROUNDUP(($D70+($D70*Publico!L$2)),-1)</f>
        <v>169480</v>
      </c>
      <c r="G70" s="473">
        <f t="shared" si="6"/>
        <v>144850</v>
      </c>
      <c r="H70" s="474">
        <f>('Willard - Elpra'!K8)</f>
        <v>123259.44292199997</v>
      </c>
      <c r="I70" s="474">
        <f t="shared" ref="I70:I136" si="8">(J70*1.105)</f>
        <v>112563.37556099998</v>
      </c>
      <c r="J70" s="474">
        <f t="shared" si="5"/>
        <v>101867.30819999998</v>
      </c>
      <c r="K70" s="474">
        <f t="shared" si="7"/>
        <v>101867.30819999998</v>
      </c>
      <c r="L70" s="456">
        <f>('Willard - Elpra'!H8)</f>
        <v>78119.36595539999</v>
      </c>
      <c r="M70" s="921"/>
      <c r="N70" s="921"/>
      <c r="O70" s="921"/>
      <c r="P70" s="921"/>
    </row>
    <row r="71" spans="1:16" ht="15.6">
      <c r="A71" s="921" t="s">
        <v>660</v>
      </c>
      <c r="B71" s="921" t="s">
        <v>651</v>
      </c>
      <c r="C71" s="921" t="s">
        <v>1675</v>
      </c>
      <c r="D71" s="461">
        <f>('Willard - Elpra'!AE9)</f>
        <v>174850</v>
      </c>
      <c r="E71" s="473">
        <f>ROUNDUP(($D71+($D71*Publico!L$1)),-1)</f>
        <v>180100</v>
      </c>
      <c r="F71" s="473">
        <f>ROUNDUP(($D71+($D71*Publico!L$2)),-1)</f>
        <v>204580</v>
      </c>
      <c r="G71" s="473">
        <f t="shared" si="6"/>
        <v>174850</v>
      </c>
      <c r="H71" s="474">
        <f>('Willard - Elpra'!K9)</f>
        <v>152937.83504999999</v>
      </c>
      <c r="I71" s="474">
        <f t="shared" si="8"/>
        <v>139666.37002499998</v>
      </c>
      <c r="J71" s="474">
        <f t="shared" si="5"/>
        <v>126394.905</v>
      </c>
      <c r="K71" s="474">
        <f t="shared" si="7"/>
        <v>126394.905</v>
      </c>
      <c r="L71" s="456">
        <f>('Willard - Elpra'!H9)</f>
        <v>94861.592906849997</v>
      </c>
      <c r="M71" s="921"/>
      <c r="N71" s="921"/>
      <c r="O71" s="921"/>
      <c r="P71" s="921"/>
    </row>
    <row r="72" spans="1:16" ht="15.6">
      <c r="A72" s="921" t="s">
        <v>662</v>
      </c>
      <c r="B72" s="921" t="s">
        <v>651</v>
      </c>
      <c r="C72" s="921" t="s">
        <v>1676</v>
      </c>
      <c r="D72" s="461">
        <f>('Willard - Elpra'!AE18)</f>
        <v>242000</v>
      </c>
      <c r="E72" s="473">
        <f>ROUNDUP(($D72+($D72*Publico!L$1)),-1)</f>
        <v>249260</v>
      </c>
      <c r="F72" s="473">
        <f>ROUNDUP(($D72+($D72*Publico!L$2)),-1)</f>
        <v>283140</v>
      </c>
      <c r="G72" s="473">
        <f t="shared" si="6"/>
        <v>242000</v>
      </c>
      <c r="H72" s="474">
        <f>('Willard - Elpra'!K18)</f>
        <v>192685.68164999995</v>
      </c>
      <c r="I72" s="474">
        <f t="shared" si="8"/>
        <v>175965.02332499996</v>
      </c>
      <c r="J72" s="474">
        <f t="shared" si="5"/>
        <v>159244.36499999996</v>
      </c>
      <c r="K72" s="474">
        <f t="shared" si="7"/>
        <v>159244.36499999996</v>
      </c>
      <c r="L72" s="456">
        <f>('Willard - Elpra'!H18)</f>
        <v>119356.92866790001</v>
      </c>
      <c r="M72" s="921"/>
      <c r="N72" s="921"/>
      <c r="O72" s="921"/>
      <c r="P72" s="921"/>
    </row>
    <row r="73" spans="1:16" ht="15.6">
      <c r="A73" s="921" t="s">
        <v>664</v>
      </c>
      <c r="B73" s="921" t="s">
        <v>651</v>
      </c>
      <c r="C73" s="921" t="s">
        <v>1677</v>
      </c>
      <c r="D73" s="461">
        <f>('Willard - Elpra'!AE10)</f>
        <v>175700</v>
      </c>
      <c r="E73" s="473">
        <f>ROUNDUP(($D73+($D73*Publico!L$1)),-1)</f>
        <v>180980</v>
      </c>
      <c r="F73" s="473">
        <f>ROUNDUP(($D73+($D73*Publico!L$2)),-1)</f>
        <v>205570</v>
      </c>
      <c r="G73" s="473">
        <f t="shared" si="6"/>
        <v>175700</v>
      </c>
      <c r="H73" s="474">
        <f>('Willard - Elpra'!K10)</f>
        <v>158306.07869999998</v>
      </c>
      <c r="I73" s="474">
        <f t="shared" si="8"/>
        <v>144568.77434999999</v>
      </c>
      <c r="J73" s="474">
        <f t="shared" si="5"/>
        <v>130831.46999999999</v>
      </c>
      <c r="K73" s="474">
        <f t="shared" si="7"/>
        <v>130831.46999999999</v>
      </c>
      <c r="L73" s="456">
        <f>('Willard - Elpra'!H10)</f>
        <v>97525.830020850015</v>
      </c>
      <c r="M73" s="921"/>
      <c r="N73" s="921"/>
      <c r="O73" s="921"/>
      <c r="P73" s="921"/>
    </row>
    <row r="74" spans="1:16" ht="15.6">
      <c r="A74" s="921" t="s">
        <v>666</v>
      </c>
      <c r="B74" s="921" t="s">
        <v>651</v>
      </c>
      <c r="C74" s="921" t="s">
        <v>667</v>
      </c>
      <c r="D74" s="461">
        <f>('Willard - Elpra'!AE10)</f>
        <v>175700</v>
      </c>
      <c r="E74" s="473">
        <f>ROUNDUP(($D74+($D74*Publico!L$1)),-1)</f>
        <v>180980</v>
      </c>
      <c r="F74" s="473">
        <f>ROUNDUP(($D74+($D74*Publico!L$2)),-1)</f>
        <v>205570</v>
      </c>
      <c r="G74" s="473">
        <f t="shared" si="6"/>
        <v>175700</v>
      </c>
      <c r="H74" s="474">
        <f>('Willard - Elpra'!K11)</f>
        <v>180733.915362</v>
      </c>
      <c r="I74" s="474">
        <f t="shared" si="8"/>
        <v>165050.39378100002</v>
      </c>
      <c r="J74" s="474">
        <f t="shared" si="5"/>
        <v>149366.87220000001</v>
      </c>
      <c r="K74" s="474">
        <f t="shared" si="7"/>
        <v>149366.87220000001</v>
      </c>
      <c r="L74" s="456">
        <f>('Willard - Elpra'!H10)</f>
        <v>97525.830020850015</v>
      </c>
      <c r="M74" s="921"/>
      <c r="N74" s="921"/>
      <c r="O74" s="921"/>
      <c r="P74" s="921"/>
    </row>
    <row r="75" spans="1:16" ht="15.6">
      <c r="A75" s="921" t="s">
        <v>668</v>
      </c>
      <c r="B75" s="921" t="s">
        <v>651</v>
      </c>
      <c r="C75" s="921" t="s">
        <v>1678</v>
      </c>
      <c r="D75" s="461">
        <f>('Willard - Elpra'!AE11)</f>
        <v>216850</v>
      </c>
      <c r="E75" s="473">
        <f>ROUNDUP(($D75+($D75*Publico!L$1)),-1)</f>
        <v>223360</v>
      </c>
      <c r="F75" s="473">
        <f>ROUNDUP(($D75+($D75*Publico!L$2)),-1)</f>
        <v>253720</v>
      </c>
      <c r="G75" s="473">
        <f t="shared" si="6"/>
        <v>216850</v>
      </c>
      <c r="H75" s="474">
        <f>('Willard - Elpra'!K11)</f>
        <v>180733.915362</v>
      </c>
      <c r="I75" s="474">
        <f t="shared" si="8"/>
        <v>165050.39378100002</v>
      </c>
      <c r="J75" s="474">
        <f t="shared" si="5"/>
        <v>149366.87220000001</v>
      </c>
      <c r="K75" s="474">
        <f t="shared" si="7"/>
        <v>149366.87220000001</v>
      </c>
      <c r="L75" s="456">
        <f>('Willard - Elpra'!H11)</f>
        <v>116301.9963798</v>
      </c>
      <c r="M75" s="921"/>
      <c r="N75" s="921"/>
      <c r="O75" s="921"/>
      <c r="P75" s="921"/>
    </row>
    <row r="76" spans="1:16" ht="15.6">
      <c r="A76" s="921" t="s">
        <v>670</v>
      </c>
      <c r="B76" s="921" t="s">
        <v>651</v>
      </c>
      <c r="C76" s="921" t="s">
        <v>1679</v>
      </c>
      <c r="D76" s="461">
        <f>('Willard - Elpra'!AE11)</f>
        <v>216850</v>
      </c>
      <c r="E76" s="473">
        <f>ROUNDUP(($D76+($D76*Publico!L$1)),-1)</f>
        <v>223360</v>
      </c>
      <c r="F76" s="473">
        <f>ROUNDUP(($D76+($D76*Publico!L$2)),-1)</f>
        <v>253720</v>
      </c>
      <c r="G76" s="473">
        <f t="shared" si="6"/>
        <v>216850</v>
      </c>
      <c r="H76" s="474">
        <f>('Willard - Elpra'!K11)</f>
        <v>180733.915362</v>
      </c>
      <c r="I76" s="474">
        <f t="shared" si="8"/>
        <v>165050.39378100002</v>
      </c>
      <c r="J76" s="474">
        <f t="shared" si="5"/>
        <v>149366.87220000001</v>
      </c>
      <c r="K76" s="474">
        <f t="shared" si="7"/>
        <v>149366.87220000001</v>
      </c>
      <c r="L76" s="456">
        <f>('Willard - Elpra'!H11)</f>
        <v>116301.9963798</v>
      </c>
      <c r="M76" s="921"/>
      <c r="N76" s="921"/>
      <c r="O76" s="921"/>
      <c r="P76" s="921"/>
    </row>
    <row r="77" spans="1:16" ht="15.6">
      <c r="A77" s="921" t="s">
        <v>672</v>
      </c>
      <c r="B77" s="921" t="s">
        <v>651</v>
      </c>
      <c r="C77" s="921" t="s">
        <v>1680</v>
      </c>
      <c r="D77" s="461">
        <f>('Willard - Elpra'!AE19)</f>
        <v>290000</v>
      </c>
      <c r="E77" s="473">
        <f>ROUNDUP(($D77+($D77*Publico!L$1)),-1)</f>
        <v>298700</v>
      </c>
      <c r="F77" s="473">
        <f>ROUNDUP(($D77+($D77*Publico!L$2)),-1)</f>
        <v>339300</v>
      </c>
      <c r="G77" s="473">
        <f t="shared" si="6"/>
        <v>290000</v>
      </c>
      <c r="H77" s="474">
        <f>('Willard - Elpra'!K19)</f>
        <v>219901.53477600001</v>
      </c>
      <c r="I77" s="474">
        <f>(J77*1.105)</f>
        <v>200819.17018800002</v>
      </c>
      <c r="J77" s="474">
        <f t="shared" si="5"/>
        <v>181736.80560000002</v>
      </c>
      <c r="K77" s="474">
        <f t="shared" si="7"/>
        <v>181736.80560000002</v>
      </c>
      <c r="L77" s="456">
        <f>('Willard - Elpra'!H19)</f>
        <v>139876.02464219998</v>
      </c>
      <c r="M77" s="921"/>
      <c r="N77" s="921"/>
      <c r="O77" s="921"/>
      <c r="P77" s="921"/>
    </row>
    <row r="78" spans="1:16" ht="15.6">
      <c r="A78" s="921" t="s">
        <v>674</v>
      </c>
      <c r="B78" s="921" t="s">
        <v>651</v>
      </c>
      <c r="C78" s="921" t="s">
        <v>1681</v>
      </c>
      <c r="D78" s="461">
        <v>10</v>
      </c>
      <c r="E78" s="473">
        <f>ROUNDUP(($D78+($D78*Publico!L$1)),-1)</f>
        <v>20</v>
      </c>
      <c r="F78" s="473">
        <f>ROUNDUP(($D78+($D78*Publico!L$2)),-1)</f>
        <v>20</v>
      </c>
      <c r="G78" s="473">
        <f t="shared" si="6"/>
        <v>10</v>
      </c>
      <c r="H78" s="474">
        <v>10</v>
      </c>
      <c r="I78" s="474">
        <f t="shared" si="8"/>
        <v>11.05</v>
      </c>
      <c r="J78" s="474">
        <v>10</v>
      </c>
      <c r="K78" s="474">
        <f t="shared" si="7"/>
        <v>10</v>
      </c>
      <c r="L78" s="456">
        <f>('Willard - Elpra'!H13)</f>
        <v>143771.35387230001</v>
      </c>
      <c r="M78" s="921"/>
      <c r="N78" s="921"/>
      <c r="O78" s="921"/>
      <c r="P78" s="921"/>
    </row>
    <row r="79" spans="1:16" ht="15.6">
      <c r="A79" s="921" t="s">
        <v>676</v>
      </c>
      <c r="B79" s="921" t="s">
        <v>651</v>
      </c>
      <c r="C79" s="921" t="s">
        <v>1682</v>
      </c>
      <c r="D79" s="461">
        <f>('Willard - Elpra'!AE12)</f>
        <v>299600</v>
      </c>
      <c r="E79" s="473">
        <f>ROUNDUP(($D79+($D79*Publico!L$1)),-1)</f>
        <v>308590</v>
      </c>
      <c r="F79" s="473">
        <f>ROUNDUP(($D79+($D79*Publico!L$2)),-1)</f>
        <v>350540</v>
      </c>
      <c r="G79" s="473">
        <f t="shared" si="6"/>
        <v>299600</v>
      </c>
      <c r="H79" s="474">
        <f>('Willard - Elpra'!K12)</f>
        <v>257291.922888</v>
      </c>
      <c r="I79" s="474">
        <f t="shared" si="8"/>
        <v>234964.937844</v>
      </c>
      <c r="J79" s="474">
        <f>(H79/1.21)</f>
        <v>212637.9528</v>
      </c>
      <c r="K79" s="474">
        <f t="shared" si="7"/>
        <v>212637.9528</v>
      </c>
      <c r="L79" s="456">
        <f>('Willard - Elpra'!H12)</f>
        <v>163041.47694449997</v>
      </c>
      <c r="M79" s="921"/>
      <c r="N79" s="921"/>
      <c r="O79" s="921"/>
      <c r="P79" s="921"/>
    </row>
    <row r="80" spans="1:16" ht="15.6">
      <c r="A80" s="921" t="s">
        <v>678</v>
      </c>
      <c r="B80" s="921" t="s">
        <v>651</v>
      </c>
      <c r="C80" s="921" t="s">
        <v>1683</v>
      </c>
      <c r="D80" s="461">
        <f>('Willard - Elpra'!AE16)</f>
        <v>409550</v>
      </c>
      <c r="E80" s="473">
        <f>ROUNDUP(($D80+($D80*Publico!L$1)),-1)</f>
        <v>421840</v>
      </c>
      <c r="F80" s="473">
        <f>ROUNDUP(($D80+($D80*Publico!L$2)),-1)</f>
        <v>479180</v>
      </c>
      <c r="G80" s="473">
        <f t="shared" si="6"/>
        <v>409550</v>
      </c>
      <c r="H80" s="474">
        <f>('Willard - Elpra'!K16)</f>
        <v>347276.25043650006</v>
      </c>
      <c r="I80" s="474">
        <f t="shared" si="8"/>
        <v>317140.70804325002</v>
      </c>
      <c r="J80" s="474">
        <f>(H80/1.21)</f>
        <v>287005.16565000004</v>
      </c>
      <c r="K80" s="474">
        <f t="shared" si="7"/>
        <v>287005.16565000004</v>
      </c>
      <c r="L80" s="456">
        <f>('Willard - Elpra'!H16)</f>
        <v>223878.16919159994</v>
      </c>
      <c r="M80" s="921"/>
      <c r="N80" s="921"/>
      <c r="O80" s="921"/>
      <c r="P80" s="921"/>
    </row>
    <row r="81" spans="1:12" ht="15.6">
      <c r="A81" s="921" t="s">
        <v>681</v>
      </c>
      <c r="B81" s="921" t="s">
        <v>680</v>
      </c>
      <c r="C81" s="921" t="s">
        <v>1684</v>
      </c>
      <c r="D81" s="461">
        <v>10</v>
      </c>
      <c r="E81" s="473">
        <f>ROUNDUP(($D81+($D81*Publico!L$1)),-1)</f>
        <v>20</v>
      </c>
      <c r="F81" s="473">
        <f>ROUNDUP(($D81+($D81*Publico!L$2)),-1)</f>
        <v>20</v>
      </c>
      <c r="G81" s="473">
        <f t="shared" si="6"/>
        <v>10</v>
      </c>
      <c r="H81" s="474">
        <v>10</v>
      </c>
      <c r="I81" s="474">
        <f t="shared" si="8"/>
        <v>11.05</v>
      </c>
      <c r="J81" s="474">
        <v>10</v>
      </c>
      <c r="K81" s="474">
        <f t="shared" si="7"/>
        <v>10</v>
      </c>
      <c r="L81" s="628">
        <v>10</v>
      </c>
    </row>
    <row r="82" spans="1:12" ht="15.6">
      <c r="A82" s="921" t="s">
        <v>683</v>
      </c>
      <c r="B82" s="921" t="s">
        <v>680</v>
      </c>
      <c r="C82" s="921" t="s">
        <v>1685</v>
      </c>
      <c r="D82" s="461">
        <v>10</v>
      </c>
      <c r="E82" s="473">
        <f>ROUNDUP(($D82+($D82*Publico!L$1)),-1)</f>
        <v>20</v>
      </c>
      <c r="F82" s="473">
        <f>ROUNDUP(($D82+($D82*Publico!L$2)),-1)</f>
        <v>20</v>
      </c>
      <c r="G82" s="473">
        <f t="shared" si="6"/>
        <v>10</v>
      </c>
      <c r="H82" s="474">
        <v>10</v>
      </c>
      <c r="I82" s="474">
        <f t="shared" si="8"/>
        <v>11.05</v>
      </c>
      <c r="J82" s="474">
        <v>10</v>
      </c>
      <c r="K82" s="474">
        <f t="shared" si="7"/>
        <v>10</v>
      </c>
      <c r="L82" s="628">
        <v>10</v>
      </c>
    </row>
    <row r="83" spans="1:12" ht="15.6">
      <c r="A83" s="921" t="s">
        <v>685</v>
      </c>
      <c r="B83" s="921" t="s">
        <v>680</v>
      </c>
      <c r="C83" s="921" t="s">
        <v>1686</v>
      </c>
      <c r="D83" s="461">
        <f>(D38)</f>
        <v>100600</v>
      </c>
      <c r="E83" s="473">
        <f>ROUNDUP(($D83+($D83*Publico!L$1)),-1)</f>
        <v>103620</v>
      </c>
      <c r="F83" s="473">
        <f>ROUNDUP(($D83+($D83*Publico!L$2)),-1)</f>
        <v>117710</v>
      </c>
      <c r="G83" s="473">
        <f t="shared" si="6"/>
        <v>100600</v>
      </c>
      <c r="H83" s="474">
        <f>('Acubat-Lubeck'!U7)</f>
        <v>84748.40074777999</v>
      </c>
      <c r="I83" s="474">
        <f t="shared" si="8"/>
        <v>77394.20068288999</v>
      </c>
      <c r="J83" s="474">
        <f t="shared" ref="J83:J89" si="9">(H83/1.21)</f>
        <v>70040.000617999991</v>
      </c>
      <c r="K83" s="474">
        <f t="shared" si="7"/>
        <v>70040.000617999991</v>
      </c>
      <c r="L83" s="921">
        <f>('Acubat-Lubeck'!S7)</f>
        <v>50028.57187</v>
      </c>
    </row>
    <row r="84" spans="1:12" ht="15.6">
      <c r="A84" s="921" t="s">
        <v>687</v>
      </c>
      <c r="B84" s="921" t="s">
        <v>680</v>
      </c>
      <c r="C84" s="921" t="s">
        <v>1687</v>
      </c>
      <c r="D84" s="461">
        <f>('Acubat-Lubeck'!AP22)</f>
        <v>99000</v>
      </c>
      <c r="E84" s="473">
        <f>ROUNDUP(($D84+($D84*Publico!L$1)),-1)</f>
        <v>101970</v>
      </c>
      <c r="F84" s="473">
        <f>ROUNDUP(($D84+($D84*Publico!L$2)),-1)</f>
        <v>115830</v>
      </c>
      <c r="G84" s="473">
        <f t="shared" si="6"/>
        <v>99000</v>
      </c>
      <c r="H84" s="474">
        <f>('Acubat-Lubeck'!U9)</f>
        <v>93576.955210200002</v>
      </c>
      <c r="I84" s="474">
        <f t="shared" si="8"/>
        <v>85456.640915100012</v>
      </c>
      <c r="J84" s="474">
        <f t="shared" si="9"/>
        <v>77336.326620000007</v>
      </c>
      <c r="K84" s="474">
        <f t="shared" si="7"/>
        <v>77336.326620000007</v>
      </c>
      <c r="L84" s="921">
        <f>('Acubat-Lubeck'!E22)</f>
        <v>44903.118000000002</v>
      </c>
    </row>
    <row r="85" spans="1:12" ht="15.6">
      <c r="A85" s="921" t="s">
        <v>689</v>
      </c>
      <c r="B85" s="921" t="s">
        <v>680</v>
      </c>
      <c r="C85" s="921" t="s">
        <v>1688</v>
      </c>
      <c r="D85" s="461">
        <f>(D40)</f>
        <v>124550</v>
      </c>
      <c r="E85" s="473">
        <f>ROUNDUP(($D85+($D85*Publico!L$1)),-1)</f>
        <v>128290</v>
      </c>
      <c r="F85" s="473">
        <f>ROUNDUP(($D85+($D85*Publico!L$2)),-1)</f>
        <v>145730</v>
      </c>
      <c r="G85" s="473">
        <f t="shared" si="6"/>
        <v>124550</v>
      </c>
      <c r="H85" s="474">
        <f>('Acubat-Lubeck'!U10)</f>
        <v>99776.599999999991</v>
      </c>
      <c r="I85" s="474">
        <f t="shared" si="8"/>
        <v>91118.3</v>
      </c>
      <c r="J85" s="474">
        <f t="shared" si="9"/>
        <v>82460</v>
      </c>
      <c r="K85" s="474">
        <f t="shared" si="7"/>
        <v>82460</v>
      </c>
      <c r="L85" s="921">
        <f>('Acubat-Lubeck'!S10)</f>
        <v>58900</v>
      </c>
    </row>
    <row r="86" spans="1:12" ht="15.6">
      <c r="A86" s="921" t="s">
        <v>691</v>
      </c>
      <c r="B86" s="921" t="s">
        <v>680</v>
      </c>
      <c r="C86" s="921" t="s">
        <v>1689</v>
      </c>
      <c r="D86" s="461">
        <f>(D41)</f>
        <v>129550</v>
      </c>
      <c r="E86" s="473">
        <f>ROUNDUP(($D86+($D86*Publico!L$1)),-1)</f>
        <v>133440</v>
      </c>
      <c r="F86" s="473">
        <f>ROUNDUP(($D86+($D86*Publico!L$2)),-1)</f>
        <v>151580</v>
      </c>
      <c r="G86" s="473">
        <f t="shared" si="6"/>
        <v>129550</v>
      </c>
      <c r="H86" s="474">
        <f>('Acubat-Lubeck'!U11)</f>
        <v>106117.97551893997</v>
      </c>
      <c r="I86" s="474">
        <f t="shared" si="8"/>
        <v>96909.390866469985</v>
      </c>
      <c r="J86" s="474">
        <f t="shared" si="9"/>
        <v>87700.806213999982</v>
      </c>
      <c r="K86" s="474">
        <f t="shared" si="7"/>
        <v>87700.806213999982</v>
      </c>
      <c r="L86" s="921">
        <f>('Acubat-Lubeck'!S11)</f>
        <v>62643.433009999993</v>
      </c>
    </row>
    <row r="87" spans="1:12" ht="15.6">
      <c r="A87" s="921" t="s">
        <v>693</v>
      </c>
      <c r="B87" s="921" t="s">
        <v>680</v>
      </c>
      <c r="C87" s="921" t="s">
        <v>1690</v>
      </c>
      <c r="D87" s="461">
        <f>('Acubat-Lubeck'!AP23)</f>
        <v>119000</v>
      </c>
      <c r="E87" s="473">
        <f>ROUNDUP(($D87+($D87*Publico!L$1)),-1)</f>
        <v>122570</v>
      </c>
      <c r="F87" s="473">
        <f>ROUNDUP(($D87+($D87*Publico!L$2)),-1)</f>
        <v>139230</v>
      </c>
      <c r="G87" s="473">
        <f t="shared" si="6"/>
        <v>119000</v>
      </c>
      <c r="H87" s="474">
        <f>('Acubat-Lubeck'!U12)</f>
        <v>113682.00576964</v>
      </c>
      <c r="I87" s="474">
        <f t="shared" si="8"/>
        <v>103817.03832681999</v>
      </c>
      <c r="J87" s="474">
        <f t="shared" si="9"/>
        <v>93952.070884000001</v>
      </c>
      <c r="K87" s="474">
        <f t="shared" si="7"/>
        <v>93952.070884000001</v>
      </c>
      <c r="L87" s="921">
        <f>('Acubat-Lubeck'!E23)</f>
        <v>54621.143000000004</v>
      </c>
    </row>
    <row r="88" spans="1:12" ht="15.6">
      <c r="A88" s="921" t="s">
        <v>695</v>
      </c>
      <c r="B88" s="921" t="s">
        <v>680</v>
      </c>
      <c r="C88" s="921" t="s">
        <v>1691</v>
      </c>
      <c r="D88" s="461">
        <f>(D43)</f>
        <v>220000</v>
      </c>
      <c r="E88" s="473">
        <f>ROUNDUP(($D88+($D88*Publico!L$1)),-1)</f>
        <v>226600</v>
      </c>
      <c r="F88" s="473">
        <f>ROUNDUP(($D88+($D88*Publico!L$2)),-1)</f>
        <v>257400</v>
      </c>
      <c r="G88" s="473">
        <f t="shared" si="6"/>
        <v>220000</v>
      </c>
      <c r="H88" s="474">
        <f>('Acubat-Lubeck'!U15)</f>
        <v>175560.25862914001</v>
      </c>
      <c r="I88" s="474">
        <f t="shared" si="8"/>
        <v>160325.69073157001</v>
      </c>
      <c r="J88" s="474">
        <f t="shared" si="9"/>
        <v>145091.12283400001</v>
      </c>
      <c r="K88" s="474">
        <f t="shared" si="7"/>
        <v>145091.12283400001</v>
      </c>
      <c r="L88" s="921">
        <f>('Acubat-Lubeck'!S15)</f>
        <v>103636.51631000001</v>
      </c>
    </row>
    <row r="89" spans="1:12" ht="15.6">
      <c r="A89" s="921" t="s">
        <v>697</v>
      </c>
      <c r="B89" s="921" t="s">
        <v>680</v>
      </c>
      <c r="C89" s="921" t="s">
        <v>1692</v>
      </c>
      <c r="D89" s="461">
        <f>('Acubat-Lubeck'!AP16)</f>
        <v>225900</v>
      </c>
      <c r="E89" s="473">
        <f>ROUNDUP(($D89+($D89*Publico!L$1)),-1)</f>
        <v>232680</v>
      </c>
      <c r="F89" s="473">
        <f>ROUNDUP(($D89+($D89*Publico!L$2)),-1)</f>
        <v>264310</v>
      </c>
      <c r="G89" s="473">
        <f t="shared" si="6"/>
        <v>225900</v>
      </c>
      <c r="H89" s="474">
        <f>('Acubat-Lubeck'!U16)</f>
        <v>173551.33918429998</v>
      </c>
      <c r="I89" s="474">
        <f t="shared" si="8"/>
        <v>158491.09900714998</v>
      </c>
      <c r="J89" s="474">
        <f t="shared" si="9"/>
        <v>143430.85882999998</v>
      </c>
      <c r="K89" s="474">
        <f t="shared" si="7"/>
        <v>143430.85882999998</v>
      </c>
      <c r="L89" s="921">
        <f>('Acubat-Lubeck'!S16)</f>
        <v>102450.61344999999</v>
      </c>
    </row>
    <row r="90" spans="1:12" ht="15.6">
      <c r="A90" s="921" t="s">
        <v>699</v>
      </c>
      <c r="B90" s="921" t="s">
        <v>680</v>
      </c>
      <c r="C90" s="921" t="s">
        <v>1693</v>
      </c>
      <c r="D90" s="461">
        <v>10</v>
      </c>
      <c r="E90" s="473">
        <f>ROUNDUP(($D90+($D90*Publico!L$1)),-1)</f>
        <v>20</v>
      </c>
      <c r="F90" s="473">
        <f>ROUNDUP(($D90+($D90*Publico!L$2)),-1)</f>
        <v>20</v>
      </c>
      <c r="G90" s="473">
        <f t="shared" si="6"/>
        <v>10</v>
      </c>
      <c r="H90" s="474">
        <v>10</v>
      </c>
      <c r="I90" s="474">
        <f t="shared" si="8"/>
        <v>11.05</v>
      </c>
      <c r="J90" s="474">
        <v>10</v>
      </c>
      <c r="K90" s="474">
        <f t="shared" si="7"/>
        <v>10</v>
      </c>
      <c r="L90" s="921">
        <v>10</v>
      </c>
    </row>
    <row r="91" spans="1:12" ht="15.6">
      <c r="A91" s="921" t="s">
        <v>701</v>
      </c>
      <c r="B91" s="921" t="s">
        <v>680</v>
      </c>
      <c r="C91" s="921" t="s">
        <v>1694</v>
      </c>
      <c r="D91" s="461">
        <f>('Acubat-Lubeck'!AP17)</f>
        <v>315150</v>
      </c>
      <c r="E91" s="473">
        <f>ROUNDUP(($D91+($D91*Publico!L$1)),-1)</f>
        <v>324610</v>
      </c>
      <c r="F91" s="473">
        <f>ROUNDUP(($D91+($D91*Publico!L$2)),-1)</f>
        <v>368730</v>
      </c>
      <c r="G91" s="473">
        <f t="shared" si="6"/>
        <v>315150</v>
      </c>
      <c r="H91" s="474">
        <f>('Acubat-Lubeck'!U17)</f>
        <v>275155.36241885996</v>
      </c>
      <c r="I91" s="474">
        <f t="shared" si="8"/>
        <v>251278.24419242996</v>
      </c>
      <c r="J91" s="474">
        <f>(H91/1.21)</f>
        <v>227401.12596599996</v>
      </c>
      <c r="K91" s="474">
        <f t="shared" si="7"/>
        <v>227401.12596599996</v>
      </c>
      <c r="L91" s="921">
        <f>('Acubat-Lubeck'!S17)</f>
        <v>162429.37568999999</v>
      </c>
    </row>
    <row r="92" spans="1:12" ht="15.6">
      <c r="A92" s="921" t="s">
        <v>703</v>
      </c>
      <c r="B92" s="921" t="s">
        <v>680</v>
      </c>
      <c r="C92" s="921" t="s">
        <v>704</v>
      </c>
      <c r="D92" s="461">
        <v>10</v>
      </c>
      <c r="E92" s="473">
        <f>ROUNDUP(($D92+($D92*Publico!L$1)),-1)</f>
        <v>20</v>
      </c>
      <c r="F92" s="473">
        <f>ROUNDUP(($D92+($D92*Publico!L$2)),-1)</f>
        <v>20</v>
      </c>
      <c r="G92" s="473">
        <f t="shared" si="6"/>
        <v>10</v>
      </c>
      <c r="H92" s="474">
        <v>10</v>
      </c>
      <c r="I92" s="474">
        <f t="shared" si="8"/>
        <v>11.05</v>
      </c>
      <c r="J92" s="474">
        <v>10</v>
      </c>
      <c r="K92" s="474">
        <f t="shared" si="7"/>
        <v>10</v>
      </c>
      <c r="L92" s="921">
        <v>10</v>
      </c>
    </row>
    <row r="93" spans="1:12" ht="15.6">
      <c r="A93" s="921" t="s">
        <v>705</v>
      </c>
      <c r="B93" s="921" t="s">
        <v>680</v>
      </c>
      <c r="C93" s="921" t="s">
        <v>706</v>
      </c>
      <c r="D93" s="461">
        <v>10</v>
      </c>
      <c r="E93" s="473">
        <f>ROUNDUP(($D93+($D93*Publico!L$1)),-1)</f>
        <v>20</v>
      </c>
      <c r="F93" s="473">
        <f>ROUNDUP(($D93+($D93*Publico!L$2)),-1)</f>
        <v>20</v>
      </c>
      <c r="G93" s="473">
        <f t="shared" si="6"/>
        <v>10</v>
      </c>
      <c r="H93" s="474">
        <v>10</v>
      </c>
      <c r="I93" s="474">
        <f t="shared" si="8"/>
        <v>11.05</v>
      </c>
      <c r="J93" s="474">
        <v>10</v>
      </c>
      <c r="K93" s="474">
        <f t="shared" si="7"/>
        <v>10</v>
      </c>
      <c r="L93" s="921">
        <v>10</v>
      </c>
    </row>
    <row r="94" spans="1:12" ht="15.6">
      <c r="A94" s="921" t="s">
        <v>708</v>
      </c>
      <c r="B94" s="921" t="s">
        <v>707</v>
      </c>
      <c r="C94" s="921" t="s">
        <v>709</v>
      </c>
      <c r="D94" s="461">
        <v>10</v>
      </c>
      <c r="E94" s="473">
        <f>ROUNDUP(($D94+($D94*Publico!L$1)),-1)</f>
        <v>20</v>
      </c>
      <c r="F94" s="473">
        <f>ROUNDUP(($D94+($D94*Publico!L$2)),-1)</f>
        <v>20</v>
      </c>
      <c r="G94" s="473">
        <f t="shared" si="6"/>
        <v>10</v>
      </c>
      <c r="H94" s="474">
        <v>10</v>
      </c>
      <c r="I94" s="474">
        <f t="shared" si="8"/>
        <v>11.05</v>
      </c>
      <c r="J94" s="474">
        <v>10</v>
      </c>
      <c r="K94" s="474">
        <f t="shared" si="7"/>
        <v>10</v>
      </c>
      <c r="L94" s="921">
        <v>10</v>
      </c>
    </row>
    <row r="95" spans="1:12" ht="15.6">
      <c r="A95" s="921" t="s">
        <v>710</v>
      </c>
      <c r="B95" s="921" t="s">
        <v>707</v>
      </c>
      <c r="C95" s="921" t="s">
        <v>711</v>
      </c>
      <c r="D95" s="461">
        <v>10</v>
      </c>
      <c r="E95" s="473">
        <f>ROUNDUP(($D95+($D95*Publico!L$1)),-1)</f>
        <v>20</v>
      </c>
      <c r="F95" s="473">
        <f>ROUNDUP(($D95+($D95*Publico!L$2)),-1)</f>
        <v>20</v>
      </c>
      <c r="G95" s="473">
        <f t="shared" si="6"/>
        <v>10</v>
      </c>
      <c r="H95" s="474">
        <v>10</v>
      </c>
      <c r="I95" s="474">
        <f t="shared" si="8"/>
        <v>11.05</v>
      </c>
      <c r="J95" s="474">
        <v>10</v>
      </c>
      <c r="K95" s="474">
        <f t="shared" si="7"/>
        <v>10</v>
      </c>
      <c r="L95" s="921">
        <v>10</v>
      </c>
    </row>
    <row r="96" spans="1:12" ht="15.6">
      <c r="A96" s="921" t="s">
        <v>713</v>
      </c>
      <c r="B96" s="921" t="s">
        <v>712</v>
      </c>
      <c r="C96" s="921" t="s">
        <v>1695</v>
      </c>
      <c r="D96" s="461">
        <v>10</v>
      </c>
      <c r="E96" s="473">
        <f>ROUNDUP(($D96+($D96*Publico!L$1)),-1)</f>
        <v>20</v>
      </c>
      <c r="F96" s="473">
        <f>ROUNDUP(($D96+($D96*Publico!L$2)),-1)</f>
        <v>20</v>
      </c>
      <c r="G96" s="473">
        <f t="shared" si="6"/>
        <v>10</v>
      </c>
      <c r="H96" s="474">
        <v>10</v>
      </c>
      <c r="I96" s="474">
        <f t="shared" si="8"/>
        <v>11.05</v>
      </c>
      <c r="J96" s="474">
        <v>10</v>
      </c>
      <c r="K96" s="474">
        <f t="shared" si="7"/>
        <v>10</v>
      </c>
      <c r="L96" s="921">
        <v>10</v>
      </c>
    </row>
    <row r="97" spans="1:12" ht="15.6">
      <c r="A97" s="921" t="s">
        <v>715</v>
      </c>
      <c r="B97" s="921" t="s">
        <v>712</v>
      </c>
      <c r="C97" s="921" t="s">
        <v>1696</v>
      </c>
      <c r="D97" s="461">
        <v>10</v>
      </c>
      <c r="E97" s="473">
        <f>ROUNDUP(($D97+($D97*Publico!L$1)),-1)</f>
        <v>20</v>
      </c>
      <c r="F97" s="473">
        <f>ROUNDUP(($D97+($D97*Publico!L$2)),-1)</f>
        <v>20</v>
      </c>
      <c r="G97" s="473">
        <f t="shared" si="6"/>
        <v>10</v>
      </c>
      <c r="H97" s="474">
        <v>10</v>
      </c>
      <c r="I97" s="474">
        <f t="shared" si="8"/>
        <v>11.05</v>
      </c>
      <c r="J97" s="474">
        <v>10</v>
      </c>
      <c r="K97" s="474">
        <f t="shared" si="7"/>
        <v>10</v>
      </c>
      <c r="L97" s="921">
        <v>10</v>
      </c>
    </row>
    <row r="98" spans="1:12" ht="15.6">
      <c r="A98" s="921" t="s">
        <v>717</v>
      </c>
      <c r="B98" s="921" t="s">
        <v>712</v>
      </c>
      <c r="C98" s="921" t="s">
        <v>1697</v>
      </c>
      <c r="D98" s="461">
        <v>10</v>
      </c>
      <c r="E98" s="473">
        <f>ROUNDUP(($D98+($D98*Publico!L$1)),-1)</f>
        <v>20</v>
      </c>
      <c r="F98" s="473">
        <f>ROUNDUP(($D98+($D98*Publico!L$2)),-1)</f>
        <v>20</v>
      </c>
      <c r="G98" s="473">
        <f t="shared" si="6"/>
        <v>10</v>
      </c>
      <c r="H98" s="474">
        <v>10</v>
      </c>
      <c r="I98" s="474">
        <f t="shared" si="8"/>
        <v>11.05</v>
      </c>
      <c r="J98" s="474">
        <v>10</v>
      </c>
      <c r="K98" s="474">
        <f t="shared" si="7"/>
        <v>10</v>
      </c>
      <c r="L98" s="921">
        <v>10</v>
      </c>
    </row>
    <row r="99" spans="1:12" ht="15.6">
      <c r="A99" s="921" t="s">
        <v>719</v>
      </c>
      <c r="B99" s="921" t="s">
        <v>712</v>
      </c>
      <c r="C99" s="921" t="s">
        <v>1698</v>
      </c>
      <c r="D99" s="461">
        <v>10</v>
      </c>
      <c r="E99" s="473">
        <f>ROUNDUP(($D99+($D99*Publico!L$1)),-1)</f>
        <v>20</v>
      </c>
      <c r="F99" s="473">
        <f>ROUNDUP(($D99+($D99*Publico!L$2)),-1)</f>
        <v>20</v>
      </c>
      <c r="G99" s="473">
        <f t="shared" si="6"/>
        <v>10</v>
      </c>
      <c r="H99" s="474">
        <v>10</v>
      </c>
      <c r="I99" s="474">
        <f t="shared" si="8"/>
        <v>11.05</v>
      </c>
      <c r="J99" s="474">
        <v>10</v>
      </c>
      <c r="K99" s="474">
        <f t="shared" si="7"/>
        <v>10</v>
      </c>
      <c r="L99" s="921">
        <v>10</v>
      </c>
    </row>
    <row r="100" spans="1:12" ht="15.6">
      <c r="A100" s="921" t="s">
        <v>721</v>
      </c>
      <c r="B100" s="921" t="s">
        <v>712</v>
      </c>
      <c r="C100" s="921" t="s">
        <v>1699</v>
      </c>
      <c r="D100" s="461">
        <v>10</v>
      </c>
      <c r="E100" s="473">
        <f>ROUNDUP(($D100+($D100*Publico!L$1)),-1)</f>
        <v>20</v>
      </c>
      <c r="F100" s="473">
        <f>ROUNDUP(($D100+($D100*Publico!L$2)),-1)</f>
        <v>20</v>
      </c>
      <c r="G100" s="473">
        <f t="shared" si="6"/>
        <v>10</v>
      </c>
      <c r="H100" s="474">
        <v>10</v>
      </c>
      <c r="I100" s="474">
        <f t="shared" si="8"/>
        <v>11.05</v>
      </c>
      <c r="J100" s="474">
        <v>10</v>
      </c>
      <c r="K100" s="474">
        <f t="shared" si="7"/>
        <v>10</v>
      </c>
      <c r="L100" s="921">
        <v>10</v>
      </c>
    </row>
    <row r="101" spans="1:12" ht="15.6">
      <c r="A101" s="921" t="s">
        <v>724</v>
      </c>
      <c r="B101" s="921" t="s">
        <v>723</v>
      </c>
      <c r="C101" s="921" t="s">
        <v>725</v>
      </c>
      <c r="D101" s="461">
        <v>10</v>
      </c>
      <c r="E101" s="473">
        <f>ROUNDUP(($D101+($D101*Publico!L$1)),-1)</f>
        <v>20</v>
      </c>
      <c r="F101" s="473">
        <f>ROUNDUP(($D101+($D101*Publico!L$2)),-1)</f>
        <v>20</v>
      </c>
      <c r="G101" s="473">
        <f t="shared" si="6"/>
        <v>10</v>
      </c>
      <c r="H101" s="474">
        <f>(Varta!G37)</f>
        <v>213088.70869774546</v>
      </c>
      <c r="I101" s="474">
        <f t="shared" si="8"/>
        <v>194597.53976116423</v>
      </c>
      <c r="J101" s="474">
        <f>(H101/1.21)</f>
        <v>176106.37082458302</v>
      </c>
      <c r="K101" s="474">
        <f t="shared" si="7"/>
        <v>176106.37082458302</v>
      </c>
      <c r="L101" s="456">
        <f>(Varta!E37)</f>
        <v>83962.260000000009</v>
      </c>
    </row>
    <row r="102" spans="1:12" ht="15.6">
      <c r="A102" s="921" t="s">
        <v>726</v>
      </c>
      <c r="B102" s="921" t="s">
        <v>723</v>
      </c>
      <c r="C102" s="921" t="s">
        <v>727</v>
      </c>
      <c r="D102" s="461">
        <v>10</v>
      </c>
      <c r="E102" s="473">
        <f>ROUNDUP(($D102+($D102*Publico!L$1)),-1)</f>
        <v>20</v>
      </c>
      <c r="F102" s="473">
        <f>ROUNDUP(($D102+($D102*Publico!L$2)),-1)</f>
        <v>20</v>
      </c>
      <c r="G102" s="473">
        <f t="shared" si="6"/>
        <v>10</v>
      </c>
      <c r="H102" s="474">
        <f>(Varta!G38)</f>
        <v>381316.59355814272</v>
      </c>
      <c r="I102" s="474">
        <f t="shared" si="8"/>
        <v>348227.13709235349</v>
      </c>
      <c r="J102" s="474">
        <f>(H102/1.21)</f>
        <v>315137.68062656425</v>
      </c>
      <c r="K102" s="474">
        <f t="shared" si="7"/>
        <v>315137.68062656425</v>
      </c>
      <c r="L102" s="456">
        <f>(Varta!E38)</f>
        <v>149507.72999999998</v>
      </c>
    </row>
    <row r="103" spans="1:12" ht="15.6">
      <c r="A103" s="921" t="s">
        <v>729</v>
      </c>
      <c r="B103" s="921" t="s">
        <v>728</v>
      </c>
      <c r="C103" s="921" t="s">
        <v>730</v>
      </c>
      <c r="D103" s="461">
        <v>10</v>
      </c>
      <c r="E103" s="473">
        <f>ROUNDUP(($D103+($D103*Publico!L$1)),-1)</f>
        <v>20</v>
      </c>
      <c r="F103" s="473">
        <f>ROUNDUP(($D103+($D103*Publico!L$2)),-1)</f>
        <v>20</v>
      </c>
      <c r="G103" s="473">
        <f t="shared" si="6"/>
        <v>10</v>
      </c>
      <c r="H103" s="474">
        <v>10</v>
      </c>
      <c r="I103" s="474">
        <f t="shared" si="8"/>
        <v>11.05</v>
      </c>
      <c r="J103" s="474">
        <v>10</v>
      </c>
      <c r="K103" s="474">
        <f t="shared" si="7"/>
        <v>10</v>
      </c>
      <c r="L103" s="921">
        <v>10</v>
      </c>
    </row>
    <row r="104" spans="1:12" ht="15.6">
      <c r="A104" s="921" t="s">
        <v>731</v>
      </c>
      <c r="B104" s="921" t="s">
        <v>728</v>
      </c>
      <c r="C104" s="921" t="s">
        <v>732</v>
      </c>
      <c r="D104" s="473">
        <v>10</v>
      </c>
      <c r="E104" s="473">
        <f>ROUNDUP(($D104+($D104*Publico!L$1)),-1)</f>
        <v>20</v>
      </c>
      <c r="F104" s="473">
        <f>ROUNDUP(($D104+($D104*Publico!L$2)),-1)</f>
        <v>20</v>
      </c>
      <c r="G104" s="473">
        <f t="shared" si="6"/>
        <v>10</v>
      </c>
      <c r="H104" s="474">
        <v>10</v>
      </c>
      <c r="I104" s="474">
        <f t="shared" si="8"/>
        <v>11.05</v>
      </c>
      <c r="J104" s="474">
        <v>10</v>
      </c>
      <c r="K104" s="474">
        <f t="shared" si="7"/>
        <v>10</v>
      </c>
      <c r="L104" s="921">
        <v>10</v>
      </c>
    </row>
    <row r="105" spans="1:12" ht="15.6">
      <c r="A105" s="921" t="s">
        <v>733</v>
      </c>
      <c r="B105" s="921" t="s">
        <v>728</v>
      </c>
      <c r="C105" s="921" t="s">
        <v>1700</v>
      </c>
      <c r="D105" s="473">
        <f>('Battery Trading'!V11)</f>
        <v>577500</v>
      </c>
      <c r="E105" s="473">
        <f>ROUNDUP(($D105+($D105*Publico!L$1)),-1)</f>
        <v>594830</v>
      </c>
      <c r="F105" s="473">
        <f>ROUNDUP(($D105+($D105*Publico!L$2)),-1)</f>
        <v>675680</v>
      </c>
      <c r="G105" s="473">
        <f t="shared" si="6"/>
        <v>577500</v>
      </c>
      <c r="H105" s="474">
        <v>10</v>
      </c>
      <c r="I105" s="474">
        <f t="shared" si="8"/>
        <v>11.05</v>
      </c>
      <c r="J105" s="474">
        <v>10</v>
      </c>
      <c r="K105" s="474">
        <f t="shared" si="7"/>
        <v>10</v>
      </c>
      <c r="L105" s="921">
        <f>('Battery Trading'!F11)</f>
        <v>294400</v>
      </c>
    </row>
    <row r="106" spans="1:12" ht="15.6">
      <c r="A106" s="921" t="s">
        <v>735</v>
      </c>
      <c r="B106" s="921" t="s">
        <v>728</v>
      </c>
      <c r="C106" s="921" t="s">
        <v>1701</v>
      </c>
      <c r="D106" s="473">
        <f>('Battery Trading'!V13)</f>
        <v>812500</v>
      </c>
      <c r="E106" s="473">
        <f>ROUNDUP(($D106+($D106*Publico!L$1)),-1)</f>
        <v>836880</v>
      </c>
      <c r="F106" s="473">
        <f>ROUNDUP(($D106+($D106*Publico!L$2)),-1)</f>
        <v>950630</v>
      </c>
      <c r="G106" s="473">
        <f t="shared" si="6"/>
        <v>812500</v>
      </c>
      <c r="H106" s="474">
        <v>10</v>
      </c>
      <c r="I106" s="474">
        <f t="shared" si="8"/>
        <v>11.05</v>
      </c>
      <c r="J106" s="474">
        <v>10</v>
      </c>
      <c r="K106" s="474">
        <f t="shared" si="7"/>
        <v>10</v>
      </c>
      <c r="L106" s="921">
        <f>('Battery Trading'!F13)</f>
        <v>499200</v>
      </c>
    </row>
    <row r="107" spans="1:12" ht="15.6">
      <c r="A107" s="921" t="s">
        <v>737</v>
      </c>
      <c r="B107" s="921" t="s">
        <v>306</v>
      </c>
      <c r="C107" s="921" t="s">
        <v>738</v>
      </c>
      <c r="D107" s="473">
        <v>10</v>
      </c>
      <c r="E107" s="473">
        <f>ROUNDUP(($D107+($D107*Publico!L$1)),-1)</f>
        <v>20</v>
      </c>
      <c r="F107" s="473">
        <f>ROUNDUP(($D107+($D107*Publico!L$2)),-1)</f>
        <v>20</v>
      </c>
      <c r="G107" s="473">
        <f t="shared" si="6"/>
        <v>10</v>
      </c>
      <c r="H107" s="474">
        <v>10</v>
      </c>
      <c r="I107" s="474">
        <f t="shared" si="8"/>
        <v>11.05</v>
      </c>
      <c r="J107" s="474">
        <v>10</v>
      </c>
      <c r="K107" s="474">
        <f t="shared" si="7"/>
        <v>10</v>
      </c>
      <c r="L107" s="921">
        <v>10</v>
      </c>
    </row>
    <row r="108" spans="1:12" ht="15.6">
      <c r="A108" s="921" t="s">
        <v>739</v>
      </c>
      <c r="B108" s="921" t="s">
        <v>306</v>
      </c>
      <c r="C108" s="921" t="s">
        <v>281</v>
      </c>
      <c r="D108" s="461">
        <f>(Novelbat!U4)</f>
        <v>32400</v>
      </c>
      <c r="E108" s="473">
        <f>ROUNDUP(($D108+($D108*Publico!L$1)),-1)</f>
        <v>33380</v>
      </c>
      <c r="F108" s="473">
        <f>ROUNDUP(($D108+($D108*Publico!L$2)),-1)</f>
        <v>37910</v>
      </c>
      <c r="G108" s="473">
        <f t="shared" si="6"/>
        <v>32400</v>
      </c>
      <c r="H108" s="474">
        <f>(H436)</f>
        <v>21780.103109424002</v>
      </c>
      <c r="I108" s="474">
        <f t="shared" si="8"/>
        <v>19890.094161912002</v>
      </c>
      <c r="J108" s="474">
        <f>(H108/1.21)</f>
        <v>18000.085214400002</v>
      </c>
      <c r="K108" s="474">
        <f t="shared" si="7"/>
        <v>18000.085214400002</v>
      </c>
      <c r="L108" s="456">
        <f>(Moto!E5)</f>
        <v>15826.618181818179</v>
      </c>
    </row>
    <row r="109" spans="1:12" ht="15.6">
      <c r="A109" s="921" t="s">
        <v>740</v>
      </c>
      <c r="B109" s="921" t="s">
        <v>306</v>
      </c>
      <c r="C109" s="921" t="s">
        <v>741</v>
      </c>
      <c r="D109" s="461">
        <f>(Novelbat!U5)</f>
        <v>39000</v>
      </c>
      <c r="E109" s="473">
        <f>ROUNDUP(($D109+($D109*Publico!L$1)),-1)</f>
        <v>40170</v>
      </c>
      <c r="F109" s="473">
        <f>ROUNDUP(($D109+($D109*Publico!L$2)),-1)</f>
        <v>45630</v>
      </c>
      <c r="G109" s="473">
        <f t="shared" si="6"/>
        <v>39000</v>
      </c>
      <c r="H109" s="474">
        <f>(H437)</f>
        <v>26811.693973152</v>
      </c>
      <c r="I109" s="474">
        <f t="shared" si="8"/>
        <v>24485.059372175998</v>
      </c>
      <c r="J109" s="474">
        <f t="shared" ref="J109:J128" si="10">(H109/1.21)</f>
        <v>22158.4247712</v>
      </c>
      <c r="K109" s="474">
        <f t="shared" si="7"/>
        <v>22158.4247712</v>
      </c>
      <c r="L109" s="456">
        <f>(Moto!E6)</f>
        <v>24086.109090909089</v>
      </c>
    </row>
    <row r="110" spans="1:12" ht="15.6">
      <c r="A110" s="921" t="s">
        <v>742</v>
      </c>
      <c r="B110" s="921" t="s">
        <v>306</v>
      </c>
      <c r="C110" s="921" t="s">
        <v>743</v>
      </c>
      <c r="D110" s="461">
        <f>(Novelbat!U5)</f>
        <v>39000</v>
      </c>
      <c r="E110" s="473">
        <f>ROUNDUP(($D110+($D110*Publico!L$1)),-1)</f>
        <v>40170</v>
      </c>
      <c r="F110" s="473">
        <f>ROUNDUP(($D110+($D110*Publico!L$2)),-1)</f>
        <v>45630</v>
      </c>
      <c r="G110" s="473">
        <f t="shared" si="6"/>
        <v>39000</v>
      </c>
      <c r="H110" s="474">
        <f>(H109)</f>
        <v>26811.693973152</v>
      </c>
      <c r="I110" s="474">
        <f t="shared" si="8"/>
        <v>24485.059372175998</v>
      </c>
      <c r="J110" s="474">
        <f t="shared" si="10"/>
        <v>22158.4247712</v>
      </c>
      <c r="K110" s="474">
        <f t="shared" si="7"/>
        <v>22158.4247712</v>
      </c>
      <c r="L110" s="456">
        <v>10</v>
      </c>
    </row>
    <row r="111" spans="1:12" ht="15.6">
      <c r="A111" s="921" t="s">
        <v>744</v>
      </c>
      <c r="B111" s="921" t="s">
        <v>306</v>
      </c>
      <c r="C111" s="921" t="s">
        <v>745</v>
      </c>
      <c r="D111" s="461">
        <f>(Novelbat!U6)</f>
        <v>39000</v>
      </c>
      <c r="E111" s="473">
        <f>ROUNDUP(($D111+($D111*Publico!L$1)),-1)</f>
        <v>40170</v>
      </c>
      <c r="F111" s="473">
        <f>ROUNDUP(($D111+($D111*Publico!L$2)),-1)</f>
        <v>45630</v>
      </c>
      <c r="G111" s="473">
        <f t="shared" si="6"/>
        <v>39000</v>
      </c>
      <c r="H111" s="474">
        <f>(H109)</f>
        <v>26811.693973152</v>
      </c>
      <c r="I111" s="474">
        <f t="shared" si="8"/>
        <v>24485.059372175998</v>
      </c>
      <c r="J111" s="474">
        <f t="shared" si="10"/>
        <v>22158.4247712</v>
      </c>
      <c r="K111" s="474">
        <f t="shared" si="7"/>
        <v>22158.4247712</v>
      </c>
      <c r="L111" s="456">
        <f>(Moto!E8)</f>
        <v>21846.109090909093</v>
      </c>
    </row>
    <row r="112" spans="1:12" ht="15.6">
      <c r="A112" s="921" t="s">
        <v>746</v>
      </c>
      <c r="B112" s="921" t="s">
        <v>306</v>
      </c>
      <c r="C112" s="921" t="s">
        <v>747</v>
      </c>
      <c r="D112" s="461">
        <f>(Novelbat!U7)</f>
        <v>45400</v>
      </c>
      <c r="E112" s="473">
        <f>ROUNDUP(($D112+($D112*Publico!L$1)),-1)</f>
        <v>46770</v>
      </c>
      <c r="F112" s="473">
        <f>ROUNDUP(($D112+($D112*Publico!L$2)),-1)</f>
        <v>53120</v>
      </c>
      <c r="G112" s="473">
        <f t="shared" si="6"/>
        <v>45400</v>
      </c>
      <c r="H112" s="474">
        <f>(H439)</f>
        <v>29345.082380064003</v>
      </c>
      <c r="I112" s="474">
        <f t="shared" si="8"/>
        <v>26798.608289232001</v>
      </c>
      <c r="J112" s="474">
        <f t="shared" si="10"/>
        <v>24252.134198400003</v>
      </c>
      <c r="K112" s="474">
        <f t="shared" si="7"/>
        <v>24252.134198400003</v>
      </c>
      <c r="L112" s="456">
        <f>(Moto!E9)</f>
        <v>26847.418181818182</v>
      </c>
    </row>
    <row r="113" spans="1:12" ht="15.6">
      <c r="A113" s="921" t="s">
        <v>748</v>
      </c>
      <c r="B113" s="921" t="s">
        <v>306</v>
      </c>
      <c r="C113" s="921" t="s">
        <v>749</v>
      </c>
      <c r="D113" s="461">
        <f>(Novelbat!U8)</f>
        <v>61950</v>
      </c>
      <c r="E113" s="473">
        <f>ROUNDUP(($D113+($D113*Publico!L$1)),-1)</f>
        <v>63810</v>
      </c>
      <c r="F113" s="473">
        <f>ROUNDUP(($D113+($D113*Publico!L$2)),-1)</f>
        <v>72490</v>
      </c>
      <c r="G113" s="473">
        <f t="shared" si="6"/>
        <v>61950</v>
      </c>
      <c r="H113" s="474">
        <f>(H440)</f>
        <v>46551.011977007998</v>
      </c>
      <c r="I113" s="474">
        <f t="shared" si="8"/>
        <v>42511.461350903999</v>
      </c>
      <c r="J113" s="474">
        <f t="shared" si="10"/>
        <v>38471.9107248</v>
      </c>
      <c r="K113" s="474">
        <f t="shared" si="7"/>
        <v>38471.9107248</v>
      </c>
      <c r="L113" s="456">
        <f>(Moto!E10)</f>
        <v>32410.763636363634</v>
      </c>
    </row>
    <row r="114" spans="1:12" ht="15.6">
      <c r="A114" s="921" t="s">
        <v>750</v>
      </c>
      <c r="B114" s="921" t="s">
        <v>306</v>
      </c>
      <c r="C114" s="921" t="s">
        <v>751</v>
      </c>
      <c r="D114" s="788">
        <f>(Novelbat!U9)</f>
        <v>77200</v>
      </c>
      <c r="E114" s="473">
        <f>ROUNDUP(($D114+($D114*Publico!L$1)),-1)</f>
        <v>79520</v>
      </c>
      <c r="F114" s="473">
        <f>ROUNDUP(($D114+($D114*Publico!L$2)),-1)</f>
        <v>90330</v>
      </c>
      <c r="G114" s="473">
        <f t="shared" si="6"/>
        <v>77200</v>
      </c>
      <c r="H114" s="474">
        <f>(H441)</f>
        <v>57493.842456863989</v>
      </c>
      <c r="I114" s="474">
        <f t="shared" si="8"/>
        <v>52504.707367631992</v>
      </c>
      <c r="J114" s="474">
        <f t="shared" si="10"/>
        <v>47515.572278399995</v>
      </c>
      <c r="K114" s="474">
        <f t="shared" si="7"/>
        <v>47515.572278399995</v>
      </c>
      <c r="L114" s="456">
        <f>(Moto!E11)</f>
        <v>34365.672727272722</v>
      </c>
    </row>
    <row r="115" spans="1:12" ht="15.6">
      <c r="A115" s="921" t="s">
        <v>752</v>
      </c>
      <c r="B115" s="921" t="s">
        <v>306</v>
      </c>
      <c r="C115" s="921" t="s">
        <v>753</v>
      </c>
      <c r="D115" s="461">
        <f>(Novelbat!U25)</f>
        <v>72800</v>
      </c>
      <c r="E115" s="473">
        <f>ROUNDUP(($D115+($D115*Publico!L$1)),-1)</f>
        <v>74990</v>
      </c>
      <c r="F115" s="473">
        <f>ROUNDUP(($D115+($D115*Publico!L$2)),-1)</f>
        <v>85180</v>
      </c>
      <c r="G115" s="473">
        <f t="shared" si="6"/>
        <v>72800</v>
      </c>
      <c r="H115" s="474">
        <f>(H456)</f>
        <v>46551.011977007998</v>
      </c>
      <c r="I115" s="474">
        <f t="shared" si="8"/>
        <v>42511.461350903999</v>
      </c>
      <c r="J115" s="474">
        <f t="shared" si="10"/>
        <v>38471.9107248</v>
      </c>
      <c r="K115" s="474">
        <f t="shared" si="7"/>
        <v>38471.9107248</v>
      </c>
      <c r="L115" s="456">
        <f>(Moto!E12)</f>
        <v>36776.727272727279</v>
      </c>
    </row>
    <row r="116" spans="1:12" ht="15.6">
      <c r="A116" s="921" t="s">
        <v>754</v>
      </c>
      <c r="B116" s="921" t="s">
        <v>306</v>
      </c>
      <c r="C116" s="921" t="s">
        <v>755</v>
      </c>
      <c r="D116" s="461">
        <f>(Novelbat!U10)</f>
        <v>94300</v>
      </c>
      <c r="E116" s="473">
        <f>ROUNDUP(($D116+($D116*Publico!L$1)),-1)</f>
        <v>97130</v>
      </c>
      <c r="F116" s="473">
        <f>ROUNDUP(($D116+($D116*Publico!L$2)),-1)</f>
        <v>110340</v>
      </c>
      <c r="G116" s="473">
        <f t="shared" si="6"/>
        <v>94300</v>
      </c>
      <c r="H116" s="474">
        <f>(H442)</f>
        <v>70195.97044152001</v>
      </c>
      <c r="I116" s="474">
        <f t="shared" si="8"/>
        <v>64104.584576760011</v>
      </c>
      <c r="J116" s="474">
        <f t="shared" si="10"/>
        <v>58013.198712000012</v>
      </c>
      <c r="K116" s="474">
        <f t="shared" si="7"/>
        <v>58013.198712000012</v>
      </c>
      <c r="L116" s="456">
        <f>(Moto!E13)</f>
        <v>40613.236363636366</v>
      </c>
    </row>
    <row r="117" spans="1:12" ht="15.6">
      <c r="A117" s="921" t="s">
        <v>756</v>
      </c>
      <c r="B117" s="921" t="s">
        <v>306</v>
      </c>
      <c r="C117" s="921" t="s">
        <v>757</v>
      </c>
      <c r="D117" s="461">
        <f>(Novelbat!U11)</f>
        <v>157500</v>
      </c>
      <c r="E117" s="473">
        <f>ROUNDUP(($D117+($D117*Publico!L$1)),-1)</f>
        <v>162230</v>
      </c>
      <c r="F117" s="473">
        <f>ROUNDUP(($D117+($D117*Publico!L$2)),-1)</f>
        <v>184280</v>
      </c>
      <c r="G117" s="473">
        <f t="shared" si="6"/>
        <v>157500</v>
      </c>
      <c r="H117" s="474">
        <v>10</v>
      </c>
      <c r="I117" s="474">
        <f t="shared" si="8"/>
        <v>9.132231404958679</v>
      </c>
      <c r="J117" s="474">
        <f t="shared" si="10"/>
        <v>8.2644628099173563</v>
      </c>
      <c r="K117" s="474">
        <f t="shared" si="7"/>
        <v>8.2644628099173563</v>
      </c>
      <c r="L117" s="456">
        <f>(Moto!E14)</f>
        <v>46420.94545454545</v>
      </c>
    </row>
    <row r="118" spans="1:12" ht="15.6">
      <c r="A118" s="921" t="s">
        <v>758</v>
      </c>
      <c r="B118" s="921" t="s">
        <v>306</v>
      </c>
      <c r="C118" s="921" t="s">
        <v>759</v>
      </c>
      <c r="D118" s="461">
        <f>(Novelbat!U12)</f>
        <v>27950</v>
      </c>
      <c r="E118" s="473">
        <f>ROUNDUP(($D118+($D118*Publico!L$1)),-1)</f>
        <v>28790</v>
      </c>
      <c r="F118" s="473">
        <f>ROUNDUP(($D118+($D118*Publico!L$2)),-1)</f>
        <v>32710</v>
      </c>
      <c r="G118" s="473">
        <f t="shared" si="6"/>
        <v>27950</v>
      </c>
      <c r="H118" s="474">
        <f t="shared" ref="H118:H125" si="11">(H444)</f>
        <v>18930.041151647998</v>
      </c>
      <c r="I118" s="474">
        <f t="shared" si="8"/>
        <v>17287.351630223999</v>
      </c>
      <c r="J118" s="474">
        <f t="shared" si="10"/>
        <v>15644.662108799999</v>
      </c>
      <c r="K118" s="474">
        <f t="shared" si="7"/>
        <v>15644.662108799999</v>
      </c>
      <c r="L118" s="456">
        <f>(Moto!E15)</f>
        <v>13065.30909090909</v>
      </c>
    </row>
    <row r="119" spans="1:12" ht="15.6">
      <c r="A119" s="921" t="s">
        <v>760</v>
      </c>
      <c r="B119" s="921" t="s">
        <v>306</v>
      </c>
      <c r="C119" s="921" t="s">
        <v>283</v>
      </c>
      <c r="D119" s="461">
        <f>(Novelbat!U13)</f>
        <v>30300</v>
      </c>
      <c r="E119" s="473">
        <f>ROUNDUP(($D119+($D119*Publico!L$1)),-1)</f>
        <v>31210</v>
      </c>
      <c r="F119" s="473">
        <f>ROUNDUP(($D119+($D119*Publico!L$2)),-1)</f>
        <v>35460</v>
      </c>
      <c r="G119" s="473">
        <f t="shared" si="6"/>
        <v>30300</v>
      </c>
      <c r="H119" s="474">
        <f t="shared" si="11"/>
        <v>21780.103109424002</v>
      </c>
      <c r="I119" s="474">
        <f t="shared" si="8"/>
        <v>19890.094161912002</v>
      </c>
      <c r="J119" s="474">
        <f t="shared" si="10"/>
        <v>18000.085214400002</v>
      </c>
      <c r="K119" s="474">
        <f t="shared" si="7"/>
        <v>18000.085214400002</v>
      </c>
      <c r="L119" s="456">
        <f>(Moto!E16)</f>
        <v>15899.927272727273</v>
      </c>
    </row>
    <row r="120" spans="1:12" ht="15.6">
      <c r="A120" s="921" t="s">
        <v>761</v>
      </c>
      <c r="B120" s="921" t="s">
        <v>306</v>
      </c>
      <c r="C120" s="921" t="s">
        <v>762</v>
      </c>
      <c r="D120" s="461">
        <f>(Novelbat!U14)</f>
        <v>35100</v>
      </c>
      <c r="E120" s="473">
        <f>ROUNDUP(($D120+($D120*Publico!L$1)),-1)</f>
        <v>36160</v>
      </c>
      <c r="F120" s="473">
        <f>ROUNDUP(($D120+($D120*Publico!L$2)),-1)</f>
        <v>41070</v>
      </c>
      <c r="G120" s="473">
        <f t="shared" si="6"/>
        <v>35100</v>
      </c>
      <c r="H120" s="474">
        <f t="shared" si="11"/>
        <v>24313.491516336002</v>
      </c>
      <c r="I120" s="474">
        <f t="shared" si="8"/>
        <v>22203.643078968002</v>
      </c>
      <c r="J120" s="474">
        <f t="shared" si="10"/>
        <v>20093.794641600001</v>
      </c>
      <c r="K120" s="474">
        <f t="shared" si="7"/>
        <v>20093.794641600001</v>
      </c>
      <c r="L120" s="456">
        <f>(Moto!E17)</f>
        <v>20160.000000000004</v>
      </c>
    </row>
    <row r="121" spans="1:12" ht="15.6">
      <c r="A121" s="921" t="s">
        <v>763</v>
      </c>
      <c r="B121" s="921" t="s">
        <v>306</v>
      </c>
      <c r="C121" s="921" t="s">
        <v>287</v>
      </c>
      <c r="D121" s="461">
        <f>(Novelbat!U15)</f>
        <v>39000</v>
      </c>
      <c r="E121" s="473">
        <f>ROUNDUP(($D121+($D121*Publico!L$1)),-1)</f>
        <v>40170</v>
      </c>
      <c r="F121" s="473">
        <f>ROUNDUP(($D121+($D121*Publico!L$2)),-1)</f>
        <v>45630</v>
      </c>
      <c r="G121" s="473">
        <f t="shared" si="6"/>
        <v>39000</v>
      </c>
      <c r="H121" s="474">
        <f t="shared" si="11"/>
        <v>26811.693973152</v>
      </c>
      <c r="I121" s="474">
        <f t="shared" si="8"/>
        <v>24485.059372175998</v>
      </c>
      <c r="J121" s="474">
        <f t="shared" si="10"/>
        <v>22158.4247712</v>
      </c>
      <c r="K121" s="474">
        <f t="shared" si="7"/>
        <v>22158.4247712</v>
      </c>
      <c r="L121" s="456">
        <f>(Moto!E18)</f>
        <v>20868.654545454548</v>
      </c>
    </row>
    <row r="122" spans="1:12" ht="15.6">
      <c r="A122" s="921" t="s">
        <v>764</v>
      </c>
      <c r="B122" s="921" t="s">
        <v>306</v>
      </c>
      <c r="C122" s="921" t="s">
        <v>285</v>
      </c>
      <c r="D122" s="461">
        <f>(Novelbat!U16)</f>
        <v>39000</v>
      </c>
      <c r="E122" s="473">
        <f>ROUNDUP(($D122+($D122*Publico!L$1)),-1)</f>
        <v>40170</v>
      </c>
      <c r="F122" s="473">
        <f>ROUNDUP(($D122+($D122*Publico!L$2)),-1)</f>
        <v>45630</v>
      </c>
      <c r="G122" s="473">
        <f t="shared" si="6"/>
        <v>39000</v>
      </c>
      <c r="H122" s="474">
        <f t="shared" si="11"/>
        <v>26811.693973152</v>
      </c>
      <c r="I122" s="474">
        <f t="shared" si="8"/>
        <v>24485.059372175998</v>
      </c>
      <c r="J122" s="474">
        <f t="shared" si="10"/>
        <v>22158.4247712</v>
      </c>
      <c r="K122" s="474">
        <f t="shared" si="7"/>
        <v>22158.4247712</v>
      </c>
      <c r="L122" s="456">
        <f>(Moto!E19)</f>
        <v>21495.854545454546</v>
      </c>
    </row>
    <row r="123" spans="1:12" ht="15.6">
      <c r="A123" s="921" t="s">
        <v>765</v>
      </c>
      <c r="B123" s="921" t="s">
        <v>306</v>
      </c>
      <c r="C123" s="921" t="s">
        <v>289</v>
      </c>
      <c r="D123" s="461">
        <f>(Novelbat!U17)</f>
        <v>44900</v>
      </c>
      <c r="E123" s="473">
        <f>ROUNDUP(($D123+($D123*Publico!L$1)),-1)</f>
        <v>46250</v>
      </c>
      <c r="F123" s="473">
        <f>ROUNDUP(($D123+($D123*Publico!L$2)),-1)</f>
        <v>52540</v>
      </c>
      <c r="G123" s="473">
        <f t="shared" si="6"/>
        <v>44900</v>
      </c>
      <c r="H123" s="474">
        <f t="shared" si="11"/>
        <v>30611.776583519997</v>
      </c>
      <c r="I123" s="474">
        <f t="shared" si="8"/>
        <v>27955.382747759995</v>
      </c>
      <c r="J123" s="474">
        <f t="shared" si="10"/>
        <v>25298.988911999997</v>
      </c>
      <c r="K123" s="474">
        <f t="shared" si="7"/>
        <v>25298.988911999997</v>
      </c>
      <c r="L123" s="456">
        <f>(Moto!E20)</f>
        <v>26643.781818181818</v>
      </c>
    </row>
    <row r="124" spans="1:12" ht="15.6">
      <c r="A124" s="921" t="s">
        <v>766</v>
      </c>
      <c r="B124" s="921" t="s">
        <v>306</v>
      </c>
      <c r="C124" s="921" t="s">
        <v>291</v>
      </c>
      <c r="D124" s="461">
        <f>(Novelbat!U18)</f>
        <v>61950</v>
      </c>
      <c r="E124" s="473">
        <f>ROUNDUP(($D124+($D124*Publico!L$1)),-1)</f>
        <v>63810</v>
      </c>
      <c r="F124" s="473">
        <f>ROUNDUP(($D124+($D124*Publico!L$2)),-1)</f>
        <v>72490</v>
      </c>
      <c r="G124" s="473">
        <f t="shared" si="6"/>
        <v>61950</v>
      </c>
      <c r="H124" s="474">
        <f t="shared" si="11"/>
        <v>41026.817811936002</v>
      </c>
      <c r="I124" s="474">
        <f t="shared" si="8"/>
        <v>37466.639406768001</v>
      </c>
      <c r="J124" s="474">
        <f t="shared" si="10"/>
        <v>33906.461001600001</v>
      </c>
      <c r="K124" s="474">
        <f t="shared" si="7"/>
        <v>33906.461001600001</v>
      </c>
      <c r="L124" s="456">
        <f>(Moto!E21)</f>
        <v>35139.490909090906</v>
      </c>
    </row>
    <row r="125" spans="1:12" ht="15.6">
      <c r="A125" s="921" t="s">
        <v>767</v>
      </c>
      <c r="B125" s="921" t="s">
        <v>306</v>
      </c>
      <c r="C125" s="921" t="s">
        <v>293</v>
      </c>
      <c r="D125" s="461">
        <f>(Novelbat!U19)</f>
        <v>72800</v>
      </c>
      <c r="E125" s="473">
        <f>ROUNDUP(($D125+($D125*Publico!L$1)),-1)</f>
        <v>74990</v>
      </c>
      <c r="F125" s="473">
        <f>ROUNDUP(($D125+($D125*Publico!L$2)),-1)</f>
        <v>85180</v>
      </c>
      <c r="G125" s="473">
        <f t="shared" si="6"/>
        <v>72800</v>
      </c>
      <c r="H125" s="474">
        <f t="shared" si="11"/>
        <v>44193.553320576</v>
      </c>
      <c r="I125" s="474">
        <f t="shared" si="8"/>
        <v>40358.575553088005</v>
      </c>
      <c r="J125" s="474">
        <f t="shared" si="10"/>
        <v>36523.597785600003</v>
      </c>
      <c r="K125" s="474">
        <f t="shared" si="7"/>
        <v>36523.597785600003</v>
      </c>
      <c r="L125" s="456">
        <f>(Moto!E22)</f>
        <v>39603.199999999997</v>
      </c>
    </row>
    <row r="126" spans="1:12" ht="15.6">
      <c r="A126" s="921" t="s">
        <v>768</v>
      </c>
      <c r="B126" s="921" t="s">
        <v>306</v>
      </c>
      <c r="C126" s="921" t="s">
        <v>295</v>
      </c>
      <c r="D126" s="461">
        <f>(Novelbat!U11)</f>
        <v>157500</v>
      </c>
      <c r="E126" s="473">
        <f>ROUNDUP(($D126+($D126*Publico!L$1)),-1)</f>
        <v>162230</v>
      </c>
      <c r="F126" s="473">
        <f>ROUNDUP(($D126+($D126*Publico!L$2)),-1)</f>
        <v>184280</v>
      </c>
      <c r="G126" s="473">
        <f t="shared" si="6"/>
        <v>157500</v>
      </c>
      <c r="H126" s="474">
        <f>(H443)</f>
        <v>139019.68882929595</v>
      </c>
      <c r="I126" s="474">
        <f t="shared" si="8"/>
        <v>126955.99682344795</v>
      </c>
      <c r="J126" s="474">
        <f t="shared" si="10"/>
        <v>114892.30481759996</v>
      </c>
      <c r="K126" s="474">
        <f t="shared" si="7"/>
        <v>114892.30481759996</v>
      </c>
      <c r="L126" s="456">
        <f>(Moto!E23)</f>
        <v>54224.290909090909</v>
      </c>
    </row>
    <row r="127" spans="1:12" ht="15.6">
      <c r="A127" s="921" t="s">
        <v>769</v>
      </c>
      <c r="B127" s="921" t="s">
        <v>306</v>
      </c>
      <c r="C127" s="921" t="s">
        <v>297</v>
      </c>
      <c r="D127" s="461">
        <f>(Novelbat!U20)</f>
        <v>115500</v>
      </c>
      <c r="E127" s="473">
        <f>ROUNDUP(($D127+($D127*Publico!L$1)),-1)</f>
        <v>118970</v>
      </c>
      <c r="F127" s="473">
        <f>ROUNDUP(($D127+($D127*Publico!L$2)),-1)</f>
        <v>135140</v>
      </c>
      <c r="G127" s="473">
        <f t="shared" si="6"/>
        <v>115500</v>
      </c>
      <c r="H127" s="474">
        <f>(H452)</f>
        <v>93066.838003919984</v>
      </c>
      <c r="I127" s="474">
        <f t="shared" si="8"/>
        <v>84990.790077959988</v>
      </c>
      <c r="J127" s="474">
        <f t="shared" si="10"/>
        <v>76914.742151999992</v>
      </c>
      <c r="K127" s="474">
        <f t="shared" si="7"/>
        <v>76914.742151999992</v>
      </c>
      <c r="L127" s="456">
        <f>(Moto!E24)</f>
        <v>51764.363636363632</v>
      </c>
    </row>
    <row r="128" spans="1:12" ht="15.6">
      <c r="A128" s="921" t="s">
        <v>770</v>
      </c>
      <c r="B128" s="921" t="s">
        <v>306</v>
      </c>
      <c r="C128" s="921" t="s">
        <v>771</v>
      </c>
      <c r="D128" s="461">
        <f>(Novelbat!U20)</f>
        <v>115500</v>
      </c>
      <c r="E128" s="473">
        <f>ROUNDUP(($D128+($D128*Publico!L$1)),-1)</f>
        <v>118970</v>
      </c>
      <c r="F128" s="473">
        <f>ROUNDUP(($D128+($D128*Publico!L$2)),-1)</f>
        <v>135140</v>
      </c>
      <c r="G128" s="473">
        <f t="shared" si="6"/>
        <v>115500</v>
      </c>
      <c r="H128" s="474">
        <f>(H127)</f>
        <v>93066.838003919984</v>
      </c>
      <c r="I128" s="474">
        <f t="shared" si="8"/>
        <v>84990.790077959988</v>
      </c>
      <c r="J128" s="474">
        <f t="shared" si="10"/>
        <v>76914.742151999992</v>
      </c>
      <c r="K128" s="474">
        <f t="shared" si="7"/>
        <v>76914.742151999992</v>
      </c>
      <c r="L128" s="456">
        <f>(Moto!E25)</f>
        <v>51764.363636363632</v>
      </c>
    </row>
    <row r="129" spans="1:12" ht="15.6">
      <c r="A129" s="921" t="s">
        <v>773</v>
      </c>
      <c r="B129" s="921" t="s">
        <v>772</v>
      </c>
      <c r="C129" s="921" t="s">
        <v>774</v>
      </c>
      <c r="D129" s="461">
        <f>(Novelbat!U20)</f>
        <v>115500</v>
      </c>
      <c r="E129" s="473">
        <f>ROUNDUP(($D129+($D129*Publico!L$1)),-1)</f>
        <v>118970</v>
      </c>
      <c r="F129" s="473">
        <f>ROUNDUP(($D129+($D129*Publico!L$2)),-1)</f>
        <v>135140</v>
      </c>
      <c r="G129" s="473">
        <f t="shared" si="6"/>
        <v>115500</v>
      </c>
      <c r="H129" s="474">
        <v>10</v>
      </c>
      <c r="I129" s="474">
        <f t="shared" si="8"/>
        <v>11.05</v>
      </c>
      <c r="J129" s="474">
        <v>10</v>
      </c>
      <c r="K129" s="474">
        <f t="shared" si="7"/>
        <v>10</v>
      </c>
      <c r="L129" s="921">
        <v>10</v>
      </c>
    </row>
    <row r="130" spans="1:12" ht="15.6">
      <c r="A130" s="921" t="s">
        <v>775</v>
      </c>
      <c r="B130" s="921" t="s">
        <v>306</v>
      </c>
      <c r="C130" s="921" t="s">
        <v>776</v>
      </c>
      <c r="D130" s="461">
        <f>(Novelbat!U22)</f>
        <v>48550</v>
      </c>
      <c r="E130" s="473">
        <f>ROUNDUP(($D130+($D130*Publico!L$1)),-1)</f>
        <v>50010</v>
      </c>
      <c r="F130" s="473">
        <f>ROUNDUP(($D130+($D130*Publico!L$2)),-1)</f>
        <v>56810</v>
      </c>
      <c r="G130" s="473">
        <f t="shared" si="6"/>
        <v>48550</v>
      </c>
      <c r="H130" s="474">
        <f>(H453)</f>
        <v>28500.619577759997</v>
      </c>
      <c r="I130" s="474">
        <f t="shared" si="8"/>
        <v>26027.425316879995</v>
      </c>
      <c r="J130" s="474">
        <f t="shared" ref="J130:J133" si="12">(H130/1.21)</f>
        <v>23554.231055999997</v>
      </c>
      <c r="K130" s="474">
        <f t="shared" si="7"/>
        <v>23554.231055999997</v>
      </c>
      <c r="L130" s="456">
        <f>(Moto!E26)</f>
        <v>20868.654545454548</v>
      </c>
    </row>
    <row r="131" spans="1:12" ht="15.6">
      <c r="A131" s="921" t="s">
        <v>777</v>
      </c>
      <c r="B131" s="921" t="s">
        <v>306</v>
      </c>
      <c r="C131" s="921" t="s">
        <v>778</v>
      </c>
      <c r="D131" s="461">
        <f>(Novelbat!U23)</f>
        <v>70050</v>
      </c>
      <c r="E131" s="473">
        <f>ROUNDUP(($D131+($D131*Publico!L$1)),-1)</f>
        <v>72160</v>
      </c>
      <c r="F131" s="473">
        <f>ROUNDUP(($D131+($D131*Publico!L$2)),-1)</f>
        <v>81960</v>
      </c>
      <c r="G131" s="473">
        <f t="shared" ref="G131:G194" si="13">(D131)</f>
        <v>70050</v>
      </c>
      <c r="H131" s="474">
        <f>(H454)</f>
        <v>43067.602917503995</v>
      </c>
      <c r="I131" s="474">
        <f t="shared" si="8"/>
        <v>39330.331589951995</v>
      </c>
      <c r="J131" s="474">
        <f t="shared" si="12"/>
        <v>35593.060262399995</v>
      </c>
      <c r="K131" s="474">
        <f t="shared" ref="K131:K194" si="14">(J131)</f>
        <v>35593.060262399995</v>
      </c>
      <c r="L131" s="456">
        <f>(Moto!E28)</f>
        <v>34341.236363636359</v>
      </c>
    </row>
    <row r="132" spans="1:12" ht="15.6">
      <c r="A132" s="921" t="s">
        <v>779</v>
      </c>
      <c r="B132" s="921" t="s">
        <v>306</v>
      </c>
      <c r="C132" s="921" t="s">
        <v>780</v>
      </c>
      <c r="D132" s="461">
        <f>(Novelbat!U24)</f>
        <v>76350</v>
      </c>
      <c r="E132" s="473">
        <f>ROUNDUP(($D132+($D132*Publico!L$1)),-1)</f>
        <v>78650</v>
      </c>
      <c r="F132" s="473">
        <f>ROUNDUP(($D132+($D132*Publico!L$2)),-1)</f>
        <v>89330</v>
      </c>
      <c r="G132" s="473">
        <f t="shared" si="13"/>
        <v>76350</v>
      </c>
      <c r="H132" s="474">
        <f>(H455)</f>
        <v>56825.309405040003</v>
      </c>
      <c r="I132" s="474">
        <f t="shared" si="8"/>
        <v>51894.187514520003</v>
      </c>
      <c r="J132" s="474">
        <f t="shared" si="12"/>
        <v>46963.065624000003</v>
      </c>
      <c r="K132" s="474">
        <f t="shared" si="14"/>
        <v>46963.065624000003</v>
      </c>
      <c r="L132" s="456">
        <f>(Moto!E29)</f>
        <v>36434.618181818179</v>
      </c>
    </row>
    <row r="133" spans="1:12" ht="15.6">
      <c r="A133" s="921" t="s">
        <v>781</v>
      </c>
      <c r="B133" s="921" t="s">
        <v>306</v>
      </c>
      <c r="C133" s="921" t="s">
        <v>782</v>
      </c>
      <c r="D133" s="461">
        <f>(Publico!D256)</f>
        <v>121150</v>
      </c>
      <c r="E133" s="473">
        <f>ROUNDUP(($D133+($D133*Publico!L$1)),-1)</f>
        <v>124790</v>
      </c>
      <c r="F133" s="473">
        <f>ROUNDUP(($D133+($D133*Publico!L$2)),-1)</f>
        <v>141750</v>
      </c>
      <c r="G133" s="473">
        <f t="shared" si="13"/>
        <v>121150</v>
      </c>
      <c r="H133" s="474">
        <v>10</v>
      </c>
      <c r="I133" s="474">
        <f t="shared" si="8"/>
        <v>9.132231404958679</v>
      </c>
      <c r="J133" s="474">
        <f t="shared" si="12"/>
        <v>8.2644628099173563</v>
      </c>
      <c r="K133" s="474">
        <f t="shared" si="14"/>
        <v>8.2644628099173563</v>
      </c>
      <c r="L133" s="456">
        <f>(Moto!E30)</f>
        <v>49556.945454545457</v>
      </c>
    </row>
    <row r="134" spans="1:12" ht="15.6">
      <c r="A134" s="921" t="s">
        <v>783</v>
      </c>
      <c r="B134" s="921" t="s">
        <v>588</v>
      </c>
      <c r="C134" s="921" t="s">
        <v>784</v>
      </c>
      <c r="D134" s="461">
        <v>10</v>
      </c>
      <c r="E134" s="473">
        <f>ROUNDUP(($D134+($D134*Publico!L$1)),-1)</f>
        <v>20</v>
      </c>
      <c r="F134" s="473">
        <f>ROUNDUP(($D134+($D134*Publico!L$2)),-1)</f>
        <v>20</v>
      </c>
      <c r="G134" s="473">
        <f t="shared" si="13"/>
        <v>10</v>
      </c>
      <c r="H134" s="474">
        <v>10</v>
      </c>
      <c r="I134" s="474">
        <f t="shared" si="8"/>
        <v>11.05</v>
      </c>
      <c r="J134" s="474">
        <v>10</v>
      </c>
      <c r="K134" s="474">
        <f t="shared" si="14"/>
        <v>10</v>
      </c>
      <c r="L134" s="921">
        <v>10</v>
      </c>
    </row>
    <row r="135" spans="1:12" ht="15.6">
      <c r="A135" s="921" t="s">
        <v>785</v>
      </c>
      <c r="B135" s="921" t="s">
        <v>772</v>
      </c>
      <c r="C135" s="921" t="s">
        <v>786</v>
      </c>
      <c r="D135" s="461">
        <f>(Publico!D256)</f>
        <v>121150</v>
      </c>
      <c r="E135" s="473">
        <f>ROUNDUP(($D135+($D135*Publico!L$1)),-1)</f>
        <v>124790</v>
      </c>
      <c r="F135" s="473">
        <f>ROUNDUP(($D135+($D135*Publico!L$2)),-1)</f>
        <v>141750</v>
      </c>
      <c r="G135" s="473">
        <f t="shared" si="13"/>
        <v>121150</v>
      </c>
      <c r="H135" s="474">
        <v>10</v>
      </c>
      <c r="I135" s="474">
        <f t="shared" si="8"/>
        <v>11.05</v>
      </c>
      <c r="J135" s="474">
        <v>10</v>
      </c>
      <c r="K135" s="474">
        <f t="shared" si="14"/>
        <v>10</v>
      </c>
      <c r="L135" s="921">
        <v>10</v>
      </c>
    </row>
    <row r="136" spans="1:12" ht="15.6">
      <c r="A136" s="921" t="s">
        <v>787</v>
      </c>
      <c r="B136" s="921" t="s">
        <v>306</v>
      </c>
      <c r="C136" s="921" t="s">
        <v>788</v>
      </c>
      <c r="D136" s="461">
        <f>(Publico!D256)</f>
        <v>121150</v>
      </c>
      <c r="E136" s="473">
        <f>ROUNDUP(($D136+($D136*Publico!L$1)),-1)</f>
        <v>124790</v>
      </c>
      <c r="F136" s="473">
        <f>ROUNDUP(($D136+($D136*Publico!L$2)),-1)</f>
        <v>141750</v>
      </c>
      <c r="G136" s="473">
        <f t="shared" si="13"/>
        <v>121150</v>
      </c>
      <c r="H136" s="474">
        <v>10</v>
      </c>
      <c r="I136" s="474">
        <f t="shared" si="8"/>
        <v>9.132231404958679</v>
      </c>
      <c r="J136" s="474">
        <f>(H136/1.21)</f>
        <v>8.2644628099173563</v>
      </c>
      <c r="K136" s="474">
        <f t="shared" si="14"/>
        <v>8.2644628099173563</v>
      </c>
      <c r="L136" s="456">
        <f>(Moto!E30)</f>
        <v>49556.945454545457</v>
      </c>
    </row>
    <row r="137" spans="1:12" ht="15.6">
      <c r="A137" s="921" t="s">
        <v>1702</v>
      </c>
      <c r="B137" s="921" t="s">
        <v>308</v>
      </c>
      <c r="C137" s="921" t="s">
        <v>1467</v>
      </c>
      <c r="D137" s="461">
        <f>(Publico!D257)</f>
        <v>126000</v>
      </c>
      <c r="E137" s="473">
        <f>ROUNDUP(($D137+($D137*Publico!L$1)),-1)</f>
        <v>129780</v>
      </c>
      <c r="F137" s="473">
        <f>(Publico!B257)</f>
        <v>146148</v>
      </c>
      <c r="G137" s="473">
        <f t="shared" si="13"/>
        <v>126000</v>
      </c>
      <c r="H137" s="474">
        <f>(Moura!H35)</f>
        <v>110258.88860000001</v>
      </c>
      <c r="I137" s="474">
        <f t="shared" ref="I137:I200" si="15">(J137*1.105)</f>
        <v>100690.96851487605</v>
      </c>
      <c r="J137" s="474">
        <f>(H137/1.21)</f>
        <v>91123.048429752074</v>
      </c>
      <c r="K137" s="474">
        <f t="shared" si="14"/>
        <v>91123.048429752074</v>
      </c>
      <c r="L137" s="456">
        <f>(Moura!F35)</f>
        <v>65087.891735537196</v>
      </c>
    </row>
    <row r="138" spans="1:12" ht="15.6">
      <c r="A138" s="921" t="s">
        <v>1703</v>
      </c>
      <c r="B138" s="921" t="s">
        <v>791</v>
      </c>
      <c r="C138" s="921" t="s">
        <v>1704</v>
      </c>
      <c r="D138" s="461">
        <f>(Publico!D226)</f>
        <v>77200</v>
      </c>
      <c r="E138" s="473">
        <f>ROUNDUP(($D138+($D138*Publico!L$1)),-1)</f>
        <v>79520</v>
      </c>
      <c r="F138" s="473">
        <f>ROUNDUP(($D138+($D138*Publico!L$2)),-1)</f>
        <v>90330</v>
      </c>
      <c r="G138" s="473">
        <f t="shared" si="13"/>
        <v>77200</v>
      </c>
      <c r="H138" s="474">
        <v>10</v>
      </c>
      <c r="I138" s="474">
        <f t="shared" si="15"/>
        <v>11.05</v>
      </c>
      <c r="J138" s="474">
        <v>10</v>
      </c>
      <c r="K138" s="474">
        <f t="shared" si="14"/>
        <v>10</v>
      </c>
      <c r="L138" s="921">
        <v>10</v>
      </c>
    </row>
    <row r="139" spans="1:12" ht="15.6">
      <c r="A139" s="921" t="s">
        <v>794</v>
      </c>
      <c r="B139" s="921" t="s">
        <v>791</v>
      </c>
      <c r="C139" s="921" t="s">
        <v>795</v>
      </c>
      <c r="D139" s="461">
        <f>(Novelbat!U5)</f>
        <v>39000</v>
      </c>
      <c r="E139" s="473">
        <f>ROUNDUP(($D139+($D139*Publico!L$1)),-1)</f>
        <v>40170</v>
      </c>
      <c r="F139" s="473">
        <f>ROUNDUP(($D139+($D139*Publico!L$2)),-1)</f>
        <v>45630</v>
      </c>
      <c r="G139" s="473">
        <f t="shared" si="13"/>
        <v>39000</v>
      </c>
      <c r="H139" s="474">
        <v>10</v>
      </c>
      <c r="I139" s="474">
        <f t="shared" si="15"/>
        <v>11.05</v>
      </c>
      <c r="J139" s="474">
        <v>10</v>
      </c>
      <c r="K139" s="474">
        <f t="shared" si="14"/>
        <v>10</v>
      </c>
      <c r="L139" s="921">
        <v>10</v>
      </c>
    </row>
    <row r="140" spans="1:12" ht="15.6">
      <c r="A140" s="921" t="s">
        <v>797</v>
      </c>
      <c r="B140" s="921" t="s">
        <v>796</v>
      </c>
      <c r="C140" s="921" t="s">
        <v>798</v>
      </c>
      <c r="D140" s="461">
        <v>10</v>
      </c>
      <c r="E140" s="473">
        <f>ROUNDUP(($D140+($D140*Publico!L$1)),-1)</f>
        <v>20</v>
      </c>
      <c r="F140" s="473">
        <f>ROUNDUP(($D140+($D140*Publico!L$2)),-1)</f>
        <v>20</v>
      </c>
      <c r="G140" s="473">
        <f t="shared" si="13"/>
        <v>10</v>
      </c>
      <c r="H140" s="474">
        <v>10</v>
      </c>
      <c r="I140" s="474">
        <f t="shared" si="15"/>
        <v>11.05</v>
      </c>
      <c r="J140" s="474">
        <v>10</v>
      </c>
      <c r="K140" s="474">
        <f t="shared" si="14"/>
        <v>10</v>
      </c>
      <c r="L140" s="921">
        <v>10</v>
      </c>
    </row>
    <row r="141" spans="1:12" ht="15.6">
      <c r="A141" s="921" t="s">
        <v>799</v>
      </c>
      <c r="B141" s="921" t="s">
        <v>306</v>
      </c>
      <c r="C141" s="921" t="s">
        <v>800</v>
      </c>
      <c r="D141" s="461">
        <f>(Publico!D265)</f>
        <v>26600</v>
      </c>
      <c r="E141" s="473">
        <f>ROUNDUP(($D141+($D141*Publico!L$1)),-1)</f>
        <v>27400</v>
      </c>
      <c r="F141" s="473">
        <f>ROUNDUP(($D141+($D141*Publico!L$2)),-1)</f>
        <v>31130</v>
      </c>
      <c r="G141" s="473">
        <f t="shared" si="13"/>
        <v>26600</v>
      </c>
      <c r="H141" s="474">
        <v>10</v>
      </c>
      <c r="I141" s="474">
        <f t="shared" si="15"/>
        <v>9.132231404958679</v>
      </c>
      <c r="J141" s="474">
        <f>(H141/1.21)</f>
        <v>8.2644628099173563</v>
      </c>
      <c r="K141" s="474">
        <f t="shared" si="14"/>
        <v>8.2644628099173563</v>
      </c>
      <c r="L141" s="921">
        <v>10</v>
      </c>
    </row>
    <row r="142" spans="1:12" ht="15.6">
      <c r="A142" s="921" t="s">
        <v>801</v>
      </c>
      <c r="B142" s="921" t="s">
        <v>796</v>
      </c>
      <c r="C142" s="921" t="s">
        <v>802</v>
      </c>
      <c r="D142" s="461">
        <f>(Publico!D266)</f>
        <v>39900</v>
      </c>
      <c r="E142" s="473">
        <f>ROUNDUP(($D142+($D142*Publico!L$1)),-1)</f>
        <v>41100</v>
      </c>
      <c r="F142" s="473">
        <f>ROUNDUP(($D142+($D142*Publico!L$2)),-1)</f>
        <v>46690</v>
      </c>
      <c r="G142" s="473">
        <f t="shared" si="13"/>
        <v>39900</v>
      </c>
      <c r="H142" s="474">
        <v>10</v>
      </c>
      <c r="I142" s="474">
        <f t="shared" si="15"/>
        <v>11.05</v>
      </c>
      <c r="J142" s="474">
        <v>10</v>
      </c>
      <c r="K142" s="474">
        <f t="shared" si="14"/>
        <v>10</v>
      </c>
      <c r="L142" s="451">
        <f>(Yuasa!F5)</f>
        <v>27600</v>
      </c>
    </row>
    <row r="143" spans="1:12" ht="15.6">
      <c r="A143" s="921" t="s">
        <v>803</v>
      </c>
      <c r="B143" s="921" t="s">
        <v>306</v>
      </c>
      <c r="C143" s="921" t="s">
        <v>804</v>
      </c>
      <c r="D143" s="461">
        <f>(Publico!D267)</f>
        <v>21500</v>
      </c>
      <c r="E143" s="473">
        <f>ROUNDUP(($D143+($D143*Publico!L$1)),-1)</f>
        <v>22150</v>
      </c>
      <c r="F143" s="473">
        <f>ROUNDUP(($D143+($D143*Publico!L$2)),-1)</f>
        <v>25160</v>
      </c>
      <c r="G143" s="473">
        <f t="shared" si="13"/>
        <v>21500</v>
      </c>
      <c r="H143" s="474">
        <v>30000</v>
      </c>
      <c r="I143" s="474">
        <f t="shared" si="15"/>
        <v>27396.694214876035</v>
      </c>
      <c r="J143" s="474">
        <f>(H143/1.21)</f>
        <v>24793.388429752067</v>
      </c>
      <c r="K143" s="474">
        <f t="shared" si="14"/>
        <v>24793.388429752067</v>
      </c>
      <c r="L143" s="921">
        <v>10</v>
      </c>
    </row>
    <row r="144" spans="1:12" ht="15.6">
      <c r="A144" s="921" t="s">
        <v>805</v>
      </c>
      <c r="B144" s="921" t="s">
        <v>796</v>
      </c>
      <c r="C144" s="921" t="s">
        <v>806</v>
      </c>
      <c r="D144" s="461">
        <f>(Publico!D268)</f>
        <v>42000</v>
      </c>
      <c r="E144" s="473">
        <f>ROUNDUP(($D144+($D144*Publico!L$1)),-1)</f>
        <v>43260</v>
      </c>
      <c r="F144" s="473">
        <f>ROUNDUP(($D144+($D144*Publico!L$2)),-1)</f>
        <v>49140</v>
      </c>
      <c r="G144" s="473">
        <f t="shared" si="13"/>
        <v>42000</v>
      </c>
      <c r="H144" s="474">
        <v>10</v>
      </c>
      <c r="I144" s="474">
        <f t="shared" si="15"/>
        <v>11.05</v>
      </c>
      <c r="J144" s="474">
        <v>10</v>
      </c>
      <c r="K144" s="474">
        <f t="shared" si="14"/>
        <v>10</v>
      </c>
      <c r="L144" s="451">
        <f>(Yuasa!F7)</f>
        <v>43200</v>
      </c>
    </row>
    <row r="145" spans="1:12" ht="15.6">
      <c r="A145" s="921" t="s">
        <v>807</v>
      </c>
      <c r="B145" s="921" t="s">
        <v>306</v>
      </c>
      <c r="C145" s="921" t="s">
        <v>808</v>
      </c>
      <c r="D145" s="461">
        <f>(Publico!D269)</f>
        <v>21500</v>
      </c>
      <c r="E145" s="473">
        <f>ROUNDUP(($D145+($D145*Publico!L$1)),-1)</f>
        <v>22150</v>
      </c>
      <c r="F145" s="473">
        <f>ROUNDUP(($D145+($D145*Publico!L$2)),-1)</f>
        <v>25160</v>
      </c>
      <c r="G145" s="473">
        <f t="shared" si="13"/>
        <v>21500</v>
      </c>
      <c r="H145" s="474">
        <v>10</v>
      </c>
      <c r="I145" s="474">
        <f t="shared" si="15"/>
        <v>11.05</v>
      </c>
      <c r="J145" s="474">
        <v>10</v>
      </c>
      <c r="K145" s="474">
        <f t="shared" si="14"/>
        <v>10</v>
      </c>
      <c r="L145" s="921">
        <v>10</v>
      </c>
    </row>
    <row r="146" spans="1:12" ht="15.6">
      <c r="A146" s="921" t="s">
        <v>809</v>
      </c>
      <c r="B146" s="921" t="s">
        <v>796</v>
      </c>
      <c r="C146" s="921" t="s">
        <v>810</v>
      </c>
      <c r="D146" s="461">
        <f>(Publico!D270)</f>
        <v>49350</v>
      </c>
      <c r="E146" s="473">
        <f>ROUNDUP(($D146+($D146*Publico!L$1)),-1)</f>
        <v>50840</v>
      </c>
      <c r="F146" s="473">
        <f>ROUNDUP(($D146+($D146*Publico!L$2)),-1)</f>
        <v>57740</v>
      </c>
      <c r="G146" s="473">
        <f t="shared" si="13"/>
        <v>49350</v>
      </c>
      <c r="H146" s="474">
        <v>10</v>
      </c>
      <c r="I146" s="474">
        <f t="shared" si="15"/>
        <v>11.05</v>
      </c>
      <c r="J146" s="474">
        <v>10</v>
      </c>
      <c r="K146" s="474">
        <f t="shared" si="14"/>
        <v>10</v>
      </c>
      <c r="L146" s="451">
        <f>(Yuasa!F6)</f>
        <v>33600</v>
      </c>
    </row>
    <row r="147" spans="1:12" ht="15.6">
      <c r="A147" s="921" t="s">
        <v>811</v>
      </c>
      <c r="B147" s="921" t="s">
        <v>306</v>
      </c>
      <c r="C147" s="921" t="s">
        <v>812</v>
      </c>
      <c r="D147" s="461">
        <f>(Publico!D271)</f>
        <v>24200</v>
      </c>
      <c r="E147" s="473">
        <f>ROUNDUP(($D147+($D147*Publico!L$1)),-1)</f>
        <v>24930</v>
      </c>
      <c r="F147" s="473">
        <f>ROUNDUP(($D147+($D147*Publico!L$2)),-1)</f>
        <v>28320</v>
      </c>
      <c r="G147" s="473">
        <f t="shared" si="13"/>
        <v>24200</v>
      </c>
      <c r="H147" s="474">
        <v>10</v>
      </c>
      <c r="I147" s="474">
        <f t="shared" si="15"/>
        <v>11.05</v>
      </c>
      <c r="J147" s="474">
        <v>10</v>
      </c>
      <c r="K147" s="474">
        <f t="shared" si="14"/>
        <v>10</v>
      </c>
      <c r="L147" s="921">
        <v>10</v>
      </c>
    </row>
    <row r="148" spans="1:12" ht="15.6">
      <c r="A148" s="921" t="s">
        <v>813</v>
      </c>
      <c r="B148" s="921" t="s">
        <v>308</v>
      </c>
      <c r="C148" s="921" t="s">
        <v>814</v>
      </c>
      <c r="D148" s="461">
        <f>(Moura!X50)</f>
        <v>39000</v>
      </c>
      <c r="E148" s="473">
        <f>ROUNDUP(($D148+($D148*Publico!L$1)),-1)</f>
        <v>40170</v>
      </c>
      <c r="F148" s="473">
        <f>ROUNDUP(($D148+($D148*Publico!L$2)),-1)</f>
        <v>45630</v>
      </c>
      <c r="G148" s="473">
        <f t="shared" si="13"/>
        <v>39000</v>
      </c>
      <c r="H148" s="474">
        <f>(Moura!H50)</f>
        <v>33439.55999999999</v>
      </c>
      <c r="I148" s="474">
        <f t="shared" si="15"/>
        <v>11.05</v>
      </c>
      <c r="J148" s="474">
        <v>10</v>
      </c>
      <c r="K148" s="474">
        <f t="shared" si="14"/>
        <v>10</v>
      </c>
      <c r="L148" s="456">
        <f>(Moura!F50)</f>
        <v>19739.999999999996</v>
      </c>
    </row>
    <row r="149" spans="1:12" ht="15.6">
      <c r="A149" s="921" t="s">
        <v>815</v>
      </c>
      <c r="B149" s="921" t="s">
        <v>796</v>
      </c>
      <c r="C149" s="921" t="s">
        <v>816</v>
      </c>
      <c r="D149" s="461">
        <f>(Publico!D273)</f>
        <v>141750</v>
      </c>
      <c r="E149" s="473">
        <f>ROUNDUP(($D149+($D149*Publico!L$1)),-1)</f>
        <v>146010</v>
      </c>
      <c r="F149" s="473">
        <f>ROUNDUP(($D149+($D149*Publico!L$2)),-1)</f>
        <v>165850</v>
      </c>
      <c r="G149" s="473">
        <f t="shared" si="13"/>
        <v>141750</v>
      </c>
      <c r="H149" s="474">
        <v>10</v>
      </c>
      <c r="I149" s="474">
        <f t="shared" si="15"/>
        <v>11.05</v>
      </c>
      <c r="J149" s="474">
        <v>10</v>
      </c>
      <c r="K149" s="474">
        <f t="shared" si="14"/>
        <v>10</v>
      </c>
      <c r="L149" s="451">
        <f>(Yuasa!F8)</f>
        <v>108000</v>
      </c>
    </row>
    <row r="150" spans="1:12" ht="15.6">
      <c r="A150" s="921" t="s">
        <v>817</v>
      </c>
      <c r="B150" s="921" t="s">
        <v>306</v>
      </c>
      <c r="C150" s="921" t="s">
        <v>818</v>
      </c>
      <c r="D150" s="461">
        <f>(Publico!D274)</f>
        <v>71500</v>
      </c>
      <c r="E150" s="473">
        <f>ROUNDUP(($D150+($D150*Publico!L$1)),-1)</f>
        <v>73650</v>
      </c>
      <c r="F150" s="473">
        <f>ROUNDUP(($D150+($D150*Publico!L$2)),-1)</f>
        <v>83660</v>
      </c>
      <c r="G150" s="473">
        <f t="shared" si="13"/>
        <v>71500</v>
      </c>
      <c r="H150" s="474">
        <v>10</v>
      </c>
      <c r="I150" s="474">
        <f t="shared" si="15"/>
        <v>11.05</v>
      </c>
      <c r="J150" s="474">
        <v>10</v>
      </c>
      <c r="K150" s="474">
        <f t="shared" si="14"/>
        <v>10</v>
      </c>
      <c r="L150" s="921">
        <v>10</v>
      </c>
    </row>
    <row r="151" spans="1:12" ht="15.6">
      <c r="A151" s="921" t="s">
        <v>819</v>
      </c>
      <c r="B151" s="921" t="s">
        <v>308</v>
      </c>
      <c r="C151" s="921" t="s">
        <v>820</v>
      </c>
      <c r="D151" s="461">
        <f>(Publico!D274)</f>
        <v>71500</v>
      </c>
      <c r="E151" s="473">
        <f>ROUNDUP(($D151+($D151*Publico!L$1)),-1)</f>
        <v>73650</v>
      </c>
      <c r="F151" s="473">
        <f>ROUNDUP(($D151+($D151*Publico!L$2)),-1)</f>
        <v>83660</v>
      </c>
      <c r="G151" s="473">
        <f t="shared" si="13"/>
        <v>71500</v>
      </c>
      <c r="H151" s="474">
        <f>(Moura!H51)</f>
        <v>51353.61</v>
      </c>
      <c r="I151" s="474">
        <f t="shared" si="15"/>
        <v>11.05</v>
      </c>
      <c r="J151" s="474">
        <v>10</v>
      </c>
      <c r="K151" s="474">
        <f t="shared" si="14"/>
        <v>10</v>
      </c>
      <c r="L151" s="456">
        <f>(Moura!F51)</f>
        <v>30315.000000000004</v>
      </c>
    </row>
    <row r="152" spans="1:12" ht="15.6">
      <c r="A152" s="921" t="s">
        <v>821</v>
      </c>
      <c r="B152" s="921" t="s">
        <v>796</v>
      </c>
      <c r="C152" s="921" t="s">
        <v>822</v>
      </c>
      <c r="D152" s="461">
        <f>(Publico!D276)</f>
        <v>115500</v>
      </c>
      <c r="E152" s="473">
        <f>ROUNDUP(($D152+($D152*Publico!L$1)),-1)</f>
        <v>118970</v>
      </c>
      <c r="F152" s="473">
        <f>ROUNDUP(($D152+($D152*Publico!L$2)),-1)</f>
        <v>135140</v>
      </c>
      <c r="G152" s="473">
        <f t="shared" si="13"/>
        <v>115500</v>
      </c>
      <c r="H152" s="474">
        <v>10</v>
      </c>
      <c r="I152" s="474">
        <f t="shared" si="15"/>
        <v>11.05</v>
      </c>
      <c r="J152" s="474">
        <v>10</v>
      </c>
      <c r="K152" s="474">
        <f t="shared" si="14"/>
        <v>10</v>
      </c>
      <c r="L152" s="451">
        <f>(Yuasa!F9)</f>
        <v>75600</v>
      </c>
    </row>
    <row r="153" spans="1:12" ht="15.6">
      <c r="A153" s="921" t="s">
        <v>823</v>
      </c>
      <c r="B153" s="921" t="s">
        <v>306</v>
      </c>
      <c r="C153" s="921" t="s">
        <v>824</v>
      </c>
      <c r="D153" s="461">
        <f>(Publico!D277)</f>
        <v>93500</v>
      </c>
      <c r="E153" s="473">
        <f>ROUNDUP(($D153+($D153*Publico!L$1)),-1)</f>
        <v>96310</v>
      </c>
      <c r="F153" s="473">
        <f>ROUNDUP(($D153+($D153*Publico!L$2)),-1)</f>
        <v>109400</v>
      </c>
      <c r="G153" s="473">
        <f t="shared" si="13"/>
        <v>93500</v>
      </c>
      <c r="H153" s="474">
        <v>10</v>
      </c>
      <c r="I153" s="474">
        <f t="shared" si="15"/>
        <v>11.05</v>
      </c>
      <c r="J153" s="474">
        <v>10</v>
      </c>
      <c r="K153" s="474">
        <f t="shared" si="14"/>
        <v>10</v>
      </c>
      <c r="L153" s="921">
        <v>10</v>
      </c>
    </row>
    <row r="154" spans="1:12" ht="15.6">
      <c r="A154" s="921" t="s">
        <v>825</v>
      </c>
      <c r="B154" s="921" t="s">
        <v>308</v>
      </c>
      <c r="C154" s="921" t="s">
        <v>826</v>
      </c>
      <c r="D154" s="461">
        <f>(Publico!D277)</f>
        <v>93500</v>
      </c>
      <c r="E154" s="473">
        <f>ROUNDUP(($D154+($D154*Publico!L$1)),-1)</f>
        <v>96310</v>
      </c>
      <c r="F154" s="473">
        <f>ROUNDUP(($D154+($D154*Publico!L$2)),-1)</f>
        <v>109400</v>
      </c>
      <c r="G154" s="473">
        <f t="shared" si="13"/>
        <v>93500</v>
      </c>
      <c r="H154" s="474">
        <f>(Moura!H53)</f>
        <v>71656.200000000012</v>
      </c>
      <c r="I154" s="474">
        <f t="shared" si="15"/>
        <v>11.05</v>
      </c>
      <c r="J154" s="474">
        <v>10</v>
      </c>
      <c r="K154" s="474">
        <f t="shared" si="14"/>
        <v>10</v>
      </c>
      <c r="L154" s="921">
        <v>10</v>
      </c>
    </row>
    <row r="155" spans="1:12" ht="15.6">
      <c r="A155" s="921" t="s">
        <v>827</v>
      </c>
      <c r="B155" s="921" t="s">
        <v>796</v>
      </c>
      <c r="C155" s="921" t="s">
        <v>828</v>
      </c>
      <c r="D155" s="461">
        <f>(Publico!D279)</f>
        <v>194250</v>
      </c>
      <c r="E155" s="473">
        <f>ROUNDUP(($D155+($D155*Publico!L$1)),-1)</f>
        <v>200080</v>
      </c>
      <c r="F155" s="473">
        <f>ROUNDUP(($D155+($D155*Publico!L$2)),-1)</f>
        <v>227280</v>
      </c>
      <c r="G155" s="473">
        <f t="shared" si="13"/>
        <v>194250</v>
      </c>
      <c r="H155" s="474">
        <v>10</v>
      </c>
      <c r="I155" s="474">
        <f t="shared" si="15"/>
        <v>11.05</v>
      </c>
      <c r="J155" s="474">
        <v>10</v>
      </c>
      <c r="K155" s="474">
        <f t="shared" si="14"/>
        <v>10</v>
      </c>
      <c r="L155" s="451">
        <f>(Yuasa!F10)</f>
        <v>120000</v>
      </c>
    </row>
    <row r="156" spans="1:12" ht="15.6">
      <c r="A156" s="921" t="s">
        <v>829</v>
      </c>
      <c r="B156" s="921" t="s">
        <v>306</v>
      </c>
      <c r="C156" s="921" t="s">
        <v>830</v>
      </c>
      <c r="D156" s="461">
        <f>(Publico!D280)</f>
        <v>132000</v>
      </c>
      <c r="E156" s="473">
        <f>ROUNDUP(($D156+($D156*Publico!L$1)),-1)</f>
        <v>135960</v>
      </c>
      <c r="F156" s="473">
        <f>ROUNDUP(($D156+($D156*Publico!L$2)),-1)</f>
        <v>154440</v>
      </c>
      <c r="G156" s="473">
        <f t="shared" si="13"/>
        <v>132000</v>
      </c>
      <c r="H156" s="474">
        <v>10</v>
      </c>
      <c r="I156" s="474">
        <f t="shared" si="15"/>
        <v>11.05</v>
      </c>
      <c r="J156" s="474">
        <v>10</v>
      </c>
      <c r="K156" s="474">
        <f t="shared" si="14"/>
        <v>10</v>
      </c>
      <c r="L156" s="921">
        <v>10</v>
      </c>
    </row>
    <row r="157" spans="1:12" ht="15.6">
      <c r="A157" s="921" t="s">
        <v>831</v>
      </c>
      <c r="B157" s="921" t="s">
        <v>308</v>
      </c>
      <c r="C157" s="921" t="s">
        <v>832</v>
      </c>
      <c r="D157" s="461">
        <f>(Publico!D280)</f>
        <v>132000</v>
      </c>
      <c r="E157" s="473">
        <f>ROUNDUP(($D157+($D157*Publico!L$1)),-1)</f>
        <v>135960</v>
      </c>
      <c r="F157" s="473">
        <f>ROUNDUP(($D157+($D157*Publico!L$2)),-1)</f>
        <v>154440</v>
      </c>
      <c r="G157" s="473">
        <f t="shared" si="13"/>
        <v>132000</v>
      </c>
      <c r="H157" s="474">
        <v>10</v>
      </c>
      <c r="I157" s="474">
        <f t="shared" si="15"/>
        <v>11.05</v>
      </c>
      <c r="J157" s="474">
        <v>10</v>
      </c>
      <c r="K157" s="474">
        <f t="shared" si="14"/>
        <v>10</v>
      </c>
      <c r="L157" s="921">
        <v>10</v>
      </c>
    </row>
    <row r="158" spans="1:12" ht="15.6">
      <c r="A158" s="921" t="s">
        <v>833</v>
      </c>
      <c r="B158" s="921" t="s">
        <v>796</v>
      </c>
      <c r="C158" s="921" t="s">
        <v>834</v>
      </c>
      <c r="D158" s="461">
        <f>(Publico!D281)</f>
        <v>304500</v>
      </c>
      <c r="E158" s="473">
        <f>ROUNDUP(($D158+($D158*Publico!L$1)),-1)</f>
        <v>313640</v>
      </c>
      <c r="F158" s="473">
        <f>ROUNDUP(($D158+($D158*Publico!L$2)),-1)</f>
        <v>356270</v>
      </c>
      <c r="G158" s="473">
        <f t="shared" si="13"/>
        <v>304500</v>
      </c>
      <c r="H158" s="474">
        <v>10</v>
      </c>
      <c r="I158" s="474">
        <f t="shared" si="15"/>
        <v>11.05</v>
      </c>
      <c r="J158" s="474">
        <v>10</v>
      </c>
      <c r="K158" s="474">
        <f t="shared" si="14"/>
        <v>10</v>
      </c>
      <c r="L158" s="451">
        <f>(Yuasa!F11)</f>
        <v>185175</v>
      </c>
    </row>
    <row r="159" spans="1:12" ht="15.6">
      <c r="A159" s="921" t="s">
        <v>835</v>
      </c>
      <c r="B159" s="921" t="s">
        <v>306</v>
      </c>
      <c r="C159" s="921" t="s">
        <v>836</v>
      </c>
      <c r="D159" s="461">
        <v>10</v>
      </c>
      <c r="E159" s="473">
        <f>ROUNDUP(($D159+($D159*Publico!L$1)),-1)</f>
        <v>20</v>
      </c>
      <c r="F159" s="473">
        <f>ROUNDUP(($D159+($D159*Publico!L$2)),-1)</f>
        <v>20</v>
      </c>
      <c r="G159" s="473">
        <f t="shared" si="13"/>
        <v>10</v>
      </c>
      <c r="H159" s="474">
        <v>10</v>
      </c>
      <c r="I159" s="474">
        <f t="shared" si="15"/>
        <v>11.05</v>
      </c>
      <c r="J159" s="474">
        <v>10</v>
      </c>
      <c r="K159" s="474">
        <f t="shared" si="14"/>
        <v>10</v>
      </c>
      <c r="L159" s="921">
        <v>10</v>
      </c>
    </row>
    <row r="160" spans="1:12" ht="15.6">
      <c r="A160" s="921" t="s">
        <v>837</v>
      </c>
      <c r="B160" s="921" t="s">
        <v>306</v>
      </c>
      <c r="C160" s="921" t="s">
        <v>838</v>
      </c>
      <c r="D160" s="461">
        <v>10</v>
      </c>
      <c r="E160" s="473">
        <f>ROUNDUP(($D160+($D160*Publico!L$1)),-1)</f>
        <v>20</v>
      </c>
      <c r="F160" s="473">
        <f>ROUNDUP(($D160+($D160*Publico!L$2)),-1)</f>
        <v>20</v>
      </c>
      <c r="G160" s="473">
        <f t="shared" si="13"/>
        <v>10</v>
      </c>
      <c r="H160" s="474">
        <v>10</v>
      </c>
      <c r="I160" s="474">
        <f t="shared" si="15"/>
        <v>11.05</v>
      </c>
      <c r="J160" s="474">
        <v>10</v>
      </c>
      <c r="K160" s="474">
        <f t="shared" si="14"/>
        <v>10</v>
      </c>
      <c r="L160" s="921">
        <v>10</v>
      </c>
    </row>
    <row r="161" spans="1:12" ht="15.6">
      <c r="A161" s="921" t="s">
        <v>839</v>
      </c>
      <c r="B161" s="921" t="s">
        <v>306</v>
      </c>
      <c r="C161" s="921" t="s">
        <v>840</v>
      </c>
      <c r="D161" s="461">
        <f>(Publico!D283)</f>
        <v>132000</v>
      </c>
      <c r="E161" s="473">
        <f>ROUNDUP(($D161+($D161*Publico!L$1)),-1)</f>
        <v>135960</v>
      </c>
      <c r="F161" s="473">
        <f>ROUNDUP(($D161+($D161*Publico!L$2)),-1)</f>
        <v>154440</v>
      </c>
      <c r="G161" s="473">
        <f t="shared" si="13"/>
        <v>132000</v>
      </c>
      <c r="H161" s="474">
        <v>10</v>
      </c>
      <c r="I161" s="474">
        <f t="shared" si="15"/>
        <v>11.05</v>
      </c>
      <c r="J161" s="474">
        <v>10</v>
      </c>
      <c r="K161" s="474">
        <f t="shared" si="14"/>
        <v>10</v>
      </c>
      <c r="L161" s="921">
        <v>10</v>
      </c>
    </row>
    <row r="162" spans="1:12" ht="15.6">
      <c r="A162" s="921" t="s">
        <v>842</v>
      </c>
      <c r="B162" s="921" t="s">
        <v>841</v>
      </c>
      <c r="C162" s="921" t="s">
        <v>1705</v>
      </c>
      <c r="D162" s="461">
        <f>(Publico!D342)</f>
        <v>1450</v>
      </c>
      <c r="E162" s="473">
        <f>ROUNDUP(($D162+($D162*Publico!L$1)),-1)</f>
        <v>1500</v>
      </c>
      <c r="F162" s="473">
        <f>ROUNDUP(($D162+($D162*Publico!L$2)),-1)</f>
        <v>1700</v>
      </c>
      <c r="G162" s="473">
        <f t="shared" si="13"/>
        <v>1450</v>
      </c>
      <c r="H162" s="474">
        <v>10</v>
      </c>
      <c r="I162" s="474">
        <f t="shared" si="15"/>
        <v>11.05</v>
      </c>
      <c r="J162" s="474">
        <v>10</v>
      </c>
      <c r="K162" s="474">
        <f t="shared" si="14"/>
        <v>10</v>
      </c>
      <c r="L162" s="921">
        <f>(Pilas!C3)</f>
        <v>577.19008264462809</v>
      </c>
    </row>
    <row r="163" spans="1:12" ht="15.6">
      <c r="A163" s="921" t="s">
        <v>844</v>
      </c>
      <c r="B163" s="921" t="s">
        <v>841</v>
      </c>
      <c r="C163" s="921" t="s">
        <v>1706</v>
      </c>
      <c r="D163" s="461">
        <f>(Publico!D343)</f>
        <v>1450</v>
      </c>
      <c r="E163" s="473">
        <f>ROUNDUP(($D163+($D163*Publico!L$1)),-1)</f>
        <v>1500</v>
      </c>
      <c r="F163" s="473">
        <f>ROUNDUP(($D163+($D163*Publico!L$2)),-1)</f>
        <v>1700</v>
      </c>
      <c r="G163" s="473">
        <f t="shared" si="13"/>
        <v>1450</v>
      </c>
      <c r="H163" s="474">
        <v>10</v>
      </c>
      <c r="I163" s="474">
        <f t="shared" si="15"/>
        <v>11.05</v>
      </c>
      <c r="J163" s="474">
        <v>10</v>
      </c>
      <c r="K163" s="474">
        <f t="shared" si="14"/>
        <v>10</v>
      </c>
      <c r="L163" s="921">
        <f>(Pilas!C4)</f>
        <v>572.8677685950413</v>
      </c>
    </row>
    <row r="164" spans="1:12" ht="15.6">
      <c r="A164" s="921" t="s">
        <v>846</v>
      </c>
      <c r="B164" s="921" t="s">
        <v>841</v>
      </c>
      <c r="C164" s="921" t="s">
        <v>1707</v>
      </c>
      <c r="D164" s="461">
        <f>(Publico!D344)</f>
        <v>6000</v>
      </c>
      <c r="E164" s="473">
        <f>ROUNDUP(($D164+($D164*Publico!L$1)),-1)</f>
        <v>6180</v>
      </c>
      <c r="F164" s="473">
        <f>ROUNDUP(($D164+($D164*Publico!L$2)),-1)</f>
        <v>7020</v>
      </c>
      <c r="G164" s="473">
        <f t="shared" si="13"/>
        <v>6000</v>
      </c>
      <c r="H164" s="474">
        <v>10</v>
      </c>
      <c r="I164" s="474">
        <f t="shared" si="15"/>
        <v>11.05</v>
      </c>
      <c r="J164" s="474">
        <v>10</v>
      </c>
      <c r="K164" s="474">
        <f t="shared" si="14"/>
        <v>10</v>
      </c>
      <c r="L164" s="921">
        <f>(Pilas!C5)</f>
        <v>2510.0826446280989</v>
      </c>
    </row>
    <row r="165" spans="1:12" ht="15.6">
      <c r="A165" s="921" t="s">
        <v>848</v>
      </c>
      <c r="B165" s="921" t="s">
        <v>841</v>
      </c>
      <c r="C165" s="921" t="s">
        <v>1708</v>
      </c>
      <c r="D165" s="461">
        <f>(Publico!D345)</f>
        <v>6000</v>
      </c>
      <c r="E165" s="473">
        <f>ROUNDUP(($D165+($D165*Publico!L$1)),-1)</f>
        <v>6180</v>
      </c>
      <c r="F165" s="473">
        <f>ROUNDUP(($D165+($D165*Publico!L$2)),-1)</f>
        <v>7020</v>
      </c>
      <c r="G165" s="473">
        <f t="shared" si="13"/>
        <v>6000</v>
      </c>
      <c r="H165" s="474">
        <v>10</v>
      </c>
      <c r="I165" s="474">
        <f t="shared" si="15"/>
        <v>11.05</v>
      </c>
      <c r="J165" s="474">
        <v>10</v>
      </c>
      <c r="K165" s="474">
        <f t="shared" si="14"/>
        <v>10</v>
      </c>
      <c r="L165" s="921">
        <f>(Pilas!C6)</f>
        <v>2510.0826446280989</v>
      </c>
    </row>
    <row r="166" spans="1:12" ht="15.6">
      <c r="A166" s="921" t="s">
        <v>850</v>
      </c>
      <c r="B166" s="921" t="s">
        <v>841</v>
      </c>
      <c r="C166" s="921" t="s">
        <v>1709</v>
      </c>
      <c r="D166" s="461">
        <f>(Publico!D346)</f>
        <v>3000</v>
      </c>
      <c r="E166" s="473">
        <f>ROUNDUP(($D166+($D166*Publico!L$1)),-1)</f>
        <v>3090</v>
      </c>
      <c r="F166" s="473">
        <f>ROUNDUP(($D166+($D166*Publico!L$2)),-1)</f>
        <v>3510</v>
      </c>
      <c r="G166" s="473">
        <f t="shared" si="13"/>
        <v>3000</v>
      </c>
      <c r="H166" s="474">
        <v>10</v>
      </c>
      <c r="I166" s="474">
        <f t="shared" si="15"/>
        <v>11.05</v>
      </c>
      <c r="J166" s="474">
        <v>10</v>
      </c>
      <c r="K166" s="474">
        <f t="shared" si="14"/>
        <v>10</v>
      </c>
      <c r="L166" s="921">
        <v>10</v>
      </c>
    </row>
    <row r="167" spans="1:12" ht="15.6">
      <c r="A167" s="921" t="s">
        <v>852</v>
      </c>
      <c r="B167" s="921" t="s">
        <v>841</v>
      </c>
      <c r="C167" s="921" t="s">
        <v>1710</v>
      </c>
      <c r="D167" s="461">
        <f>(Publico!D347)</f>
        <v>3600</v>
      </c>
      <c r="E167" s="473">
        <f>ROUNDUP(($D167+($D167*Publico!L$1)),-1)</f>
        <v>3710</v>
      </c>
      <c r="F167" s="473">
        <f>ROUNDUP(($D167+($D167*Publico!L$2)),-1)</f>
        <v>4220</v>
      </c>
      <c r="G167" s="473">
        <f t="shared" si="13"/>
        <v>3600</v>
      </c>
      <c r="H167" s="474">
        <v>10</v>
      </c>
      <c r="I167" s="474">
        <f t="shared" si="15"/>
        <v>11.05</v>
      </c>
      <c r="J167" s="474">
        <v>10</v>
      </c>
      <c r="K167" s="474">
        <f t="shared" si="14"/>
        <v>10</v>
      </c>
      <c r="L167" s="921">
        <v>10</v>
      </c>
    </row>
    <row r="168" spans="1:12" ht="15.6">
      <c r="A168" s="921" t="s">
        <v>854</v>
      </c>
      <c r="B168" s="921" t="s">
        <v>841</v>
      </c>
      <c r="C168" s="921" t="s">
        <v>1711</v>
      </c>
      <c r="D168" s="461">
        <f>(Publico!D348)</f>
        <v>1450</v>
      </c>
      <c r="E168" s="473">
        <f>ROUNDUP(($D168+($D168*Publico!L$1)),-1)</f>
        <v>1500</v>
      </c>
      <c r="F168" s="473">
        <f>ROUNDUP(($D168+($D168*Publico!L$2)),-1)</f>
        <v>1700</v>
      </c>
      <c r="G168" s="473">
        <f t="shared" si="13"/>
        <v>1450</v>
      </c>
      <c r="H168" s="474">
        <v>10</v>
      </c>
      <c r="I168" s="474">
        <f t="shared" si="15"/>
        <v>11.05</v>
      </c>
      <c r="J168" s="474">
        <v>10</v>
      </c>
      <c r="K168" s="474">
        <f t="shared" si="14"/>
        <v>10</v>
      </c>
      <c r="L168" s="921">
        <f>(Pilas!C9)</f>
        <v>561.54545454545462</v>
      </c>
    </row>
    <row r="169" spans="1:12" ht="15.6">
      <c r="A169" s="921" t="s">
        <v>856</v>
      </c>
      <c r="B169" s="921" t="s">
        <v>841</v>
      </c>
      <c r="C169" s="921" t="s">
        <v>1712</v>
      </c>
      <c r="D169" s="461">
        <f>(Publico!D349)</f>
        <v>1600</v>
      </c>
      <c r="E169" s="473">
        <f>ROUNDUP(($D169+($D169*Publico!L$1)),-1)</f>
        <v>1650</v>
      </c>
      <c r="F169" s="473">
        <f>ROUNDUP(($D169+($D169*Publico!L$2)),-1)</f>
        <v>1880</v>
      </c>
      <c r="G169" s="473">
        <f t="shared" si="13"/>
        <v>1600</v>
      </c>
      <c r="H169" s="474">
        <v>10</v>
      </c>
      <c r="I169" s="474">
        <f t="shared" si="15"/>
        <v>11.05</v>
      </c>
      <c r="J169" s="474">
        <v>10</v>
      </c>
      <c r="K169" s="474">
        <f t="shared" si="14"/>
        <v>10</v>
      </c>
      <c r="L169" s="921">
        <f>(Pilas!C10)</f>
        <v>515.25619834710744</v>
      </c>
    </row>
    <row r="170" spans="1:12" ht="15.6">
      <c r="A170" s="921" t="s">
        <v>858</v>
      </c>
      <c r="B170" s="921" t="s">
        <v>841</v>
      </c>
      <c r="C170" s="921" t="s">
        <v>1713</v>
      </c>
      <c r="D170" s="461">
        <f>(Publico!D350)</f>
        <v>1600</v>
      </c>
      <c r="E170" s="473">
        <f>ROUNDUP(($D170+($D170*Publico!L$1)),-1)</f>
        <v>1650</v>
      </c>
      <c r="F170" s="473">
        <f>ROUNDUP(($D170+($D170*Publico!L$2)),-1)</f>
        <v>1880</v>
      </c>
      <c r="G170" s="473">
        <f t="shared" si="13"/>
        <v>1600</v>
      </c>
      <c r="H170" s="474">
        <v>10</v>
      </c>
      <c r="I170" s="474">
        <f t="shared" si="15"/>
        <v>11.05</v>
      </c>
      <c r="J170" s="474">
        <v>10</v>
      </c>
      <c r="K170" s="474">
        <f t="shared" si="14"/>
        <v>10</v>
      </c>
      <c r="L170" s="921">
        <f>(Pilas!C11)</f>
        <v>515.25619834710744</v>
      </c>
    </row>
    <row r="171" spans="1:12" ht="15.6">
      <c r="A171" s="921" t="s">
        <v>860</v>
      </c>
      <c r="B171" s="921" t="s">
        <v>841</v>
      </c>
      <c r="C171" s="921" t="s">
        <v>1714</v>
      </c>
      <c r="D171" s="461">
        <f>(Publico!D351)</f>
        <v>4350</v>
      </c>
      <c r="E171" s="473">
        <f>ROUNDUP(($D171+($D171*Publico!L$1)),-1)</f>
        <v>4490</v>
      </c>
      <c r="F171" s="473">
        <f>ROUNDUP(($D171+($D171*Publico!L$2)),-1)</f>
        <v>5090</v>
      </c>
      <c r="G171" s="473">
        <f t="shared" si="13"/>
        <v>4350</v>
      </c>
      <c r="H171" s="474">
        <v>10</v>
      </c>
      <c r="I171" s="474">
        <f t="shared" si="15"/>
        <v>11.05</v>
      </c>
      <c r="J171" s="474">
        <v>10</v>
      </c>
      <c r="K171" s="474">
        <f t="shared" si="14"/>
        <v>10</v>
      </c>
      <c r="L171" s="921">
        <f>(Pilas!C12)</f>
        <v>1813.6363636363637</v>
      </c>
    </row>
    <row r="172" spans="1:12" ht="15.6">
      <c r="A172" s="921" t="s">
        <v>862</v>
      </c>
      <c r="B172" s="921" t="s">
        <v>841</v>
      </c>
      <c r="C172" s="921" t="s">
        <v>1715</v>
      </c>
      <c r="D172" s="461">
        <f>(Publico!D352)</f>
        <v>5550</v>
      </c>
      <c r="E172" s="473">
        <f>ROUNDUP(($D172+($D172*Publico!L$1)),-1)</f>
        <v>5720</v>
      </c>
      <c r="F172" s="473">
        <f>ROUNDUP(($D172+($D172*Publico!L$2)),-1)</f>
        <v>6500</v>
      </c>
      <c r="G172" s="473">
        <f t="shared" si="13"/>
        <v>5550</v>
      </c>
      <c r="H172" s="474">
        <v>10</v>
      </c>
      <c r="I172" s="474">
        <f t="shared" si="15"/>
        <v>11.05</v>
      </c>
      <c r="J172" s="474">
        <v>10</v>
      </c>
      <c r="K172" s="474">
        <f t="shared" si="14"/>
        <v>10</v>
      </c>
      <c r="L172" s="921">
        <v>10</v>
      </c>
    </row>
    <row r="173" spans="1:12" ht="15.6">
      <c r="A173" s="921" t="s">
        <v>864</v>
      </c>
      <c r="B173" s="921" t="s">
        <v>841</v>
      </c>
      <c r="C173" s="921" t="s">
        <v>1716</v>
      </c>
      <c r="D173" s="461">
        <f>(Publico!D353)</f>
        <v>4600</v>
      </c>
      <c r="E173" s="473">
        <f>ROUNDUP(($D173+($D173*Publico!L$1)),-1)</f>
        <v>4740</v>
      </c>
      <c r="F173" s="473">
        <f>ROUNDUP(($D173+($D173*Publico!L$2)),-1)</f>
        <v>5390</v>
      </c>
      <c r="G173" s="473">
        <f t="shared" si="13"/>
        <v>4600</v>
      </c>
      <c r="H173" s="474">
        <v>10</v>
      </c>
      <c r="I173" s="474">
        <f t="shared" si="15"/>
        <v>11.05</v>
      </c>
      <c r="J173" s="474">
        <v>10</v>
      </c>
      <c r="K173" s="474">
        <f t="shared" si="14"/>
        <v>10</v>
      </c>
      <c r="L173" s="921">
        <v>10</v>
      </c>
    </row>
    <row r="174" spans="1:12" ht="15.6">
      <c r="A174" s="921" t="s">
        <v>867</v>
      </c>
      <c r="B174" s="921" t="s">
        <v>866</v>
      </c>
      <c r="C174" s="921">
        <v>1</v>
      </c>
      <c r="D174" s="461">
        <f>(Publico!D319)</f>
        <v>950</v>
      </c>
      <c r="E174" s="473">
        <f>ROUNDUP(($D174+($D174*Publico!L$1)),-1)</f>
        <v>980</v>
      </c>
      <c r="F174" s="473">
        <f>ROUNDUP(($D174+($D174*Publico!L$2)),-1)</f>
        <v>1120</v>
      </c>
      <c r="G174" s="473">
        <f t="shared" si="13"/>
        <v>950</v>
      </c>
      <c r="H174" s="474">
        <v>10</v>
      </c>
      <c r="I174" s="474">
        <f t="shared" si="15"/>
        <v>11.05</v>
      </c>
      <c r="J174" s="474">
        <v>10</v>
      </c>
      <c r="K174" s="474">
        <f t="shared" si="14"/>
        <v>10</v>
      </c>
      <c r="L174" s="921">
        <v>10</v>
      </c>
    </row>
    <row r="175" spans="1:12" ht="15.6">
      <c r="A175" s="921" t="s">
        <v>1717</v>
      </c>
      <c r="B175" s="921" t="s">
        <v>866</v>
      </c>
      <c r="C175" s="921">
        <v>2</v>
      </c>
      <c r="D175" s="461">
        <f>(Publico!D320)</f>
        <v>1450</v>
      </c>
      <c r="E175" s="473">
        <f>ROUNDUP(($D175+($D175*Publico!L$1)),-1)</f>
        <v>1500</v>
      </c>
      <c r="F175" s="473">
        <f>ROUNDUP(($D175+($D175*Publico!L$2)),-1)</f>
        <v>1700</v>
      </c>
      <c r="G175" s="473">
        <f t="shared" si="13"/>
        <v>1450</v>
      </c>
      <c r="H175" s="474">
        <v>10</v>
      </c>
      <c r="I175" s="474">
        <f t="shared" si="15"/>
        <v>11.05</v>
      </c>
      <c r="J175" s="474">
        <v>10</v>
      </c>
      <c r="K175" s="474">
        <f t="shared" si="14"/>
        <v>10</v>
      </c>
      <c r="L175" s="921">
        <v>10</v>
      </c>
    </row>
    <row r="176" spans="1:12" ht="15.6">
      <c r="A176" s="921" t="s">
        <v>869</v>
      </c>
      <c r="B176" s="921" t="s">
        <v>866</v>
      </c>
      <c r="C176" s="921">
        <v>3</v>
      </c>
      <c r="D176" s="461">
        <f>(Publico!D321)</f>
        <v>900</v>
      </c>
      <c r="E176" s="473">
        <f>ROUNDUP(($D176+($D176*Publico!L$1)),-1)</f>
        <v>930</v>
      </c>
      <c r="F176" s="473">
        <f>ROUNDUP(($D176+($D176*Publico!L$2)),-1)</f>
        <v>1060</v>
      </c>
      <c r="G176" s="473">
        <f t="shared" si="13"/>
        <v>900</v>
      </c>
      <c r="H176" s="474">
        <v>10</v>
      </c>
      <c r="I176" s="474">
        <f t="shared" si="15"/>
        <v>11.05</v>
      </c>
      <c r="J176" s="474">
        <v>10</v>
      </c>
      <c r="K176" s="474">
        <f t="shared" si="14"/>
        <v>10</v>
      </c>
      <c r="L176" s="921">
        <v>10</v>
      </c>
    </row>
    <row r="177" spans="1:12" ht="15.6">
      <c r="A177" s="921" t="s">
        <v>870</v>
      </c>
      <c r="B177" s="921" t="s">
        <v>866</v>
      </c>
      <c r="C177" s="921">
        <v>4</v>
      </c>
      <c r="D177" s="461">
        <f>(Publico!D322)</f>
        <v>1200</v>
      </c>
      <c r="E177" s="473">
        <f>ROUNDUP(($D177+($D177*Publico!L$1)),-1)</f>
        <v>1240</v>
      </c>
      <c r="F177" s="473">
        <f>ROUNDUP(($D177+($D177*Publico!L$2)),-1)</f>
        <v>1410</v>
      </c>
      <c r="G177" s="473">
        <f t="shared" si="13"/>
        <v>1200</v>
      </c>
      <c r="H177" s="474">
        <v>10</v>
      </c>
      <c r="I177" s="474">
        <f t="shared" si="15"/>
        <v>11.05</v>
      </c>
      <c r="J177" s="474">
        <v>10</v>
      </c>
      <c r="K177" s="474">
        <f t="shared" si="14"/>
        <v>10</v>
      </c>
      <c r="L177" s="921">
        <v>10</v>
      </c>
    </row>
    <row r="178" spans="1:12" ht="15.6">
      <c r="A178" s="921" t="s">
        <v>871</v>
      </c>
      <c r="B178" s="921" t="s">
        <v>866</v>
      </c>
      <c r="C178" s="921">
        <v>5</v>
      </c>
      <c r="D178" s="461">
        <f>(Publico!D323)</f>
        <v>1200</v>
      </c>
      <c r="E178" s="473">
        <f>ROUNDUP(($D178+($D178*Publico!L$1)),-1)</f>
        <v>1240</v>
      </c>
      <c r="F178" s="473">
        <f>ROUNDUP(($D178+($D178*Publico!L$2)),-1)</f>
        <v>1410</v>
      </c>
      <c r="G178" s="473">
        <f t="shared" si="13"/>
        <v>1200</v>
      </c>
      <c r="H178" s="474">
        <v>10</v>
      </c>
      <c r="I178" s="474">
        <f t="shared" si="15"/>
        <v>11.05</v>
      </c>
      <c r="J178" s="474">
        <v>10</v>
      </c>
      <c r="K178" s="474">
        <f t="shared" si="14"/>
        <v>10</v>
      </c>
      <c r="L178" s="921">
        <v>10</v>
      </c>
    </row>
    <row r="179" spans="1:12" ht="15.6">
      <c r="A179" s="921" t="s">
        <v>872</v>
      </c>
      <c r="B179" s="921" t="s">
        <v>866</v>
      </c>
      <c r="C179" s="921">
        <v>6</v>
      </c>
      <c r="D179" s="461">
        <f>(Publico!D324)</f>
        <v>650</v>
      </c>
      <c r="E179" s="473">
        <f>ROUNDUP(($D179+($D179*Publico!L$1)),-1)</f>
        <v>670</v>
      </c>
      <c r="F179" s="473">
        <f>ROUNDUP(($D179+($D179*Publico!L$2)),-1)</f>
        <v>770</v>
      </c>
      <c r="G179" s="473">
        <f t="shared" si="13"/>
        <v>650</v>
      </c>
      <c r="H179" s="474">
        <v>10</v>
      </c>
      <c r="I179" s="474">
        <f t="shared" si="15"/>
        <v>11.05</v>
      </c>
      <c r="J179" s="474">
        <v>10</v>
      </c>
      <c r="K179" s="474">
        <f t="shared" si="14"/>
        <v>10</v>
      </c>
      <c r="L179" s="921">
        <v>10</v>
      </c>
    </row>
    <row r="180" spans="1:12" ht="15.6">
      <c r="A180" s="921" t="s">
        <v>873</v>
      </c>
      <c r="B180" s="921" t="s">
        <v>866</v>
      </c>
      <c r="C180" s="921">
        <v>7</v>
      </c>
      <c r="D180" s="461">
        <f>(Publico!D325)</f>
        <v>850</v>
      </c>
      <c r="E180" s="473">
        <f>ROUNDUP(($D180+($D180*Publico!L$1)),-1)</f>
        <v>880</v>
      </c>
      <c r="F180" s="473">
        <f>ROUNDUP(($D180+($D180*Publico!L$2)),-1)</f>
        <v>1000</v>
      </c>
      <c r="G180" s="473">
        <f t="shared" si="13"/>
        <v>850</v>
      </c>
      <c r="H180" s="474">
        <v>10</v>
      </c>
      <c r="I180" s="474">
        <f t="shared" si="15"/>
        <v>11.05</v>
      </c>
      <c r="J180" s="474">
        <v>10</v>
      </c>
      <c r="K180" s="474">
        <f t="shared" si="14"/>
        <v>10</v>
      </c>
      <c r="L180" s="921">
        <v>10</v>
      </c>
    </row>
    <row r="181" spans="1:12" ht="15.6">
      <c r="A181" s="921" t="s">
        <v>874</v>
      </c>
      <c r="B181" s="921" t="s">
        <v>866</v>
      </c>
      <c r="C181" s="921">
        <v>8</v>
      </c>
      <c r="D181" s="461">
        <f>(Publico!D326)</f>
        <v>1800</v>
      </c>
      <c r="E181" s="473">
        <f>ROUNDUP(($D181+($D181*Publico!L$1)),-1)</f>
        <v>1860</v>
      </c>
      <c r="F181" s="473">
        <f>ROUNDUP(($D181+($D181*Publico!L$2)),-1)</f>
        <v>2110</v>
      </c>
      <c r="G181" s="473">
        <f t="shared" si="13"/>
        <v>1800</v>
      </c>
      <c r="H181" s="474">
        <v>10</v>
      </c>
      <c r="I181" s="474">
        <f t="shared" si="15"/>
        <v>11.05</v>
      </c>
      <c r="J181" s="474">
        <v>10</v>
      </c>
      <c r="K181" s="474">
        <f t="shared" si="14"/>
        <v>10</v>
      </c>
      <c r="L181" s="921">
        <v>10</v>
      </c>
    </row>
    <row r="182" spans="1:12" ht="15.6">
      <c r="A182" s="921" t="s">
        <v>875</v>
      </c>
      <c r="B182" s="921" t="s">
        <v>866</v>
      </c>
      <c r="C182" s="921">
        <v>9</v>
      </c>
      <c r="D182" s="461">
        <f>(Publico!D327)</f>
        <v>1800</v>
      </c>
      <c r="E182" s="473">
        <f>ROUNDUP(($D182+($D182*Publico!L$1)),-1)</f>
        <v>1860</v>
      </c>
      <c r="F182" s="473">
        <f>ROUNDUP(($D182+($D182*Publico!L$2)),-1)</f>
        <v>2110</v>
      </c>
      <c r="G182" s="473">
        <f t="shared" si="13"/>
        <v>1800</v>
      </c>
      <c r="H182" s="474">
        <v>10</v>
      </c>
      <c r="I182" s="474">
        <f t="shared" si="15"/>
        <v>11.05</v>
      </c>
      <c r="J182" s="474">
        <v>10</v>
      </c>
      <c r="K182" s="474">
        <f t="shared" si="14"/>
        <v>10</v>
      </c>
      <c r="L182" s="921">
        <v>10</v>
      </c>
    </row>
    <row r="183" spans="1:12" ht="15.6">
      <c r="A183" s="921" t="s">
        <v>876</v>
      </c>
      <c r="B183" s="921" t="s">
        <v>866</v>
      </c>
      <c r="C183" s="921">
        <v>10</v>
      </c>
      <c r="D183" s="461">
        <f>(Publico!D328)</f>
        <v>1650.0000000000002</v>
      </c>
      <c r="E183" s="473">
        <f>ROUNDUP(($D183+($D183*Publico!L$1)),-1)</f>
        <v>1700</v>
      </c>
      <c r="F183" s="473">
        <f>ROUNDUP(($D183+($D183*Publico!L$2)),-1)</f>
        <v>1940</v>
      </c>
      <c r="G183" s="473">
        <f t="shared" si="13"/>
        <v>1650.0000000000002</v>
      </c>
      <c r="H183" s="474">
        <v>10</v>
      </c>
      <c r="I183" s="474">
        <f t="shared" si="15"/>
        <v>11.05</v>
      </c>
      <c r="J183" s="474">
        <v>10</v>
      </c>
      <c r="K183" s="474">
        <f t="shared" si="14"/>
        <v>10</v>
      </c>
      <c r="L183" s="921">
        <v>10</v>
      </c>
    </row>
    <row r="184" spans="1:12" ht="15.6">
      <c r="A184" s="921" t="s">
        <v>877</v>
      </c>
      <c r="B184" s="921" t="s">
        <v>866</v>
      </c>
      <c r="C184" s="921">
        <v>11</v>
      </c>
      <c r="D184" s="461">
        <f>(Publico!D329)</f>
        <v>1100</v>
      </c>
      <c r="E184" s="473">
        <f>ROUNDUP(($D184+($D184*Publico!L$1)),-1)</f>
        <v>1140</v>
      </c>
      <c r="F184" s="473">
        <f>ROUNDUP(($D184+($D184*Publico!L$2)),-1)</f>
        <v>1290</v>
      </c>
      <c r="G184" s="473">
        <f t="shared" si="13"/>
        <v>1100</v>
      </c>
      <c r="H184" s="474">
        <v>10</v>
      </c>
      <c r="I184" s="474">
        <f t="shared" si="15"/>
        <v>11.05</v>
      </c>
      <c r="J184" s="474">
        <v>10</v>
      </c>
      <c r="K184" s="474">
        <f t="shared" si="14"/>
        <v>10</v>
      </c>
      <c r="L184" s="921">
        <v>10</v>
      </c>
    </row>
    <row r="185" spans="1:12" ht="15.6">
      <c r="A185" s="921" t="s">
        <v>878</v>
      </c>
      <c r="B185" s="921" t="s">
        <v>866</v>
      </c>
      <c r="C185" s="921">
        <v>12</v>
      </c>
      <c r="D185" s="461">
        <f>(Publico!D330)</f>
        <v>1750</v>
      </c>
      <c r="E185" s="473">
        <f>ROUNDUP(($D185+($D185*Publico!L$1)),-1)</f>
        <v>1810</v>
      </c>
      <c r="F185" s="473">
        <f>ROUNDUP(($D185+($D185*Publico!L$2)),-1)</f>
        <v>2050</v>
      </c>
      <c r="G185" s="473">
        <f t="shared" si="13"/>
        <v>1750</v>
      </c>
      <c r="H185" s="474">
        <v>10</v>
      </c>
      <c r="I185" s="474">
        <f t="shared" si="15"/>
        <v>11.05</v>
      </c>
      <c r="J185" s="474">
        <v>10</v>
      </c>
      <c r="K185" s="474">
        <f t="shared" si="14"/>
        <v>10</v>
      </c>
      <c r="L185" s="921">
        <v>10</v>
      </c>
    </row>
    <row r="186" spans="1:12" ht="15.6">
      <c r="A186" s="921" t="s">
        <v>879</v>
      </c>
      <c r="B186" s="921" t="s">
        <v>866</v>
      </c>
      <c r="C186" s="921">
        <v>13</v>
      </c>
      <c r="D186" s="461">
        <f>(Publico!D331)</f>
        <v>950</v>
      </c>
      <c r="E186" s="473">
        <f>ROUNDUP(($D186+($D186*Publico!L$1)),-1)</f>
        <v>980</v>
      </c>
      <c r="F186" s="473">
        <f>ROUNDUP(($D186+($D186*Publico!L$2)),-1)</f>
        <v>1120</v>
      </c>
      <c r="G186" s="473">
        <f t="shared" si="13"/>
        <v>950</v>
      </c>
      <c r="H186" s="474">
        <v>10</v>
      </c>
      <c r="I186" s="474">
        <f t="shared" si="15"/>
        <v>11.05</v>
      </c>
      <c r="J186" s="474">
        <v>10</v>
      </c>
      <c r="K186" s="474">
        <f t="shared" si="14"/>
        <v>10</v>
      </c>
      <c r="L186" s="921">
        <v>10</v>
      </c>
    </row>
    <row r="187" spans="1:12" ht="15.6">
      <c r="A187" s="921" t="s">
        <v>880</v>
      </c>
      <c r="B187" s="921" t="s">
        <v>866</v>
      </c>
      <c r="C187" s="921">
        <v>14</v>
      </c>
      <c r="D187" s="461">
        <f>(Publico!D332)</f>
        <v>1750</v>
      </c>
      <c r="E187" s="473">
        <f>ROUNDUP(($D187+($D187*Publico!L$1)),-1)</f>
        <v>1810</v>
      </c>
      <c r="F187" s="473">
        <f>ROUNDUP(($D187+($D187*Publico!L$2)),-1)</f>
        <v>2050</v>
      </c>
      <c r="G187" s="473">
        <f t="shared" si="13"/>
        <v>1750</v>
      </c>
      <c r="H187" s="474">
        <v>10</v>
      </c>
      <c r="I187" s="474">
        <f t="shared" si="15"/>
        <v>11.05</v>
      </c>
      <c r="J187" s="474">
        <v>10</v>
      </c>
      <c r="K187" s="474">
        <f t="shared" si="14"/>
        <v>10</v>
      </c>
      <c r="L187" s="921">
        <v>10</v>
      </c>
    </row>
    <row r="188" spans="1:12" ht="15.6">
      <c r="A188" s="921" t="s">
        <v>1718</v>
      </c>
      <c r="B188" s="921" t="s">
        <v>866</v>
      </c>
      <c r="C188" s="921">
        <v>15</v>
      </c>
      <c r="D188" s="461">
        <f>(Publico!D333)</f>
        <v>1050</v>
      </c>
      <c r="E188" s="473">
        <f>ROUNDUP(($D188+($D188*Publico!L$1)),-1)</f>
        <v>1090</v>
      </c>
      <c r="F188" s="473">
        <f>ROUNDUP(($D188+($D188*Publico!L$2)),-1)</f>
        <v>1230</v>
      </c>
      <c r="G188" s="473">
        <f t="shared" si="13"/>
        <v>1050</v>
      </c>
      <c r="H188" s="474">
        <v>10</v>
      </c>
      <c r="I188" s="474">
        <f t="shared" si="15"/>
        <v>11.05</v>
      </c>
      <c r="J188" s="474">
        <v>10</v>
      </c>
      <c r="K188" s="474">
        <f t="shared" si="14"/>
        <v>10</v>
      </c>
      <c r="L188" s="921">
        <v>10</v>
      </c>
    </row>
    <row r="189" spans="1:12" ht="15.6">
      <c r="A189" s="921" t="s">
        <v>882</v>
      </c>
      <c r="B189" s="921" t="s">
        <v>866</v>
      </c>
      <c r="C189" s="921">
        <v>16</v>
      </c>
      <c r="D189" s="461">
        <f>(Publico!D334)</f>
        <v>1200</v>
      </c>
      <c r="E189" s="473">
        <f>ROUNDUP(($D189+($D189*Publico!L$1)),-1)</f>
        <v>1240</v>
      </c>
      <c r="F189" s="473">
        <f>ROUNDUP(($D189+($D189*Publico!L$2)),-1)</f>
        <v>1410</v>
      </c>
      <c r="G189" s="473">
        <f t="shared" si="13"/>
        <v>1200</v>
      </c>
      <c r="H189" s="474">
        <v>10</v>
      </c>
      <c r="I189" s="474">
        <f t="shared" si="15"/>
        <v>11.05</v>
      </c>
      <c r="J189" s="474">
        <v>10</v>
      </c>
      <c r="K189" s="474">
        <f t="shared" si="14"/>
        <v>10</v>
      </c>
      <c r="L189" s="921">
        <v>10</v>
      </c>
    </row>
    <row r="190" spans="1:12" ht="15.6">
      <c r="A190" s="921" t="s">
        <v>883</v>
      </c>
      <c r="B190" s="921" t="s">
        <v>866</v>
      </c>
      <c r="C190" s="921">
        <v>17</v>
      </c>
      <c r="D190" s="461">
        <f>(Publico!D335)</f>
        <v>1600</v>
      </c>
      <c r="E190" s="473">
        <f>ROUNDUP(($D190+($D190*Publico!L$1)),-1)</f>
        <v>1650</v>
      </c>
      <c r="F190" s="473">
        <f>ROUNDUP(($D190+($D190*Publico!L$2)),-1)</f>
        <v>1880</v>
      </c>
      <c r="G190" s="473">
        <f t="shared" si="13"/>
        <v>1600</v>
      </c>
      <c r="H190" s="474">
        <v>10</v>
      </c>
      <c r="I190" s="474">
        <f t="shared" si="15"/>
        <v>11.05</v>
      </c>
      <c r="J190" s="474">
        <v>10</v>
      </c>
      <c r="K190" s="474">
        <f t="shared" si="14"/>
        <v>10</v>
      </c>
      <c r="L190" s="921">
        <v>10</v>
      </c>
    </row>
    <row r="191" spans="1:12" ht="15.6">
      <c r="A191" s="921" t="s">
        <v>1719</v>
      </c>
      <c r="B191" s="921" t="s">
        <v>866</v>
      </c>
      <c r="C191" s="921">
        <v>18</v>
      </c>
      <c r="D191" s="461">
        <f>(Publico!D336)</f>
        <v>2350</v>
      </c>
      <c r="E191" s="473">
        <f>ROUNDUP(($D191+($D191*Publico!L$1)),-1)</f>
        <v>2430</v>
      </c>
      <c r="F191" s="473">
        <f>ROUNDUP(($D191+($D191*Publico!L$2)),-1)</f>
        <v>2750</v>
      </c>
      <c r="G191" s="473">
        <f t="shared" si="13"/>
        <v>2350</v>
      </c>
      <c r="H191" s="474">
        <v>10</v>
      </c>
      <c r="I191" s="474">
        <f t="shared" si="15"/>
        <v>11.05</v>
      </c>
      <c r="J191" s="474">
        <v>10</v>
      </c>
      <c r="K191" s="474">
        <f t="shared" si="14"/>
        <v>10</v>
      </c>
      <c r="L191" s="921">
        <v>10</v>
      </c>
    </row>
    <row r="192" spans="1:12" ht="15.6">
      <c r="A192" s="921" t="s">
        <v>1720</v>
      </c>
      <c r="B192" s="921" t="s">
        <v>866</v>
      </c>
      <c r="C192" s="921">
        <v>19</v>
      </c>
      <c r="D192" s="461">
        <f>(Publico!D337)</f>
        <v>2100</v>
      </c>
      <c r="E192" s="473">
        <f>ROUNDUP(($D192+($D192*Publico!L$1)),-1)</f>
        <v>2170</v>
      </c>
      <c r="F192" s="473">
        <f>ROUNDUP(($D192+($D192*Publico!L$2)),-1)</f>
        <v>2460</v>
      </c>
      <c r="G192" s="473">
        <f t="shared" si="13"/>
        <v>2100</v>
      </c>
      <c r="H192" s="474">
        <v>10</v>
      </c>
      <c r="I192" s="474">
        <f t="shared" si="15"/>
        <v>11.05</v>
      </c>
      <c r="J192" s="474">
        <v>10</v>
      </c>
      <c r="K192" s="474">
        <f t="shared" si="14"/>
        <v>10</v>
      </c>
      <c r="L192" s="921">
        <v>10</v>
      </c>
    </row>
    <row r="193" spans="1:12" ht="15.6">
      <c r="A193" s="921" t="s">
        <v>886</v>
      </c>
      <c r="B193" s="921" t="s">
        <v>866</v>
      </c>
      <c r="C193" s="921">
        <v>20</v>
      </c>
      <c r="D193" s="461">
        <f>(Publico!D338)</f>
        <v>1200</v>
      </c>
      <c r="E193" s="473">
        <f>ROUNDUP(($D193+($D193*Publico!L$1)),-1)</f>
        <v>1240</v>
      </c>
      <c r="F193" s="473">
        <f>ROUNDUP(($D193+($D193*Publico!L$2)),-1)</f>
        <v>1410</v>
      </c>
      <c r="G193" s="473">
        <f t="shared" si="13"/>
        <v>1200</v>
      </c>
      <c r="H193" s="474">
        <v>10</v>
      </c>
      <c r="I193" s="474">
        <f t="shared" si="15"/>
        <v>11.05</v>
      </c>
      <c r="J193" s="474">
        <v>10</v>
      </c>
      <c r="K193" s="474">
        <f t="shared" si="14"/>
        <v>10</v>
      </c>
      <c r="L193" s="921">
        <v>10</v>
      </c>
    </row>
    <row r="194" spans="1:12" ht="15.6">
      <c r="A194" s="921" t="s">
        <v>887</v>
      </c>
      <c r="B194" s="921" t="s">
        <v>866</v>
      </c>
      <c r="C194" s="921">
        <v>21</v>
      </c>
      <c r="D194" s="461">
        <f>(Publico!D339)</f>
        <v>1100</v>
      </c>
      <c r="E194" s="473">
        <f>ROUNDUP(($D194+($D194*Publico!L$1)),-1)</f>
        <v>1140</v>
      </c>
      <c r="F194" s="473">
        <f>ROUNDUP(($D194+($D194*Publico!L$2)),-1)</f>
        <v>1290</v>
      </c>
      <c r="G194" s="473">
        <f t="shared" si="13"/>
        <v>1100</v>
      </c>
      <c r="H194" s="474">
        <v>10</v>
      </c>
      <c r="I194" s="474">
        <f t="shared" si="15"/>
        <v>11.05</v>
      </c>
      <c r="J194" s="474">
        <v>10</v>
      </c>
      <c r="K194" s="474">
        <f t="shared" si="14"/>
        <v>10</v>
      </c>
      <c r="L194" s="921">
        <v>10</v>
      </c>
    </row>
    <row r="195" spans="1:12" ht="15.6">
      <c r="A195" s="921" t="s">
        <v>888</v>
      </c>
      <c r="B195" s="921" t="s">
        <v>866</v>
      </c>
      <c r="C195" s="921">
        <v>22</v>
      </c>
      <c r="D195" s="461">
        <f>(Publico!D340)</f>
        <v>1400</v>
      </c>
      <c r="E195" s="473">
        <f>ROUNDUP(($D195+($D195*Publico!L$1)),-1)</f>
        <v>1450</v>
      </c>
      <c r="F195" s="473">
        <f>ROUNDUP(($D195+($D195*Publico!L$2)),-1)</f>
        <v>1640</v>
      </c>
      <c r="G195" s="473">
        <f t="shared" ref="G195:G258" si="16">(D195)</f>
        <v>1400</v>
      </c>
      <c r="H195" s="474">
        <v>10</v>
      </c>
      <c r="I195" s="474">
        <f t="shared" si="15"/>
        <v>11.05</v>
      </c>
      <c r="J195" s="474">
        <v>10</v>
      </c>
      <c r="K195" s="474">
        <f t="shared" ref="K195:K258" si="17">(J195)</f>
        <v>10</v>
      </c>
      <c r="L195" s="921">
        <v>10</v>
      </c>
    </row>
    <row r="196" spans="1:12" ht="15.6">
      <c r="A196" s="921" t="s">
        <v>889</v>
      </c>
      <c r="B196" s="921" t="s">
        <v>866</v>
      </c>
      <c r="C196" s="921" t="s">
        <v>890</v>
      </c>
      <c r="D196" s="461">
        <v>10</v>
      </c>
      <c r="E196" s="473">
        <f>ROUNDUP(($D196+($D196*Publico!L$1)),-1)</f>
        <v>20</v>
      </c>
      <c r="F196" s="473">
        <f>ROUNDUP(($D196+($D196*Publico!L$2)),-1)</f>
        <v>20</v>
      </c>
      <c r="G196" s="473">
        <f t="shared" si="16"/>
        <v>10</v>
      </c>
      <c r="H196" s="474">
        <v>10</v>
      </c>
      <c r="I196" s="474">
        <f t="shared" si="15"/>
        <v>11.05</v>
      </c>
      <c r="J196" s="474">
        <v>10</v>
      </c>
      <c r="K196" s="474">
        <f t="shared" si="17"/>
        <v>10</v>
      </c>
      <c r="L196" s="921">
        <v>10</v>
      </c>
    </row>
    <row r="197" spans="1:12" ht="15.6">
      <c r="A197" s="921" t="s">
        <v>1721</v>
      </c>
      <c r="B197" s="921" t="s">
        <v>308</v>
      </c>
      <c r="C197" s="921" t="s">
        <v>1722</v>
      </c>
      <c r="D197" s="461">
        <f>(Moura!AB26)</f>
        <v>344000</v>
      </c>
      <c r="E197" s="473">
        <f>ROUNDUP(($D197+($D197*Publico!L$1)),-1)</f>
        <v>354320</v>
      </c>
      <c r="F197" s="473">
        <f>(Publico!B81)</f>
        <v>395988</v>
      </c>
      <c r="G197" s="473">
        <f t="shared" si="16"/>
        <v>344000</v>
      </c>
      <c r="H197" s="474">
        <f>(Moura!H26)</f>
        <v>264096.6237</v>
      </c>
      <c r="I197" s="474">
        <f t="shared" si="15"/>
        <v>241179.14808966944</v>
      </c>
      <c r="J197" s="474">
        <f>(H197/1.21)</f>
        <v>218261.67247933886</v>
      </c>
      <c r="K197" s="474">
        <f t="shared" si="17"/>
        <v>218261.67247933886</v>
      </c>
      <c r="L197" s="456">
        <f>(Moura!F26)</f>
        <v>167893.59421487601</v>
      </c>
    </row>
    <row r="198" spans="1:12" ht="15.6">
      <c r="A198" s="921" t="s">
        <v>894</v>
      </c>
      <c r="B198" s="921" t="s">
        <v>893</v>
      </c>
      <c r="C198" s="921" t="s">
        <v>1723</v>
      </c>
      <c r="D198" s="461">
        <v>10</v>
      </c>
      <c r="E198" s="473">
        <f>+D198</f>
        <v>10</v>
      </c>
      <c r="F198" s="462">
        <f>+E198</f>
        <v>10</v>
      </c>
      <c r="G198" s="473">
        <f t="shared" si="16"/>
        <v>10</v>
      </c>
      <c r="H198" s="474">
        <v>10</v>
      </c>
      <c r="I198" s="474">
        <f t="shared" si="15"/>
        <v>11.05</v>
      </c>
      <c r="J198" s="474">
        <v>10</v>
      </c>
      <c r="K198" s="474">
        <f t="shared" si="17"/>
        <v>10</v>
      </c>
      <c r="L198" s="921">
        <v>10</v>
      </c>
    </row>
    <row r="199" spans="1:12" ht="15.6">
      <c r="A199" s="921" t="s">
        <v>896</v>
      </c>
      <c r="B199" s="921" t="s">
        <v>893</v>
      </c>
      <c r="C199" s="921" t="s">
        <v>1724</v>
      </c>
      <c r="D199" s="461">
        <f>(Publico!D64)</f>
        <v>10000</v>
      </c>
      <c r="E199" s="461">
        <f>(D199)</f>
        <v>10000</v>
      </c>
      <c r="F199" s="461">
        <f>(D199)</f>
        <v>10000</v>
      </c>
      <c r="G199" s="473">
        <f t="shared" si="16"/>
        <v>10000</v>
      </c>
      <c r="H199" s="474">
        <v>10</v>
      </c>
      <c r="I199" s="474">
        <f t="shared" si="15"/>
        <v>11.05</v>
      </c>
      <c r="J199" s="474">
        <v>10</v>
      </c>
      <c r="K199" s="474">
        <f t="shared" si="17"/>
        <v>10</v>
      </c>
      <c r="L199" s="921">
        <v>10</v>
      </c>
    </row>
    <row r="200" spans="1:12" ht="15.6">
      <c r="A200" s="921" t="s">
        <v>898</v>
      </c>
      <c r="B200" s="921" t="s">
        <v>893</v>
      </c>
      <c r="C200" s="921" t="s">
        <v>1725</v>
      </c>
      <c r="D200" s="462">
        <f>(Publico!D65)</f>
        <v>14000</v>
      </c>
      <c r="E200" s="473">
        <f>(D200)</f>
        <v>14000</v>
      </c>
      <c r="F200" s="473">
        <f>(D200)</f>
        <v>14000</v>
      </c>
      <c r="G200" s="473">
        <f t="shared" si="16"/>
        <v>14000</v>
      </c>
      <c r="H200" s="474">
        <v>10</v>
      </c>
      <c r="I200" s="474">
        <f t="shared" si="15"/>
        <v>11.05</v>
      </c>
      <c r="J200" s="474">
        <v>10</v>
      </c>
      <c r="K200" s="474">
        <f t="shared" si="17"/>
        <v>10</v>
      </c>
      <c r="L200" s="921">
        <v>10</v>
      </c>
    </row>
    <row r="201" spans="1:12" ht="15.6">
      <c r="A201" s="921" t="s">
        <v>900</v>
      </c>
      <c r="B201" s="921" t="s">
        <v>893</v>
      </c>
      <c r="C201" s="921" t="s">
        <v>1726</v>
      </c>
      <c r="D201" s="462">
        <f>(Publico!D66)</f>
        <v>19000</v>
      </c>
      <c r="E201" s="473">
        <f>(D201)</f>
        <v>19000</v>
      </c>
      <c r="F201" s="473">
        <f>(D201)</f>
        <v>19000</v>
      </c>
      <c r="G201" s="473">
        <f t="shared" si="16"/>
        <v>19000</v>
      </c>
      <c r="H201" s="474">
        <v>10</v>
      </c>
      <c r="I201" s="474">
        <f t="shared" ref="I201:I264" si="18">(J201*1.105)</f>
        <v>11.05</v>
      </c>
      <c r="J201" s="474">
        <v>10</v>
      </c>
      <c r="K201" s="474">
        <f t="shared" si="17"/>
        <v>10</v>
      </c>
      <c r="L201" s="921">
        <v>10</v>
      </c>
    </row>
    <row r="202" spans="1:12" ht="15.6">
      <c r="A202" s="921" t="s">
        <v>1727</v>
      </c>
      <c r="B202" s="921" t="s">
        <v>308</v>
      </c>
      <c r="C202" s="921" t="s">
        <v>1728</v>
      </c>
      <c r="D202" s="461">
        <f>(Moura!AB28)</f>
        <v>430000</v>
      </c>
      <c r="E202" s="473">
        <f>ROUNDUP(($D202+($D202*Publico!L$1)),-1)</f>
        <v>442900</v>
      </c>
      <c r="F202" s="473">
        <f>(Publico!B87)</f>
        <v>495748</v>
      </c>
      <c r="G202" s="473">
        <f t="shared" si="16"/>
        <v>430000</v>
      </c>
      <c r="H202" s="474">
        <f>(Moura!H28)</f>
        <v>324954.63646799995</v>
      </c>
      <c r="I202" s="474">
        <f t="shared" si="18"/>
        <v>296756.09363399993</v>
      </c>
      <c r="J202" s="474">
        <f>(H202/1.21)</f>
        <v>268557.55079999997</v>
      </c>
      <c r="K202" s="474">
        <f t="shared" si="17"/>
        <v>268557.55079999997</v>
      </c>
      <c r="L202" s="456">
        <f>(Moura!F28)</f>
        <v>212322.18925619835</v>
      </c>
    </row>
    <row r="203" spans="1:12" ht="15.6">
      <c r="A203" s="921" t="s">
        <v>904</v>
      </c>
      <c r="B203" s="921" t="s">
        <v>306</v>
      </c>
      <c r="C203" s="921" t="s">
        <v>905</v>
      </c>
      <c r="D203" s="461">
        <f>(Publico!D282)</f>
        <v>82650</v>
      </c>
      <c r="E203" s="473">
        <f>ROUNDUP(($D203+($D203*Publico!L$1)),-1)</f>
        <v>85130</v>
      </c>
      <c r="F203" s="473">
        <f>ROUNDUP(($D203+($D203*Publico!L$2)),-1)</f>
        <v>96710</v>
      </c>
      <c r="G203" s="473">
        <f t="shared" si="16"/>
        <v>82650</v>
      </c>
      <c r="H203" s="474">
        <v>10</v>
      </c>
      <c r="I203" s="474">
        <f t="shared" si="18"/>
        <v>11.05</v>
      </c>
      <c r="J203" s="474">
        <v>10</v>
      </c>
      <c r="K203" s="474">
        <f t="shared" si="17"/>
        <v>10</v>
      </c>
      <c r="L203" s="921">
        <v>10</v>
      </c>
    </row>
    <row r="204" spans="1:12" ht="15.6">
      <c r="A204" s="921" t="s">
        <v>906</v>
      </c>
      <c r="B204" s="921" t="s">
        <v>306</v>
      </c>
      <c r="C204" s="921" t="s">
        <v>907</v>
      </c>
      <c r="D204" s="461">
        <v>10</v>
      </c>
      <c r="E204" s="473">
        <f>ROUNDUP(($D204+($D204*Publico!L$1)),-1)</f>
        <v>20</v>
      </c>
      <c r="F204" s="473">
        <f>ROUNDUP(($D204+($D204*Publico!L$2)),-1)</f>
        <v>20</v>
      </c>
      <c r="G204" s="473">
        <f t="shared" si="16"/>
        <v>10</v>
      </c>
      <c r="H204" s="474">
        <v>10</v>
      </c>
      <c r="I204" s="474">
        <f t="shared" si="18"/>
        <v>11.05</v>
      </c>
      <c r="J204" s="474">
        <v>10</v>
      </c>
      <c r="K204" s="474">
        <f t="shared" si="17"/>
        <v>10</v>
      </c>
      <c r="L204" s="921">
        <v>10</v>
      </c>
    </row>
    <row r="205" spans="1:12" ht="15.6">
      <c r="A205" s="921" t="s">
        <v>908</v>
      </c>
      <c r="B205" s="921" t="s">
        <v>772</v>
      </c>
      <c r="C205" s="921" t="s">
        <v>909</v>
      </c>
      <c r="D205" s="461">
        <f>(Novelbat!U17)</f>
        <v>44900</v>
      </c>
      <c r="E205" s="473">
        <f>ROUNDUP(($D205+($D205*Publico!L$1)),-1)</f>
        <v>46250</v>
      </c>
      <c r="F205" s="473">
        <f>ROUNDUP(($D205+($D205*Publico!L$2)),-1)</f>
        <v>52540</v>
      </c>
      <c r="G205" s="473">
        <f t="shared" si="16"/>
        <v>44900</v>
      </c>
      <c r="H205" s="474">
        <v>10</v>
      </c>
      <c r="I205" s="474">
        <f t="shared" si="18"/>
        <v>11.05</v>
      </c>
      <c r="J205" s="474">
        <v>10</v>
      </c>
      <c r="K205" s="474">
        <f t="shared" si="17"/>
        <v>10</v>
      </c>
      <c r="L205" s="921">
        <v>10</v>
      </c>
    </row>
    <row r="206" spans="1:12" ht="15.6">
      <c r="A206" s="921" t="s">
        <v>1729</v>
      </c>
      <c r="B206" s="921" t="s">
        <v>308</v>
      </c>
      <c r="C206" s="921" t="s">
        <v>1730</v>
      </c>
      <c r="D206" s="461">
        <v>465000</v>
      </c>
      <c r="E206" s="473">
        <f>ROUNDUP(($D206+($D206*Publico!L$1)),-1)</f>
        <v>478950</v>
      </c>
      <c r="F206" s="473">
        <f>ROUNDUP(($D206+($D206*Publico!L$2)),-1)</f>
        <v>544050</v>
      </c>
      <c r="G206" s="473">
        <f t="shared" si="16"/>
        <v>465000</v>
      </c>
      <c r="H206" s="474">
        <v>10</v>
      </c>
      <c r="I206" s="474">
        <f t="shared" si="18"/>
        <v>11.05</v>
      </c>
      <c r="J206" s="474">
        <v>10</v>
      </c>
      <c r="K206" s="474">
        <f t="shared" si="17"/>
        <v>10</v>
      </c>
      <c r="L206" s="456">
        <f>(Moura!F30)</f>
        <v>279998.30495867768</v>
      </c>
    </row>
    <row r="207" spans="1:12" ht="15.6">
      <c r="A207" s="921" t="s">
        <v>912</v>
      </c>
      <c r="B207" s="921" t="s">
        <v>728</v>
      </c>
      <c r="C207" s="921" t="s">
        <v>1731</v>
      </c>
      <c r="D207" s="461">
        <f>('Battery Trading'!V12)</f>
        <v>674500</v>
      </c>
      <c r="E207" s="473">
        <f>ROUNDUP(($D207+($D207*Publico!L$1)),-1)</f>
        <v>694740</v>
      </c>
      <c r="F207" s="473">
        <f>ROUNDUP(($D207+($D207*Publico!L$2)),-1)</f>
        <v>789170</v>
      </c>
      <c r="G207" s="473">
        <f t="shared" si="16"/>
        <v>674500</v>
      </c>
      <c r="H207" s="474">
        <v>10</v>
      </c>
      <c r="I207" s="474">
        <f t="shared" si="18"/>
        <v>11.05</v>
      </c>
      <c r="J207" s="474">
        <v>10</v>
      </c>
      <c r="K207" s="474">
        <f t="shared" si="17"/>
        <v>10</v>
      </c>
      <c r="L207" s="921">
        <f>('Battery Trading'!F12)</f>
        <v>409600</v>
      </c>
    </row>
    <row r="208" spans="1:12" ht="15.6">
      <c r="A208" s="921" t="s">
        <v>915</v>
      </c>
      <c r="B208" s="921" t="s">
        <v>914</v>
      </c>
      <c r="C208" s="921" t="s">
        <v>916</v>
      </c>
      <c r="D208" s="461">
        <f>('Terminales - Liquimoly - Bari'!O4)</f>
        <v>3000</v>
      </c>
      <c r="E208" s="473">
        <f>ROUNDUP(($D208+($D208*Publico!L$1)),-1)</f>
        <v>3090</v>
      </c>
      <c r="F208" s="473">
        <f>ROUNDUP(($D208+($D208*Publico!L$2)),-1)</f>
        <v>3510</v>
      </c>
      <c r="G208" s="473">
        <f t="shared" si="16"/>
        <v>3000</v>
      </c>
      <c r="H208" s="474">
        <f>('Terminales - Liquimoly - Bari'!G4)</f>
        <v>2105.5814999999998</v>
      </c>
      <c r="I208" s="474">
        <f t="shared" si="18"/>
        <v>1922.8657499999997</v>
      </c>
      <c r="J208" s="474">
        <f t="shared" ref="J208:J215" si="19">(H208/1.21)</f>
        <v>1740.1499999999999</v>
      </c>
      <c r="K208" s="474">
        <f t="shared" si="17"/>
        <v>1740.1499999999999</v>
      </c>
      <c r="L208" s="921">
        <f>('Terminales - Liquimoly - Bari'!D4)</f>
        <v>1160.0999999999999</v>
      </c>
    </row>
    <row r="209" spans="1:12" ht="15.6">
      <c r="A209" s="921" t="s">
        <v>917</v>
      </c>
      <c r="B209" s="921" t="s">
        <v>914</v>
      </c>
      <c r="C209" s="921" t="s">
        <v>918</v>
      </c>
      <c r="D209" s="461">
        <f>('Terminales - Liquimoly - Bari'!O5)</f>
        <v>3700</v>
      </c>
      <c r="E209" s="473">
        <f>ROUNDUP(($D209+($D209*Publico!L$1)),-1)</f>
        <v>3820</v>
      </c>
      <c r="F209" s="473">
        <f>ROUNDUP(($D209+($D209*Publico!L$2)),-1)</f>
        <v>4330</v>
      </c>
      <c r="G209" s="473">
        <f t="shared" si="16"/>
        <v>3700</v>
      </c>
      <c r="H209" s="474">
        <f>('Terminales - Liquimoly - Bari'!G5)</f>
        <v>2744.2799999999997</v>
      </c>
      <c r="I209" s="474">
        <f t="shared" si="18"/>
        <v>2506.14</v>
      </c>
      <c r="J209" s="474">
        <f t="shared" si="19"/>
        <v>2268</v>
      </c>
      <c r="K209" s="474">
        <f t="shared" si="17"/>
        <v>2268</v>
      </c>
      <c r="L209" s="921">
        <f>('Terminales - Liquimoly - Bari'!D5)</f>
        <v>1512</v>
      </c>
    </row>
    <row r="210" spans="1:12" ht="15.6">
      <c r="A210" s="921" t="s">
        <v>919</v>
      </c>
      <c r="B210" s="921" t="s">
        <v>914</v>
      </c>
      <c r="C210" s="921" t="s">
        <v>920</v>
      </c>
      <c r="D210" s="461">
        <f>('Terminales - Liquimoly - Bari'!O6)</f>
        <v>6650</v>
      </c>
      <c r="E210" s="473">
        <f>ROUNDUP(($D210+($D210*Publico!L$1)),-1)</f>
        <v>6850</v>
      </c>
      <c r="F210" s="473">
        <f>ROUNDUP(($D210+($D210*Publico!L$2)),-1)</f>
        <v>7790</v>
      </c>
      <c r="G210" s="473">
        <f t="shared" si="16"/>
        <v>6650</v>
      </c>
      <c r="H210" s="474">
        <f>('Terminales - Liquimoly - Bari'!G6)</f>
        <v>5787.490499999999</v>
      </c>
      <c r="I210" s="474">
        <f t="shared" si="18"/>
        <v>5285.2702499999987</v>
      </c>
      <c r="J210" s="474">
        <f t="shared" si="19"/>
        <v>4783.0499999999993</v>
      </c>
      <c r="K210" s="474">
        <f t="shared" si="17"/>
        <v>4783.0499999999993</v>
      </c>
      <c r="L210" s="921">
        <f>('Terminales - Liquimoly - Bari'!D6)</f>
        <v>3188.7</v>
      </c>
    </row>
    <row r="211" spans="1:12" ht="15.6">
      <c r="A211" s="921" t="s">
        <v>921</v>
      </c>
      <c r="B211" s="921" t="s">
        <v>914</v>
      </c>
      <c r="C211" s="921" t="s">
        <v>922</v>
      </c>
      <c r="D211" s="461">
        <f>('Terminales - Liquimoly - Bari'!O7)</f>
        <v>3700</v>
      </c>
      <c r="E211" s="473">
        <f>ROUNDUP(($D211+($D211*Publico!L$1)),-1)</f>
        <v>3820</v>
      </c>
      <c r="F211" s="473">
        <f>ROUNDUP(($D211+($D211*Publico!L$2)),-1)</f>
        <v>4330</v>
      </c>
      <c r="G211" s="473">
        <f t="shared" si="16"/>
        <v>3700</v>
      </c>
      <c r="H211" s="474">
        <f>('Terminales - Liquimoly - Bari'!G7)</f>
        <v>2268.9314999999997</v>
      </c>
      <c r="I211" s="474">
        <f t="shared" si="18"/>
        <v>2072.0407499999997</v>
      </c>
      <c r="J211" s="474">
        <f t="shared" si="19"/>
        <v>1875.1499999999999</v>
      </c>
      <c r="K211" s="474">
        <f t="shared" si="17"/>
        <v>1875.1499999999999</v>
      </c>
      <c r="L211" s="921">
        <f>('Terminales - Liquimoly - Bari'!D7)</f>
        <v>1250.0999999999999</v>
      </c>
    </row>
    <row r="212" spans="1:12" ht="15.6">
      <c r="A212" s="921" t="s">
        <v>923</v>
      </c>
      <c r="B212" s="921" t="s">
        <v>914</v>
      </c>
      <c r="C212" s="921" t="s">
        <v>924</v>
      </c>
      <c r="D212" s="461">
        <f>('Terminales - Liquimoly - Bari'!O4)</f>
        <v>3000</v>
      </c>
      <c r="E212" s="473">
        <f>ROUNDUP(($D212+($D212*Publico!L$1)),-1)</f>
        <v>3090</v>
      </c>
      <c r="F212" s="473">
        <f>ROUNDUP(($D212+($D212*Publico!L$2)),-1)</f>
        <v>3510</v>
      </c>
      <c r="G212" s="473">
        <f t="shared" si="16"/>
        <v>3000</v>
      </c>
      <c r="H212" s="474">
        <f>('Terminales - Liquimoly - Bari'!G4)</f>
        <v>2105.5814999999998</v>
      </c>
      <c r="I212" s="474">
        <f t="shared" si="18"/>
        <v>1922.8657499999997</v>
      </c>
      <c r="J212" s="474">
        <f t="shared" si="19"/>
        <v>1740.1499999999999</v>
      </c>
      <c r="K212" s="474">
        <f t="shared" si="17"/>
        <v>1740.1499999999999</v>
      </c>
      <c r="L212" s="921">
        <f>('Terminales - Liquimoly - Bari'!D4)</f>
        <v>1160.0999999999999</v>
      </c>
    </row>
    <row r="213" spans="1:12" ht="15.6">
      <c r="A213" s="921" t="s">
        <v>925</v>
      </c>
      <c r="B213" s="921" t="s">
        <v>914</v>
      </c>
      <c r="C213" s="921" t="s">
        <v>926</v>
      </c>
      <c r="D213" s="461">
        <f>('Terminales - Liquimoly - Bari'!O5)</f>
        <v>3700</v>
      </c>
      <c r="E213" s="473">
        <f>ROUNDUP(($D213+($D213*Publico!L$1)),-1)</f>
        <v>3820</v>
      </c>
      <c r="F213" s="473">
        <f>ROUNDUP(($D213+($D213*Publico!L$2)),-1)</f>
        <v>4330</v>
      </c>
      <c r="G213" s="473">
        <f t="shared" si="16"/>
        <v>3700</v>
      </c>
      <c r="H213" s="474">
        <f>('Terminales - Liquimoly - Bari'!G5)</f>
        <v>2744.2799999999997</v>
      </c>
      <c r="I213" s="474">
        <f t="shared" si="18"/>
        <v>2506.14</v>
      </c>
      <c r="J213" s="474">
        <f t="shared" si="19"/>
        <v>2268</v>
      </c>
      <c r="K213" s="474">
        <f t="shared" si="17"/>
        <v>2268</v>
      </c>
      <c r="L213" s="921">
        <f>('Terminales - Liquimoly - Bari'!D5)</f>
        <v>1512</v>
      </c>
    </row>
    <row r="214" spans="1:12" ht="15.6">
      <c r="A214" s="921" t="s">
        <v>927</v>
      </c>
      <c r="B214" s="921" t="s">
        <v>914</v>
      </c>
      <c r="C214" s="921" t="s">
        <v>928</v>
      </c>
      <c r="D214" s="461">
        <f>('Terminales - Liquimoly - Bari'!O6)</f>
        <v>6650</v>
      </c>
      <c r="E214" s="473">
        <f>ROUNDUP(($D214+($D214*Publico!L$1)),-1)</f>
        <v>6850</v>
      </c>
      <c r="F214" s="473">
        <f>ROUNDUP(($D214+($D214*Publico!L$2)),-1)</f>
        <v>7790</v>
      </c>
      <c r="G214" s="473">
        <f t="shared" si="16"/>
        <v>6650</v>
      </c>
      <c r="H214" s="474">
        <f>('Terminales - Liquimoly - Bari'!G6)</f>
        <v>5787.490499999999</v>
      </c>
      <c r="I214" s="474">
        <f t="shared" si="18"/>
        <v>5285.2702499999987</v>
      </c>
      <c r="J214" s="474">
        <f t="shared" si="19"/>
        <v>4783.0499999999993</v>
      </c>
      <c r="K214" s="474">
        <f t="shared" si="17"/>
        <v>4783.0499999999993</v>
      </c>
      <c r="L214" s="921">
        <f>('Terminales - Liquimoly - Bari'!D6)</f>
        <v>3188.7</v>
      </c>
    </row>
    <row r="215" spans="1:12" ht="15.6">
      <c r="A215" s="921" t="s">
        <v>929</v>
      </c>
      <c r="B215" s="921" t="s">
        <v>914</v>
      </c>
      <c r="C215" s="921" t="s">
        <v>930</v>
      </c>
      <c r="D215" s="461">
        <f>('Terminales - Liquimoly - Bari'!O7)</f>
        <v>3700</v>
      </c>
      <c r="E215" s="473">
        <f>ROUNDUP(($D215+($D215*Publico!L$1)),-1)</f>
        <v>3820</v>
      </c>
      <c r="F215" s="473">
        <f>ROUNDUP(($D215+($D215*Publico!L$2)),-1)</f>
        <v>4330</v>
      </c>
      <c r="G215" s="473">
        <f t="shared" si="16"/>
        <v>3700</v>
      </c>
      <c r="H215" s="474">
        <f>('Terminales - Liquimoly - Bari'!G7)</f>
        <v>2268.9314999999997</v>
      </c>
      <c r="I215" s="474">
        <f t="shared" si="18"/>
        <v>2072.0407499999997</v>
      </c>
      <c r="J215" s="474">
        <f t="shared" si="19"/>
        <v>1875.1499999999999</v>
      </c>
      <c r="K215" s="474">
        <f t="shared" si="17"/>
        <v>1875.1499999999999</v>
      </c>
      <c r="L215" s="921">
        <f>('Terminales - Liquimoly - Bari'!D7)</f>
        <v>1250.0999999999999</v>
      </c>
    </row>
    <row r="216" spans="1:12" ht="15.6">
      <c r="A216" s="921" t="s">
        <v>1732</v>
      </c>
      <c r="B216" s="921" t="s">
        <v>893</v>
      </c>
      <c r="C216" s="921" t="s">
        <v>1733</v>
      </c>
      <c r="D216" s="461">
        <f>(Lusqtoff!U4)</f>
        <v>103000</v>
      </c>
      <c r="E216" s="473">
        <f>ROUNDUP(($D216+($D216*Publico!L$1)),-1)</f>
        <v>106090</v>
      </c>
      <c r="F216" s="473">
        <f>ROUNDUP(($D216+($D216*Publico!L$2)),-1)</f>
        <v>120510</v>
      </c>
      <c r="G216" s="473">
        <f t="shared" si="16"/>
        <v>103000</v>
      </c>
      <c r="H216" s="474">
        <v>10</v>
      </c>
      <c r="I216" s="474">
        <f t="shared" si="18"/>
        <v>11.05</v>
      </c>
      <c r="J216" s="474">
        <v>10</v>
      </c>
      <c r="K216" s="474">
        <f t="shared" si="17"/>
        <v>10</v>
      </c>
      <c r="L216" s="921">
        <f>(Lusqtoff!F4)</f>
        <v>57200</v>
      </c>
    </row>
    <row r="217" spans="1:12" ht="15.6">
      <c r="A217" s="921" t="s">
        <v>934</v>
      </c>
      <c r="B217" s="921" t="s">
        <v>933</v>
      </c>
      <c r="C217" s="921" t="s">
        <v>1734</v>
      </c>
      <c r="D217" s="461">
        <f>(Lusqtoff!U5)</f>
        <v>184300</v>
      </c>
      <c r="E217" s="473">
        <f>ROUNDUP(($D217+($D217*Publico!L$1)),-1)</f>
        <v>189830</v>
      </c>
      <c r="F217" s="473">
        <f>ROUNDUP(($D217+($D217*Publico!L$2)),-1)</f>
        <v>215640</v>
      </c>
      <c r="G217" s="473">
        <f t="shared" si="16"/>
        <v>184300</v>
      </c>
      <c r="H217" s="474">
        <f>(Lusqtoff!H5)</f>
        <v>168584.99239999999</v>
      </c>
      <c r="I217" s="474">
        <f t="shared" si="18"/>
        <v>153955.7162</v>
      </c>
      <c r="J217" s="474">
        <f t="shared" ref="J217:J222" si="20">(H217/1.21)</f>
        <v>139326.44</v>
      </c>
      <c r="K217" s="474">
        <f t="shared" si="17"/>
        <v>139326.44</v>
      </c>
      <c r="L217" s="921">
        <f>(Lusqtoff!F5)</f>
        <v>102388</v>
      </c>
    </row>
    <row r="218" spans="1:12" ht="15.6">
      <c r="A218" s="921" t="s">
        <v>411</v>
      </c>
      <c r="B218" s="921" t="s">
        <v>388</v>
      </c>
      <c r="C218" s="921" t="s">
        <v>1735</v>
      </c>
      <c r="D218" s="461">
        <f>(Lusqtoff!U29)</f>
        <v>266800</v>
      </c>
      <c r="E218" s="473">
        <f>ROUNDUP(($D218+($D218*Publico!L$1)),-1)</f>
        <v>274810</v>
      </c>
      <c r="F218" s="473">
        <f>ROUNDUP(($D218+($D218*Publico!L$2)),-1)</f>
        <v>312160</v>
      </c>
      <c r="G218" s="473">
        <f t="shared" si="16"/>
        <v>266800</v>
      </c>
      <c r="H218" s="474">
        <f>(Lusqtoff!H29)</f>
        <v>205487.04</v>
      </c>
      <c r="I218" s="474">
        <f t="shared" si="18"/>
        <v>187655.52</v>
      </c>
      <c r="J218" s="474">
        <f t="shared" si="20"/>
        <v>169824</v>
      </c>
      <c r="K218" s="474">
        <f t="shared" si="17"/>
        <v>169824</v>
      </c>
      <c r="L218" s="921">
        <f>(Lusqtoff!F29)</f>
        <v>124800</v>
      </c>
    </row>
    <row r="219" spans="1:12" ht="15.6">
      <c r="A219" s="921" t="s">
        <v>409</v>
      </c>
      <c r="B219" s="921" t="s">
        <v>388</v>
      </c>
      <c r="C219" s="921" t="s">
        <v>1736</v>
      </c>
      <c r="D219" s="461">
        <f>(Lusqtoff!U28)</f>
        <v>170600</v>
      </c>
      <c r="E219" s="473">
        <f>ROUNDUP(($D219+($D219*Publico!L$1)),-1)</f>
        <v>175720</v>
      </c>
      <c r="F219" s="473">
        <f>ROUNDUP(($D219+($D219*Publico!L$2)),-1)</f>
        <v>199610</v>
      </c>
      <c r="G219" s="473">
        <f t="shared" si="16"/>
        <v>170600</v>
      </c>
      <c r="H219" s="474">
        <f>(Lusqtoff!H28)</f>
        <v>130141.79199999999</v>
      </c>
      <c r="I219" s="474">
        <f t="shared" si="18"/>
        <v>118848.496</v>
      </c>
      <c r="J219" s="474">
        <f t="shared" si="20"/>
        <v>107555.2</v>
      </c>
      <c r="K219" s="474">
        <f t="shared" si="17"/>
        <v>107555.2</v>
      </c>
      <c r="L219" s="921">
        <f>(Lusqtoff!F28)</f>
        <v>79040</v>
      </c>
    </row>
    <row r="220" spans="1:12" ht="15.6">
      <c r="A220" s="921" t="s">
        <v>407</v>
      </c>
      <c r="B220" s="921" t="s">
        <v>388</v>
      </c>
      <c r="C220" s="921" t="s">
        <v>1737</v>
      </c>
      <c r="D220" s="461">
        <f>(Lusqtoff!U27)</f>
        <v>130900</v>
      </c>
      <c r="E220" s="473">
        <f>ROUNDUP(($D220+($D220*Publico!L$1)),-1)</f>
        <v>134830</v>
      </c>
      <c r="F220" s="473">
        <f>ROUNDUP(($D220+($D220*Publico!L$2)),-1)</f>
        <v>153160</v>
      </c>
      <c r="G220" s="473">
        <f t="shared" si="16"/>
        <v>130900</v>
      </c>
      <c r="H220" s="474">
        <f>(Lusqtoff!H27)</f>
        <v>101901.02313599999</v>
      </c>
      <c r="I220" s="474">
        <f t="shared" si="18"/>
        <v>93058.372367999982</v>
      </c>
      <c r="J220" s="474">
        <f t="shared" si="20"/>
        <v>84215.72159999999</v>
      </c>
      <c r="K220" s="474">
        <f t="shared" si="17"/>
        <v>84215.72159999999</v>
      </c>
      <c r="L220" s="921">
        <f>(Lusqtoff!F27)</f>
        <v>61888.32</v>
      </c>
    </row>
    <row r="221" spans="1:12" ht="15.6">
      <c r="A221" s="921" t="s">
        <v>1738</v>
      </c>
      <c r="B221" s="921" t="s">
        <v>388</v>
      </c>
      <c r="C221" s="921" t="s">
        <v>1739</v>
      </c>
      <c r="D221" s="461">
        <f>(Lusqtoff!U26)</f>
        <v>247400</v>
      </c>
      <c r="E221" s="473">
        <f>ROUNDUP(($D221+($D221*Publico!L$1)),-1)</f>
        <v>254830</v>
      </c>
      <c r="F221" s="473">
        <f>ROUNDUP(($D221+($D221*Publico!L$2)),-1)</f>
        <v>289460</v>
      </c>
      <c r="G221" s="473">
        <f t="shared" si="16"/>
        <v>247400</v>
      </c>
      <c r="H221" s="474">
        <f>(Lusqtoff!H26)</f>
        <v>193260.56112</v>
      </c>
      <c r="I221" s="474">
        <f t="shared" si="18"/>
        <v>176490.01656000002</v>
      </c>
      <c r="J221" s="474">
        <f t="shared" si="20"/>
        <v>159719.47200000001</v>
      </c>
      <c r="K221" s="474">
        <f t="shared" si="17"/>
        <v>159719.47200000001</v>
      </c>
      <c r="L221" s="605">
        <f>(Lusqtoff!F26)</f>
        <v>117374.39999999999</v>
      </c>
    </row>
    <row r="222" spans="1:12" ht="15.6">
      <c r="A222" s="921" t="s">
        <v>1740</v>
      </c>
      <c r="B222" s="921" t="s">
        <v>388</v>
      </c>
      <c r="C222" s="921" t="s">
        <v>1741</v>
      </c>
      <c r="D222" s="461">
        <f>(Lusqtoff!U25)</f>
        <v>205500</v>
      </c>
      <c r="E222" s="473">
        <f>ROUNDUP(($D222+($D222*Publico!L$1)),-1)</f>
        <v>211670</v>
      </c>
      <c r="F222" s="473">
        <f>ROUNDUP(($D222+($D222*Publico!L$2)),-1)</f>
        <v>240440</v>
      </c>
      <c r="G222" s="473">
        <f t="shared" si="16"/>
        <v>205500</v>
      </c>
      <c r="H222" s="474">
        <f>(Lusqtoff!H25)</f>
        <v>119100.28838399997</v>
      </c>
      <c r="I222" s="474">
        <f t="shared" si="18"/>
        <v>108765.13939199998</v>
      </c>
      <c r="J222" s="474">
        <f t="shared" si="20"/>
        <v>98429.990399999981</v>
      </c>
      <c r="K222" s="474">
        <f t="shared" si="17"/>
        <v>98429.990399999981</v>
      </c>
      <c r="L222" s="921">
        <f>(Lusqtoff!F25)</f>
        <v>72334.080000000002</v>
      </c>
    </row>
    <row r="223" spans="1:12" ht="15.6">
      <c r="A223" s="921" t="s">
        <v>938</v>
      </c>
      <c r="B223" s="921" t="s">
        <v>914</v>
      </c>
      <c r="C223" s="921" t="s">
        <v>939</v>
      </c>
      <c r="D223" s="461">
        <f>('Terminales - Liquimoly - Bari'!O10)</f>
        <v>38000</v>
      </c>
      <c r="E223" s="473">
        <f>ROUNDUP(($D223+($D223*Publico!L$1)),-1)</f>
        <v>39140</v>
      </c>
      <c r="F223" s="473">
        <f>ROUNDUP(($D223+($D223*Publico!L$2)),-1)</f>
        <v>44460</v>
      </c>
      <c r="G223" s="473">
        <f t="shared" si="16"/>
        <v>38000</v>
      </c>
      <c r="H223" s="474">
        <v>10</v>
      </c>
      <c r="I223" s="474">
        <f t="shared" si="18"/>
        <v>11.05</v>
      </c>
      <c r="J223" s="474">
        <v>10</v>
      </c>
      <c r="K223" s="474">
        <f t="shared" si="17"/>
        <v>10</v>
      </c>
      <c r="L223" s="921">
        <v>10</v>
      </c>
    </row>
    <row r="224" spans="1:12" ht="15.6">
      <c r="A224" s="921" t="s">
        <v>940</v>
      </c>
      <c r="B224" s="921" t="s">
        <v>772</v>
      </c>
      <c r="C224" s="921" t="s">
        <v>941</v>
      </c>
      <c r="D224" s="788">
        <f>(Novelbat!U9)</f>
        <v>77200</v>
      </c>
      <c r="E224" s="473">
        <f>ROUNDUP(($D224+($D224*Publico!L$1)),-1)</f>
        <v>79520</v>
      </c>
      <c r="F224" s="473">
        <f>ROUNDUP(($D224+($D224*Publico!L$2)),-1)</f>
        <v>90330</v>
      </c>
      <c r="G224" s="473">
        <f t="shared" si="16"/>
        <v>77200</v>
      </c>
      <c r="H224" s="474">
        <v>10</v>
      </c>
      <c r="I224" s="474">
        <f t="shared" si="18"/>
        <v>11.05</v>
      </c>
      <c r="J224" s="474">
        <v>10</v>
      </c>
      <c r="K224" s="474">
        <f t="shared" si="17"/>
        <v>10</v>
      </c>
      <c r="L224" s="921">
        <v>10</v>
      </c>
    </row>
    <row r="225" spans="1:12" ht="15.6">
      <c r="A225" s="921" t="s">
        <v>942</v>
      </c>
      <c r="B225" s="921" t="s">
        <v>772</v>
      </c>
      <c r="C225" s="921" t="s">
        <v>943</v>
      </c>
      <c r="D225" s="461">
        <f>(Novelbat!U16)</f>
        <v>39000</v>
      </c>
      <c r="E225" s="473">
        <f>ROUNDUP(($D225+($D225*Publico!L$1)),-1)</f>
        <v>40170</v>
      </c>
      <c r="F225" s="473">
        <f>ROUNDUP(($D225+($D225*Publico!L$2)),-1)</f>
        <v>45630</v>
      </c>
      <c r="G225" s="473">
        <f t="shared" si="16"/>
        <v>39000</v>
      </c>
      <c r="H225" s="474">
        <v>10</v>
      </c>
      <c r="I225" s="474">
        <f t="shared" si="18"/>
        <v>11.05</v>
      </c>
      <c r="J225" s="474">
        <v>10</v>
      </c>
      <c r="K225" s="474">
        <f t="shared" si="17"/>
        <v>10</v>
      </c>
      <c r="L225" s="921">
        <v>10</v>
      </c>
    </row>
    <row r="226" spans="1:12" ht="15.6">
      <c r="A226" s="921" t="s">
        <v>944</v>
      </c>
      <c r="B226" s="921" t="s">
        <v>588</v>
      </c>
      <c r="C226" s="921" t="s">
        <v>945</v>
      </c>
      <c r="D226" s="461">
        <f>('Acubat-Lubeck'!AP8)</f>
        <v>120900</v>
      </c>
      <c r="E226" s="473">
        <f>ROUNDUP(($D226+($D226*Publico!L$1)),-1)</f>
        <v>124530</v>
      </c>
      <c r="F226" s="473">
        <f>ROUNDUP(($D226+($D226*Publico!L$2)),-1)</f>
        <v>141460</v>
      </c>
      <c r="G226" s="473">
        <f t="shared" si="16"/>
        <v>120900</v>
      </c>
      <c r="H226" s="474">
        <f>('Acubat-Lubeck'!U8)</f>
        <v>97913.2</v>
      </c>
      <c r="I226" s="474">
        <f t="shared" si="18"/>
        <v>89416.6</v>
      </c>
      <c r="J226" s="474">
        <f t="shared" ref="J226:J289" si="21">(H226/1.21)</f>
        <v>80920</v>
      </c>
      <c r="K226" s="474">
        <f t="shared" si="17"/>
        <v>80920</v>
      </c>
      <c r="L226" s="921">
        <f>('Acubat-Lubeck'!S8)</f>
        <v>57800</v>
      </c>
    </row>
    <row r="227" spans="1:12" ht="15.6">
      <c r="A227" s="921" t="s">
        <v>946</v>
      </c>
      <c r="B227" s="921" t="s">
        <v>588</v>
      </c>
      <c r="C227" s="921" t="s">
        <v>947</v>
      </c>
      <c r="D227" s="461">
        <f>('Acubat-Lubeck'!AP13)</f>
        <v>138200</v>
      </c>
      <c r="E227" s="473">
        <f>ROUNDUP(($D227+($D227*Publico!L$1)),-1)</f>
        <v>142350</v>
      </c>
      <c r="F227" s="473">
        <f>ROUNDUP(($D227+($D227*Publico!L$2)),-1)</f>
        <v>161700</v>
      </c>
      <c r="G227" s="473">
        <f t="shared" si="16"/>
        <v>138200</v>
      </c>
      <c r="H227" s="474">
        <f>('Acubat-Lubeck'!U13)</f>
        <v>117563.59999999999</v>
      </c>
      <c r="I227" s="474">
        <f t="shared" si="18"/>
        <v>107361.8</v>
      </c>
      <c r="J227" s="474">
        <f t="shared" si="21"/>
        <v>97160</v>
      </c>
      <c r="K227" s="474">
        <f t="shared" si="17"/>
        <v>97160</v>
      </c>
      <c r="L227" s="921">
        <f>('Acubat-Lubeck'!S13)</f>
        <v>69400</v>
      </c>
    </row>
    <row r="228" spans="1:12" ht="15.6">
      <c r="A228" s="921" t="s">
        <v>948</v>
      </c>
      <c r="B228" s="921" t="s">
        <v>588</v>
      </c>
      <c r="C228" s="921" t="s">
        <v>949</v>
      </c>
      <c r="D228" s="461">
        <f>('Acubat-Lubeck'!AP14)</f>
        <v>167300</v>
      </c>
      <c r="E228" s="473">
        <f>ROUNDUP(($D228+($D228*Publico!L$1)),-1)</f>
        <v>172320</v>
      </c>
      <c r="F228" s="473">
        <f>ROUNDUP(($D228+($D228*Publico!L$2)),-1)</f>
        <v>195750</v>
      </c>
      <c r="G228" s="473">
        <f t="shared" si="16"/>
        <v>167300</v>
      </c>
      <c r="H228" s="474">
        <f>('Acubat-Lubeck'!U14)</f>
        <v>151131.09138819997</v>
      </c>
      <c r="I228" s="474">
        <f t="shared" si="18"/>
        <v>138016.40990409997</v>
      </c>
      <c r="J228" s="474">
        <f t="shared" si="21"/>
        <v>124901.72841999998</v>
      </c>
      <c r="K228" s="474">
        <f t="shared" si="17"/>
        <v>124901.72841999998</v>
      </c>
      <c r="L228" s="921">
        <f>('Acubat-Lubeck'!S14)</f>
        <v>89215.520299999989</v>
      </c>
    </row>
    <row r="229" spans="1:12" ht="15.6">
      <c r="A229" s="921" t="s">
        <v>950</v>
      </c>
      <c r="B229" s="921" t="s">
        <v>914</v>
      </c>
      <c r="C229" s="921">
        <v>45</v>
      </c>
      <c r="D229" s="461">
        <f>('Terminales - Liquimoly - Bari'!O13)</f>
        <v>7600</v>
      </c>
      <c r="E229" s="473">
        <f>ROUNDUP(($D229+($D229*Publico!L$1)),-1)</f>
        <v>7830</v>
      </c>
      <c r="F229" s="473">
        <f>ROUNDUP(($D229+($D229*Publico!L$2)),-1)</f>
        <v>8900</v>
      </c>
      <c r="G229" s="473">
        <f t="shared" si="16"/>
        <v>7600</v>
      </c>
      <c r="H229" s="473">
        <v>10</v>
      </c>
      <c r="I229" s="474">
        <f t="shared" si="18"/>
        <v>9.132231404958679</v>
      </c>
      <c r="J229" s="474">
        <f t="shared" si="21"/>
        <v>8.2644628099173563</v>
      </c>
      <c r="K229" s="474">
        <f t="shared" si="17"/>
        <v>8.2644628099173563</v>
      </c>
      <c r="L229" s="921">
        <f>('Terminales - Liquimoly - Bari'!C13)</f>
        <v>3450.5</v>
      </c>
    </row>
    <row r="230" spans="1:12" ht="15.6">
      <c r="A230" s="921" t="s">
        <v>951</v>
      </c>
      <c r="B230" s="921" t="s">
        <v>914</v>
      </c>
      <c r="C230" s="921">
        <v>85</v>
      </c>
      <c r="D230" s="461">
        <f>('Terminales - Liquimoly - Bari'!O14)</f>
        <v>13300</v>
      </c>
      <c r="E230" s="473">
        <f>ROUNDUP(($D230+($D230*Publico!L$1)),-1)</f>
        <v>13700</v>
      </c>
      <c r="F230" s="473">
        <f>ROUNDUP(($D230+($D230*Publico!L$2)),-1)</f>
        <v>15570</v>
      </c>
      <c r="G230" s="473">
        <f t="shared" si="16"/>
        <v>13300</v>
      </c>
      <c r="H230" s="473">
        <v>10</v>
      </c>
      <c r="I230" s="474">
        <f t="shared" si="18"/>
        <v>9.132231404958679</v>
      </c>
      <c r="J230" s="474">
        <f t="shared" si="21"/>
        <v>8.2644628099173563</v>
      </c>
      <c r="K230" s="474">
        <f t="shared" si="17"/>
        <v>8.2644628099173563</v>
      </c>
      <c r="L230" s="921">
        <f>('Terminales - Liquimoly - Bari'!C14)</f>
        <v>6686.8</v>
      </c>
    </row>
    <row r="231" spans="1:12" ht="15.6">
      <c r="A231" s="921" t="s">
        <v>952</v>
      </c>
      <c r="B231" s="921" t="s">
        <v>914</v>
      </c>
      <c r="C231" s="921">
        <v>100</v>
      </c>
      <c r="D231" s="461">
        <f>('Terminales - Liquimoly - Bari'!O15)</f>
        <v>15600</v>
      </c>
      <c r="E231" s="473">
        <f>ROUNDUP(($D231+($D231*Publico!L$1)),-1)</f>
        <v>16070</v>
      </c>
      <c r="F231" s="473">
        <f>ROUNDUP(($D231+($D231*Publico!L$2)),-1)</f>
        <v>18260</v>
      </c>
      <c r="G231" s="473">
        <f t="shared" si="16"/>
        <v>15600</v>
      </c>
      <c r="H231" s="473">
        <v>10</v>
      </c>
      <c r="I231" s="474">
        <f t="shared" si="18"/>
        <v>9.132231404958679</v>
      </c>
      <c r="J231" s="474">
        <f t="shared" si="21"/>
        <v>8.2644628099173563</v>
      </c>
      <c r="K231" s="474">
        <f t="shared" si="17"/>
        <v>8.2644628099173563</v>
      </c>
      <c r="L231" s="921">
        <f>('Terminales - Liquimoly - Bari'!C15)</f>
        <v>7867.21</v>
      </c>
    </row>
    <row r="232" spans="1:12" ht="15.6">
      <c r="A232" s="921" t="s">
        <v>953</v>
      </c>
      <c r="B232" s="921" t="s">
        <v>841</v>
      </c>
      <c r="C232" s="921" t="s">
        <v>1742</v>
      </c>
      <c r="D232" s="461">
        <f>(Publico!D348)</f>
        <v>1450</v>
      </c>
      <c r="E232" s="473">
        <f>ROUNDUP(($D232+($D232*Publico!L$1)),-1)</f>
        <v>1500</v>
      </c>
      <c r="F232" s="473">
        <f>ROUNDUP(($D232+($D232*Publico!L$2)),-1)</f>
        <v>1700</v>
      </c>
      <c r="G232" s="473">
        <f t="shared" si="16"/>
        <v>1450</v>
      </c>
      <c r="H232" s="473">
        <v>10</v>
      </c>
      <c r="I232" s="474">
        <f t="shared" si="18"/>
        <v>9.132231404958679</v>
      </c>
      <c r="J232" s="474">
        <f t="shared" si="21"/>
        <v>8.2644628099173563</v>
      </c>
      <c r="K232" s="474">
        <f t="shared" si="17"/>
        <v>8.2644628099173563</v>
      </c>
      <c r="L232" s="921">
        <f>(Pilas!C9)</f>
        <v>561.54545454545462</v>
      </c>
    </row>
    <row r="233" spans="1:12" ht="15.6">
      <c r="A233" s="921" t="s">
        <v>955</v>
      </c>
      <c r="B233" s="921" t="s">
        <v>893</v>
      </c>
      <c r="C233" s="921" t="s">
        <v>1743</v>
      </c>
      <c r="D233" s="461">
        <f>(Publico!B287)</f>
        <v>4000</v>
      </c>
      <c r="E233" s="473">
        <f>ROUNDUP(($D233+($D233*Publico!L$1)),-1)</f>
        <v>4120</v>
      </c>
      <c r="F233" s="473">
        <f>ROUNDUP(($D233+($D233*Publico!L$2)),-1)</f>
        <v>4680</v>
      </c>
      <c r="G233" s="473">
        <f t="shared" si="16"/>
        <v>4000</v>
      </c>
      <c r="H233" s="473">
        <v>10</v>
      </c>
      <c r="I233" s="474">
        <f t="shared" si="18"/>
        <v>9.132231404958679</v>
      </c>
      <c r="J233" s="462">
        <f t="shared" si="21"/>
        <v>8.2644628099173563</v>
      </c>
      <c r="K233" s="474">
        <f t="shared" si="17"/>
        <v>8.2644628099173563</v>
      </c>
      <c r="L233" s="921">
        <v>10</v>
      </c>
    </row>
    <row r="234" spans="1:12" ht="15.6">
      <c r="A234" s="921" t="s">
        <v>957</v>
      </c>
      <c r="B234" s="921" t="s">
        <v>893</v>
      </c>
      <c r="C234" s="921" t="s">
        <v>1744</v>
      </c>
      <c r="D234" s="461">
        <f>(Publico!B288)</f>
        <v>5000</v>
      </c>
      <c r="E234" s="473">
        <f>ROUNDUP(($D234+($D234*Publico!L$1)),-1)</f>
        <v>5150</v>
      </c>
      <c r="F234" s="473">
        <f>ROUNDUP(($D234+($D234*Publico!L$2)),-1)</f>
        <v>5850</v>
      </c>
      <c r="G234" s="473">
        <f t="shared" si="16"/>
        <v>5000</v>
      </c>
      <c r="H234" s="473">
        <v>10</v>
      </c>
      <c r="I234" s="474">
        <f t="shared" si="18"/>
        <v>9.132231404958679</v>
      </c>
      <c r="J234" s="462">
        <f t="shared" si="21"/>
        <v>8.2644628099173563</v>
      </c>
      <c r="K234" s="474">
        <f t="shared" si="17"/>
        <v>8.2644628099173563</v>
      </c>
      <c r="L234" s="921">
        <v>10</v>
      </c>
    </row>
    <row r="235" spans="1:12" ht="15.6">
      <c r="A235" s="921" t="s">
        <v>959</v>
      </c>
      <c r="B235" s="921" t="s">
        <v>893</v>
      </c>
      <c r="C235" s="921" t="s">
        <v>1745</v>
      </c>
      <c r="D235" s="461">
        <f>(Publico!B289)</f>
        <v>8000</v>
      </c>
      <c r="E235" s="473">
        <f>ROUNDUP(($D235+($D235*Publico!L$1)),-1)</f>
        <v>8240</v>
      </c>
      <c r="F235" s="473">
        <f>ROUNDUP(($D235+($D235*Publico!L$2)),-1)</f>
        <v>9360</v>
      </c>
      <c r="G235" s="473">
        <f t="shared" si="16"/>
        <v>8000</v>
      </c>
      <c r="H235" s="473">
        <v>10</v>
      </c>
      <c r="I235" s="474">
        <f t="shared" si="18"/>
        <v>9.132231404958679</v>
      </c>
      <c r="J235" s="462">
        <f t="shared" si="21"/>
        <v>8.2644628099173563</v>
      </c>
      <c r="K235" s="474">
        <f t="shared" si="17"/>
        <v>8.2644628099173563</v>
      </c>
      <c r="L235" s="921">
        <v>10</v>
      </c>
    </row>
    <row r="236" spans="1:12" ht="15.6">
      <c r="A236" s="921" t="s">
        <v>961</v>
      </c>
      <c r="B236" s="921" t="s">
        <v>893</v>
      </c>
      <c r="C236" s="921" t="s">
        <v>1746</v>
      </c>
      <c r="D236" s="461">
        <f>(Publico!B290)</f>
        <v>12000</v>
      </c>
      <c r="E236" s="473">
        <f>ROUNDUP(($D236+($D236*Publico!L$1)),-1)</f>
        <v>12360</v>
      </c>
      <c r="F236" s="473">
        <f>ROUNDUP(($D236+($D236*Publico!L$2)),-1)</f>
        <v>14040</v>
      </c>
      <c r="G236" s="473">
        <f t="shared" si="16"/>
        <v>12000</v>
      </c>
      <c r="H236" s="473">
        <v>10</v>
      </c>
      <c r="I236" s="474">
        <f t="shared" si="18"/>
        <v>9.132231404958679</v>
      </c>
      <c r="J236" s="462">
        <f t="shared" si="21"/>
        <v>8.2644628099173563</v>
      </c>
      <c r="K236" s="474">
        <f t="shared" si="17"/>
        <v>8.2644628099173563</v>
      </c>
      <c r="L236" s="921">
        <v>10</v>
      </c>
    </row>
    <row r="237" spans="1:12" ht="15.6">
      <c r="A237" s="921" t="s">
        <v>964</v>
      </c>
      <c r="B237" s="921" t="s">
        <v>963</v>
      </c>
      <c r="C237" s="921" t="s">
        <v>965</v>
      </c>
      <c r="D237" s="461">
        <f>(Publico!D265)</f>
        <v>26600</v>
      </c>
      <c r="E237" s="473">
        <f>ROUNDUP(($D237+($D237*Publico!L$1)),-1)</f>
        <v>27400</v>
      </c>
      <c r="F237" s="473">
        <f>ROUNDUP(($D237+($D237*Publico!L$2)),-1)</f>
        <v>31130</v>
      </c>
      <c r="G237" s="473">
        <f t="shared" si="16"/>
        <v>26600</v>
      </c>
      <c r="H237" s="474">
        <v>10</v>
      </c>
      <c r="I237" s="474">
        <f t="shared" si="18"/>
        <v>9.132231404958679</v>
      </c>
      <c r="J237" s="474">
        <f t="shared" si="21"/>
        <v>8.2644628099173563</v>
      </c>
      <c r="K237" s="474">
        <f t="shared" si="17"/>
        <v>8.2644628099173563</v>
      </c>
      <c r="L237" s="451">
        <f>('Tempel - Melisam'!C9)</f>
        <v>16921.600000000002</v>
      </c>
    </row>
    <row r="238" spans="1:12" ht="15.6">
      <c r="A238" s="921" t="s">
        <v>967</v>
      </c>
      <c r="B238" s="921" t="s">
        <v>966</v>
      </c>
      <c r="C238" s="921" t="s">
        <v>968</v>
      </c>
      <c r="D238" s="461">
        <f>(Publico!D271)</f>
        <v>24200</v>
      </c>
      <c r="E238" s="473">
        <f>ROUNDUP(($D238+($D238*Publico!L$1)),-1)</f>
        <v>24930</v>
      </c>
      <c r="F238" s="473">
        <f>ROUNDUP(($D238+($D238*Publico!L$2)),-1)</f>
        <v>28320</v>
      </c>
      <c r="G238" s="473">
        <f t="shared" si="16"/>
        <v>24200</v>
      </c>
      <c r="H238" s="474">
        <f>('Tempel - Melisam'!F3)</f>
        <v>19127.68</v>
      </c>
      <c r="I238" s="474">
        <f t="shared" si="18"/>
        <v>17467.84</v>
      </c>
      <c r="J238" s="474">
        <f t="shared" si="21"/>
        <v>15808</v>
      </c>
      <c r="K238" s="474">
        <f t="shared" si="17"/>
        <v>15808</v>
      </c>
      <c r="L238" s="921">
        <f>('Tempel - Melisam'!C3)</f>
        <v>12160</v>
      </c>
    </row>
    <row r="239" spans="1:12" ht="15.6">
      <c r="A239" s="921" t="s">
        <v>969</v>
      </c>
      <c r="B239" s="921" t="s">
        <v>966</v>
      </c>
      <c r="C239" s="921" t="s">
        <v>970</v>
      </c>
      <c r="D239" s="461">
        <f>(Publico!D274)</f>
        <v>71500</v>
      </c>
      <c r="E239" s="473">
        <f>ROUNDUP(($D239+($D239*Publico!L$1)),-1)</f>
        <v>73650</v>
      </c>
      <c r="F239" s="473">
        <f>ROUNDUP(($D239+($D239*Publico!L$2)),-1)</f>
        <v>83660</v>
      </c>
      <c r="G239" s="473">
        <f t="shared" si="16"/>
        <v>71500</v>
      </c>
      <c r="H239" s="474">
        <f>('Tempel - Melisam'!F4)</f>
        <v>65235.455999999998</v>
      </c>
      <c r="I239" s="474">
        <f t="shared" si="18"/>
        <v>59574.527999999998</v>
      </c>
      <c r="J239" s="474">
        <f t="shared" si="21"/>
        <v>53913.599999999999</v>
      </c>
      <c r="K239" s="474">
        <f t="shared" si="17"/>
        <v>53913.599999999999</v>
      </c>
      <c r="L239" s="921">
        <f>('Tempel - Melisam'!C4)</f>
        <v>41472</v>
      </c>
    </row>
    <row r="240" spans="1:12" ht="15.6">
      <c r="A240" s="921" t="s">
        <v>971</v>
      </c>
      <c r="B240" s="921" t="s">
        <v>966</v>
      </c>
      <c r="C240" s="921" t="s">
        <v>972</v>
      </c>
      <c r="D240" s="461">
        <f>(Publico!D277)</f>
        <v>93500</v>
      </c>
      <c r="E240" s="473">
        <f>ROUNDUP(($D240+($D240*Publico!L$1)),-1)</f>
        <v>96310</v>
      </c>
      <c r="F240" s="473">
        <f>ROUNDUP(($D240+($D240*Publico!L$2)),-1)</f>
        <v>109400</v>
      </c>
      <c r="G240" s="473">
        <f t="shared" si="16"/>
        <v>93500</v>
      </c>
      <c r="H240" s="474">
        <f>('Tempel - Melisam'!F5)</f>
        <v>80537.599999999991</v>
      </c>
      <c r="I240" s="474">
        <f t="shared" si="18"/>
        <v>73548.800000000003</v>
      </c>
      <c r="J240" s="474">
        <f t="shared" si="21"/>
        <v>66560</v>
      </c>
      <c r="K240" s="474">
        <f t="shared" si="17"/>
        <v>66560</v>
      </c>
      <c r="L240" s="921">
        <f>('Tempel - Melisam'!C5)</f>
        <v>51200</v>
      </c>
    </row>
    <row r="241" spans="1:12" ht="15.6">
      <c r="A241" s="921" t="s">
        <v>973</v>
      </c>
      <c r="B241" s="921" t="s">
        <v>966</v>
      </c>
      <c r="C241" s="921" t="s">
        <v>974</v>
      </c>
      <c r="D241" s="461">
        <f>(Publico!D280)</f>
        <v>132000</v>
      </c>
      <c r="E241" s="473">
        <f>ROUNDUP(($D241+($D241*Publico!L$1)),-1)</f>
        <v>135960</v>
      </c>
      <c r="F241" s="473">
        <f>ROUNDUP(($D241+($D241*Publico!L$2)),-1)</f>
        <v>154440</v>
      </c>
      <c r="G241" s="473">
        <f t="shared" si="16"/>
        <v>132000</v>
      </c>
      <c r="H241" s="474">
        <f>('Tempel - Melisam'!F6)</f>
        <v>116779.51999999999</v>
      </c>
      <c r="I241" s="474">
        <f t="shared" si="18"/>
        <v>106645.75999999999</v>
      </c>
      <c r="J241" s="474">
        <f t="shared" si="21"/>
        <v>96512</v>
      </c>
      <c r="K241" s="474">
        <f t="shared" si="17"/>
        <v>96512</v>
      </c>
      <c r="L241" s="921">
        <f>('Tempel - Melisam'!C6)</f>
        <v>74240</v>
      </c>
    </row>
    <row r="242" spans="1:12" ht="15.6">
      <c r="A242" s="921" t="s">
        <v>975</v>
      </c>
      <c r="B242" s="921" t="s">
        <v>388</v>
      </c>
      <c r="C242" s="921" t="s">
        <v>1747</v>
      </c>
      <c r="D242" s="461">
        <f>(Publico!D419)</f>
        <v>315700</v>
      </c>
      <c r="E242" s="473">
        <f>ROUNDUP(($D242+($D242*Publico!L$1)),-1)</f>
        <v>325180</v>
      </c>
      <c r="F242" s="473">
        <f>ROUNDUP(($D242+($D242*Publico!L$2)),-1)</f>
        <v>369370</v>
      </c>
      <c r="G242" s="473">
        <f t="shared" si="16"/>
        <v>315700</v>
      </c>
      <c r="H242" s="474">
        <f>(Lusqtoff!H43)</f>
        <v>245967.98688000001</v>
      </c>
      <c r="I242" s="474">
        <f t="shared" si="18"/>
        <v>224623.65744000001</v>
      </c>
      <c r="J242" s="474">
        <f t="shared" si="21"/>
        <v>203279.32800000001</v>
      </c>
      <c r="K242" s="474">
        <f t="shared" si="17"/>
        <v>203279.32800000001</v>
      </c>
      <c r="L242" s="921">
        <f>(Lusqtoff!F43)</f>
        <v>149385.60000000001</v>
      </c>
    </row>
    <row r="243" spans="1:12" ht="15.6">
      <c r="A243" s="921" t="s">
        <v>976</v>
      </c>
      <c r="B243" s="921" t="s">
        <v>388</v>
      </c>
      <c r="C243" s="921" t="s">
        <v>1748</v>
      </c>
      <c r="D243" s="461">
        <f>(Lusqtoff!U42)</f>
        <v>41200</v>
      </c>
      <c r="E243" s="473">
        <f>ROUNDUP(($D243+($D243*Publico!L$1)),-1)</f>
        <v>42440</v>
      </c>
      <c r="F243" s="473">
        <f>ROUNDUP(($D243+($D243*Publico!L$2)),-1)</f>
        <v>48210</v>
      </c>
      <c r="G243" s="473">
        <f t="shared" si="16"/>
        <v>41200</v>
      </c>
      <c r="H243" s="474">
        <f>(Lusqtoff!H42)</f>
        <v>40409.026415999993</v>
      </c>
      <c r="I243" s="474">
        <f t="shared" si="18"/>
        <v>36902.458007999994</v>
      </c>
      <c r="J243" s="474">
        <f t="shared" si="21"/>
        <v>33395.889599999995</v>
      </c>
      <c r="K243" s="474">
        <f t="shared" si="17"/>
        <v>33395.889599999995</v>
      </c>
      <c r="L243" s="921">
        <f>(Lusqtoff!F42)</f>
        <v>24541.919999999998</v>
      </c>
    </row>
    <row r="244" spans="1:12" ht="15.6">
      <c r="A244" s="921" t="s">
        <v>457</v>
      </c>
      <c r="B244" s="921" t="s">
        <v>388</v>
      </c>
      <c r="C244" s="921" t="s">
        <v>1749</v>
      </c>
      <c r="D244" s="461">
        <f>(Lusqtoff!U53)</f>
        <v>169600</v>
      </c>
      <c r="E244" s="473">
        <f>ROUNDUP(($D244+($D244*Publico!L$1)),-1)</f>
        <v>174690</v>
      </c>
      <c r="F244" s="473">
        <f>ROUNDUP(($D244+($D244*Publico!L$2)),-1)</f>
        <v>198440</v>
      </c>
      <c r="G244" s="473">
        <f t="shared" si="16"/>
        <v>169600</v>
      </c>
      <c r="H244" s="474">
        <f>(Lusqtoff!H53)</f>
        <v>144066.96374399998</v>
      </c>
      <c r="I244" s="474">
        <f t="shared" si="18"/>
        <v>131565.285072</v>
      </c>
      <c r="J244" s="474">
        <f t="shared" si="21"/>
        <v>119063.60639999999</v>
      </c>
      <c r="K244" s="474">
        <f t="shared" si="17"/>
        <v>119063.60639999999</v>
      </c>
      <c r="L244" s="921">
        <f>(Lusqtoff!F53)</f>
        <v>87497.279999999999</v>
      </c>
    </row>
    <row r="245" spans="1:12" ht="15.6">
      <c r="A245" s="921" t="s">
        <v>1750</v>
      </c>
      <c r="B245" s="921" t="s">
        <v>388</v>
      </c>
      <c r="C245" s="921" t="s">
        <v>1751</v>
      </c>
      <c r="D245" s="461">
        <f>(Publico!D380)</f>
        <v>52200</v>
      </c>
      <c r="E245" s="473">
        <f>ROUNDUP(($D245+($D245*Publico!L$1)),-1)</f>
        <v>53770</v>
      </c>
      <c r="F245" s="473">
        <f>ROUNDUP(($D245+($D245*Publico!L$2)),-1)</f>
        <v>61080</v>
      </c>
      <c r="G245" s="473">
        <f t="shared" si="16"/>
        <v>52200</v>
      </c>
      <c r="H245" s="474">
        <f>(Lusqtoff!H33)</f>
        <v>37672.623999999996</v>
      </c>
      <c r="I245" s="474">
        <f t="shared" si="18"/>
        <v>34403.511999999995</v>
      </c>
      <c r="J245" s="474">
        <f t="shared" si="21"/>
        <v>31134.399999999998</v>
      </c>
      <c r="K245" s="474">
        <f t="shared" si="17"/>
        <v>31134.399999999998</v>
      </c>
      <c r="L245" s="921">
        <f>(Lusqtoff!F33)</f>
        <v>22880.000000000004</v>
      </c>
    </row>
    <row r="246" spans="1:12" ht="15.6">
      <c r="A246" s="921" t="s">
        <v>1752</v>
      </c>
      <c r="B246" s="921" t="s">
        <v>388</v>
      </c>
      <c r="C246" s="921">
        <v>100648</v>
      </c>
      <c r="D246" s="461">
        <f>(Publico!D407)</f>
        <v>47200</v>
      </c>
      <c r="E246" s="473">
        <f>ROUNDUP(($D246+($D246*Publico!L$1)),-1)</f>
        <v>48620</v>
      </c>
      <c r="F246" s="473">
        <f>ROUNDUP(($D246+($D246*Publico!L$2)),-1)</f>
        <v>55230</v>
      </c>
      <c r="G246" s="473">
        <f t="shared" si="16"/>
        <v>47200</v>
      </c>
      <c r="H246" s="474">
        <f>(Lusqtoff!H22)</f>
        <v>43441.244550000003</v>
      </c>
      <c r="I246" s="474">
        <f t="shared" si="18"/>
        <v>39671.549774999999</v>
      </c>
      <c r="J246" s="474">
        <f t="shared" si="21"/>
        <v>35901.855000000003</v>
      </c>
      <c r="K246" s="474">
        <f t="shared" si="17"/>
        <v>35901.855000000003</v>
      </c>
      <c r="L246" s="921">
        <f>(Lusqtoff!F22)</f>
        <v>26383.500000000004</v>
      </c>
    </row>
    <row r="247" spans="1:12" ht="15.6">
      <c r="A247" s="921" t="s">
        <v>980</v>
      </c>
      <c r="B247" s="921" t="s">
        <v>914</v>
      </c>
      <c r="C247" s="921" t="s">
        <v>981</v>
      </c>
      <c r="D247" s="461">
        <f>('Terminales - Liquimoly - Bari'!O8)</f>
        <v>3100</v>
      </c>
      <c r="E247" s="473">
        <f>ROUNDUP(($D247+($D247*Publico!L$1)),-1)</f>
        <v>3200</v>
      </c>
      <c r="F247" s="473">
        <f>ROUNDUP(($D247+($D247*Publico!L$2)),-1)</f>
        <v>3630</v>
      </c>
      <c r="G247" s="473">
        <f t="shared" si="16"/>
        <v>3100</v>
      </c>
      <c r="H247" s="474">
        <f>('Terminales - Liquimoly - Bari'!G8)</f>
        <v>2012.4719999999998</v>
      </c>
      <c r="I247" s="474">
        <f t="shared" si="18"/>
        <v>1837.8359999999998</v>
      </c>
      <c r="J247" s="474">
        <f t="shared" si="21"/>
        <v>1663.1999999999998</v>
      </c>
      <c r="K247" s="474">
        <f t="shared" si="17"/>
        <v>1663.1999999999998</v>
      </c>
      <c r="L247" s="921">
        <f>('Terminales - Liquimoly - Bari'!D8)</f>
        <v>1108.8</v>
      </c>
    </row>
    <row r="248" spans="1:12" ht="15.6">
      <c r="A248" s="921" t="s">
        <v>982</v>
      </c>
      <c r="B248" s="921" t="s">
        <v>914</v>
      </c>
      <c r="C248" s="921" t="s">
        <v>983</v>
      </c>
      <c r="D248" s="461">
        <f>('Terminales - Liquimoly - Bari'!O9)</f>
        <v>10400</v>
      </c>
      <c r="E248" s="473">
        <f>ROUNDUP(($D248+($D248*Publico!L$1)),-1)</f>
        <v>10720</v>
      </c>
      <c r="F248" s="473">
        <f>ROUNDUP(($D248+($D248*Publico!L$2)),-1)</f>
        <v>12170</v>
      </c>
      <c r="G248" s="473">
        <f t="shared" si="16"/>
        <v>10400</v>
      </c>
      <c r="H248" s="474">
        <f>('Terminales - Liquimoly - Bari'!G9)</f>
        <v>8018.8515000000007</v>
      </c>
      <c r="I248" s="474">
        <f t="shared" si="18"/>
        <v>7323.0007500000002</v>
      </c>
      <c r="J248" s="474">
        <f t="shared" si="21"/>
        <v>6627.1500000000005</v>
      </c>
      <c r="K248" s="474">
        <f t="shared" si="17"/>
        <v>6627.1500000000005</v>
      </c>
      <c r="L248" s="921">
        <f>('Terminales - Liquimoly - Bari'!D9)</f>
        <v>4418.1000000000004</v>
      </c>
    </row>
    <row r="249" spans="1:12" ht="15.6">
      <c r="A249" s="921" t="s">
        <v>984</v>
      </c>
      <c r="B249" s="921" t="s">
        <v>588</v>
      </c>
      <c r="C249" s="921" t="s">
        <v>985</v>
      </c>
      <c r="D249" s="461">
        <v>10</v>
      </c>
      <c r="E249" s="473">
        <f>ROUNDUP(($D249+($D249*Publico!L$1)),-1)</f>
        <v>20</v>
      </c>
      <c r="F249" s="473">
        <f>ROUNDUP(($D249+($D249*Publico!L$2)),-1)</f>
        <v>20</v>
      </c>
      <c r="G249" s="473">
        <f t="shared" si="16"/>
        <v>10</v>
      </c>
      <c r="H249" s="474">
        <v>10</v>
      </c>
      <c r="I249" s="474">
        <f t="shared" si="18"/>
        <v>9.132231404958679</v>
      </c>
      <c r="J249" s="474">
        <f t="shared" si="21"/>
        <v>8.2644628099173563</v>
      </c>
      <c r="K249" s="474">
        <f t="shared" si="17"/>
        <v>8.2644628099173563</v>
      </c>
      <c r="L249" s="921">
        <v>10</v>
      </c>
    </row>
    <row r="250" spans="1:12" ht="15.6">
      <c r="A250" s="921" t="s">
        <v>986</v>
      </c>
      <c r="B250" s="921" t="s">
        <v>588</v>
      </c>
      <c r="C250" s="921" t="s">
        <v>987</v>
      </c>
      <c r="D250" s="461">
        <f>('Optima - Pioneiro'!N24)</f>
        <v>404000</v>
      </c>
      <c r="E250" s="473">
        <f>ROUNDUP(($D250+($D250*Publico!L$1)),-1)</f>
        <v>416120</v>
      </c>
      <c r="F250" s="473">
        <f>ROUNDUP(($D250+($D250*Publico!L$2)),-1)</f>
        <v>472680</v>
      </c>
      <c r="G250" s="473">
        <f t="shared" si="16"/>
        <v>404000</v>
      </c>
      <c r="H250" s="474">
        <v>10</v>
      </c>
      <c r="I250" s="474">
        <f t="shared" si="18"/>
        <v>9.132231404958679</v>
      </c>
      <c r="J250" s="474">
        <f t="shared" si="21"/>
        <v>8.2644628099173563</v>
      </c>
      <c r="K250" s="474">
        <f t="shared" si="17"/>
        <v>8.2644628099173563</v>
      </c>
      <c r="L250" s="921">
        <v>145427.04</v>
      </c>
    </row>
    <row r="251" spans="1:12" ht="15.6">
      <c r="A251" s="921" t="s">
        <v>385</v>
      </c>
      <c r="B251" s="921" t="s">
        <v>388</v>
      </c>
      <c r="C251" s="921">
        <v>19282</v>
      </c>
      <c r="D251" s="461">
        <f>(Publico!D426)</f>
        <v>43000</v>
      </c>
      <c r="E251" s="473">
        <f>ROUNDUP(($D251+($D251*Publico!L$1)),-1)</f>
        <v>44290</v>
      </c>
      <c r="F251" s="473">
        <f>ROUNDUP(($D251+($D251*Publico!L$2)),-1)</f>
        <v>50310</v>
      </c>
      <c r="G251" s="473">
        <f t="shared" si="16"/>
        <v>43000</v>
      </c>
      <c r="H251" s="474">
        <f>(Lusqtoff!H13)</f>
        <v>31329.47881008</v>
      </c>
      <c r="I251" s="474">
        <f t="shared" si="18"/>
        <v>28610.805029040002</v>
      </c>
      <c r="J251" s="474">
        <f t="shared" si="21"/>
        <v>25892.131248000002</v>
      </c>
      <c r="K251" s="474">
        <f t="shared" si="17"/>
        <v>25892.131248000002</v>
      </c>
      <c r="L251" s="921">
        <f>(Lusqtoff!F13)</f>
        <v>19027.569599999999</v>
      </c>
    </row>
    <row r="252" spans="1:12" ht="15.6">
      <c r="A252" s="921" t="s">
        <v>989</v>
      </c>
      <c r="B252" s="921" t="s">
        <v>988</v>
      </c>
      <c r="C252" s="921" t="s">
        <v>990</v>
      </c>
      <c r="D252" s="461">
        <f>(Publico!D277)</f>
        <v>93500</v>
      </c>
      <c r="E252" s="473">
        <f>ROUNDUP(($D252+($D252*Publico!L$1)),-1)</f>
        <v>96310</v>
      </c>
      <c r="F252" s="473">
        <f>ROUNDUP(($D252+($D252*Publico!L$2)),-1)</f>
        <v>109400</v>
      </c>
      <c r="G252" s="473">
        <f t="shared" si="16"/>
        <v>93500</v>
      </c>
      <c r="H252" s="474">
        <v>10</v>
      </c>
      <c r="I252" s="474">
        <f t="shared" si="18"/>
        <v>9.132231404958679</v>
      </c>
      <c r="J252" s="474">
        <f t="shared" si="21"/>
        <v>8.2644628099173563</v>
      </c>
      <c r="K252" s="474">
        <f t="shared" si="17"/>
        <v>8.2644628099173563</v>
      </c>
      <c r="L252" s="921">
        <v>10</v>
      </c>
    </row>
    <row r="253" spans="1:12" ht="15.6">
      <c r="A253" s="921" t="s">
        <v>991</v>
      </c>
      <c r="B253" s="921" t="s">
        <v>388</v>
      </c>
      <c r="C253" s="921" t="s">
        <v>1753</v>
      </c>
      <c r="D253" s="461">
        <f>(Publico!D397)</f>
        <v>164700</v>
      </c>
      <c r="E253" s="473">
        <f>ROUNDUP(($D253+($D253*Publico!L$1)),-1)</f>
        <v>169650</v>
      </c>
      <c r="F253" s="473">
        <f>ROUNDUP(($D253+($D253*Publico!L$2)),-1)</f>
        <v>192700</v>
      </c>
      <c r="G253" s="473">
        <f t="shared" si="16"/>
        <v>164700</v>
      </c>
      <c r="H253" s="474">
        <f>(Lusqtoff!H52)</f>
        <v>138796.22116799999</v>
      </c>
      <c r="I253" s="474">
        <f t="shared" si="18"/>
        <v>126751.92098399998</v>
      </c>
      <c r="J253" s="474">
        <f t="shared" si="21"/>
        <v>114707.62079999999</v>
      </c>
      <c r="K253" s="474">
        <f t="shared" si="17"/>
        <v>114707.62079999999</v>
      </c>
      <c r="L253" s="921">
        <f>(Lusqtoff!F52)</f>
        <v>84296.159999999989</v>
      </c>
    </row>
    <row r="254" spans="1:12" ht="15.6">
      <c r="A254" s="921" t="s">
        <v>992</v>
      </c>
      <c r="B254" s="921" t="s">
        <v>306</v>
      </c>
      <c r="C254" s="921" t="s">
        <v>301</v>
      </c>
      <c r="D254" s="461">
        <f>(Novelbat!U16)</f>
        <v>39000</v>
      </c>
      <c r="E254" s="473">
        <f>ROUNDUP(($D254+($D254*Publico!L$1)),-1)</f>
        <v>40170</v>
      </c>
      <c r="F254" s="473">
        <f>ROUNDUP(($D254+($D254*Publico!L$2)),-1)</f>
        <v>45630</v>
      </c>
      <c r="G254" s="473">
        <f t="shared" si="16"/>
        <v>39000</v>
      </c>
      <c r="H254" s="474">
        <v>10</v>
      </c>
      <c r="I254" s="474">
        <f t="shared" si="18"/>
        <v>9.132231404958679</v>
      </c>
      <c r="J254" s="474">
        <f t="shared" si="21"/>
        <v>8.2644628099173563</v>
      </c>
      <c r="K254" s="474">
        <f t="shared" si="17"/>
        <v>8.2644628099173563</v>
      </c>
      <c r="L254" s="456">
        <f>(Moto!E27)</f>
        <v>29942.690909090907</v>
      </c>
    </row>
    <row r="255" spans="1:12" ht="15.6">
      <c r="A255" s="921" t="s">
        <v>993</v>
      </c>
      <c r="B255" s="921" t="s">
        <v>588</v>
      </c>
      <c r="C255" s="921" t="s">
        <v>1754</v>
      </c>
      <c r="D255" s="461">
        <f>(Publico!D278)</f>
        <v>136300</v>
      </c>
      <c r="E255" s="473">
        <f>ROUNDUP(($D255+($D255*Publico!L$1)),-1)</f>
        <v>140390</v>
      </c>
      <c r="F255" s="473">
        <f>ROUNDUP(($D255+($D255*Publico!L$2)),-1)</f>
        <v>159480</v>
      </c>
      <c r="G255" s="473">
        <f t="shared" si="16"/>
        <v>136300</v>
      </c>
      <c r="H255" s="474">
        <v>10</v>
      </c>
      <c r="I255" s="474">
        <f t="shared" si="18"/>
        <v>9.132231404958679</v>
      </c>
      <c r="J255" s="474">
        <f t="shared" si="21"/>
        <v>8.2644628099173563</v>
      </c>
      <c r="K255" s="474">
        <f t="shared" si="17"/>
        <v>8.2644628099173563</v>
      </c>
      <c r="L255" s="921">
        <v>47011</v>
      </c>
    </row>
    <row r="256" spans="1:12" ht="15.6">
      <c r="A256" s="921" t="s">
        <v>995</v>
      </c>
      <c r="B256" s="921" t="s">
        <v>772</v>
      </c>
      <c r="C256" s="921" t="s">
        <v>1755</v>
      </c>
      <c r="D256" s="461">
        <f>(Novelbat!U4)</f>
        <v>32400</v>
      </c>
      <c r="E256" s="473">
        <f>ROUNDUP(($D256+($D256*Publico!L$1)),-1)</f>
        <v>33380</v>
      </c>
      <c r="F256" s="473">
        <f>ROUNDUP(($D256+($D256*Publico!L$2)),-1)</f>
        <v>37910</v>
      </c>
      <c r="G256" s="473">
        <f t="shared" si="16"/>
        <v>32400</v>
      </c>
      <c r="H256" s="474">
        <v>10</v>
      </c>
      <c r="I256" s="474">
        <f t="shared" si="18"/>
        <v>9.132231404958679</v>
      </c>
      <c r="J256" s="474">
        <f t="shared" si="21"/>
        <v>8.2644628099173563</v>
      </c>
      <c r="K256" s="474">
        <f t="shared" si="17"/>
        <v>8.2644628099173563</v>
      </c>
      <c r="L256" s="921">
        <v>10</v>
      </c>
    </row>
    <row r="257" spans="1:12" ht="15.6">
      <c r="A257" s="921" t="s">
        <v>1756</v>
      </c>
      <c r="B257" s="921" t="s">
        <v>997</v>
      </c>
      <c r="C257" s="921" t="s">
        <v>189</v>
      </c>
      <c r="D257" s="461">
        <v>10</v>
      </c>
      <c r="E257" s="473">
        <f>ROUNDUP(($D257+($D257*Publico!L$1)),-1)</f>
        <v>20</v>
      </c>
      <c r="F257" s="473">
        <f>ROUNDUP(($D257+($D257*Publico!L$2)),-1)</f>
        <v>20</v>
      </c>
      <c r="G257" s="473">
        <f t="shared" si="16"/>
        <v>10</v>
      </c>
      <c r="H257" s="474">
        <v>10</v>
      </c>
      <c r="I257" s="474">
        <f t="shared" si="18"/>
        <v>9.132231404958679</v>
      </c>
      <c r="J257" s="474">
        <f t="shared" si="21"/>
        <v>8.2644628099173563</v>
      </c>
      <c r="K257" s="474">
        <f t="shared" si="17"/>
        <v>8.2644628099173563</v>
      </c>
      <c r="L257" s="921">
        <v>10</v>
      </c>
    </row>
    <row r="258" spans="1:12" ht="15.6">
      <c r="A258" s="921" t="s">
        <v>1757</v>
      </c>
      <c r="B258" s="921" t="s">
        <v>308</v>
      </c>
      <c r="C258" s="921" t="s">
        <v>1446</v>
      </c>
      <c r="D258" s="461">
        <f>(Moura!AB33)</f>
        <v>377000</v>
      </c>
      <c r="E258" s="473">
        <f>ROUNDUP(($D258+($D258*Publico!L$1)),-1)</f>
        <v>388310</v>
      </c>
      <c r="F258" s="473">
        <f>(Publico!B58)</f>
        <v>435708</v>
      </c>
      <c r="G258" s="473">
        <f t="shared" si="16"/>
        <v>377000</v>
      </c>
      <c r="H258" s="474">
        <f>(Moura!H33)</f>
        <v>298227.08370000002</v>
      </c>
      <c r="I258" s="474">
        <f t="shared" si="18"/>
        <v>272347.87395743805</v>
      </c>
      <c r="J258" s="474">
        <f t="shared" si="21"/>
        <v>246468.66421487604</v>
      </c>
      <c r="K258" s="474">
        <f t="shared" si="17"/>
        <v>246468.66421487604</v>
      </c>
      <c r="L258" s="456">
        <f>(Moura!F33)</f>
        <v>189591.28016528927</v>
      </c>
    </row>
    <row r="259" spans="1:12" ht="15.6">
      <c r="A259" s="921" t="s">
        <v>1002</v>
      </c>
      <c r="B259" s="921" t="s">
        <v>772</v>
      </c>
      <c r="C259" s="921" t="s">
        <v>1003</v>
      </c>
      <c r="D259" s="461">
        <f>(Novelbat!U23)</f>
        <v>70050</v>
      </c>
      <c r="E259" s="473">
        <f>ROUNDUP(($D259+($D259*Publico!L$1)),-1)</f>
        <v>72160</v>
      </c>
      <c r="F259" s="473">
        <f>ROUNDUP(($D259+($D259*Publico!L$2)),-1)</f>
        <v>81960</v>
      </c>
      <c r="G259" s="473">
        <f t="shared" ref="G259:G322" si="22">(D259)</f>
        <v>70050</v>
      </c>
      <c r="H259" s="474">
        <v>10</v>
      </c>
      <c r="I259" s="474">
        <f t="shared" si="18"/>
        <v>9.132231404958679</v>
      </c>
      <c r="J259" s="474">
        <f t="shared" si="21"/>
        <v>8.2644628099173563</v>
      </c>
      <c r="K259" s="474">
        <f t="shared" ref="K259:K322" si="23">(J259)</f>
        <v>8.2644628099173563</v>
      </c>
      <c r="L259" s="921">
        <v>10</v>
      </c>
    </row>
    <row r="260" spans="1:12" ht="15.6">
      <c r="A260" s="921" t="s">
        <v>1004</v>
      </c>
      <c r="B260" s="921" t="s">
        <v>772</v>
      </c>
      <c r="C260" s="921" t="s">
        <v>1005</v>
      </c>
      <c r="D260" s="461">
        <f>(Novelbat!U24)</f>
        <v>76350</v>
      </c>
      <c r="E260" s="473">
        <f>ROUNDUP(($D260+($D260*Publico!L$1)),-1)</f>
        <v>78650</v>
      </c>
      <c r="F260" s="473">
        <f>ROUNDUP(($D260+($D260*Publico!L$2)),-1)</f>
        <v>89330</v>
      </c>
      <c r="G260" s="473">
        <f t="shared" si="22"/>
        <v>76350</v>
      </c>
      <c r="H260" s="474">
        <v>10</v>
      </c>
      <c r="I260" s="474">
        <f t="shared" si="18"/>
        <v>9.132231404958679</v>
      </c>
      <c r="J260" s="474">
        <f t="shared" si="21"/>
        <v>8.2644628099173563</v>
      </c>
      <c r="K260" s="474">
        <f t="shared" si="23"/>
        <v>8.2644628099173563</v>
      </c>
      <c r="L260" s="921">
        <v>10</v>
      </c>
    </row>
    <row r="261" spans="1:12" ht="15.6">
      <c r="A261" s="921" t="s">
        <v>1006</v>
      </c>
      <c r="B261" s="921" t="s">
        <v>588</v>
      </c>
      <c r="C261" s="921" t="s">
        <v>1007</v>
      </c>
      <c r="D261" s="461">
        <f>(Publico!D275)</f>
        <v>82650</v>
      </c>
      <c r="E261" s="473">
        <f>ROUNDUP(($D261+($D261*Publico!L$1)),-1)</f>
        <v>85130</v>
      </c>
      <c r="F261" s="473">
        <f>ROUNDUP(($D261+($D261*Publico!L$2)),-1)</f>
        <v>96710</v>
      </c>
      <c r="G261" s="473">
        <f t="shared" si="22"/>
        <v>82650</v>
      </c>
      <c r="H261" s="474">
        <v>10</v>
      </c>
      <c r="I261" s="474">
        <f t="shared" si="18"/>
        <v>9.132231404958679</v>
      </c>
      <c r="J261" s="474">
        <f t="shared" si="21"/>
        <v>8.2644628099173563</v>
      </c>
      <c r="K261" s="474">
        <f t="shared" si="23"/>
        <v>8.2644628099173563</v>
      </c>
      <c r="L261" s="921">
        <v>27189</v>
      </c>
    </row>
    <row r="262" spans="1:12" ht="15.6">
      <c r="A262" s="921" t="s">
        <v>1008</v>
      </c>
      <c r="B262" s="921" t="s">
        <v>588</v>
      </c>
      <c r="C262" s="921" t="s">
        <v>1009</v>
      </c>
      <c r="D262" s="461">
        <f>('Willard - Elpra'!Z22)</f>
        <v>365450</v>
      </c>
      <c r="E262" s="473">
        <f>ROUNDUP(($D262+($D262*Publico!L$1)),-1)</f>
        <v>376420</v>
      </c>
      <c r="F262" s="473">
        <f>ROUNDUP(($D262+($D262*Publico!L$2)),-1)</f>
        <v>427580</v>
      </c>
      <c r="G262" s="473">
        <f t="shared" si="22"/>
        <v>365450</v>
      </c>
      <c r="H262" s="474">
        <v>10</v>
      </c>
      <c r="I262" s="474">
        <f t="shared" si="18"/>
        <v>9.132231404958679</v>
      </c>
      <c r="J262" s="474">
        <f t="shared" si="21"/>
        <v>8.2644628099173563</v>
      </c>
      <c r="K262" s="474">
        <f t="shared" si="23"/>
        <v>8.2644628099173563</v>
      </c>
      <c r="L262" s="921">
        <v>200605</v>
      </c>
    </row>
    <row r="263" spans="1:12" ht="15.6">
      <c r="A263" s="921" t="s">
        <v>1010</v>
      </c>
      <c r="B263" s="921" t="s">
        <v>588</v>
      </c>
      <c r="C263" s="921" t="s">
        <v>1011</v>
      </c>
      <c r="D263" s="461">
        <f>('Willard - Elpra'!Z23)</f>
        <v>454300</v>
      </c>
      <c r="E263" s="473">
        <f>ROUNDUP(($D263+($D263*Publico!L$1)),-1)</f>
        <v>467930</v>
      </c>
      <c r="F263" s="473">
        <f>ROUNDUP(($D263+($D263*Publico!L$2)),-1)</f>
        <v>531540</v>
      </c>
      <c r="G263" s="473">
        <f t="shared" si="22"/>
        <v>454300</v>
      </c>
      <c r="H263" s="474">
        <v>10</v>
      </c>
      <c r="I263" s="474">
        <f t="shared" si="18"/>
        <v>9.132231404958679</v>
      </c>
      <c r="J263" s="474">
        <f t="shared" si="21"/>
        <v>8.2644628099173563</v>
      </c>
      <c r="K263" s="474">
        <f t="shared" si="23"/>
        <v>8.2644628099173563</v>
      </c>
      <c r="L263" s="921">
        <v>294150</v>
      </c>
    </row>
    <row r="264" spans="1:12" ht="15.6">
      <c r="A264" s="921" t="s">
        <v>1758</v>
      </c>
      <c r="B264" s="921" t="s">
        <v>893</v>
      </c>
      <c r="C264" s="921" t="s">
        <v>1759</v>
      </c>
      <c r="D264" s="461">
        <f>(Publico!D436)</f>
        <v>55800</v>
      </c>
      <c r="E264" s="473">
        <f>ROUNDUP(($D264+($D264*Publico!L$1)),-1)</f>
        <v>57480</v>
      </c>
      <c r="F264" s="473">
        <f>ROUNDUP(($D264+($D264*Publico!L$2)),-1)</f>
        <v>65290</v>
      </c>
      <c r="G264" s="473">
        <f t="shared" si="22"/>
        <v>55800</v>
      </c>
      <c r="H264" s="474">
        <v>10</v>
      </c>
      <c r="I264" s="474">
        <f t="shared" si="18"/>
        <v>9.132231404958679</v>
      </c>
      <c r="J264" s="474">
        <f t="shared" si="21"/>
        <v>8.2644628099173563</v>
      </c>
      <c r="K264" s="474">
        <f t="shared" si="23"/>
        <v>8.2644628099173563</v>
      </c>
      <c r="L264" s="921">
        <f>('Willard - Elpra'!D29)</f>
        <v>35510</v>
      </c>
    </row>
    <row r="265" spans="1:12" ht="15.6">
      <c r="A265" s="921" t="s">
        <v>1012</v>
      </c>
      <c r="B265" s="921" t="s">
        <v>651</v>
      </c>
      <c r="C265" s="921" t="s">
        <v>1760</v>
      </c>
      <c r="D265" s="461">
        <f>('Willard - Elpra'!AE8)</f>
        <v>144850</v>
      </c>
      <c r="E265" s="473">
        <f>ROUNDUP(($D265+($D265*Publico!L$1)),-1)</f>
        <v>149200</v>
      </c>
      <c r="F265" s="473">
        <f>ROUNDUP(($D265+($D265*Publico!L$2)),-1)</f>
        <v>169480</v>
      </c>
      <c r="G265" s="473">
        <f t="shared" si="22"/>
        <v>144850</v>
      </c>
      <c r="H265" s="474">
        <f>('Willard - Elpra'!K8)</f>
        <v>123259.44292199997</v>
      </c>
      <c r="I265" s="474">
        <f>(J265*1.105)</f>
        <v>112563.37556099998</v>
      </c>
      <c r="J265" s="474">
        <f t="shared" si="21"/>
        <v>101867.30819999998</v>
      </c>
      <c r="K265" s="474">
        <f t="shared" si="23"/>
        <v>101867.30819999998</v>
      </c>
      <c r="L265" s="456">
        <f>('Willard - Elpra'!H8)</f>
        <v>78119.36595539999</v>
      </c>
    </row>
    <row r="266" spans="1:12" ht="15.6">
      <c r="A266" s="921" t="s">
        <v>1014</v>
      </c>
      <c r="B266" s="921" t="s">
        <v>651</v>
      </c>
      <c r="C266" s="921" t="s">
        <v>1761</v>
      </c>
      <c r="D266" s="461">
        <f>('Willard - Elpra'!AE9)</f>
        <v>174850</v>
      </c>
      <c r="E266" s="473">
        <f>ROUNDUP(($D266+($D266*Publico!L$1)),-1)</f>
        <v>180100</v>
      </c>
      <c r="F266" s="473">
        <f>ROUNDUP(($D266+($D266*Publico!L$2)),-1)</f>
        <v>204580</v>
      </c>
      <c r="G266" s="473">
        <f t="shared" si="22"/>
        <v>174850</v>
      </c>
      <c r="H266" s="474">
        <f>('Willard - Elpra'!K9)</f>
        <v>152937.83504999999</v>
      </c>
      <c r="I266" s="474">
        <f>(J266*1.105)</f>
        <v>139666.37002499998</v>
      </c>
      <c r="J266" s="474">
        <f t="shared" si="21"/>
        <v>126394.905</v>
      </c>
      <c r="K266" s="474">
        <f t="shared" si="23"/>
        <v>126394.905</v>
      </c>
      <c r="L266" s="456">
        <f>('Willard - Elpra'!H9)</f>
        <v>94861.592906849997</v>
      </c>
    </row>
    <row r="267" spans="1:12" ht="15.6">
      <c r="A267" s="921" t="s">
        <v>1762</v>
      </c>
      <c r="B267" s="921" t="s">
        <v>388</v>
      </c>
      <c r="C267" s="921">
        <v>18200</v>
      </c>
      <c r="D267" s="461">
        <f>(Publico!D418)</f>
        <v>65800</v>
      </c>
      <c r="E267" s="473">
        <f>ROUNDUP(($D267+($D267*Publico!L$1)),-1)</f>
        <v>67780</v>
      </c>
      <c r="F267" s="473">
        <f>ROUNDUP(($D267+($D267*Publico!L$2)),-1)</f>
        <v>76990</v>
      </c>
      <c r="G267" s="473">
        <f t="shared" si="22"/>
        <v>65800</v>
      </c>
      <c r="H267" s="474">
        <f>(Lusqtoff!H12)</f>
        <v>56745.674193999992</v>
      </c>
      <c r="I267" s="474">
        <f t="shared" ref="I267:I328" si="24">(J267*1.105)</f>
        <v>51821.462796999993</v>
      </c>
      <c r="J267" s="474">
        <f t="shared" si="21"/>
        <v>46897.251399999994</v>
      </c>
      <c r="K267" s="474">
        <f t="shared" si="23"/>
        <v>46897.251399999994</v>
      </c>
      <c r="L267" s="921">
        <f>(Lusqtoff!F12)</f>
        <v>34463.78</v>
      </c>
    </row>
    <row r="268" spans="1:12" ht="15.6">
      <c r="A268" s="921" t="s">
        <v>1763</v>
      </c>
      <c r="B268" s="921" t="s">
        <v>388</v>
      </c>
      <c r="C268" s="921">
        <v>20220</v>
      </c>
      <c r="D268" s="461">
        <f>(Lusqtoff!U11)</f>
        <v>16450</v>
      </c>
      <c r="E268" s="473">
        <f>ROUNDUP(($D268+($D268*Publico!L$1)),-1)</f>
        <v>16950</v>
      </c>
      <c r="F268" s="473">
        <f>ROUNDUP(($D268+($D268*Publico!L$2)),-1)</f>
        <v>19250</v>
      </c>
      <c r="G268" s="473">
        <f t="shared" si="22"/>
        <v>16450</v>
      </c>
      <c r="H268" s="474">
        <f>(Lusqtoff!H11)</f>
        <v>15445.775839999998</v>
      </c>
      <c r="I268" s="474">
        <f t="shared" si="24"/>
        <v>14105.439919999999</v>
      </c>
      <c r="J268" s="474">
        <f t="shared" si="21"/>
        <v>12765.103999999999</v>
      </c>
      <c r="K268" s="474">
        <f t="shared" si="23"/>
        <v>12765.103999999999</v>
      </c>
      <c r="L268" s="921">
        <f>(Lusqtoff!F11)</f>
        <v>9380.8000000000011</v>
      </c>
    </row>
    <row r="269" spans="1:12" ht="15.6">
      <c r="A269" s="921" t="s">
        <v>1018</v>
      </c>
      <c r="B269" s="921" t="s">
        <v>388</v>
      </c>
      <c r="C269" s="921" t="s">
        <v>1764</v>
      </c>
      <c r="D269" s="461">
        <f>(Lusqtoff!U30)</f>
        <v>295200</v>
      </c>
      <c r="E269" s="473">
        <f>ROUNDUP(($D269+($D269*Publico!L$1)),-1)</f>
        <v>304060</v>
      </c>
      <c r="F269" s="473">
        <f>ROUNDUP(($D269+($D269*Publico!L$2)),-1)</f>
        <v>345390</v>
      </c>
      <c r="G269" s="473">
        <f t="shared" si="22"/>
        <v>295200</v>
      </c>
      <c r="H269" s="474">
        <f>(Lusqtoff!H30)</f>
        <v>256509.47203199999</v>
      </c>
      <c r="I269" s="474">
        <f t="shared" si="24"/>
        <v>234250.38561600001</v>
      </c>
      <c r="J269" s="474">
        <f t="shared" si="21"/>
        <v>211991.29920000001</v>
      </c>
      <c r="K269" s="474">
        <f t="shared" si="23"/>
        <v>211991.29920000001</v>
      </c>
      <c r="L269" s="921">
        <f>(Lusqtoff!F30)</f>
        <v>155787.84</v>
      </c>
    </row>
    <row r="270" spans="1:12" ht="15.6">
      <c r="A270" s="921" t="s">
        <v>445</v>
      </c>
      <c r="B270" s="921" t="s">
        <v>388</v>
      </c>
      <c r="C270" s="921" t="s">
        <v>1765</v>
      </c>
      <c r="D270" s="461">
        <f>(Publico!D392)</f>
        <v>173600</v>
      </c>
      <c r="E270" s="473">
        <f>ROUNDUP(($D270+($D270*Publico!L$1)),-1)</f>
        <v>178810</v>
      </c>
      <c r="F270" s="473">
        <f>ROUNDUP(($D270+($D270*Publico!L$2)),-1)</f>
        <v>203120</v>
      </c>
      <c r="G270" s="473">
        <f t="shared" si="22"/>
        <v>173600</v>
      </c>
      <c r="H270" s="474">
        <f>(Lusqtoff!H46)</f>
        <v>147580.79212799997</v>
      </c>
      <c r="I270" s="474">
        <f t="shared" si="24"/>
        <v>134774.19446399997</v>
      </c>
      <c r="J270" s="474">
        <f t="shared" si="21"/>
        <v>121967.59679999998</v>
      </c>
      <c r="K270" s="474">
        <f t="shared" si="23"/>
        <v>121967.59679999998</v>
      </c>
      <c r="L270" s="921">
        <f>(Lusqtoff!F46)</f>
        <v>89631.360000000001</v>
      </c>
    </row>
    <row r="271" spans="1:12" ht="15.6">
      <c r="A271" s="921" t="s">
        <v>1766</v>
      </c>
      <c r="B271" s="921" t="s">
        <v>308</v>
      </c>
      <c r="C271" s="921" t="s">
        <v>1438</v>
      </c>
      <c r="D271" s="461">
        <f>(Moura!AB13)</f>
        <v>181000</v>
      </c>
      <c r="E271" s="473">
        <f>ROUNDUP(($D271+($D271*Publico!L$1)),-1)</f>
        <v>186430</v>
      </c>
      <c r="F271" s="473">
        <f>(Publico!B35)</f>
        <v>208348</v>
      </c>
      <c r="G271" s="473">
        <f t="shared" si="22"/>
        <v>181000</v>
      </c>
      <c r="H271" s="474">
        <f>(Moura!H13)</f>
        <v>141156.25350749999</v>
      </c>
      <c r="I271" s="474">
        <f t="shared" si="24"/>
        <v>128907.15712874998</v>
      </c>
      <c r="J271" s="474">
        <f t="shared" si="21"/>
        <v>116658.06074999999</v>
      </c>
      <c r="K271" s="474">
        <f t="shared" si="23"/>
        <v>116658.06074999999</v>
      </c>
      <c r="L271" s="456">
        <f>(Moura!F13)</f>
        <v>88335.412396694213</v>
      </c>
    </row>
    <row r="272" spans="1:12" ht="15.6">
      <c r="A272" s="921" t="s">
        <v>1022</v>
      </c>
      <c r="B272" s="921" t="s">
        <v>651</v>
      </c>
      <c r="C272" s="921" t="s">
        <v>1767</v>
      </c>
      <c r="D272" s="461">
        <f>(Moura!X23)</f>
        <v>232000</v>
      </c>
      <c r="E272" s="473">
        <f>ROUNDUP(($D272+($D272*Publico!L$1)),-1)</f>
        <v>238960</v>
      </c>
      <c r="F272" s="473">
        <f>ROUNDUP(($D272+($D272*Publico!L$2)),-1)</f>
        <v>271440</v>
      </c>
      <c r="G272" s="473">
        <f t="shared" si="22"/>
        <v>232000</v>
      </c>
      <c r="H272" s="474">
        <v>10</v>
      </c>
      <c r="I272" s="474">
        <f t="shared" si="24"/>
        <v>9.132231404958679</v>
      </c>
      <c r="J272" s="474">
        <f t="shared" si="21"/>
        <v>8.2644628099173563</v>
      </c>
      <c r="K272" s="474">
        <f t="shared" si="23"/>
        <v>8.2644628099173563</v>
      </c>
      <c r="L272" s="456">
        <f>('Willard - Elpra'!H15)</f>
        <v>154149.36206670001</v>
      </c>
    </row>
    <row r="273" spans="1:12" ht="15.6">
      <c r="A273" s="921" t="s">
        <v>1024</v>
      </c>
      <c r="B273" s="921" t="s">
        <v>893</v>
      </c>
      <c r="C273" s="921" t="s">
        <v>1768</v>
      </c>
      <c r="D273" s="461">
        <f>('Willard - Elpra'!L28)</f>
        <v>368750</v>
      </c>
      <c r="E273" s="473">
        <f>ROUNDUP(($D273+($D273*Publico!L$1)),-1)</f>
        <v>379820</v>
      </c>
      <c r="F273" s="473">
        <f>ROUNDUP(($D273+($D273*Publico!L$2)),-1)</f>
        <v>431440</v>
      </c>
      <c r="G273" s="473">
        <f t="shared" si="22"/>
        <v>368750</v>
      </c>
      <c r="H273" s="474">
        <v>10</v>
      </c>
      <c r="I273" s="474">
        <f t="shared" si="24"/>
        <v>9.132231404958679</v>
      </c>
      <c r="J273" s="474">
        <f t="shared" si="21"/>
        <v>8.2644628099173563</v>
      </c>
      <c r="K273" s="474">
        <f t="shared" si="23"/>
        <v>8.2644628099173563</v>
      </c>
      <c r="L273" s="921">
        <v>10</v>
      </c>
    </row>
    <row r="274" spans="1:12" ht="15.6">
      <c r="A274" s="921" t="s">
        <v>1026</v>
      </c>
      <c r="B274" s="921" t="s">
        <v>388</v>
      </c>
      <c r="C274" s="921" t="s">
        <v>1769</v>
      </c>
      <c r="D274" s="461">
        <f>(Publico!D396)</f>
        <v>62700</v>
      </c>
      <c r="E274" s="473">
        <f>ROUNDUP(($D274+($D274*Publico!L$1)),-1)</f>
        <v>64590</v>
      </c>
      <c r="F274" s="473">
        <f>ROUNDUP(($D274+($D274*Publico!L$2)),-1)</f>
        <v>73360</v>
      </c>
      <c r="G274" s="473">
        <f t="shared" si="22"/>
        <v>62700</v>
      </c>
      <c r="H274" s="474">
        <f>(Lusqtoff!H55)</f>
        <v>45679.768992000005</v>
      </c>
      <c r="I274" s="474">
        <f t="shared" si="24"/>
        <v>41715.822096000004</v>
      </c>
      <c r="J274" s="474">
        <f t="shared" si="21"/>
        <v>37751.875200000002</v>
      </c>
      <c r="K274" s="474">
        <f t="shared" si="23"/>
        <v>37751.875200000002</v>
      </c>
      <c r="L274" s="921">
        <f>(Lusqtoff!F55)</f>
        <v>27743.040000000001</v>
      </c>
    </row>
    <row r="275" spans="1:12" ht="15.6">
      <c r="A275" s="921" t="s">
        <v>1027</v>
      </c>
      <c r="B275" s="921" t="s">
        <v>388</v>
      </c>
      <c r="C275" s="921" t="s">
        <v>390</v>
      </c>
      <c r="D275" s="461">
        <f>(Publico!D432)</f>
        <v>19700</v>
      </c>
      <c r="E275" s="473">
        <f>ROUNDUP(($D275+($D275*Publico!L$1)),-1)</f>
        <v>20300</v>
      </c>
      <c r="F275" s="473">
        <f>ROUNDUP(($D275+($D275*Publico!L$2)),-1)</f>
        <v>23050</v>
      </c>
      <c r="G275" s="473">
        <f t="shared" si="22"/>
        <v>19700</v>
      </c>
      <c r="H275" s="474">
        <f>(Lusqtoff!H16)</f>
        <v>15051.326342799997</v>
      </c>
      <c r="I275" s="474">
        <f t="shared" si="24"/>
        <v>13745.219511399999</v>
      </c>
      <c r="J275" s="474">
        <f t="shared" si="21"/>
        <v>12439.112679999998</v>
      </c>
      <c r="K275" s="474">
        <f t="shared" si="23"/>
        <v>12439.112679999998</v>
      </c>
      <c r="L275" s="921">
        <f>(Lusqtoff!F16)</f>
        <v>9141.2360000000008</v>
      </c>
    </row>
    <row r="276" spans="1:12" ht="15.6">
      <c r="A276" s="921" t="s">
        <v>1029</v>
      </c>
      <c r="B276" s="921" t="s">
        <v>772</v>
      </c>
      <c r="C276" s="921" t="s">
        <v>1030</v>
      </c>
      <c r="D276" s="461">
        <f>(Novelbat!U15)</f>
        <v>39000</v>
      </c>
      <c r="E276" s="473">
        <f>ROUNDUP(($D276+($D276*Publico!L$1)),-1)</f>
        <v>40170</v>
      </c>
      <c r="F276" s="473">
        <f>ROUNDUP(($D276+($D276*Publico!L$2)),-1)</f>
        <v>45630</v>
      </c>
      <c r="G276" s="473">
        <f t="shared" si="22"/>
        <v>39000</v>
      </c>
      <c r="H276" s="474">
        <v>10</v>
      </c>
      <c r="I276" s="474">
        <f t="shared" si="24"/>
        <v>9.132231404958679</v>
      </c>
      <c r="J276" s="474">
        <f t="shared" si="21"/>
        <v>8.2644628099173563</v>
      </c>
      <c r="K276" s="474">
        <f t="shared" si="23"/>
        <v>8.2644628099173563</v>
      </c>
      <c r="L276" s="921">
        <v>10</v>
      </c>
    </row>
    <row r="277" spans="1:12" ht="15.6">
      <c r="A277" s="921" t="s">
        <v>1031</v>
      </c>
      <c r="B277" s="921" t="s">
        <v>772</v>
      </c>
      <c r="C277" s="921" t="s">
        <v>1770</v>
      </c>
      <c r="D277" s="461">
        <f>(Novelbat!U18)</f>
        <v>61950</v>
      </c>
      <c r="E277" s="473">
        <f>ROUNDUP(($D277+($D277*Publico!L$1)),-1)</f>
        <v>63810</v>
      </c>
      <c r="F277" s="473">
        <f>ROUNDUP(($D277+($D277*Publico!L$2)),-1)</f>
        <v>72490</v>
      </c>
      <c r="G277" s="473">
        <f t="shared" si="22"/>
        <v>61950</v>
      </c>
      <c r="H277" s="474">
        <v>10</v>
      </c>
      <c r="I277" s="474">
        <f t="shared" si="24"/>
        <v>9.132231404958679</v>
      </c>
      <c r="J277" s="474">
        <f t="shared" si="21"/>
        <v>8.2644628099173563</v>
      </c>
      <c r="K277" s="474">
        <f t="shared" si="23"/>
        <v>8.2644628099173563</v>
      </c>
      <c r="L277" s="921">
        <v>10</v>
      </c>
    </row>
    <row r="278" spans="1:12" ht="15.6">
      <c r="A278" s="921" t="s">
        <v>1033</v>
      </c>
      <c r="B278" s="921" t="s">
        <v>893</v>
      </c>
      <c r="C278" s="921" t="s">
        <v>1771</v>
      </c>
      <c r="D278" s="461">
        <f>(Publico!C291)</f>
        <v>65000</v>
      </c>
      <c r="E278" s="473">
        <v>10</v>
      </c>
      <c r="F278" s="473">
        <v>10</v>
      </c>
      <c r="G278" s="473">
        <f t="shared" si="22"/>
        <v>65000</v>
      </c>
      <c r="H278" s="474">
        <v>10</v>
      </c>
      <c r="I278" s="474">
        <f t="shared" si="24"/>
        <v>9.132231404958679</v>
      </c>
      <c r="J278" s="474">
        <f t="shared" si="21"/>
        <v>8.2644628099173563</v>
      </c>
      <c r="K278" s="474">
        <f t="shared" si="23"/>
        <v>8.2644628099173563</v>
      </c>
      <c r="L278" s="921">
        <v>10</v>
      </c>
    </row>
    <row r="279" spans="1:12" ht="15.6">
      <c r="A279" s="921" t="s">
        <v>1035</v>
      </c>
      <c r="B279" s="921" t="s">
        <v>893</v>
      </c>
      <c r="C279" s="921" t="s">
        <v>1772</v>
      </c>
      <c r="D279" s="461">
        <f>(Publico!C292)</f>
        <v>104000</v>
      </c>
      <c r="E279" s="473">
        <v>10</v>
      </c>
      <c r="F279" s="473">
        <v>10</v>
      </c>
      <c r="G279" s="473">
        <f t="shared" si="22"/>
        <v>104000</v>
      </c>
      <c r="H279" s="474">
        <v>10</v>
      </c>
      <c r="I279" s="474">
        <f t="shared" si="24"/>
        <v>9.132231404958679</v>
      </c>
      <c r="J279" s="474">
        <f t="shared" si="21"/>
        <v>8.2644628099173563</v>
      </c>
      <c r="K279" s="474">
        <f t="shared" si="23"/>
        <v>8.2644628099173563</v>
      </c>
      <c r="L279" s="921">
        <v>10</v>
      </c>
    </row>
    <row r="280" spans="1:12" ht="15.6">
      <c r="A280" s="921" t="s">
        <v>1037</v>
      </c>
      <c r="B280" s="921" t="s">
        <v>893</v>
      </c>
      <c r="C280" s="921" t="s">
        <v>1773</v>
      </c>
      <c r="D280" s="461">
        <f>(Publico!C293)</f>
        <v>139000</v>
      </c>
      <c r="E280" s="473">
        <v>10</v>
      </c>
      <c r="F280" s="473">
        <v>10</v>
      </c>
      <c r="G280" s="473">
        <f t="shared" si="22"/>
        <v>139000</v>
      </c>
      <c r="H280" s="474">
        <v>10</v>
      </c>
      <c r="I280" s="474">
        <f t="shared" si="24"/>
        <v>9.132231404958679</v>
      </c>
      <c r="J280" s="474">
        <f t="shared" si="21"/>
        <v>8.2644628099173563</v>
      </c>
      <c r="K280" s="474">
        <f t="shared" si="23"/>
        <v>8.2644628099173563</v>
      </c>
      <c r="L280" s="921">
        <v>10</v>
      </c>
    </row>
    <row r="281" spans="1:12" ht="15.6">
      <c r="A281" s="921" t="s">
        <v>1774</v>
      </c>
      <c r="B281" s="921" t="s">
        <v>308</v>
      </c>
      <c r="C281" s="921" t="s">
        <v>1433</v>
      </c>
      <c r="D281" s="461">
        <f>(Moura!AB9)</f>
        <v>153000</v>
      </c>
      <c r="E281" s="473">
        <f>ROUNDUP(($D281+($D281*Publico!L$1)),-1)</f>
        <v>157590</v>
      </c>
      <c r="F281" s="473">
        <f>(Publico!B20)</f>
        <v>175868</v>
      </c>
      <c r="G281" s="473">
        <f t="shared" si="22"/>
        <v>153000</v>
      </c>
      <c r="H281" s="474">
        <f>(Moura!H9)</f>
        <v>115756.69422239999</v>
      </c>
      <c r="I281" s="474">
        <f t="shared" si="24"/>
        <v>105711.69183120001</v>
      </c>
      <c r="J281" s="474">
        <f t="shared" si="21"/>
        <v>95666.689440000002</v>
      </c>
      <c r="K281" s="474">
        <f t="shared" si="23"/>
        <v>95666.689440000002</v>
      </c>
      <c r="L281" s="456">
        <f>(Moura!F9)</f>
        <v>73870.288429752065</v>
      </c>
    </row>
    <row r="282" spans="1:12" ht="15.6">
      <c r="A282" s="921" t="s">
        <v>1041</v>
      </c>
      <c r="B282" s="921" t="s">
        <v>772</v>
      </c>
      <c r="C282" s="921" t="s">
        <v>1042</v>
      </c>
      <c r="D282" s="461">
        <f>(Novelbat!U7)</f>
        <v>45400</v>
      </c>
      <c r="E282" s="473">
        <f>ROUNDUP(($D282+($D282*Publico!L$1)),-1)</f>
        <v>46770</v>
      </c>
      <c r="F282" s="473">
        <f>ROUNDUP(($D282+($D282*Publico!L$2)),-1)</f>
        <v>53120</v>
      </c>
      <c r="G282" s="473">
        <f t="shared" si="22"/>
        <v>45400</v>
      </c>
      <c r="H282" s="474">
        <v>10</v>
      </c>
      <c r="I282" s="474">
        <f t="shared" si="24"/>
        <v>9.132231404958679</v>
      </c>
      <c r="J282" s="474">
        <f t="shared" si="21"/>
        <v>8.2644628099173563</v>
      </c>
      <c r="K282" s="474">
        <f t="shared" si="23"/>
        <v>8.2644628099173563</v>
      </c>
      <c r="L282" s="921">
        <v>10</v>
      </c>
    </row>
    <row r="283" spans="1:12" ht="15.6">
      <c r="A283" s="921" t="s">
        <v>1043</v>
      </c>
      <c r="B283" s="921" t="s">
        <v>772</v>
      </c>
      <c r="C283" s="921" t="s">
        <v>1044</v>
      </c>
      <c r="D283" s="461">
        <f>(Novelbat!U8)</f>
        <v>61950</v>
      </c>
      <c r="E283" s="473">
        <f>ROUNDUP(($D283+($D283*Publico!L$1)),-1)</f>
        <v>63810</v>
      </c>
      <c r="F283" s="473">
        <f>ROUNDUP(($D283+($D283*Publico!L$2)),-1)</f>
        <v>72490</v>
      </c>
      <c r="G283" s="473">
        <f t="shared" si="22"/>
        <v>61950</v>
      </c>
      <c r="H283" s="474">
        <v>10</v>
      </c>
      <c r="I283" s="474">
        <f t="shared" si="24"/>
        <v>9.132231404958679</v>
      </c>
      <c r="J283" s="474">
        <f t="shared" si="21"/>
        <v>8.2644628099173563</v>
      </c>
      <c r="K283" s="474">
        <f t="shared" si="23"/>
        <v>8.2644628099173563</v>
      </c>
      <c r="L283" s="921">
        <v>10</v>
      </c>
    </row>
    <row r="284" spans="1:12" ht="15.6">
      <c r="A284" s="921" t="s">
        <v>1045</v>
      </c>
      <c r="B284" s="921" t="s">
        <v>772</v>
      </c>
      <c r="C284" s="921" t="s">
        <v>1046</v>
      </c>
      <c r="D284" s="461">
        <f>(Novelbat!U25)</f>
        <v>72800</v>
      </c>
      <c r="E284" s="473">
        <f>ROUNDUP(($D284+($D284*Publico!L$1)),-1)</f>
        <v>74990</v>
      </c>
      <c r="F284" s="473">
        <f>ROUNDUP(($D284+($D284*Publico!L$2)),-1)</f>
        <v>85180</v>
      </c>
      <c r="G284" s="473">
        <f t="shared" si="22"/>
        <v>72800</v>
      </c>
      <c r="H284" s="474">
        <v>10</v>
      </c>
      <c r="I284" s="474">
        <f t="shared" si="24"/>
        <v>9.132231404958679</v>
      </c>
      <c r="J284" s="474">
        <f t="shared" si="21"/>
        <v>8.2644628099173563</v>
      </c>
      <c r="K284" s="474">
        <f t="shared" si="23"/>
        <v>8.2644628099173563</v>
      </c>
      <c r="L284" s="921">
        <v>10</v>
      </c>
    </row>
    <row r="285" spans="1:12" ht="15.6">
      <c r="A285" s="921" t="s">
        <v>1047</v>
      </c>
      <c r="B285" s="921" t="s">
        <v>388</v>
      </c>
      <c r="C285" s="921" t="s">
        <v>1775</v>
      </c>
      <c r="D285" s="461">
        <v>8900</v>
      </c>
      <c r="E285" s="473">
        <f>ROUNDUP(($D285+($D285*Publico!L$1)),-1)</f>
        <v>9170</v>
      </c>
      <c r="F285" s="473">
        <f>ROUNDUP(($D285+($D285*Publico!L$2)),-1)</f>
        <v>10420</v>
      </c>
      <c r="G285" s="473">
        <f t="shared" si="22"/>
        <v>8900</v>
      </c>
      <c r="H285" s="474">
        <f>(Lusqtoff!H51)</f>
        <v>7063.6170000000011</v>
      </c>
      <c r="I285" s="474">
        <f t="shared" si="24"/>
        <v>6450.6585000000005</v>
      </c>
      <c r="J285" s="474">
        <f t="shared" si="21"/>
        <v>5837.7000000000007</v>
      </c>
      <c r="K285" s="474">
        <f t="shared" si="23"/>
        <v>5837.7000000000007</v>
      </c>
      <c r="L285" s="921">
        <f>(Lusqtoff!F51)</f>
        <v>4358.25</v>
      </c>
    </row>
    <row r="286" spans="1:12" ht="15.6">
      <c r="A286" s="921" t="s">
        <v>1776</v>
      </c>
      <c r="B286" s="921" t="s">
        <v>388</v>
      </c>
      <c r="C286" s="921" t="s">
        <v>1777</v>
      </c>
      <c r="D286" s="461">
        <f>(Publico!D395)</f>
        <v>201700</v>
      </c>
      <c r="E286" s="473">
        <f>ROUNDUP(($D286+($D286*Publico!L$1)),-1)</f>
        <v>207760</v>
      </c>
      <c r="F286" s="473">
        <f>ROUNDUP(($D286+($D286*Publico!L$2)),-1)</f>
        <v>235990</v>
      </c>
      <c r="G286" s="473">
        <f t="shared" si="22"/>
        <v>201700</v>
      </c>
      <c r="H286" s="474">
        <v>10</v>
      </c>
      <c r="I286" s="474">
        <f t="shared" si="24"/>
        <v>9.132231404958679</v>
      </c>
      <c r="J286" s="474">
        <f t="shared" si="21"/>
        <v>8.2644628099173563</v>
      </c>
      <c r="K286" s="474">
        <f t="shared" si="23"/>
        <v>8.2644628099173563</v>
      </c>
      <c r="L286" s="921">
        <f>(Lusqtoff!F46)</f>
        <v>89631.360000000001</v>
      </c>
    </row>
    <row r="287" spans="1:12" ht="15.6">
      <c r="A287" s="921" t="s">
        <v>1051</v>
      </c>
      <c r="B287" s="921" t="s">
        <v>772</v>
      </c>
      <c r="C287" s="921" t="s">
        <v>1052</v>
      </c>
      <c r="D287" s="819">
        <f>(Novelbat!U9)</f>
        <v>77200</v>
      </c>
      <c r="E287" s="473">
        <f>ROUNDUP(($D287+($D287*Publico!L$1)),-1)</f>
        <v>79520</v>
      </c>
      <c r="F287" s="473">
        <f>ROUNDUP(($D287+($D287*Publico!L$2)),-1)</f>
        <v>90330</v>
      </c>
      <c r="G287" s="473">
        <f t="shared" si="22"/>
        <v>77200</v>
      </c>
      <c r="H287" s="474">
        <v>10</v>
      </c>
      <c r="I287" s="474">
        <f t="shared" si="24"/>
        <v>9.132231404958679</v>
      </c>
      <c r="J287" s="474">
        <f t="shared" si="21"/>
        <v>8.2644628099173563</v>
      </c>
      <c r="K287" s="474">
        <f t="shared" si="23"/>
        <v>8.2644628099173563</v>
      </c>
      <c r="L287" s="921">
        <v>10</v>
      </c>
    </row>
    <row r="288" spans="1:12" ht="15.6">
      <c r="A288" s="921" t="s">
        <v>1053</v>
      </c>
      <c r="B288" s="921" t="s">
        <v>772</v>
      </c>
      <c r="C288" s="921" t="s">
        <v>1778</v>
      </c>
      <c r="D288" s="461">
        <f>(Novelbat!U10)</f>
        <v>94300</v>
      </c>
      <c r="E288" s="473">
        <f>ROUNDUP(($D288+($D288*Publico!L$1)),-1)</f>
        <v>97130</v>
      </c>
      <c r="F288" s="473">
        <f>ROUNDUP(($D288+($D288*Publico!L$2)),-1)</f>
        <v>110340</v>
      </c>
      <c r="G288" s="473">
        <f t="shared" si="22"/>
        <v>94300</v>
      </c>
      <c r="H288" s="474">
        <v>10</v>
      </c>
      <c r="I288" s="474">
        <f t="shared" si="24"/>
        <v>9.132231404958679</v>
      </c>
      <c r="J288" s="474">
        <f t="shared" si="21"/>
        <v>8.2644628099173563</v>
      </c>
      <c r="K288" s="474">
        <f t="shared" si="23"/>
        <v>8.2644628099173563</v>
      </c>
      <c r="L288" s="921">
        <v>10</v>
      </c>
    </row>
    <row r="289" spans="1:12" ht="15.6">
      <c r="A289" s="921" t="s">
        <v>1055</v>
      </c>
      <c r="B289" s="921" t="s">
        <v>772</v>
      </c>
      <c r="C289" s="921" t="s">
        <v>1056</v>
      </c>
      <c r="D289" s="461">
        <f>(Novelbat!U13)</f>
        <v>30300</v>
      </c>
      <c r="E289" s="473">
        <f>ROUNDUP(($D289+($D289*Publico!L$1)),-1)</f>
        <v>31210</v>
      </c>
      <c r="F289" s="473">
        <f>ROUNDUP(($D289+($D289*Publico!L$2)),-1)</f>
        <v>35460</v>
      </c>
      <c r="G289" s="473">
        <f t="shared" si="22"/>
        <v>30300</v>
      </c>
      <c r="H289" s="474">
        <v>10</v>
      </c>
      <c r="I289" s="474">
        <f t="shared" si="24"/>
        <v>9.132231404958679</v>
      </c>
      <c r="J289" s="474">
        <f t="shared" si="21"/>
        <v>8.2644628099173563</v>
      </c>
      <c r="K289" s="474">
        <f t="shared" si="23"/>
        <v>8.2644628099173563</v>
      </c>
      <c r="L289" s="921">
        <v>10</v>
      </c>
    </row>
    <row r="290" spans="1:12" ht="15.6">
      <c r="A290" s="921" t="s">
        <v>1057</v>
      </c>
      <c r="B290" s="921" t="s">
        <v>772</v>
      </c>
      <c r="C290" s="921" t="s">
        <v>1058</v>
      </c>
      <c r="D290" s="461">
        <f>(Novelbat!U19)</f>
        <v>72800</v>
      </c>
      <c r="E290" s="473">
        <f>ROUNDUP(($D290+($D290*Publico!L$1)),-1)</f>
        <v>74990</v>
      </c>
      <c r="F290" s="473">
        <f>ROUNDUP(($D290+($D290*Publico!L$2)),-1)</f>
        <v>85180</v>
      </c>
      <c r="G290" s="473">
        <f t="shared" si="22"/>
        <v>72800</v>
      </c>
      <c r="H290" s="474">
        <v>10</v>
      </c>
      <c r="I290" s="474">
        <f t="shared" si="24"/>
        <v>9.132231404958679</v>
      </c>
      <c r="J290" s="474">
        <f t="shared" ref="J290:J353" si="25">(H290/1.21)</f>
        <v>8.2644628099173563</v>
      </c>
      <c r="K290" s="474">
        <f t="shared" si="23"/>
        <v>8.2644628099173563</v>
      </c>
      <c r="L290" s="921">
        <v>10</v>
      </c>
    </row>
    <row r="291" spans="1:12" ht="15.6">
      <c r="A291" s="921" t="s">
        <v>1059</v>
      </c>
      <c r="B291" s="921" t="s">
        <v>772</v>
      </c>
      <c r="C291" s="921" t="s">
        <v>1060</v>
      </c>
      <c r="D291" s="461">
        <f>(Novelbat!U22)</f>
        <v>48550</v>
      </c>
      <c r="E291" s="473">
        <f>ROUNDUP(($D291+($D291*Publico!L$1)),-1)</f>
        <v>50010</v>
      </c>
      <c r="F291" s="473">
        <f>ROUNDUP(($D291+($D291*Publico!L$2)),-1)</f>
        <v>56810</v>
      </c>
      <c r="G291" s="473">
        <f t="shared" si="22"/>
        <v>48550</v>
      </c>
      <c r="H291" s="474">
        <v>10</v>
      </c>
      <c r="I291" s="474">
        <f t="shared" si="24"/>
        <v>9.132231404958679</v>
      </c>
      <c r="J291" s="474">
        <f t="shared" si="25"/>
        <v>8.2644628099173563</v>
      </c>
      <c r="K291" s="474">
        <f t="shared" si="23"/>
        <v>8.2644628099173563</v>
      </c>
      <c r="L291" s="921">
        <v>10</v>
      </c>
    </row>
    <row r="292" spans="1:12" ht="15.6">
      <c r="A292" s="921" t="s">
        <v>1061</v>
      </c>
      <c r="B292" s="921" t="s">
        <v>796</v>
      </c>
      <c r="C292" s="921" t="s">
        <v>1062</v>
      </c>
      <c r="D292" s="461">
        <f>(Publico!D218)</f>
        <v>42700</v>
      </c>
      <c r="E292" s="473">
        <f>ROUNDUP(($D292+($D292*Publico!L$1)),-1)</f>
        <v>43990</v>
      </c>
      <c r="F292" s="473">
        <f>ROUNDUP(($D292+($D292*Publico!L$2)),-1)</f>
        <v>49960</v>
      </c>
      <c r="G292" s="473">
        <f t="shared" si="22"/>
        <v>42700</v>
      </c>
      <c r="H292" s="474">
        <v>10</v>
      </c>
      <c r="I292" s="474">
        <f t="shared" si="24"/>
        <v>9.132231404958679</v>
      </c>
      <c r="J292" s="474">
        <f t="shared" si="25"/>
        <v>8.2644628099173563</v>
      </c>
      <c r="K292" s="474">
        <f t="shared" si="23"/>
        <v>8.2644628099173563</v>
      </c>
      <c r="L292" s="451">
        <f>(Yuasa!F42)</f>
        <v>33338.342400000001</v>
      </c>
    </row>
    <row r="293" spans="1:12" ht="15.6">
      <c r="A293" s="921" t="s">
        <v>1063</v>
      </c>
      <c r="B293" s="921" t="s">
        <v>796</v>
      </c>
      <c r="C293" s="921" t="s">
        <v>1064</v>
      </c>
      <c r="D293" s="461">
        <f>(Publico!D220)</f>
        <v>150000</v>
      </c>
      <c r="E293" s="473">
        <f>ROUNDUP(($D293+($D293*Publico!L$1)),-1)</f>
        <v>154500</v>
      </c>
      <c r="F293" s="473">
        <f>ROUNDUP(($D293+($D293*Publico!L$2)),-1)</f>
        <v>175500</v>
      </c>
      <c r="G293" s="473">
        <f t="shared" si="22"/>
        <v>150000</v>
      </c>
      <c r="H293" s="474">
        <f>(Yuasa!I89)</f>
        <v>129299.21769599998</v>
      </c>
      <c r="I293" s="474">
        <f t="shared" si="24"/>
        <v>118079.03764799998</v>
      </c>
      <c r="J293" s="474">
        <f t="shared" si="25"/>
        <v>106858.85759999999</v>
      </c>
      <c r="K293" s="474">
        <f t="shared" si="23"/>
        <v>106858.85759999999</v>
      </c>
      <c r="L293" s="451">
        <f>(Yuasa!F89)</f>
        <v>74988.671999999991</v>
      </c>
    </row>
    <row r="294" spans="1:12" ht="15.6">
      <c r="A294" s="921" t="s">
        <v>1065</v>
      </c>
      <c r="B294" s="921" t="s">
        <v>796</v>
      </c>
      <c r="C294" s="921" t="s">
        <v>1066</v>
      </c>
      <c r="D294" s="461">
        <f>(Publico!D223)</f>
        <v>86500</v>
      </c>
      <c r="E294" s="473">
        <f>ROUNDUP(($D294+($D294*Publico!L$1)),-1)</f>
        <v>89100</v>
      </c>
      <c r="F294" s="473">
        <f>ROUNDUP(($D294+($D294*Publico!L$2)),-1)</f>
        <v>101210</v>
      </c>
      <c r="G294" s="473">
        <f t="shared" si="22"/>
        <v>86500</v>
      </c>
      <c r="H294" s="474">
        <f>(Yuasa!I45)</f>
        <v>74562.815923199989</v>
      </c>
      <c r="I294" s="474">
        <f t="shared" si="24"/>
        <v>68092.488921599986</v>
      </c>
      <c r="J294" s="474">
        <f t="shared" si="25"/>
        <v>61622.161919999991</v>
      </c>
      <c r="K294" s="474">
        <f t="shared" si="23"/>
        <v>61622.161919999991</v>
      </c>
      <c r="L294" s="451">
        <f>(Yuasa!F45)</f>
        <v>43243.6224</v>
      </c>
    </row>
    <row r="295" spans="1:12" ht="15.6">
      <c r="A295" s="921" t="s">
        <v>1067</v>
      </c>
      <c r="B295" s="921" t="s">
        <v>796</v>
      </c>
      <c r="C295" s="921" t="s">
        <v>1068</v>
      </c>
      <c r="D295" s="461">
        <f>(Publico!D241)</f>
        <v>69250</v>
      </c>
      <c r="E295" s="473">
        <f>ROUNDUP(($D295+($D295*Publico!L$1)),-1)</f>
        <v>71330</v>
      </c>
      <c r="F295" s="473">
        <f>ROUNDUP(($D295+($D295*Publico!L$2)),-1)</f>
        <v>81030</v>
      </c>
      <c r="G295" s="473">
        <f t="shared" si="22"/>
        <v>69250</v>
      </c>
      <c r="H295" s="474">
        <f>(Yuasa!I75)</f>
        <v>59693.369472000006</v>
      </c>
      <c r="I295" s="474">
        <f t="shared" si="24"/>
        <v>54513.366336000006</v>
      </c>
      <c r="J295" s="474">
        <f t="shared" si="25"/>
        <v>49333.363200000007</v>
      </c>
      <c r="K295" s="474">
        <f t="shared" si="23"/>
        <v>49333.363200000007</v>
      </c>
      <c r="L295" s="451">
        <f>(Yuasa!F75)</f>
        <v>34619.904000000002</v>
      </c>
    </row>
    <row r="296" spans="1:12" ht="15.6">
      <c r="A296" s="921" t="s">
        <v>1069</v>
      </c>
      <c r="B296" s="921" t="s">
        <v>796</v>
      </c>
      <c r="C296" s="921" t="s">
        <v>1070</v>
      </c>
      <c r="D296" s="461">
        <f>(Publico!D239)</f>
        <v>69750</v>
      </c>
      <c r="E296" s="473">
        <f>ROUNDUP(($D296+($D296*Publico!L$1)),-1)</f>
        <v>71850</v>
      </c>
      <c r="F296" s="473">
        <f>ROUNDUP(($D296+($D296*Publico!L$2)),-1)</f>
        <v>81610</v>
      </c>
      <c r="G296" s="473">
        <f t="shared" si="22"/>
        <v>69750</v>
      </c>
      <c r="H296" s="474">
        <f>(Yuasa!I96)</f>
        <v>60104.143756799996</v>
      </c>
      <c r="I296" s="474">
        <f t="shared" si="24"/>
        <v>54888.494918399992</v>
      </c>
      <c r="J296" s="474">
        <f t="shared" si="25"/>
        <v>49672.846079999996</v>
      </c>
      <c r="K296" s="474">
        <f t="shared" si="23"/>
        <v>49672.846079999996</v>
      </c>
      <c r="L296" s="451">
        <f>(Yuasa!F96)</f>
        <v>34858.137599999995</v>
      </c>
    </row>
    <row r="297" spans="1:12" ht="15.6">
      <c r="A297" s="921" t="s">
        <v>1071</v>
      </c>
      <c r="B297" s="921" t="s">
        <v>796</v>
      </c>
      <c r="C297" s="921" t="s">
        <v>1072</v>
      </c>
      <c r="D297" s="461">
        <f>(Yuasa!Q97)</f>
        <v>92050</v>
      </c>
      <c r="E297" s="473">
        <f>ROUNDUP(($D297+($D297*Publico!L$1)),-1)</f>
        <v>94820</v>
      </c>
      <c r="F297" s="473">
        <f>ROUNDUP(($D297+($D297*Publico!L$2)),-1)</f>
        <v>107700</v>
      </c>
      <c r="G297" s="473">
        <f t="shared" si="22"/>
        <v>92050</v>
      </c>
      <c r="H297" s="474">
        <f>(Yuasa!I97)</f>
        <v>79352.269286399998</v>
      </c>
      <c r="I297" s="474">
        <f t="shared" si="24"/>
        <v>72466.32856319999</v>
      </c>
      <c r="J297" s="474">
        <f t="shared" si="25"/>
        <v>65580.387839999996</v>
      </c>
      <c r="K297" s="474">
        <f t="shared" si="23"/>
        <v>65580.387839999996</v>
      </c>
      <c r="L297" s="451">
        <f>(Yuasa!F97)</f>
        <v>46021.324799999995</v>
      </c>
    </row>
    <row r="298" spans="1:12" ht="15.6">
      <c r="A298" s="921" t="s">
        <v>1073</v>
      </c>
      <c r="B298" s="921" t="s">
        <v>796</v>
      </c>
      <c r="C298" s="921" t="s">
        <v>1074</v>
      </c>
      <c r="D298" s="461">
        <f>(Yuasa!Q86)</f>
        <v>189600</v>
      </c>
      <c r="E298" s="473">
        <f>ROUNDUP(($D298+($D298*Publico!L$1)),-1)</f>
        <v>195290</v>
      </c>
      <c r="F298" s="473">
        <f>ROUNDUP(($D298+($D298*Publico!L$2)),-1)</f>
        <v>221840</v>
      </c>
      <c r="G298" s="473">
        <f t="shared" si="22"/>
        <v>189600</v>
      </c>
      <c r="H298" s="474">
        <f>(Yuasa!I86)</f>
        <v>163435.72607999999</v>
      </c>
      <c r="I298" s="474">
        <f t="shared" si="24"/>
        <v>149253.28704</v>
      </c>
      <c r="J298" s="474">
        <f t="shared" si="25"/>
        <v>135070.848</v>
      </c>
      <c r="K298" s="474">
        <f t="shared" si="23"/>
        <v>135070.848</v>
      </c>
      <c r="L298" s="451">
        <f>(Yuasa!F86)</f>
        <v>94786.559999999998</v>
      </c>
    </row>
    <row r="299" spans="1:12" ht="15.6">
      <c r="A299" s="921" t="s">
        <v>1779</v>
      </c>
      <c r="B299" s="921" t="s">
        <v>308</v>
      </c>
      <c r="C299" s="921" t="s">
        <v>1780</v>
      </c>
      <c r="D299" s="461">
        <f>(Moura!AB34)</f>
        <v>469000</v>
      </c>
      <c r="E299" s="473">
        <f>ROUNDUP(($D299+($D299*Publico!L$1)),-1)</f>
        <v>483070</v>
      </c>
      <c r="F299" s="473">
        <f>(Publico!B59)</f>
        <v>542428</v>
      </c>
      <c r="G299" s="473">
        <f t="shared" si="22"/>
        <v>469000</v>
      </c>
      <c r="H299" s="474">
        <f>(Moura!H34)</f>
        <v>401680.5086</v>
      </c>
      <c r="I299" s="474">
        <f t="shared" si="24"/>
        <v>366823.93553966942</v>
      </c>
      <c r="J299" s="474">
        <f t="shared" si="25"/>
        <v>331967.36247933883</v>
      </c>
      <c r="K299" s="474">
        <f t="shared" si="23"/>
        <v>331967.36247933883</v>
      </c>
      <c r="L299" s="456">
        <v>315805.05</v>
      </c>
    </row>
    <row r="300" spans="1:12" ht="15.6">
      <c r="A300" s="921" t="s">
        <v>1077</v>
      </c>
      <c r="B300" s="921" t="s">
        <v>796</v>
      </c>
      <c r="C300" s="921" t="s">
        <v>1078</v>
      </c>
      <c r="D300" s="461">
        <f>(Publico!D225)</f>
        <v>115650</v>
      </c>
      <c r="E300" s="473">
        <f>ROUNDUP(($D300+($D300*Publico!L$1)),-1)</f>
        <v>119120</v>
      </c>
      <c r="F300" s="473">
        <f>ROUNDUP(($D300+($D300*Publico!L$2)),-1)</f>
        <v>135320</v>
      </c>
      <c r="G300" s="473">
        <f t="shared" si="22"/>
        <v>115650</v>
      </c>
      <c r="H300" s="474">
        <f>(Yuasa!I46)</f>
        <v>99694.336262400015</v>
      </c>
      <c r="I300" s="474">
        <f t="shared" si="24"/>
        <v>91043.174851200005</v>
      </c>
      <c r="J300" s="474">
        <f t="shared" si="25"/>
        <v>82392.01344000001</v>
      </c>
      <c r="K300" s="474">
        <f t="shared" si="23"/>
        <v>82392.01344000001</v>
      </c>
      <c r="L300" s="451">
        <f>(Yuasa!F46)</f>
        <v>57818.9568</v>
      </c>
    </row>
    <row r="301" spans="1:12" ht="15.6">
      <c r="A301" s="921" t="s">
        <v>1079</v>
      </c>
      <c r="B301" s="921" t="s">
        <v>796</v>
      </c>
      <c r="C301" s="921" t="s">
        <v>1080</v>
      </c>
      <c r="D301" s="461">
        <f>(Publico!D227)</f>
        <v>139650</v>
      </c>
      <c r="E301" s="473">
        <f>ROUNDUP(($D301+($D301*Publico!L$1)),-1)</f>
        <v>143840</v>
      </c>
      <c r="F301" s="473">
        <f>ROUNDUP(($D301+($D301*Publico!L$2)),-1)</f>
        <v>163400</v>
      </c>
      <c r="G301" s="473">
        <f t="shared" si="22"/>
        <v>139650</v>
      </c>
      <c r="H301" s="474">
        <f>(Yuasa!I59)</f>
        <v>120359.77873919999</v>
      </c>
      <c r="I301" s="474">
        <f t="shared" si="24"/>
        <v>109915.33512959999</v>
      </c>
      <c r="J301" s="474">
        <f t="shared" si="25"/>
        <v>99470.89151999999</v>
      </c>
      <c r="K301" s="474">
        <f t="shared" si="23"/>
        <v>99470.89151999999</v>
      </c>
      <c r="L301" s="451">
        <f>(Yuasa!F59)</f>
        <v>69804.134399999995</v>
      </c>
    </row>
    <row r="302" spans="1:12" ht="15.6">
      <c r="A302" s="921" t="s">
        <v>1081</v>
      </c>
      <c r="B302" s="921" t="s">
        <v>796</v>
      </c>
      <c r="C302" s="921" t="s">
        <v>1082</v>
      </c>
      <c r="D302" s="461">
        <f>(Publico!D246)</f>
        <v>175100</v>
      </c>
      <c r="E302" s="473">
        <f>ROUNDUP(($D302+($D302*Publico!L$1)),-1)</f>
        <v>180360</v>
      </c>
      <c r="F302" s="473">
        <f>ROUNDUP(($D302+($D302*Publico!L$2)),-1)</f>
        <v>204870</v>
      </c>
      <c r="G302" s="473">
        <f t="shared" si="22"/>
        <v>175100</v>
      </c>
      <c r="H302" s="474">
        <f>(Yuasa!I85)</f>
        <v>150947.89649279998</v>
      </c>
      <c r="I302" s="474">
        <f t="shared" si="24"/>
        <v>137849.11208639998</v>
      </c>
      <c r="J302" s="474">
        <f t="shared" si="25"/>
        <v>124750.32767999999</v>
      </c>
      <c r="K302" s="474">
        <f t="shared" si="23"/>
        <v>124750.32767999999</v>
      </c>
      <c r="L302" s="451">
        <f>(Yuasa!F85)</f>
        <v>87544.089599999992</v>
      </c>
    </row>
    <row r="303" spans="1:12" ht="15.6">
      <c r="A303" s="921" t="s">
        <v>1083</v>
      </c>
      <c r="B303" s="921" t="s">
        <v>796</v>
      </c>
      <c r="C303" s="921" t="s">
        <v>1084</v>
      </c>
      <c r="D303" s="461">
        <f>(Publico!D235)</f>
        <v>50250</v>
      </c>
      <c r="E303" s="473">
        <f>ROUNDUP(($D303+($D303*Publico!L$1)),-1)</f>
        <v>51760</v>
      </c>
      <c r="F303" s="473">
        <f>ROUNDUP(($D303+($D303*Publico!L$2)),-1)</f>
        <v>58800</v>
      </c>
      <c r="G303" s="473">
        <f t="shared" si="22"/>
        <v>50250</v>
      </c>
      <c r="H303" s="474">
        <f>(Yuasa!I95)</f>
        <v>43307.554118399996</v>
      </c>
      <c r="I303" s="474">
        <f t="shared" si="24"/>
        <v>39549.460579199993</v>
      </c>
      <c r="J303" s="474">
        <f t="shared" si="25"/>
        <v>35791.367039999997</v>
      </c>
      <c r="K303" s="474">
        <f t="shared" si="23"/>
        <v>35791.367039999997</v>
      </c>
      <c r="L303" s="451">
        <f>(Yuasa!F95)</f>
        <v>25116.748799999998</v>
      </c>
    </row>
    <row r="304" spans="1:12" ht="15.6">
      <c r="A304" s="921" t="s">
        <v>1086</v>
      </c>
      <c r="B304" s="921" t="s">
        <v>1085</v>
      </c>
      <c r="C304" s="921" t="s">
        <v>1781</v>
      </c>
      <c r="D304" s="461">
        <f>('Battery Trading'!V5)</f>
        <v>554500</v>
      </c>
      <c r="E304" s="473">
        <f>ROUNDUP(($D304+($D304*Publico!L$1)),-1)</f>
        <v>571140</v>
      </c>
      <c r="F304" s="473">
        <f>ROUNDUP(($D304+($D304*Publico!L$2)),-1)</f>
        <v>648770</v>
      </c>
      <c r="G304" s="473">
        <f t="shared" si="22"/>
        <v>554500</v>
      </c>
      <c r="H304" s="474">
        <f>('Battery Trading'!H5)</f>
        <v>566819.8126390801</v>
      </c>
      <c r="I304" s="474">
        <f t="shared" si="24"/>
        <v>517632.96939354012</v>
      </c>
      <c r="J304" s="474">
        <f t="shared" si="25"/>
        <v>468446.12614800013</v>
      </c>
      <c r="K304" s="474">
        <f t="shared" si="23"/>
        <v>468446.12614800013</v>
      </c>
      <c r="L304" s="921">
        <f>('Battery Trading'!F5)</f>
        <v>320000</v>
      </c>
    </row>
    <row r="305" spans="1:12" ht="15.6">
      <c r="A305" s="921" t="s">
        <v>379</v>
      </c>
      <c r="B305" s="921" t="s">
        <v>1088</v>
      </c>
      <c r="C305" s="921" t="s">
        <v>1089</v>
      </c>
      <c r="D305" s="461">
        <f>(Publico!D401)</f>
        <v>1268300</v>
      </c>
      <c r="E305" s="473">
        <f>ROUNDUP(($D305+($D305*Publico!L$1)),-1)</f>
        <v>1306350</v>
      </c>
      <c r="F305" s="473">
        <f>ROUNDUP(($D305+($D305*Publico!L$2)),-1)</f>
        <v>1483920</v>
      </c>
      <c r="G305" s="473">
        <f t="shared" si="22"/>
        <v>1268300</v>
      </c>
      <c r="H305" s="474">
        <v>10</v>
      </c>
      <c r="I305" s="474">
        <f t="shared" si="24"/>
        <v>9.132231404958679</v>
      </c>
      <c r="J305" s="474">
        <f t="shared" si="25"/>
        <v>8.2644628099173563</v>
      </c>
      <c r="K305" s="474">
        <f t="shared" si="23"/>
        <v>8.2644628099173563</v>
      </c>
      <c r="L305" s="921">
        <f>(Lusqtoff!F8)</f>
        <v>704600</v>
      </c>
    </row>
    <row r="306" spans="1:12" ht="15.6">
      <c r="A306" s="921" t="s">
        <v>1090</v>
      </c>
      <c r="B306" s="921" t="s">
        <v>388</v>
      </c>
      <c r="C306" s="921" t="s">
        <v>1091</v>
      </c>
      <c r="D306" s="461">
        <v>10</v>
      </c>
      <c r="E306" s="473">
        <f>ROUNDUP(($D306+($D306*Publico!L$1)),-1)</f>
        <v>20</v>
      </c>
      <c r="F306" s="473">
        <f>ROUNDUP(($D306+($D306*Publico!L$2)),-1)</f>
        <v>20</v>
      </c>
      <c r="G306" s="473">
        <f t="shared" si="22"/>
        <v>10</v>
      </c>
      <c r="H306" s="474">
        <v>10</v>
      </c>
      <c r="I306" s="474">
        <f t="shared" si="24"/>
        <v>9.132231404958679</v>
      </c>
      <c r="J306" s="474">
        <f t="shared" si="25"/>
        <v>8.2644628099173563</v>
      </c>
      <c r="K306" s="474">
        <f t="shared" si="23"/>
        <v>8.2644628099173563</v>
      </c>
      <c r="L306" s="921">
        <v>10</v>
      </c>
    </row>
    <row r="307" spans="1:12" ht="15.6">
      <c r="A307" s="921" t="s">
        <v>1092</v>
      </c>
      <c r="B307" s="921" t="s">
        <v>1088</v>
      </c>
      <c r="C307" s="921" t="s">
        <v>1093</v>
      </c>
      <c r="D307" s="461">
        <f>(Publico!D414)</f>
        <v>30400</v>
      </c>
      <c r="E307" s="473">
        <f>ROUNDUP(($D307+($D307*Publico!L$1)),-1)</f>
        <v>31320</v>
      </c>
      <c r="F307" s="473">
        <f>ROUNDUP(($D307+($D307*Publico!L$2)),-1)</f>
        <v>35570</v>
      </c>
      <c r="G307" s="473">
        <f t="shared" si="22"/>
        <v>30400</v>
      </c>
      <c r="H307" s="474">
        <v>10</v>
      </c>
      <c r="I307" s="474">
        <f t="shared" si="24"/>
        <v>9.132231404958679</v>
      </c>
      <c r="J307" s="474">
        <f t="shared" si="25"/>
        <v>8.2644628099173563</v>
      </c>
      <c r="K307" s="474">
        <f t="shared" si="23"/>
        <v>8.2644628099173563</v>
      </c>
      <c r="L307" s="921">
        <v>10</v>
      </c>
    </row>
    <row r="308" spans="1:12" ht="15.6">
      <c r="A308" s="921" t="s">
        <v>380</v>
      </c>
      <c r="B308" s="921" t="s">
        <v>1088</v>
      </c>
      <c r="C308" s="921" t="s">
        <v>1094</v>
      </c>
      <c r="D308" s="461">
        <f>(Publico!D400)</f>
        <v>655200</v>
      </c>
      <c r="E308" s="473">
        <f>ROUNDUP(($D308+($D308*Publico!L$1)),-1)</f>
        <v>674860</v>
      </c>
      <c r="F308" s="473">
        <f>ROUNDUP(($D308+($D308*Publico!L$2)),-1)</f>
        <v>766590</v>
      </c>
      <c r="G308" s="473">
        <f t="shared" si="22"/>
        <v>655200</v>
      </c>
      <c r="H308" s="474">
        <v>10</v>
      </c>
      <c r="I308" s="474">
        <f t="shared" si="24"/>
        <v>9.132231404958679</v>
      </c>
      <c r="J308" s="474">
        <f t="shared" si="25"/>
        <v>8.2644628099173563</v>
      </c>
      <c r="K308" s="474">
        <f t="shared" si="23"/>
        <v>8.2644628099173563</v>
      </c>
      <c r="L308" s="921">
        <f>(Lusqtoff!F9)</f>
        <v>364000</v>
      </c>
    </row>
    <row r="309" spans="1:12" ht="15.6">
      <c r="A309" s="921" t="s">
        <v>381</v>
      </c>
      <c r="B309" s="921" t="s">
        <v>1088</v>
      </c>
      <c r="C309" s="921" t="s">
        <v>1095</v>
      </c>
      <c r="D309" s="461">
        <f>(Publico!D399)</f>
        <v>227000</v>
      </c>
      <c r="E309" s="473">
        <f>ROUNDUP(($D309+($D309*Publico!L$1)),-1)</f>
        <v>233810</v>
      </c>
      <c r="F309" s="473">
        <f>ROUNDUP(($D309+($D309*Publico!L$2)),-1)</f>
        <v>265590</v>
      </c>
      <c r="G309" s="473">
        <f t="shared" si="22"/>
        <v>227000</v>
      </c>
      <c r="H309" s="474">
        <v>10</v>
      </c>
      <c r="I309" s="474">
        <f t="shared" si="24"/>
        <v>9.132231404958679</v>
      </c>
      <c r="J309" s="474">
        <f t="shared" si="25"/>
        <v>8.2644628099173563</v>
      </c>
      <c r="K309" s="474">
        <f t="shared" si="23"/>
        <v>8.2644628099173563</v>
      </c>
      <c r="L309" s="921">
        <f>(Lusqtoff!F10)</f>
        <v>126100</v>
      </c>
    </row>
    <row r="310" spans="1:12" ht="15.6">
      <c r="A310" s="921" t="s">
        <v>1096</v>
      </c>
      <c r="B310" s="921" t="s">
        <v>1085</v>
      </c>
      <c r="C310" s="921" t="s">
        <v>1097</v>
      </c>
      <c r="D310" s="461">
        <v>10</v>
      </c>
      <c r="E310" s="473">
        <f>ROUNDUP(($D310+($D310*Publico!L$1)),-1)</f>
        <v>20</v>
      </c>
      <c r="F310" s="473">
        <f>ROUNDUP(($D310+($D310*Publico!L$2)),-1)</f>
        <v>20</v>
      </c>
      <c r="G310" s="473">
        <f t="shared" si="22"/>
        <v>10</v>
      </c>
      <c r="H310" s="474">
        <f>('Battery Trading'!H8)</f>
        <v>545632.3283130721</v>
      </c>
      <c r="I310" s="474">
        <f t="shared" si="24"/>
        <v>498284.0684181361</v>
      </c>
      <c r="J310" s="474">
        <f t="shared" si="25"/>
        <v>450935.8085232001</v>
      </c>
      <c r="K310" s="474">
        <f t="shared" si="23"/>
        <v>450935.8085232001</v>
      </c>
      <c r="L310" s="921">
        <v>10</v>
      </c>
    </row>
    <row r="311" spans="1:12" ht="15.6">
      <c r="A311" s="921" t="s">
        <v>479</v>
      </c>
      <c r="B311" s="921" t="s">
        <v>1088</v>
      </c>
      <c r="C311" s="921" t="s">
        <v>1098</v>
      </c>
      <c r="D311" s="461">
        <f>(Publico!D424)</f>
        <v>42300</v>
      </c>
      <c r="E311" s="473">
        <f>ROUNDUP(($D311+($D311*Publico!L$1)),-1)</f>
        <v>43570</v>
      </c>
      <c r="F311" s="473">
        <f>ROUNDUP(($D311+($D311*Publico!L$2)),-1)</f>
        <v>49500</v>
      </c>
      <c r="G311" s="473">
        <f t="shared" si="22"/>
        <v>42300</v>
      </c>
      <c r="H311" s="474">
        <f>(Lusqtoff!H64)</f>
        <v>38652.112223999997</v>
      </c>
      <c r="I311" s="474">
        <f t="shared" si="24"/>
        <v>35298.003311999993</v>
      </c>
      <c r="J311" s="474">
        <f t="shared" si="25"/>
        <v>31943.894399999997</v>
      </c>
      <c r="K311" s="474">
        <f t="shared" si="23"/>
        <v>31943.894399999997</v>
      </c>
      <c r="L311" s="921">
        <f>(Lusqtoff!F64)</f>
        <v>23474.880000000001</v>
      </c>
    </row>
    <row r="312" spans="1:12" ht="15.6">
      <c r="A312" s="921" t="s">
        <v>459</v>
      </c>
      <c r="B312" s="921" t="s">
        <v>388</v>
      </c>
      <c r="C312" s="921" t="s">
        <v>1782</v>
      </c>
      <c r="D312" s="461">
        <f>(Publico!D412)</f>
        <v>82400</v>
      </c>
      <c r="E312" s="473">
        <f>ROUNDUP(($D312+($D312*Publico!L$1)),-1)</f>
        <v>84880</v>
      </c>
      <c r="F312" s="473">
        <f>ROUNDUP(($D312+($D312*Publico!L$2)),-1)</f>
        <v>96410</v>
      </c>
      <c r="G312" s="473">
        <f t="shared" si="22"/>
        <v>82400</v>
      </c>
      <c r="H312" s="474">
        <f>(Lusqtoff!H54)</f>
        <v>61491.996720000003</v>
      </c>
      <c r="I312" s="474">
        <f t="shared" si="24"/>
        <v>56155.914360000002</v>
      </c>
      <c r="J312" s="474">
        <f t="shared" si="25"/>
        <v>50819.832000000002</v>
      </c>
      <c r="K312" s="474">
        <f t="shared" si="23"/>
        <v>50819.832000000002</v>
      </c>
      <c r="L312" s="921">
        <f>(Lusqtoff!F54)</f>
        <v>37346.400000000001</v>
      </c>
    </row>
    <row r="313" spans="1:12" ht="15.6">
      <c r="A313" s="921" t="s">
        <v>1099</v>
      </c>
      <c r="B313" s="921" t="s">
        <v>680</v>
      </c>
      <c r="C313" s="921" t="s">
        <v>1100</v>
      </c>
      <c r="D313" s="461">
        <f>(D227)</f>
        <v>138200</v>
      </c>
      <c r="E313" s="473">
        <f>ROUNDUP(($D313+($D313*Publico!L$1)),-1)</f>
        <v>142350</v>
      </c>
      <c r="F313" s="473">
        <f>ROUNDUP(($D313+($D313*Publico!L$2)),-1)</f>
        <v>161700</v>
      </c>
      <c r="G313" s="473">
        <f t="shared" si="22"/>
        <v>138200</v>
      </c>
      <c r="H313" s="474">
        <f>('Acubat-Lubeck'!U13)</f>
        <v>117563.59999999999</v>
      </c>
      <c r="I313" s="474">
        <f t="shared" si="24"/>
        <v>107361.8</v>
      </c>
      <c r="J313" s="474">
        <f t="shared" si="25"/>
        <v>97160</v>
      </c>
      <c r="K313" s="474">
        <f t="shared" si="23"/>
        <v>97160</v>
      </c>
      <c r="L313" s="921">
        <f>('Acubat-Lubeck'!S13)</f>
        <v>69400</v>
      </c>
    </row>
    <row r="314" spans="1:12" ht="15.6">
      <c r="A314" s="921" t="s">
        <v>1101</v>
      </c>
      <c r="B314" s="921" t="s">
        <v>680</v>
      </c>
      <c r="C314" s="921" t="s">
        <v>1783</v>
      </c>
      <c r="D314" s="461">
        <f>(D228)</f>
        <v>167300</v>
      </c>
      <c r="E314" s="473">
        <f>ROUNDUP(($D314+($D314*Publico!L$1)),-1)</f>
        <v>172320</v>
      </c>
      <c r="F314" s="473">
        <f>ROUNDUP(($D314+($D314*Publico!L$2)),-1)</f>
        <v>195750</v>
      </c>
      <c r="G314" s="473">
        <f t="shared" si="22"/>
        <v>167300</v>
      </c>
      <c r="H314" s="474">
        <f>('Acubat-Lubeck'!U14)</f>
        <v>151131.09138819997</v>
      </c>
      <c r="I314" s="474">
        <f t="shared" si="24"/>
        <v>138016.40990409997</v>
      </c>
      <c r="J314" s="474">
        <f t="shared" si="25"/>
        <v>124901.72841999998</v>
      </c>
      <c r="K314" s="474">
        <f t="shared" si="23"/>
        <v>124901.72841999998</v>
      </c>
      <c r="L314" s="921">
        <f>('Acubat-Lubeck'!S14)</f>
        <v>89215.520299999989</v>
      </c>
    </row>
    <row r="315" spans="1:12" ht="15.6">
      <c r="A315" s="921" t="s">
        <v>1103</v>
      </c>
      <c r="B315" s="921" t="s">
        <v>680</v>
      </c>
      <c r="C315" s="921" t="s">
        <v>1784</v>
      </c>
      <c r="D315" s="461">
        <f>(D226)</f>
        <v>120900</v>
      </c>
      <c r="E315" s="473">
        <f>ROUNDUP(($D315+($D315*Publico!L$1)),-1)</f>
        <v>124530</v>
      </c>
      <c r="F315" s="473">
        <f>ROUNDUP(($D315+($D315*Publico!L$2)),-1)</f>
        <v>141460</v>
      </c>
      <c r="G315" s="473">
        <f t="shared" si="22"/>
        <v>120900</v>
      </c>
      <c r="H315" s="474">
        <f>('Acubat-Lubeck'!U8)</f>
        <v>97913.2</v>
      </c>
      <c r="I315" s="474">
        <f t="shared" si="24"/>
        <v>89416.6</v>
      </c>
      <c r="J315" s="474">
        <f t="shared" si="25"/>
        <v>80920</v>
      </c>
      <c r="K315" s="474">
        <f t="shared" si="23"/>
        <v>80920</v>
      </c>
      <c r="L315" s="921">
        <f>('Acubat-Lubeck'!S8)</f>
        <v>57800</v>
      </c>
    </row>
    <row r="316" spans="1:12" ht="15.6">
      <c r="A316" s="921" t="s">
        <v>1105</v>
      </c>
      <c r="B316" s="921" t="s">
        <v>521</v>
      </c>
      <c r="C316" s="921" t="s">
        <v>1106</v>
      </c>
      <c r="D316" s="461">
        <f>(Varta!AA32)</f>
        <v>262000</v>
      </c>
      <c r="E316" s="473">
        <f>ROUNDUP(($D316+($D316*Publico!L$1)),-1)</f>
        <v>269860</v>
      </c>
      <c r="F316" s="473">
        <f>ROUNDUP(($D316+($D316*Publico!L$2)),-1)</f>
        <v>306540</v>
      </c>
      <c r="G316" s="473">
        <f t="shared" si="22"/>
        <v>262000</v>
      </c>
      <c r="H316" s="474">
        <v>10</v>
      </c>
      <c r="I316" s="474">
        <f t="shared" si="24"/>
        <v>9.132231404958679</v>
      </c>
      <c r="J316" s="474">
        <f t="shared" si="25"/>
        <v>8.2644628099173563</v>
      </c>
      <c r="K316" s="474">
        <f t="shared" si="23"/>
        <v>8.2644628099173563</v>
      </c>
      <c r="L316" s="921">
        <v>10</v>
      </c>
    </row>
    <row r="317" spans="1:12" ht="15.6">
      <c r="A317" s="921" t="s">
        <v>1107</v>
      </c>
      <c r="B317" s="921" t="s">
        <v>521</v>
      </c>
      <c r="C317" s="921" t="s">
        <v>1108</v>
      </c>
      <c r="D317" s="461">
        <v>10</v>
      </c>
      <c r="E317" s="473">
        <f>ROUNDUP(($D317+($D317*Publico!L$1)),-1)</f>
        <v>20</v>
      </c>
      <c r="F317" s="473">
        <f>ROUNDUP(($D317+($D317*Publico!L$2)),-1)</f>
        <v>20</v>
      </c>
      <c r="G317" s="473">
        <f t="shared" si="22"/>
        <v>10</v>
      </c>
      <c r="H317" s="474">
        <v>10</v>
      </c>
      <c r="I317" s="474">
        <f t="shared" si="24"/>
        <v>9.132231404958679</v>
      </c>
      <c r="J317" s="474">
        <f t="shared" si="25"/>
        <v>8.2644628099173563</v>
      </c>
      <c r="K317" s="474">
        <f t="shared" si="23"/>
        <v>8.2644628099173563</v>
      </c>
      <c r="L317" s="921">
        <v>10</v>
      </c>
    </row>
    <row r="318" spans="1:12" ht="15.6">
      <c r="A318" s="921" t="s">
        <v>1110</v>
      </c>
      <c r="B318" s="921" t="s">
        <v>1109</v>
      </c>
      <c r="C318" s="921">
        <v>2124</v>
      </c>
      <c r="D318" s="461">
        <f>('Terminales - Liquimoly - Bari'!O21)</f>
        <v>22450</v>
      </c>
      <c r="E318" s="473">
        <f>ROUNDUP(($D318+($D318*Publico!L$1)),-1)</f>
        <v>23130</v>
      </c>
      <c r="F318" s="473">
        <f>ROUNDUP(($D318+($D318*Publico!L$2)),-1)</f>
        <v>26270</v>
      </c>
      <c r="G318" s="473">
        <f t="shared" si="22"/>
        <v>22450</v>
      </c>
      <c r="H318" s="474">
        <f>('Terminales - Liquimoly - Bari'!G21)</f>
        <v>22653.196500000002</v>
      </c>
      <c r="I318" s="474">
        <f t="shared" si="24"/>
        <v>20687.42325</v>
      </c>
      <c r="J318" s="474">
        <f t="shared" si="25"/>
        <v>18721.650000000001</v>
      </c>
      <c r="K318" s="474">
        <f t="shared" si="23"/>
        <v>18721.650000000001</v>
      </c>
      <c r="L318" s="921">
        <f>('Terminales - Liquimoly - Bari'!E21)</f>
        <v>12481.1</v>
      </c>
    </row>
    <row r="319" spans="1:12" ht="15.6">
      <c r="A319" s="921" t="s">
        <v>1111</v>
      </c>
      <c r="B319" s="921" t="s">
        <v>1109</v>
      </c>
      <c r="C319" s="921">
        <v>2504</v>
      </c>
      <c r="D319" s="461">
        <f>('Terminales - Liquimoly - Bari'!O23)</f>
        <v>21850</v>
      </c>
      <c r="E319" s="473">
        <f>ROUNDUP(($D319+($D319*Publico!L$1)),-1)</f>
        <v>22510</v>
      </c>
      <c r="F319" s="473">
        <f>ROUNDUP(($D319+($D319*Publico!L$2)),-1)</f>
        <v>25570</v>
      </c>
      <c r="G319" s="473">
        <f t="shared" si="22"/>
        <v>21850</v>
      </c>
      <c r="H319" s="474">
        <f>('Terminales - Liquimoly - Bari'!G23)</f>
        <v>21889.353749999998</v>
      </c>
      <c r="I319" s="474">
        <f t="shared" si="24"/>
        <v>19989.864375000001</v>
      </c>
      <c r="J319" s="474">
        <f t="shared" si="25"/>
        <v>18090.375</v>
      </c>
      <c r="K319" s="474">
        <f t="shared" si="23"/>
        <v>18090.375</v>
      </c>
      <c r="L319" s="921">
        <f>('Terminales - Liquimoly - Bari'!E23)</f>
        <v>12060.25</v>
      </c>
    </row>
    <row r="320" spans="1:12" ht="15.6">
      <c r="A320" s="921" t="s">
        <v>1112</v>
      </c>
      <c r="B320" s="921" t="s">
        <v>1109</v>
      </c>
      <c r="C320" s="921">
        <v>8357</v>
      </c>
      <c r="D320" s="461">
        <f>('Terminales - Liquimoly - Bari'!O22)</f>
        <v>26350</v>
      </c>
      <c r="E320" s="473">
        <f>ROUNDUP(($D320+($D320*Publico!L$1)),-1)</f>
        <v>27150</v>
      </c>
      <c r="F320" s="473">
        <f>ROUNDUP(($D320+($D320*Publico!L$2)),-1)</f>
        <v>30830</v>
      </c>
      <c r="G320" s="473">
        <f t="shared" si="22"/>
        <v>26350</v>
      </c>
      <c r="H320" s="474">
        <f>('Terminales - Liquimoly - Bari'!G22)</f>
        <v>26894.851500000001</v>
      </c>
      <c r="I320" s="474">
        <f t="shared" si="24"/>
        <v>24561.000750000003</v>
      </c>
      <c r="J320" s="474">
        <f t="shared" si="25"/>
        <v>22227.15</v>
      </c>
      <c r="K320" s="474">
        <f t="shared" si="23"/>
        <v>22227.15</v>
      </c>
      <c r="L320" s="921">
        <f>('Terminales - Liquimoly - Bari'!E22)</f>
        <v>14818.1</v>
      </c>
    </row>
    <row r="321" spans="1:12" ht="15.6">
      <c r="A321" s="921" t="s">
        <v>1113</v>
      </c>
      <c r="B321" s="921" t="s">
        <v>1109</v>
      </c>
      <c r="C321" s="921">
        <v>21644</v>
      </c>
      <c r="D321" s="461">
        <f>('Terminales - Liquimoly - Bari'!O24)</f>
        <v>34900</v>
      </c>
      <c r="E321" s="473">
        <f>ROUNDUP(($D321+($D321*Publico!L$1)),-1)</f>
        <v>35950</v>
      </c>
      <c r="F321" s="473">
        <f>ROUNDUP(($D321+($D321*Publico!L$2)),-1)</f>
        <v>40840</v>
      </c>
      <c r="G321" s="473">
        <f t="shared" si="22"/>
        <v>34900</v>
      </c>
      <c r="H321" s="474">
        <f>('Terminales - Liquimoly - Bari'!G24)</f>
        <v>27312.12</v>
      </c>
      <c r="I321" s="474">
        <f t="shared" si="24"/>
        <v>24942.06</v>
      </c>
      <c r="J321" s="474">
        <f t="shared" si="25"/>
        <v>22572</v>
      </c>
      <c r="K321" s="474">
        <f t="shared" si="23"/>
        <v>22572</v>
      </c>
      <c r="L321" s="921">
        <f>('Terminales - Liquimoly - Bari'!E24)</f>
        <v>15048</v>
      </c>
    </row>
    <row r="322" spans="1:12" ht="15.6">
      <c r="A322" s="921" t="s">
        <v>1114</v>
      </c>
      <c r="B322" s="921" t="s">
        <v>1109</v>
      </c>
      <c r="C322" s="921">
        <v>7386</v>
      </c>
      <c r="D322" s="461">
        <f>('Terminales - Liquimoly - Bari'!O25)</f>
        <v>33100</v>
      </c>
      <c r="E322" s="473">
        <f>ROUNDUP(($D322+($D322*Publico!L$1)),-1)</f>
        <v>34100</v>
      </c>
      <c r="F322" s="473">
        <f>ROUNDUP(($D322+($D322*Publico!L$2)),-1)</f>
        <v>38730</v>
      </c>
      <c r="G322" s="473">
        <f t="shared" si="22"/>
        <v>33100</v>
      </c>
      <c r="H322" s="474">
        <f>('Terminales - Liquimoly - Bari'!G25)</f>
        <v>34603.973249999995</v>
      </c>
      <c r="I322" s="474">
        <f t="shared" si="24"/>
        <v>31601.149124999996</v>
      </c>
      <c r="J322" s="474">
        <f t="shared" si="25"/>
        <v>28598.324999999997</v>
      </c>
      <c r="K322" s="474">
        <f t="shared" si="23"/>
        <v>28598.324999999997</v>
      </c>
      <c r="L322" s="921">
        <f>('Terminales - Liquimoly - Bari'!E25)</f>
        <v>19065.55</v>
      </c>
    </row>
    <row r="323" spans="1:12" ht="15.6">
      <c r="A323" s="921" t="s">
        <v>1115</v>
      </c>
      <c r="B323" s="921" t="s">
        <v>1109</v>
      </c>
      <c r="C323" s="921">
        <v>1602</v>
      </c>
      <c r="D323" s="461">
        <f>('Terminales - Liquimoly - Bari'!O26)</f>
        <v>13500</v>
      </c>
      <c r="E323" s="473">
        <f>ROUNDUP(($D323+($D323*Publico!L$1)),-1)</f>
        <v>13910</v>
      </c>
      <c r="F323" s="473">
        <f>ROUNDUP(($D323+($D323*Publico!L$2)),-1)</f>
        <v>15800</v>
      </c>
      <c r="G323" s="473">
        <f t="shared" ref="G323:G386" si="26">(D323)</f>
        <v>13500</v>
      </c>
      <c r="H323" s="474">
        <f>('Terminales - Liquimoly - Bari'!G26)</f>
        <v>13495.704749999997</v>
      </c>
      <c r="I323" s="474">
        <f t="shared" si="24"/>
        <v>12324.589874999998</v>
      </c>
      <c r="J323" s="474">
        <f t="shared" si="25"/>
        <v>11153.474999999999</v>
      </c>
      <c r="K323" s="474">
        <f t="shared" ref="K323:K386" si="27">(J323)</f>
        <v>11153.474999999999</v>
      </c>
      <c r="L323" s="921">
        <f>('Terminales - Liquimoly - Bari'!E26)</f>
        <v>7435.65</v>
      </c>
    </row>
    <row r="324" spans="1:12" ht="15.6">
      <c r="A324" s="921" t="s">
        <v>377</v>
      </c>
      <c r="B324" s="921" t="s">
        <v>1088</v>
      </c>
      <c r="C324" s="921" t="s">
        <v>1116</v>
      </c>
      <c r="D324" s="461">
        <f>(Lusqtoff!U6)</f>
        <v>181350</v>
      </c>
      <c r="E324" s="473">
        <f>ROUNDUP(($D324+($D324*Publico!L$1)),-1)</f>
        <v>186800</v>
      </c>
      <c r="F324" s="473">
        <f>ROUNDUP(($D324+($D324*Publico!L$2)),-1)</f>
        <v>212180</v>
      </c>
      <c r="G324" s="473">
        <f t="shared" si="26"/>
        <v>181350</v>
      </c>
      <c r="H324" s="474">
        <v>10</v>
      </c>
      <c r="I324" s="474">
        <f t="shared" si="24"/>
        <v>9.132231404958679</v>
      </c>
      <c r="J324" s="474">
        <f t="shared" si="25"/>
        <v>8.2644628099173563</v>
      </c>
      <c r="K324" s="474">
        <f t="shared" si="27"/>
        <v>8.2644628099173563</v>
      </c>
      <c r="L324" s="921">
        <f>(Lusqtoff!F6)</f>
        <v>100750</v>
      </c>
    </row>
    <row r="325" spans="1:12" ht="15.6">
      <c r="A325" s="921" t="s">
        <v>1117</v>
      </c>
      <c r="B325" s="921" t="s">
        <v>651</v>
      </c>
      <c r="C325" s="921" t="s">
        <v>182</v>
      </c>
      <c r="D325" s="461">
        <f>('Willard - Elpra'!AE17)</f>
        <v>487450</v>
      </c>
      <c r="E325" s="473">
        <f>ROUNDUP(($D325+($D325*Publico!L$1)),-1)</f>
        <v>502080</v>
      </c>
      <c r="F325" s="473">
        <f>ROUNDUP(($D325+($D325*Publico!L$2)),-1)</f>
        <v>570320</v>
      </c>
      <c r="G325" s="473">
        <f t="shared" si="26"/>
        <v>487450</v>
      </c>
      <c r="H325" s="474">
        <f>('Willard - Elpra'!K17)</f>
        <v>366456.87078</v>
      </c>
      <c r="I325" s="474">
        <f t="shared" si="24"/>
        <v>334656.89438999997</v>
      </c>
      <c r="J325" s="474">
        <f t="shared" si="25"/>
        <v>302856.91800000001</v>
      </c>
      <c r="K325" s="474">
        <f t="shared" si="27"/>
        <v>302856.91800000001</v>
      </c>
      <c r="L325" s="456">
        <f>('Willard - Elpra'!H17)</f>
        <v>278322.92746335</v>
      </c>
    </row>
    <row r="326" spans="1:12" ht="15.6">
      <c r="A326" s="457" t="s">
        <v>1118</v>
      </c>
      <c r="B326" s="921" t="s">
        <v>893</v>
      </c>
      <c r="C326" s="921" t="s">
        <v>1119</v>
      </c>
      <c r="D326" s="461">
        <f>(Publico!D313)</f>
        <v>8000</v>
      </c>
      <c r="E326" s="473">
        <f>(D326)</f>
        <v>8000</v>
      </c>
      <c r="F326" s="473">
        <f>(D326)</f>
        <v>8000</v>
      </c>
      <c r="G326" s="473">
        <f t="shared" si="26"/>
        <v>8000</v>
      </c>
      <c r="H326" s="474">
        <v>10</v>
      </c>
      <c r="I326" s="474">
        <f t="shared" si="24"/>
        <v>9.132231404958679</v>
      </c>
      <c r="J326" s="474">
        <f t="shared" si="25"/>
        <v>8.2644628099173563</v>
      </c>
      <c r="K326" s="474">
        <f t="shared" si="27"/>
        <v>8.2644628099173563</v>
      </c>
      <c r="L326" s="921">
        <v>10</v>
      </c>
    </row>
    <row r="327" spans="1:12" ht="15.6">
      <c r="A327" s="457" t="s">
        <v>1120</v>
      </c>
      <c r="B327" s="921" t="s">
        <v>893</v>
      </c>
      <c r="C327" s="921" t="s">
        <v>1785</v>
      </c>
      <c r="D327" s="461">
        <f>(Publico!D314)</f>
        <v>19000</v>
      </c>
      <c r="E327" s="473">
        <f t="shared" ref="E327:E328" si="28">(D327)</f>
        <v>19000</v>
      </c>
      <c r="F327" s="473">
        <f t="shared" ref="F327:F328" si="29">(D327)</f>
        <v>19000</v>
      </c>
      <c r="G327" s="473">
        <f t="shared" si="26"/>
        <v>19000</v>
      </c>
      <c r="H327" s="474">
        <v>10</v>
      </c>
      <c r="I327" s="474">
        <f t="shared" si="24"/>
        <v>9.132231404958679</v>
      </c>
      <c r="J327" s="474">
        <f t="shared" si="25"/>
        <v>8.2644628099173563</v>
      </c>
      <c r="K327" s="474">
        <f t="shared" si="27"/>
        <v>8.2644628099173563</v>
      </c>
      <c r="L327" s="921">
        <v>10</v>
      </c>
    </row>
    <row r="328" spans="1:12" ht="15.6">
      <c r="A328" s="457" t="s">
        <v>1122</v>
      </c>
      <c r="B328" s="921" t="s">
        <v>893</v>
      </c>
      <c r="C328" s="456" t="s">
        <v>1786</v>
      </c>
      <c r="D328" s="461">
        <f>(Publico!D315)</f>
        <v>27000</v>
      </c>
      <c r="E328" s="473">
        <f t="shared" si="28"/>
        <v>27000</v>
      </c>
      <c r="F328" s="473">
        <f t="shared" si="29"/>
        <v>27000</v>
      </c>
      <c r="G328" s="473">
        <f t="shared" si="26"/>
        <v>27000</v>
      </c>
      <c r="H328" s="474">
        <v>10</v>
      </c>
      <c r="I328" s="474">
        <f t="shared" si="24"/>
        <v>9.132231404958679</v>
      </c>
      <c r="J328" s="474">
        <f t="shared" si="25"/>
        <v>8.2644628099173563</v>
      </c>
      <c r="K328" s="474">
        <f t="shared" si="27"/>
        <v>8.2644628099173563</v>
      </c>
      <c r="L328" s="921">
        <v>10</v>
      </c>
    </row>
    <row r="329" spans="1:12" ht="15.6">
      <c r="A329" s="921" t="s">
        <v>792</v>
      </c>
      <c r="B329" s="921" t="s">
        <v>1124</v>
      </c>
      <c r="C329" s="921" t="s">
        <v>793</v>
      </c>
      <c r="D329" s="461">
        <f>(Publico!D226)</f>
        <v>77200</v>
      </c>
      <c r="E329" s="473">
        <f>ROUNDUP(($D329+($D329*Publico!L$1)),-1)</f>
        <v>79520</v>
      </c>
      <c r="F329" s="473">
        <f>ROUNDUP(($D329+($D329*Publico!L$2)),-1)</f>
        <v>90330</v>
      </c>
      <c r="G329" s="473">
        <f t="shared" si="26"/>
        <v>77200</v>
      </c>
      <c r="H329" s="474">
        <v>10</v>
      </c>
      <c r="I329" s="474">
        <f t="shared" ref="I329:I392" si="30">(J329*1.105)</f>
        <v>9.132231404958679</v>
      </c>
      <c r="J329" s="474">
        <f t="shared" si="25"/>
        <v>8.2644628099173563</v>
      </c>
      <c r="K329" s="474">
        <f t="shared" si="27"/>
        <v>8.2644628099173563</v>
      </c>
      <c r="L329" s="921">
        <v>10</v>
      </c>
    </row>
    <row r="330" spans="1:12" ht="15.6">
      <c r="A330" s="457" t="s">
        <v>1787</v>
      </c>
      <c r="B330" s="921" t="s">
        <v>521</v>
      </c>
      <c r="C330" s="921" t="s">
        <v>61</v>
      </c>
      <c r="D330" s="461">
        <f>(Varta!AA31)</f>
        <v>290000</v>
      </c>
      <c r="E330" s="473">
        <f>ROUNDUP(($D330+($D330*Publico!L$1)),-1)</f>
        <v>298700</v>
      </c>
      <c r="F330" s="473">
        <f>ROUNDUP(($D330+($D330*Publico!L$2)),-1)</f>
        <v>339300</v>
      </c>
      <c r="G330" s="473">
        <f t="shared" si="26"/>
        <v>290000</v>
      </c>
      <c r="H330" s="474">
        <f>(Varta!G31)</f>
        <v>209430.03312000001</v>
      </c>
      <c r="I330" s="474">
        <f t="shared" si="30"/>
        <v>191256.35256000003</v>
      </c>
      <c r="J330" s="474">
        <f t="shared" si="25"/>
        <v>173082.67200000002</v>
      </c>
      <c r="K330" s="474">
        <f t="shared" si="27"/>
        <v>173082.67200000002</v>
      </c>
      <c r="L330" s="456">
        <f>(Varta!E31)</f>
        <v>120037.3519392</v>
      </c>
    </row>
    <row r="331" spans="1:12" ht="15.6">
      <c r="A331" s="457" t="s">
        <v>1127</v>
      </c>
      <c r="B331" s="921" t="s">
        <v>307</v>
      </c>
      <c r="C331" s="921" t="s">
        <v>1788</v>
      </c>
      <c r="D331" s="475">
        <f>(Novelbat!U4)</f>
        <v>32400</v>
      </c>
      <c r="E331" s="473">
        <f>ROUNDUP(($D331+($D331*Publico!L$1)),-1)</f>
        <v>33380</v>
      </c>
      <c r="F331" s="473">
        <f>ROUNDUP(($D331+($D331*Publico!L$2)),-1)</f>
        <v>37910</v>
      </c>
      <c r="G331" s="473">
        <f t="shared" si="26"/>
        <v>32400</v>
      </c>
      <c r="H331" s="499">
        <f>(Mayorista!H134)</f>
        <v>61710</v>
      </c>
      <c r="I331" s="474">
        <f t="shared" si="30"/>
        <v>56355</v>
      </c>
      <c r="J331" s="474">
        <f t="shared" si="25"/>
        <v>51000</v>
      </c>
      <c r="K331" s="474">
        <f t="shared" si="27"/>
        <v>51000</v>
      </c>
      <c r="L331" s="921">
        <f>(Moto!Z5)</f>
        <v>17469.291694214877</v>
      </c>
    </row>
    <row r="332" spans="1:12" ht="15.6">
      <c r="A332" s="457" t="s">
        <v>1789</v>
      </c>
      <c r="B332" s="921" t="s">
        <v>307</v>
      </c>
      <c r="C332" s="921" t="s">
        <v>1790</v>
      </c>
      <c r="D332" s="475">
        <f>(Novelbat!U14)</f>
        <v>35100</v>
      </c>
      <c r="E332" s="473">
        <f>ROUNDUP(($D332+($D332*Publico!L$1)),-1)</f>
        <v>36160</v>
      </c>
      <c r="F332" s="473">
        <f>ROUNDUP(($D332+($D332*Publico!L$2)),-1)</f>
        <v>41070</v>
      </c>
      <c r="G332" s="473">
        <f t="shared" si="26"/>
        <v>35100</v>
      </c>
      <c r="H332" s="499">
        <f>(Mayorista!H140)</f>
        <v>65340</v>
      </c>
      <c r="I332" s="474">
        <f t="shared" si="30"/>
        <v>59670</v>
      </c>
      <c r="J332" s="474">
        <f t="shared" si="25"/>
        <v>54000</v>
      </c>
      <c r="K332" s="474">
        <f t="shared" si="27"/>
        <v>54000</v>
      </c>
      <c r="L332" s="921">
        <f>(Moto!Z17)</f>
        <v>18656.947619834707</v>
      </c>
    </row>
    <row r="333" spans="1:12" ht="15.6">
      <c r="A333" s="457" t="s">
        <v>1131</v>
      </c>
      <c r="B333" s="921" t="s">
        <v>307</v>
      </c>
      <c r="C333" s="921" t="s">
        <v>1791</v>
      </c>
      <c r="D333" s="475">
        <f>(Novelbat!U6)</f>
        <v>39000</v>
      </c>
      <c r="E333" s="473">
        <f>ROUNDUP(($D333+($D333*Publico!L$1)),-1)</f>
        <v>40170</v>
      </c>
      <c r="F333" s="473">
        <f>ROUNDUP(($D333+($D333*Publico!L$2)),-1)</f>
        <v>45630</v>
      </c>
      <c r="G333" s="473">
        <f t="shared" si="26"/>
        <v>39000</v>
      </c>
      <c r="H333" s="499">
        <f>(Mayorista!H136)</f>
        <v>75020</v>
      </c>
      <c r="I333" s="474">
        <f t="shared" si="30"/>
        <v>68510</v>
      </c>
      <c r="J333" s="474">
        <f t="shared" si="25"/>
        <v>62000</v>
      </c>
      <c r="K333" s="474">
        <f t="shared" si="27"/>
        <v>62000</v>
      </c>
      <c r="L333" s="921">
        <f>(Moto!Z8)</f>
        <v>21291.377545454547</v>
      </c>
    </row>
    <row r="334" spans="1:12" ht="15.6">
      <c r="A334" s="457" t="s">
        <v>1132</v>
      </c>
      <c r="B334" s="921" t="s">
        <v>307</v>
      </c>
      <c r="C334" s="921" t="s">
        <v>1792</v>
      </c>
      <c r="D334" s="475">
        <f>(Novelbat!U22)</f>
        <v>48550</v>
      </c>
      <c r="E334" s="473">
        <f>ROUNDUP(($D334+($D334*Publico!L$1)),-1)</f>
        <v>50010</v>
      </c>
      <c r="F334" s="473">
        <f>ROUNDUP(($D334+($D334*Publico!L$2)),-1)</f>
        <v>56810</v>
      </c>
      <c r="G334" s="473">
        <f t="shared" si="26"/>
        <v>48550</v>
      </c>
      <c r="H334" s="499">
        <f>(Mayorista!H145)</f>
        <v>71390</v>
      </c>
      <c r="I334" s="474">
        <f t="shared" si="30"/>
        <v>65195</v>
      </c>
      <c r="J334" s="474">
        <f t="shared" si="25"/>
        <v>59000</v>
      </c>
      <c r="K334" s="474">
        <f t="shared" si="27"/>
        <v>59000</v>
      </c>
      <c r="L334" s="921">
        <f>(Moto!Z15)</f>
        <v>14856.459429752067</v>
      </c>
    </row>
    <row r="335" spans="1:12" ht="15.6">
      <c r="A335" s="457" t="s">
        <v>1134</v>
      </c>
      <c r="B335" s="921" t="s">
        <v>307</v>
      </c>
      <c r="C335" s="921" t="s">
        <v>1793</v>
      </c>
      <c r="D335" s="475">
        <f>(Novelbat!U7)</f>
        <v>45400</v>
      </c>
      <c r="E335" s="473">
        <f>ROUNDUP(($D335+($D335*Publico!L$1)),-1)</f>
        <v>46770</v>
      </c>
      <c r="F335" s="473">
        <f>ROUNDUP(($D335+($D335*Publico!L$2)),-1)</f>
        <v>53120</v>
      </c>
      <c r="G335" s="473">
        <f t="shared" si="26"/>
        <v>45400</v>
      </c>
      <c r="H335" s="499">
        <f>(Mayorista!H137)</f>
        <v>77440</v>
      </c>
      <c r="I335" s="474">
        <f t="shared" si="30"/>
        <v>70720</v>
      </c>
      <c r="J335" s="474">
        <f t="shared" si="25"/>
        <v>64000</v>
      </c>
      <c r="K335" s="474">
        <f t="shared" si="27"/>
        <v>64000</v>
      </c>
      <c r="L335" s="921">
        <f>(Moto!Z9)</f>
        <v>23904.21750413223</v>
      </c>
    </row>
    <row r="336" spans="1:12" ht="15.6">
      <c r="A336" s="457" t="s">
        <v>1136</v>
      </c>
      <c r="B336" s="921" t="s">
        <v>307</v>
      </c>
      <c r="C336" s="921" t="s">
        <v>1794</v>
      </c>
      <c r="D336" s="475">
        <f>(Novelbat!U16)</f>
        <v>39000</v>
      </c>
      <c r="E336" s="473">
        <f>ROUNDUP(($D336+($D336*Publico!L$1)),-1)</f>
        <v>40170</v>
      </c>
      <c r="F336" s="473">
        <f>ROUNDUP(($D336+($D336*Publico!L$2)),-1)</f>
        <v>45630</v>
      </c>
      <c r="G336" s="473">
        <f t="shared" si="26"/>
        <v>39000</v>
      </c>
      <c r="H336" s="499">
        <f>(Mayorista!H142)</f>
        <v>79860</v>
      </c>
      <c r="I336" s="474">
        <f t="shared" si="30"/>
        <v>72930</v>
      </c>
      <c r="J336" s="474">
        <f t="shared" si="25"/>
        <v>66000</v>
      </c>
      <c r="K336" s="474">
        <f t="shared" si="27"/>
        <v>66000</v>
      </c>
      <c r="L336" s="921">
        <f>(Moto!Z19)</f>
        <v>22543.811066115701</v>
      </c>
    </row>
    <row r="337" spans="1:12" ht="15.6">
      <c r="A337" s="457" t="s">
        <v>1138</v>
      </c>
      <c r="B337" s="921" t="s">
        <v>307</v>
      </c>
      <c r="C337" s="921" t="s">
        <v>1795</v>
      </c>
      <c r="D337" s="475">
        <f>(Novelbat!U15)</f>
        <v>39000</v>
      </c>
      <c r="E337" s="473">
        <f>ROUNDUP(($D337+($D337*Publico!L$1)),-1)</f>
        <v>40170</v>
      </c>
      <c r="F337" s="473">
        <f>ROUNDUP(($D337+($D337*Publico!L$2)),-1)</f>
        <v>45630</v>
      </c>
      <c r="G337" s="473">
        <f t="shared" si="26"/>
        <v>39000</v>
      </c>
      <c r="H337" s="499">
        <f>(Mayorista!H141)</f>
        <v>76230</v>
      </c>
      <c r="I337" s="474">
        <f t="shared" si="30"/>
        <v>69615</v>
      </c>
      <c r="J337" s="474">
        <f t="shared" si="25"/>
        <v>63000</v>
      </c>
      <c r="K337" s="474">
        <f t="shared" si="27"/>
        <v>63000</v>
      </c>
      <c r="L337" s="921">
        <f>(Moto!Z18)</f>
        <v>21442.530396694216</v>
      </c>
    </row>
    <row r="338" spans="1:12" ht="15.6">
      <c r="A338" s="457" t="s">
        <v>1140</v>
      </c>
      <c r="B338" s="921" t="s">
        <v>307</v>
      </c>
      <c r="C338" s="921" t="s">
        <v>1796</v>
      </c>
      <c r="D338" s="475">
        <f>(Novelbat!U17)</f>
        <v>44900</v>
      </c>
      <c r="E338" s="473">
        <f>ROUNDUP(($D338+($D338*Publico!L$1)),-1)</f>
        <v>46250</v>
      </c>
      <c r="F338" s="473">
        <f>ROUNDUP(($D338+($D338*Publico!L$2)),-1)</f>
        <v>52540</v>
      </c>
      <c r="G338" s="473">
        <f t="shared" si="26"/>
        <v>44900</v>
      </c>
      <c r="H338" s="499">
        <f>(Mayorista!H143)</f>
        <v>94380</v>
      </c>
      <c r="I338" s="474">
        <f t="shared" si="30"/>
        <v>86190</v>
      </c>
      <c r="J338" s="474">
        <f t="shared" si="25"/>
        <v>78000</v>
      </c>
      <c r="K338" s="474">
        <f t="shared" si="27"/>
        <v>78000</v>
      </c>
      <c r="L338" s="921">
        <f>(Moto!Z20)</f>
        <v>26689.792586776861</v>
      </c>
    </row>
    <row r="339" spans="1:12" ht="15.6">
      <c r="A339" s="476" t="s">
        <v>1142</v>
      </c>
      <c r="B339" s="921" t="s">
        <v>388</v>
      </c>
      <c r="C339" s="921" t="s">
        <v>1797</v>
      </c>
      <c r="D339" s="461">
        <f>(Publico!D386)</f>
        <v>24400</v>
      </c>
      <c r="E339" s="473">
        <f>ROUNDUP(($D339+($D339*Publico!L$1)),-1)</f>
        <v>25140</v>
      </c>
      <c r="F339" s="473">
        <f>ROUNDUP(($D339+($D339*Publico!L$2)),-1)</f>
        <v>28550</v>
      </c>
      <c r="G339" s="473">
        <f t="shared" si="26"/>
        <v>24400</v>
      </c>
      <c r="H339" s="461">
        <f>(Lusqtoff!H40)</f>
        <v>17569.141919999998</v>
      </c>
      <c r="I339" s="474">
        <f t="shared" si="30"/>
        <v>16044.54696</v>
      </c>
      <c r="J339" s="474">
        <f t="shared" si="25"/>
        <v>14519.951999999999</v>
      </c>
      <c r="K339" s="474">
        <f t="shared" si="27"/>
        <v>14519.951999999999</v>
      </c>
      <c r="L339" s="921">
        <f>(Lusqtoff!F40)</f>
        <v>10400</v>
      </c>
    </row>
    <row r="340" spans="1:12" ht="15.6">
      <c r="A340" s="477" t="s">
        <v>1144</v>
      </c>
      <c r="B340" s="921" t="s">
        <v>388</v>
      </c>
      <c r="C340" s="921" t="s">
        <v>1798</v>
      </c>
      <c r="D340" s="461">
        <f>(Publico!D420)</f>
        <v>460750</v>
      </c>
      <c r="E340" s="473">
        <f>ROUNDUP(($D340+($D340*Publico!L$1)),-1)</f>
        <v>474580</v>
      </c>
      <c r="F340" s="473">
        <f>ROUNDUP(($D340+($D340*Publico!L$2)),-1)</f>
        <v>539080</v>
      </c>
      <c r="G340" s="473">
        <f t="shared" si="26"/>
        <v>460750</v>
      </c>
      <c r="H340" s="461">
        <f>(Lusqtoff!H44)</f>
        <v>404090.2641599999</v>
      </c>
      <c r="I340" s="474">
        <f t="shared" si="30"/>
        <v>369024.58007999993</v>
      </c>
      <c r="J340" s="474">
        <f t="shared" si="25"/>
        <v>333958.89599999995</v>
      </c>
      <c r="K340" s="474">
        <f t="shared" si="27"/>
        <v>333958.89599999995</v>
      </c>
      <c r="L340" s="921">
        <f>(Lusqtoff!F44)</f>
        <v>219585.6</v>
      </c>
    </row>
    <row r="341" spans="1:12" ht="15.6">
      <c r="A341" s="477" t="s">
        <v>467</v>
      </c>
      <c r="B341" s="921" t="s">
        <v>388</v>
      </c>
      <c r="C341" s="921" t="s">
        <v>1799</v>
      </c>
      <c r="D341" s="475">
        <f>(Publico!D402)</f>
        <v>569100</v>
      </c>
      <c r="E341" s="473">
        <f>ROUNDUP(($D341+($D341*Publico!L$1)),-1)</f>
        <v>586180</v>
      </c>
      <c r="F341" s="473">
        <f>ROUNDUP(($D341+($D341*Publico!L$2)),-1)</f>
        <v>665850</v>
      </c>
      <c r="G341" s="473">
        <f t="shared" si="26"/>
        <v>569100</v>
      </c>
      <c r="H341" s="461">
        <f>(Lusqtoff!H58)</f>
        <v>500720.54471999989</v>
      </c>
      <c r="I341" s="474">
        <f t="shared" si="30"/>
        <v>457269.58835999994</v>
      </c>
      <c r="J341" s="474">
        <f t="shared" si="25"/>
        <v>413818.63199999993</v>
      </c>
      <c r="K341" s="474">
        <f t="shared" si="27"/>
        <v>413818.63199999993</v>
      </c>
      <c r="L341" s="921">
        <f>(Lusqtoff!F58)</f>
        <v>304106.40000000002</v>
      </c>
    </row>
    <row r="342" spans="1:12" ht="15.6">
      <c r="A342" s="477" t="s">
        <v>469</v>
      </c>
      <c r="B342" s="921" t="s">
        <v>388</v>
      </c>
      <c r="C342" s="921" t="s">
        <v>1800</v>
      </c>
      <c r="D342" s="475">
        <f>(Publico!D405)</f>
        <v>281000</v>
      </c>
      <c r="E342" s="473">
        <f>ROUNDUP(($D342+($D342*Publico!L$1)),-1)</f>
        <v>289430</v>
      </c>
      <c r="F342" s="473">
        <f>ROUNDUP(($D342+($D342*Publico!L$2)),-1)</f>
        <v>328770</v>
      </c>
      <c r="G342" s="473">
        <f t="shared" si="26"/>
        <v>281000</v>
      </c>
      <c r="H342" s="461">
        <f>(Lusqtoff!H59)</f>
        <v>237183.41591999994</v>
      </c>
      <c r="I342" s="474">
        <f t="shared" si="30"/>
        <v>216601.38395999995</v>
      </c>
      <c r="J342" s="474">
        <f t="shared" si="25"/>
        <v>196019.35199999996</v>
      </c>
      <c r="K342" s="474">
        <f t="shared" si="27"/>
        <v>196019.35199999996</v>
      </c>
      <c r="L342" s="921">
        <f>(Lusqtoff!F59)</f>
        <v>144050.4</v>
      </c>
    </row>
    <row r="343" spans="1:12" ht="15.6">
      <c r="A343" s="1" t="s">
        <v>1146</v>
      </c>
      <c r="B343" s="921" t="s">
        <v>75</v>
      </c>
      <c r="C343" s="921" t="s">
        <v>1801</v>
      </c>
      <c r="D343" s="475">
        <f>(Novelbat!U10)</f>
        <v>94300</v>
      </c>
      <c r="E343" s="473">
        <f>ROUNDUP(($D343+($D343*Publico!L$1)),-1)</f>
        <v>97130</v>
      </c>
      <c r="F343" s="473">
        <f>ROUNDUP(($D343+($D343*Publico!L$2)),-1)</f>
        <v>110340</v>
      </c>
      <c r="G343" s="473">
        <f t="shared" si="26"/>
        <v>94300</v>
      </c>
      <c r="H343" s="461">
        <v>10</v>
      </c>
      <c r="I343" s="474">
        <f t="shared" si="30"/>
        <v>9.132231404958679</v>
      </c>
      <c r="J343" s="474">
        <f t="shared" si="25"/>
        <v>8.2644628099173563</v>
      </c>
      <c r="K343" s="474">
        <f t="shared" si="27"/>
        <v>8.2644628099173563</v>
      </c>
      <c r="L343" s="456">
        <f>(Moto!E13)</f>
        <v>40613.236363636366</v>
      </c>
    </row>
    <row r="344" spans="1:12" ht="15.6">
      <c r="A344" s="1" t="s">
        <v>1148</v>
      </c>
      <c r="B344" s="921" t="s">
        <v>75</v>
      </c>
      <c r="C344" s="921" t="s">
        <v>1802</v>
      </c>
      <c r="D344" s="475">
        <f>(Moto!G30)</f>
        <v>121150</v>
      </c>
      <c r="E344" s="473">
        <f>ROUNDUP(($D344+($D344*Publico!L$1)),-1)</f>
        <v>124790</v>
      </c>
      <c r="F344" s="473">
        <f>ROUNDUP(($D344+($D344*Publico!L$2)),-1)</f>
        <v>141750</v>
      </c>
      <c r="G344" s="473">
        <f t="shared" si="26"/>
        <v>121150</v>
      </c>
      <c r="H344" s="461">
        <v>10</v>
      </c>
      <c r="I344" s="474">
        <f t="shared" si="30"/>
        <v>9.132231404958679</v>
      </c>
      <c r="J344" s="474">
        <f t="shared" si="25"/>
        <v>8.2644628099173563</v>
      </c>
      <c r="K344" s="474">
        <f t="shared" si="27"/>
        <v>8.2644628099173563</v>
      </c>
      <c r="L344" s="456">
        <f>(Moto!E30)</f>
        <v>49556.945454545457</v>
      </c>
    </row>
    <row r="345" spans="1:12" ht="15.6">
      <c r="A345" s="1" t="s">
        <v>1150</v>
      </c>
      <c r="B345" s="921" t="s">
        <v>75</v>
      </c>
      <c r="C345" s="921" t="s">
        <v>1803</v>
      </c>
      <c r="D345" s="475">
        <f>(Novelbat!U6)</f>
        <v>39000</v>
      </c>
      <c r="E345" s="473">
        <f>ROUNDUP(($D345+($D345*Publico!L$1)),-1)</f>
        <v>40170</v>
      </c>
      <c r="F345" s="473">
        <f>ROUNDUP(($D345+($D345*Publico!L$2)),-1)</f>
        <v>45630</v>
      </c>
      <c r="G345" s="473">
        <f t="shared" si="26"/>
        <v>39000</v>
      </c>
      <c r="H345" s="461">
        <v>10</v>
      </c>
      <c r="I345" s="474">
        <f t="shared" si="30"/>
        <v>9.132231404958679</v>
      </c>
      <c r="J345" s="474">
        <f t="shared" si="25"/>
        <v>8.2644628099173563</v>
      </c>
      <c r="K345" s="474">
        <f t="shared" si="27"/>
        <v>8.2644628099173563</v>
      </c>
      <c r="L345" s="456">
        <f>(Moto!E6)</f>
        <v>24086.109090909089</v>
      </c>
    </row>
    <row r="346" spans="1:12" ht="15.6">
      <c r="A346" s="1" t="s">
        <v>1152</v>
      </c>
      <c r="B346" s="921" t="s">
        <v>796</v>
      </c>
      <c r="C346" s="921" t="s">
        <v>1804</v>
      </c>
      <c r="D346" s="475">
        <f>(Publico!D249)</f>
        <v>192400</v>
      </c>
      <c r="E346" s="473">
        <f>ROUNDUP(($D346+($D346*Publico!L$1)),-1)</f>
        <v>198180</v>
      </c>
      <c r="F346" s="473">
        <f>ROUNDUP(($D346+($D346*Publico!L$2)),-1)</f>
        <v>225110</v>
      </c>
      <c r="G346" s="473">
        <f t="shared" si="26"/>
        <v>192400</v>
      </c>
      <c r="H346" s="461">
        <v>10</v>
      </c>
      <c r="I346" s="474">
        <f t="shared" si="30"/>
        <v>9.132231404958679</v>
      </c>
      <c r="J346" s="474">
        <f t="shared" si="25"/>
        <v>8.2644628099173563</v>
      </c>
      <c r="K346" s="474">
        <f t="shared" si="27"/>
        <v>8.2644628099173563</v>
      </c>
      <c r="L346" s="451">
        <f>(Yuasa!F70)</f>
        <v>96176.256000000008</v>
      </c>
    </row>
    <row r="347" spans="1:12" ht="15.6">
      <c r="A347" s="1" t="s">
        <v>1805</v>
      </c>
      <c r="B347" s="921" t="s">
        <v>1109</v>
      </c>
      <c r="C347" s="160">
        <v>21646</v>
      </c>
      <c r="D347" s="475">
        <f>('Terminales - Liquimoly - Bari'!O28)</f>
        <v>35400</v>
      </c>
      <c r="E347" s="473">
        <f>ROUNDUP(($D347+($D347*Publico!L$1)),-1)</f>
        <v>36470</v>
      </c>
      <c r="F347" s="506">
        <f>ROUNDUP(($D347+($D347*Publico!L$2)),-1)</f>
        <v>41420</v>
      </c>
      <c r="G347" s="473">
        <f t="shared" si="26"/>
        <v>35400</v>
      </c>
      <c r="H347" s="461">
        <f>('Terminales - Liquimoly - Bari'!G28)</f>
        <v>30455.427749999995</v>
      </c>
      <c r="I347" s="474">
        <f t="shared" si="30"/>
        <v>27812.601374999998</v>
      </c>
      <c r="J347" s="474">
        <f t="shared" si="25"/>
        <v>25169.774999999998</v>
      </c>
      <c r="K347" s="474">
        <f t="shared" si="27"/>
        <v>25169.774999999998</v>
      </c>
      <c r="L347" s="921">
        <f>('Terminales - Liquimoly - Bari'!E28)</f>
        <v>16779.849999999999</v>
      </c>
    </row>
    <row r="348" spans="1:12" ht="15.6">
      <c r="A348" s="1" t="s">
        <v>1806</v>
      </c>
      <c r="B348" s="921" t="s">
        <v>307</v>
      </c>
      <c r="C348" s="921" t="s">
        <v>1807</v>
      </c>
      <c r="D348" s="475">
        <f>(Novelbat!U6)</f>
        <v>39000</v>
      </c>
      <c r="E348" s="506">
        <f>ROUNDUP(($D348+($D348*Publico!L$1)),-1)</f>
        <v>40170</v>
      </c>
      <c r="F348" s="506">
        <f>ROUNDUP(($D348+($D348*Publico!L$2)),-1)</f>
        <v>45630</v>
      </c>
      <c r="G348" s="473">
        <f t="shared" si="26"/>
        <v>39000</v>
      </c>
      <c r="H348" s="461">
        <v>10</v>
      </c>
      <c r="I348" s="474">
        <f t="shared" si="30"/>
        <v>9.132231404958679</v>
      </c>
      <c r="J348" s="474">
        <f t="shared" si="25"/>
        <v>8.2644628099173563</v>
      </c>
      <c r="K348" s="474">
        <f t="shared" si="27"/>
        <v>8.2644628099173563</v>
      </c>
      <c r="L348" s="921">
        <f>(Moto!Z8)</f>
        <v>21291.377545454547</v>
      </c>
    </row>
    <row r="349" spans="1:12" ht="15.6">
      <c r="A349" s="921" t="s">
        <v>367</v>
      </c>
      <c r="B349" s="921" t="s">
        <v>307</v>
      </c>
      <c r="C349" s="921" t="s">
        <v>1808</v>
      </c>
      <c r="D349" s="160">
        <f>(Moto!AH34)</f>
        <v>12000</v>
      </c>
      <c r="E349" s="506">
        <f>ROUNDUP(($D349+($D349*Publico!L$1)),-1)</f>
        <v>12360</v>
      </c>
      <c r="F349" s="506">
        <f>ROUNDUP(($D349+($D349*Publico!L$2)),-1)</f>
        <v>14040</v>
      </c>
      <c r="G349" s="473">
        <f t="shared" si="26"/>
        <v>12000</v>
      </c>
      <c r="H349" s="461">
        <v>10</v>
      </c>
      <c r="I349" s="474">
        <f t="shared" si="30"/>
        <v>9.132231404958679</v>
      </c>
      <c r="J349" s="462">
        <f t="shared" si="25"/>
        <v>8.2644628099173563</v>
      </c>
      <c r="K349" s="474">
        <f t="shared" si="27"/>
        <v>8.2644628099173563</v>
      </c>
      <c r="L349" s="921">
        <f>(Moto!Z34)</f>
        <v>7952.55</v>
      </c>
    </row>
    <row r="350" spans="1:12" ht="15.6">
      <c r="A350" s="921" t="s">
        <v>368</v>
      </c>
      <c r="B350" s="921" t="s">
        <v>307</v>
      </c>
      <c r="C350" s="921" t="s">
        <v>1809</v>
      </c>
      <c r="D350" s="160">
        <f>(Moto!AG35)</f>
        <v>15000</v>
      </c>
      <c r="E350" s="506">
        <f>ROUNDUP(($D350+($D350*Publico!L$1)),-1)</f>
        <v>15450</v>
      </c>
      <c r="F350" s="506">
        <f>ROUNDUP(($D350+($D350*Publico!L$2)),-1)</f>
        <v>17550</v>
      </c>
      <c r="G350" s="473">
        <f t="shared" si="26"/>
        <v>15000</v>
      </c>
      <c r="H350" s="461">
        <v>10</v>
      </c>
      <c r="I350" s="474">
        <f t="shared" si="30"/>
        <v>9.132231404958679</v>
      </c>
      <c r="J350" s="462">
        <f t="shared" si="25"/>
        <v>8.2644628099173563</v>
      </c>
      <c r="K350" s="474">
        <f t="shared" si="27"/>
        <v>8.2644628099173563</v>
      </c>
      <c r="L350" s="921">
        <f>(Moto!Z35)</f>
        <v>9310.69</v>
      </c>
    </row>
    <row r="351" spans="1:12" ht="15.6">
      <c r="A351" s="921" t="s">
        <v>1161</v>
      </c>
      <c r="B351" s="921" t="s">
        <v>254</v>
      </c>
      <c r="C351" s="921" t="s">
        <v>1810</v>
      </c>
      <c r="D351" s="921">
        <f>(Novelbat!U4)</f>
        <v>32400</v>
      </c>
      <c r="E351" s="506">
        <f>ROUNDUP(($D351+($D351*Publico!L$1)),-1)</f>
        <v>33380</v>
      </c>
      <c r="F351" s="506">
        <f>ROUNDUP(($D351+($D351*Publico!L$2)),-1)</f>
        <v>37910</v>
      </c>
      <c r="G351" s="473">
        <f t="shared" si="26"/>
        <v>32400</v>
      </c>
      <c r="H351" s="461">
        <v>10</v>
      </c>
      <c r="I351" s="474">
        <f t="shared" si="30"/>
        <v>9.132231404958679</v>
      </c>
      <c r="J351" s="462">
        <f t="shared" si="25"/>
        <v>8.2644628099173563</v>
      </c>
      <c r="K351" s="474">
        <f t="shared" si="27"/>
        <v>8.2644628099173563</v>
      </c>
      <c r="L351" s="921">
        <f>(Moto!N5)</f>
        <v>15852.5</v>
      </c>
    </row>
    <row r="352" spans="1:12" ht="15.6">
      <c r="A352" s="921" t="s">
        <v>1163</v>
      </c>
      <c r="B352" s="921" t="s">
        <v>254</v>
      </c>
      <c r="C352" s="921" t="s">
        <v>1811</v>
      </c>
      <c r="D352" s="921">
        <f>(Novelbat!U5)</f>
        <v>39000</v>
      </c>
      <c r="E352" s="506">
        <f>ROUNDUP(($D352+($D352*Publico!L$1)),-1)</f>
        <v>40170</v>
      </c>
      <c r="F352" s="506">
        <f>ROUNDUP(($D352+($D352*Publico!L$2)),-1)</f>
        <v>45630</v>
      </c>
      <c r="G352" s="473">
        <f t="shared" si="26"/>
        <v>39000</v>
      </c>
      <c r="H352" s="461">
        <v>10</v>
      </c>
      <c r="I352" s="474">
        <f t="shared" si="30"/>
        <v>9.132231404958679</v>
      </c>
      <c r="J352" s="462">
        <f t="shared" si="25"/>
        <v>8.2644628099173563</v>
      </c>
      <c r="K352" s="474">
        <f t="shared" si="27"/>
        <v>8.2644628099173563</v>
      </c>
      <c r="L352" s="921">
        <f>(Moto!N6)</f>
        <v>21726</v>
      </c>
    </row>
    <row r="353" spans="1:12" ht="15.6">
      <c r="A353" s="921" t="s">
        <v>1165</v>
      </c>
      <c r="B353" s="921" t="s">
        <v>254</v>
      </c>
      <c r="C353" s="921" t="s">
        <v>1812</v>
      </c>
      <c r="D353" s="921">
        <f>(Novelbat!U7)</f>
        <v>45400</v>
      </c>
      <c r="E353" s="506">
        <f>ROUNDUP(($D353+($D353*Publico!L$1)),-1)</f>
        <v>46770</v>
      </c>
      <c r="F353" s="506">
        <f>ROUNDUP(($D353+($D353*Publico!L$2)),-1)</f>
        <v>53120</v>
      </c>
      <c r="G353" s="473">
        <f t="shared" si="26"/>
        <v>45400</v>
      </c>
      <c r="H353" s="461">
        <v>10</v>
      </c>
      <c r="I353" s="474">
        <f t="shared" si="30"/>
        <v>9.132231404958679</v>
      </c>
      <c r="J353" s="462">
        <f t="shared" si="25"/>
        <v>8.2644628099173563</v>
      </c>
      <c r="K353" s="474">
        <f t="shared" si="27"/>
        <v>8.2644628099173563</v>
      </c>
      <c r="L353" s="921">
        <f>(Moto!N9)</f>
        <v>23800</v>
      </c>
    </row>
    <row r="354" spans="1:12" ht="15.6">
      <c r="A354" s="921" t="s">
        <v>1813</v>
      </c>
      <c r="B354" s="921" t="s">
        <v>254</v>
      </c>
      <c r="C354" s="921" t="s">
        <v>1814</v>
      </c>
      <c r="D354" s="921">
        <f>(Novelbat!U25)</f>
        <v>72800</v>
      </c>
      <c r="E354" s="506">
        <f>ROUNDUP(($D354+($D354*Publico!L$1)),-1)</f>
        <v>74990</v>
      </c>
      <c r="F354" s="506">
        <f>ROUNDUP(($D354+($D354*Publico!L$2)),-1)</f>
        <v>85180</v>
      </c>
      <c r="G354" s="473">
        <f t="shared" si="26"/>
        <v>72800</v>
      </c>
      <c r="H354" s="461">
        <v>10</v>
      </c>
      <c r="I354" s="474">
        <f t="shared" si="30"/>
        <v>9.132231404958679</v>
      </c>
      <c r="J354" s="462">
        <f t="shared" ref="J354:J417" si="31">(H354/1.21)</f>
        <v>8.2644628099173563</v>
      </c>
      <c r="K354" s="474">
        <f t="shared" si="27"/>
        <v>8.2644628099173563</v>
      </c>
      <c r="L354" s="921">
        <f>(Moto!N12)</f>
        <v>0</v>
      </c>
    </row>
    <row r="355" spans="1:12" ht="15.6">
      <c r="A355" s="921" t="s">
        <v>1169</v>
      </c>
      <c r="B355" s="921" t="s">
        <v>254</v>
      </c>
      <c r="C355" s="921" t="s">
        <v>1815</v>
      </c>
      <c r="D355" s="921">
        <f>(Novelbat!U18)</f>
        <v>61950</v>
      </c>
      <c r="E355" s="506">
        <f>ROUNDUP(($D355+($D355*Publico!L$1)),-1)</f>
        <v>63810</v>
      </c>
      <c r="F355" s="506">
        <f>ROUNDUP(($D355+($D355*Publico!L$2)),-1)</f>
        <v>72490</v>
      </c>
      <c r="G355" s="473">
        <f t="shared" si="26"/>
        <v>61950</v>
      </c>
      <c r="H355" s="461">
        <v>10</v>
      </c>
      <c r="I355" s="474">
        <f t="shared" si="30"/>
        <v>9.132231404958679</v>
      </c>
      <c r="J355" s="462">
        <f t="shared" si="31"/>
        <v>8.2644628099173563</v>
      </c>
      <c r="K355" s="474">
        <f t="shared" si="27"/>
        <v>8.2644628099173563</v>
      </c>
      <c r="L355" s="921">
        <f>(Moto!N21)</f>
        <v>38148</v>
      </c>
    </row>
    <row r="356" spans="1:12" ht="15.6">
      <c r="A356" s="921" t="s">
        <v>1171</v>
      </c>
      <c r="B356" s="921" t="s">
        <v>254</v>
      </c>
      <c r="C356" s="921" t="s">
        <v>1816</v>
      </c>
      <c r="D356" s="921">
        <f>(Novelbat!U19)</f>
        <v>72800</v>
      </c>
      <c r="E356" s="506">
        <f>ROUNDUP(($D356+($D356*Publico!L$1)),-1)</f>
        <v>74990</v>
      </c>
      <c r="F356" s="506">
        <f>ROUNDUP(($D356+($D356*Publico!L$2)),-1)</f>
        <v>85180</v>
      </c>
      <c r="G356" s="473">
        <f t="shared" si="26"/>
        <v>72800</v>
      </c>
      <c r="H356" s="461">
        <v>10</v>
      </c>
      <c r="I356" s="474">
        <f t="shared" si="30"/>
        <v>9.132231404958679</v>
      </c>
      <c r="J356" s="462">
        <f t="shared" si="31"/>
        <v>8.2644628099173563</v>
      </c>
      <c r="K356" s="474">
        <f t="shared" si="27"/>
        <v>8.2644628099173563</v>
      </c>
      <c r="L356" s="921">
        <f>(Moto!N22)</f>
        <v>41055</v>
      </c>
    </row>
    <row r="357" spans="1:12" ht="15.6">
      <c r="A357" s="921" t="s">
        <v>1173</v>
      </c>
      <c r="B357" s="921" t="s">
        <v>254</v>
      </c>
      <c r="C357" s="921" t="s">
        <v>1817</v>
      </c>
      <c r="D357" s="921">
        <f>(Novelbat!U11)</f>
        <v>157500</v>
      </c>
      <c r="E357" s="506">
        <f>ROUNDUP(($D357+($D357*Publico!L$1)),-1)</f>
        <v>162230</v>
      </c>
      <c r="F357" s="506">
        <f>ROUNDUP(($D357+($D357*Publico!L$2)),-1)</f>
        <v>184280</v>
      </c>
      <c r="G357" s="473">
        <f t="shared" si="26"/>
        <v>157500</v>
      </c>
      <c r="H357" s="461">
        <v>10</v>
      </c>
      <c r="I357" s="474">
        <f t="shared" si="30"/>
        <v>9.132231404958679</v>
      </c>
      <c r="J357" s="462">
        <f t="shared" si="31"/>
        <v>8.2644628099173563</v>
      </c>
      <c r="K357" s="474">
        <f t="shared" si="27"/>
        <v>8.2644628099173563</v>
      </c>
      <c r="L357" s="921">
        <f>(Moto!N23)</f>
        <v>49385</v>
      </c>
    </row>
    <row r="358" spans="1:12" ht="15.6">
      <c r="A358" s="921" t="s">
        <v>1175</v>
      </c>
      <c r="B358" s="921" t="s">
        <v>254</v>
      </c>
      <c r="C358" s="921" t="s">
        <v>1818</v>
      </c>
      <c r="D358" s="921">
        <f>(Novelbat!U13)</f>
        <v>30300</v>
      </c>
      <c r="E358" s="506">
        <f>ROUNDUP(($D358+($D358*Publico!L$1)),-1)</f>
        <v>31210</v>
      </c>
      <c r="F358" s="506">
        <f>ROUNDUP(($D358+($D358*Publico!L$2)),-1)</f>
        <v>35460</v>
      </c>
      <c r="G358" s="473">
        <f t="shared" si="26"/>
        <v>30300</v>
      </c>
      <c r="H358" s="461">
        <v>10</v>
      </c>
      <c r="I358" s="474">
        <f t="shared" si="30"/>
        <v>9.132231404958679</v>
      </c>
      <c r="J358" s="462">
        <f t="shared" si="31"/>
        <v>8.2644628099173563</v>
      </c>
      <c r="K358" s="474">
        <f t="shared" si="27"/>
        <v>8.2644628099173563</v>
      </c>
      <c r="L358" s="921">
        <f>(Moto!N16)</f>
        <v>15385</v>
      </c>
    </row>
    <row r="359" spans="1:12" ht="15.6">
      <c r="A359" s="921" t="s">
        <v>1177</v>
      </c>
      <c r="B359" s="921" t="s">
        <v>254</v>
      </c>
      <c r="C359" s="921" t="s">
        <v>1819</v>
      </c>
      <c r="D359" s="921">
        <f>(Novelbat!U15)</f>
        <v>39000</v>
      </c>
      <c r="E359" s="506">
        <f>ROUNDUP(($D359+($D359*Publico!L$1)),-1)</f>
        <v>40170</v>
      </c>
      <c r="F359" s="506">
        <f>ROUNDUP(($D359+($D359*Publico!L$2)),-1)</f>
        <v>45630</v>
      </c>
      <c r="G359" s="473">
        <f t="shared" si="26"/>
        <v>39000</v>
      </c>
      <c r="H359" s="461">
        <v>10</v>
      </c>
      <c r="I359" s="474">
        <f t="shared" si="30"/>
        <v>9.132231404958679</v>
      </c>
      <c r="J359" s="462">
        <f t="shared" si="31"/>
        <v>8.2644628099173563</v>
      </c>
      <c r="K359" s="474">
        <f t="shared" si="27"/>
        <v>8.2644628099173563</v>
      </c>
      <c r="L359" s="921">
        <f>(Moto!N19)</f>
        <v>20848.8</v>
      </c>
    </row>
    <row r="360" spans="1:12" ht="15.6">
      <c r="A360" s="921" t="s">
        <v>1179</v>
      </c>
      <c r="B360" s="921" t="s">
        <v>254</v>
      </c>
      <c r="C360" s="921" t="s">
        <v>1820</v>
      </c>
      <c r="D360" s="921">
        <f>(Novelbat!U16)</f>
        <v>39000</v>
      </c>
      <c r="E360" s="506">
        <f>ROUNDUP(($D360+($D360*Publico!L$1)),-1)</f>
        <v>40170</v>
      </c>
      <c r="F360" s="506">
        <f>ROUNDUP(($D360+($D360*Publico!L$2)),-1)</f>
        <v>45630</v>
      </c>
      <c r="G360" s="473">
        <f t="shared" si="26"/>
        <v>39000</v>
      </c>
      <c r="H360" s="461">
        <v>10</v>
      </c>
      <c r="I360" s="474">
        <f t="shared" si="30"/>
        <v>9.132231404958679</v>
      </c>
      <c r="J360" s="462">
        <f t="shared" si="31"/>
        <v>8.2644628099173563</v>
      </c>
      <c r="K360" s="474">
        <f t="shared" si="27"/>
        <v>8.2644628099173563</v>
      </c>
      <c r="L360" s="921">
        <f>(Moto!N18)</f>
        <v>20604</v>
      </c>
    </row>
    <row r="361" spans="1:12" ht="15.6">
      <c r="A361" s="921" t="s">
        <v>1181</v>
      </c>
      <c r="B361" s="921" t="s">
        <v>254</v>
      </c>
      <c r="C361" s="921" t="s">
        <v>1821</v>
      </c>
      <c r="D361" s="921">
        <f>(Novelbat!U17)</f>
        <v>44900</v>
      </c>
      <c r="E361" s="506">
        <f>ROUNDUP(($D361+($D361*Publico!L$1)),-1)</f>
        <v>46250</v>
      </c>
      <c r="F361" s="506">
        <f>ROUNDUP(($D361+($D361*Publico!L$2)),-1)</f>
        <v>52540</v>
      </c>
      <c r="G361" s="473">
        <f t="shared" si="26"/>
        <v>44900</v>
      </c>
      <c r="H361" s="461">
        <v>10</v>
      </c>
      <c r="I361" s="474">
        <f t="shared" si="30"/>
        <v>9.132231404958679</v>
      </c>
      <c r="J361" s="462">
        <f t="shared" si="31"/>
        <v>8.2644628099173563</v>
      </c>
      <c r="K361" s="474">
        <f t="shared" si="27"/>
        <v>8.2644628099173563</v>
      </c>
      <c r="L361" s="921">
        <f>(Moto!N20)</f>
        <v>23113.200000000001</v>
      </c>
    </row>
    <row r="362" spans="1:12" ht="15.6">
      <c r="A362" s="921" t="s">
        <v>421</v>
      </c>
      <c r="B362" s="921" t="s">
        <v>388</v>
      </c>
      <c r="C362" s="921" t="s">
        <v>422</v>
      </c>
      <c r="D362" s="921">
        <f>(Lusqtoff!U34)</f>
        <v>63100</v>
      </c>
      <c r="E362" s="506">
        <f>ROUNDUP(($D362+($D362*Publico!L$1)),-1)</f>
        <v>65000</v>
      </c>
      <c r="F362" s="506">
        <f>ROUNDUP(($D362+($D362*Publico!L$2)),-1)</f>
        <v>73830</v>
      </c>
      <c r="G362" s="473">
        <f t="shared" si="26"/>
        <v>63100</v>
      </c>
      <c r="H362" s="461">
        <f>(Lusqtoff!H34)</f>
        <v>46234.584000000003</v>
      </c>
      <c r="I362" s="474">
        <f t="shared" si="30"/>
        <v>42222.491999999998</v>
      </c>
      <c r="J362" s="462">
        <f t="shared" si="31"/>
        <v>38210.400000000001</v>
      </c>
      <c r="K362" s="474">
        <f t="shared" si="27"/>
        <v>38210.400000000001</v>
      </c>
      <c r="L362" s="921">
        <f>(Lusqtoff!F34)</f>
        <v>28080.000000000004</v>
      </c>
    </row>
    <row r="363" spans="1:12" ht="15.6">
      <c r="A363" s="921" t="s">
        <v>395</v>
      </c>
      <c r="B363" s="921" t="s">
        <v>388</v>
      </c>
      <c r="C363" s="921">
        <v>19999</v>
      </c>
      <c r="D363" s="921">
        <f>(Lusqtoff!U20)</f>
        <v>68000</v>
      </c>
      <c r="E363" s="506">
        <f>ROUNDUP(($D363+($D363*Publico!L$1)),-1)</f>
        <v>70040</v>
      </c>
      <c r="F363" s="506">
        <f>ROUNDUP(($D363+($D363*Publico!L$2)),-1)</f>
        <v>79560</v>
      </c>
      <c r="G363" s="473">
        <f t="shared" si="26"/>
        <v>68000</v>
      </c>
      <c r="H363" s="461">
        <f>(Lusqtoff!H20)</f>
        <v>63248.910911999999</v>
      </c>
      <c r="I363" s="474">
        <f t="shared" si="30"/>
        <v>57760.369055999996</v>
      </c>
      <c r="J363" s="462">
        <f t="shared" si="31"/>
        <v>52271.8272</v>
      </c>
      <c r="K363" s="474">
        <f t="shared" si="27"/>
        <v>52271.8272</v>
      </c>
      <c r="L363" s="921">
        <f>(Lusqtoff!F20)</f>
        <v>38413.440000000002</v>
      </c>
    </row>
    <row r="364" spans="1:12" ht="15.6">
      <c r="A364" s="921" t="s">
        <v>429</v>
      </c>
      <c r="B364" s="921" t="s">
        <v>388</v>
      </c>
      <c r="C364" s="921" t="s">
        <v>430</v>
      </c>
      <c r="D364" s="921">
        <f>(Lusqtoff!U38)</f>
        <v>34300</v>
      </c>
      <c r="E364" s="506">
        <f>ROUNDUP(($D364+($D364*Publico!L$1)),-1)</f>
        <v>35330</v>
      </c>
      <c r="F364" s="506">
        <f>ROUNDUP(($D364+($D364*Publico!L$2)),-1)</f>
        <v>40140</v>
      </c>
      <c r="G364" s="473">
        <f t="shared" si="26"/>
        <v>34300</v>
      </c>
      <c r="H364" s="461">
        <f>(Lusqtoff!H38)</f>
        <v>24596.798687999999</v>
      </c>
      <c r="I364" s="474">
        <f t="shared" si="30"/>
        <v>22462.365743999999</v>
      </c>
      <c r="J364" s="462">
        <f t="shared" si="31"/>
        <v>20327.932799999999</v>
      </c>
      <c r="K364" s="474">
        <f t="shared" si="27"/>
        <v>20327.932799999999</v>
      </c>
      <c r="L364" s="921">
        <f>(Lusqtoff!F38)</f>
        <v>14938.56</v>
      </c>
    </row>
    <row r="365" spans="1:12" ht="15.6">
      <c r="A365" s="921" t="s">
        <v>431</v>
      </c>
      <c r="B365" s="921" t="s">
        <v>388</v>
      </c>
      <c r="C365" s="921" t="s">
        <v>432</v>
      </c>
      <c r="D365" s="921">
        <f>(Lusqtoff!U39)</f>
        <v>34300</v>
      </c>
      <c r="E365" s="506">
        <f>ROUNDUP(($D365+($D365*Publico!L$1)),-1)</f>
        <v>35330</v>
      </c>
      <c r="F365" s="506">
        <f>ROUNDUP(($D365+($D365*Publico!L$2)),-1)</f>
        <v>40140</v>
      </c>
      <c r="G365" s="473">
        <f t="shared" si="26"/>
        <v>34300</v>
      </c>
      <c r="H365" s="461">
        <f>(Lusqtoff!H39)</f>
        <v>24596.798687999999</v>
      </c>
      <c r="I365" s="474">
        <f t="shared" si="30"/>
        <v>22462.365743999999</v>
      </c>
      <c r="J365" s="462">
        <f t="shared" si="31"/>
        <v>20327.932799999999</v>
      </c>
      <c r="K365" s="474">
        <f t="shared" si="27"/>
        <v>20327.932799999999</v>
      </c>
      <c r="L365" s="921">
        <f>(Lusqtoff!F39)</f>
        <v>14938.56</v>
      </c>
    </row>
    <row r="366" spans="1:12" ht="15.6">
      <c r="A366" s="921" t="s">
        <v>1822</v>
      </c>
      <c r="B366" s="921" t="s">
        <v>1109</v>
      </c>
      <c r="C366" s="921">
        <v>20628</v>
      </c>
      <c r="D366" s="921">
        <f>('Terminales - Liquimoly - Bari'!O29)</f>
        <v>21200</v>
      </c>
      <c r="E366" s="506">
        <f>ROUNDUP(($D366+($D366*Publico!L$1)),-1)</f>
        <v>21840</v>
      </c>
      <c r="F366" s="506">
        <f>ROUNDUP(($D366+($D366*Publico!L$2)),-1)</f>
        <v>24810</v>
      </c>
      <c r="G366" s="473">
        <f t="shared" si="26"/>
        <v>21200</v>
      </c>
      <c r="H366" s="461">
        <f>('Terminales - Liquimoly - Bari'!G29)</f>
        <v>18320.15625</v>
      </c>
      <c r="I366" s="474">
        <f t="shared" si="30"/>
        <v>16730.390625</v>
      </c>
      <c r="J366" s="462">
        <f t="shared" si="31"/>
        <v>15140.625</v>
      </c>
      <c r="K366" s="474">
        <f t="shared" si="27"/>
        <v>15140.625</v>
      </c>
      <c r="L366" s="921">
        <f>('Terminales - Liquimoly - Bari'!E29)</f>
        <v>10093.75</v>
      </c>
    </row>
    <row r="367" spans="1:12" ht="15.6">
      <c r="A367" s="921" t="s">
        <v>1823</v>
      </c>
      <c r="B367" s="921" t="s">
        <v>1109</v>
      </c>
      <c r="C367" s="921">
        <v>8931</v>
      </c>
      <c r="D367" s="921">
        <f>('Terminales - Liquimoly - Bari'!O30)</f>
        <v>25600</v>
      </c>
      <c r="E367" s="506">
        <f>ROUNDUP(($D367+($D367*Publico!L$1)),-1)</f>
        <v>26370</v>
      </c>
      <c r="F367" s="506">
        <f>ROUNDUP(($D367+($D367*Publico!L$2)),-1)</f>
        <v>29960</v>
      </c>
      <c r="G367" s="473">
        <f t="shared" si="26"/>
        <v>25600</v>
      </c>
      <c r="H367" s="461">
        <f>('Terminales - Liquimoly - Bari'!G30)</f>
        <v>25946.513999999999</v>
      </c>
      <c r="I367" s="474">
        <f t="shared" si="30"/>
        <v>23694.957000000002</v>
      </c>
      <c r="J367" s="462">
        <f t="shared" si="31"/>
        <v>21443.4</v>
      </c>
      <c r="K367" s="474">
        <f t="shared" si="27"/>
        <v>21443.4</v>
      </c>
      <c r="L367" s="921">
        <f>('Terminales - Liquimoly - Bari'!E30)</f>
        <v>14295.6</v>
      </c>
    </row>
    <row r="368" spans="1:12" ht="15.6">
      <c r="A368" s="921" t="s">
        <v>1824</v>
      </c>
      <c r="B368" s="921" t="s">
        <v>1109</v>
      </c>
      <c r="C368" s="921">
        <v>2506</v>
      </c>
      <c r="D368" s="921">
        <f>('Terminales - Liquimoly - Bari'!O31)</f>
        <v>24100</v>
      </c>
      <c r="E368" s="506">
        <f>ROUNDUP(($D368+($D368*Publico!L$1)),-1)</f>
        <v>24830</v>
      </c>
      <c r="F368" s="506">
        <f>ROUNDUP(($D368+($D368*Publico!L$2)),-1)</f>
        <v>28200</v>
      </c>
      <c r="G368" s="473">
        <f t="shared" si="26"/>
        <v>24100</v>
      </c>
      <c r="H368" s="461">
        <f>('Terminales - Liquimoly - Bari'!G31)</f>
        <v>15970.003499999997</v>
      </c>
      <c r="I368" s="474">
        <f t="shared" si="30"/>
        <v>14584.176749999999</v>
      </c>
      <c r="J368" s="462">
        <f t="shared" si="31"/>
        <v>13198.349999999999</v>
      </c>
      <c r="K368" s="474">
        <f t="shared" si="27"/>
        <v>13198.349999999999</v>
      </c>
      <c r="L368" s="921">
        <f>('Terminales - Liquimoly - Bari'!E31)</f>
        <v>8798.9</v>
      </c>
    </row>
    <row r="369" spans="1:12" ht="15.6">
      <c r="A369" s="1" t="s">
        <v>1188</v>
      </c>
      <c r="B369" s="921" t="s">
        <v>796</v>
      </c>
      <c r="C369" s="921" t="s">
        <v>1825</v>
      </c>
      <c r="D369" s="921">
        <f>(Publico!D230)</f>
        <v>127150</v>
      </c>
      <c r="E369" s="506">
        <f>ROUNDUP(($D369+($D369*Publico!L$1)),-1)</f>
        <v>130970</v>
      </c>
      <c r="F369" s="506">
        <f>ROUNDUP(($D369+($D369*Publico!L$2)),-1)</f>
        <v>148770</v>
      </c>
      <c r="G369" s="473">
        <f t="shared" si="26"/>
        <v>127150</v>
      </c>
      <c r="H369" s="461">
        <f>(Yuasa!I48)</f>
        <v>109580.59537920001</v>
      </c>
      <c r="I369" s="474">
        <f t="shared" si="30"/>
        <v>100071.53544960001</v>
      </c>
      <c r="J369" s="462">
        <f t="shared" si="31"/>
        <v>90562.475520000007</v>
      </c>
      <c r="K369" s="474">
        <f t="shared" si="27"/>
        <v>90562.475520000007</v>
      </c>
      <c r="L369" s="451">
        <f>(Yuasa!F48)</f>
        <v>63552.614399999999</v>
      </c>
    </row>
    <row r="370" spans="1:12" ht="15.6">
      <c r="A370" s="921" t="s">
        <v>493</v>
      </c>
      <c r="B370" s="921" t="s">
        <v>388</v>
      </c>
      <c r="C370" s="921" t="s">
        <v>494</v>
      </c>
      <c r="D370" s="921">
        <f>(Lusqtoff!U71)</f>
        <v>6500</v>
      </c>
      <c r="E370" s="506">
        <f>ROUNDUP(($D370+($D370*Publico!L$1)),-1)</f>
        <v>6700</v>
      </c>
      <c r="F370" s="506">
        <f>ROUNDUP(($D370+($D370*Publico!L$2)),-1)</f>
        <v>7610</v>
      </c>
      <c r="G370" s="473">
        <f t="shared" si="26"/>
        <v>6500</v>
      </c>
      <c r="H370" s="461">
        <f>(Lusqtoff!H71)</f>
        <v>5137.1760000000004</v>
      </c>
      <c r="I370" s="474">
        <f t="shared" si="30"/>
        <v>4691.3879999999999</v>
      </c>
      <c r="J370" s="462">
        <f t="shared" si="31"/>
        <v>4245.6000000000004</v>
      </c>
      <c r="K370" s="474">
        <f t="shared" si="27"/>
        <v>4245.6000000000004</v>
      </c>
      <c r="L370" s="921">
        <f>(Lusqtoff!F71)</f>
        <v>3120.0000000000005</v>
      </c>
    </row>
    <row r="371" spans="1:12" ht="15.6">
      <c r="A371" s="921" t="s">
        <v>495</v>
      </c>
      <c r="B371" s="921" t="s">
        <v>388</v>
      </c>
      <c r="C371" s="921" t="s">
        <v>496</v>
      </c>
      <c r="D371" s="921">
        <f>(Lusqtoff!U72)</f>
        <v>6000</v>
      </c>
      <c r="E371" s="506">
        <f>ROUNDUP(($D371+($D371*Publico!L$1)),-1)</f>
        <v>6180</v>
      </c>
      <c r="F371" s="506">
        <f>ROUNDUP(($D371+($D371*Publico!L$2)),-1)</f>
        <v>7020</v>
      </c>
      <c r="G371" s="473">
        <f t="shared" si="26"/>
        <v>6000</v>
      </c>
      <c r="H371" s="461">
        <f>(Lusqtoff!H72)</f>
        <v>4392.2854799999996</v>
      </c>
      <c r="I371" s="474">
        <f t="shared" si="30"/>
        <v>4011.1367399999999</v>
      </c>
      <c r="J371" s="462">
        <f t="shared" si="31"/>
        <v>3629.9879999999998</v>
      </c>
      <c r="K371" s="474">
        <f t="shared" si="27"/>
        <v>3629.9879999999998</v>
      </c>
      <c r="L371" s="921">
        <f>(Lusqtoff!F72)</f>
        <v>2667.6</v>
      </c>
    </row>
    <row r="372" spans="1:12" ht="15.6">
      <c r="A372" s="921" t="s">
        <v>1826</v>
      </c>
      <c r="B372" s="921" t="s">
        <v>308</v>
      </c>
      <c r="C372" s="921" t="s">
        <v>1827</v>
      </c>
      <c r="D372" s="921">
        <f>(Moura!AB13)</f>
        <v>181000</v>
      </c>
      <c r="E372" s="506">
        <f>ROUNDUP(($D372+($D372*Publico!L$1)),-1)</f>
        <v>186430</v>
      </c>
      <c r="F372" s="506">
        <f>(Publico!B35)</f>
        <v>208348</v>
      </c>
      <c r="G372" s="473">
        <f t="shared" si="26"/>
        <v>181000</v>
      </c>
      <c r="H372" s="461">
        <f>(Moura!H14)</f>
        <v>141156.25350749999</v>
      </c>
      <c r="I372" s="474">
        <f t="shared" si="30"/>
        <v>128907.15712874998</v>
      </c>
      <c r="J372" s="462">
        <f t="shared" si="31"/>
        <v>116658.06074999999</v>
      </c>
      <c r="K372" s="474">
        <f t="shared" si="27"/>
        <v>116658.06074999999</v>
      </c>
      <c r="L372" s="456">
        <f>(Moura!F14)</f>
        <v>88335.412396694213</v>
      </c>
    </row>
    <row r="373" spans="1:12" ht="15.6">
      <c r="A373" s="921" t="s">
        <v>392</v>
      </c>
      <c r="B373" s="921" t="s">
        <v>388</v>
      </c>
      <c r="C373" s="921">
        <v>27168</v>
      </c>
      <c r="D373" s="921">
        <f>(Lusqtoff!U17)</f>
        <v>95650</v>
      </c>
      <c r="E373" s="506">
        <f>ROUNDUP(($D373+($D373*Publico!L$1)),-1)</f>
        <v>98520</v>
      </c>
      <c r="F373" s="506">
        <f>ROUNDUP(($D373+($D373*Publico!L$2)),-1)</f>
        <v>111920</v>
      </c>
      <c r="G373" s="473">
        <f t="shared" si="26"/>
        <v>95650</v>
      </c>
      <c r="H373" s="461">
        <f>(Lusqtoff!H17)</f>
        <v>85614.428576159989</v>
      </c>
      <c r="I373" s="474">
        <f t="shared" si="30"/>
        <v>78185.077336079994</v>
      </c>
      <c r="J373" s="462">
        <f t="shared" si="31"/>
        <v>70755.726095999999</v>
      </c>
      <c r="K373" s="474">
        <f t="shared" si="27"/>
        <v>70755.726095999999</v>
      </c>
      <c r="L373" s="921">
        <f>(Lusqtoff!F17)</f>
        <v>51996.859199999992</v>
      </c>
    </row>
    <row r="374" spans="1:12" ht="15.6">
      <c r="A374" s="921" t="s">
        <v>1828</v>
      </c>
      <c r="B374" s="921" t="s">
        <v>388</v>
      </c>
      <c r="C374" s="921" t="s">
        <v>1829</v>
      </c>
      <c r="D374" s="921">
        <f>(Lusqtoff!U35)</f>
        <v>24400</v>
      </c>
      <c r="E374" s="506">
        <f>ROUNDUP(($D374+($D374*Publico!L$1)),-1)</f>
        <v>25140</v>
      </c>
      <c r="F374" s="506">
        <f>ROUNDUP(($D374+($D374*Publico!L$2)),-1)</f>
        <v>28550</v>
      </c>
      <c r="G374" s="473">
        <f t="shared" si="26"/>
        <v>24400</v>
      </c>
      <c r="H374" s="461">
        <v>10</v>
      </c>
      <c r="I374" s="474">
        <f t="shared" si="30"/>
        <v>9.132231404958679</v>
      </c>
      <c r="J374" s="462">
        <f t="shared" si="31"/>
        <v>8.2644628099173563</v>
      </c>
      <c r="K374" s="474">
        <f t="shared" si="27"/>
        <v>8.2644628099173563</v>
      </c>
      <c r="L374" s="921">
        <f>(Lusqtoff!F35+Lusqtoff!F36)</f>
        <v>12421.76</v>
      </c>
    </row>
    <row r="375" spans="1:12" ht="15.6">
      <c r="A375" s="921" t="s">
        <v>1197</v>
      </c>
      <c r="B375" s="921" t="s">
        <v>1196</v>
      </c>
      <c r="C375" s="921" t="s">
        <v>338</v>
      </c>
      <c r="D375" s="921">
        <f>(Moura!X43)</f>
        <v>47500</v>
      </c>
      <c r="E375" s="506">
        <f>ROUNDUP(($D375+($D375*Publico!L$1)),-1)</f>
        <v>48930</v>
      </c>
      <c r="F375" s="506">
        <f>ROUNDUP(($D375+($D375*Publico!L$2)),-1)</f>
        <v>55580</v>
      </c>
      <c r="G375" s="473">
        <f t="shared" si="26"/>
        <v>47500</v>
      </c>
      <c r="H375" s="461">
        <f>(Moura!H42)</f>
        <v>33885.4208</v>
      </c>
      <c r="I375" s="474">
        <f t="shared" si="30"/>
        <v>30944.950399999998</v>
      </c>
      <c r="J375" s="462">
        <f t="shared" si="31"/>
        <v>28004.48</v>
      </c>
      <c r="K375" s="474">
        <f t="shared" si="27"/>
        <v>28004.48</v>
      </c>
      <c r="L375" s="456">
        <f>(Moura!E43)</f>
        <v>20628.3</v>
      </c>
    </row>
    <row r="376" spans="1:12" ht="15.6">
      <c r="A376" s="921" t="s">
        <v>1199</v>
      </c>
      <c r="B376" s="921" t="s">
        <v>1196</v>
      </c>
      <c r="C376" s="921" t="s">
        <v>344</v>
      </c>
      <c r="D376" s="921">
        <f>(Moura!X44)</f>
        <v>58050</v>
      </c>
      <c r="E376" s="506">
        <f>ROUNDUP(($D376+($D376*Publico!L$1)),-1)</f>
        <v>59800</v>
      </c>
      <c r="F376" s="506">
        <f>ROUNDUP(($D376+($D376*Publico!L$2)),-1)</f>
        <v>67920</v>
      </c>
      <c r="G376" s="473">
        <f t="shared" si="26"/>
        <v>58050</v>
      </c>
      <c r="H376" s="461">
        <f>(Moura!H44)</f>
        <v>42356.775999999998</v>
      </c>
      <c r="I376" s="474">
        <f t="shared" si="30"/>
        <v>38681.187999999995</v>
      </c>
      <c r="J376" s="462">
        <f t="shared" si="31"/>
        <v>35005.599999999999</v>
      </c>
      <c r="K376" s="474">
        <f t="shared" si="27"/>
        <v>35005.599999999999</v>
      </c>
      <c r="L376" s="456">
        <f>(Moura!E44)</f>
        <v>25004</v>
      </c>
    </row>
    <row r="377" spans="1:12" ht="15.6">
      <c r="A377" s="921" t="s">
        <v>1202</v>
      </c>
      <c r="B377" s="921" t="s">
        <v>1201</v>
      </c>
      <c r="C377" s="921" t="s">
        <v>1830</v>
      </c>
      <c r="D377" s="921">
        <f>(Moura!AB48)</f>
        <v>714000</v>
      </c>
      <c r="E377" s="506">
        <f>ROUNDUP(($D377+($D377*Publico!L$1)),-1)</f>
        <v>735420</v>
      </c>
      <c r="F377" s="506">
        <f>ROUNDUP(($D377+($D377*Publico!L$2)),-1)</f>
        <v>835380</v>
      </c>
      <c r="G377" s="473">
        <f t="shared" si="26"/>
        <v>714000</v>
      </c>
      <c r="H377" s="461">
        <f>(Moura!H48)</f>
        <v>858282.03999999992</v>
      </c>
      <c r="I377" s="474">
        <f t="shared" si="30"/>
        <v>783803.02</v>
      </c>
      <c r="J377" s="462">
        <f t="shared" si="31"/>
        <v>709324</v>
      </c>
      <c r="K377" s="474">
        <f t="shared" si="27"/>
        <v>709324</v>
      </c>
      <c r="L377" s="921">
        <f>(Moura!F48)</f>
        <v>506660.00000000006</v>
      </c>
    </row>
    <row r="378" spans="1:12" ht="15.6">
      <c r="A378" s="921" t="s">
        <v>435</v>
      </c>
      <c r="B378" s="921" t="s">
        <v>388</v>
      </c>
      <c r="C378" s="921" t="s">
        <v>436</v>
      </c>
      <c r="D378" s="921">
        <f>(Lusqtoff!U41)</f>
        <v>43000</v>
      </c>
      <c r="E378" s="506">
        <f>ROUNDUP(($D378+($D378*Publico!L$1)),-1)</f>
        <v>44290</v>
      </c>
      <c r="F378" s="506">
        <f>ROUNDUP(($D378+($D378*Publico!L$2)),-1)</f>
        <v>50310</v>
      </c>
      <c r="G378" s="473">
        <f t="shared" si="26"/>
        <v>43000</v>
      </c>
      <c r="H378" s="461">
        <f>(Lusqtoff!H41)</f>
        <v>31624.455456</v>
      </c>
      <c r="I378" s="474">
        <f t="shared" si="30"/>
        <v>28880.184527999998</v>
      </c>
      <c r="J378" s="462">
        <f t="shared" si="31"/>
        <v>26135.9136</v>
      </c>
      <c r="K378" s="474">
        <f t="shared" si="27"/>
        <v>26135.9136</v>
      </c>
      <c r="L378" s="921">
        <f>(Lusqtoff!F41)</f>
        <v>19206.72</v>
      </c>
    </row>
    <row r="379" spans="1:12" ht="15.6">
      <c r="A379" s="921" t="s">
        <v>427</v>
      </c>
      <c r="B379" s="921" t="s">
        <v>388</v>
      </c>
      <c r="C379" s="921" t="s">
        <v>428</v>
      </c>
      <c r="D379" s="921">
        <f>(Lusqtoff!U37)</f>
        <v>28700</v>
      </c>
      <c r="E379" s="506">
        <f>ROUNDUP(($D379+($D379*Publico!L$1)),-1)</f>
        <v>29570</v>
      </c>
      <c r="F379" s="506">
        <f>ROUNDUP(($D379+($D379*Publico!L$2)),-1)</f>
        <v>33580</v>
      </c>
      <c r="G379" s="473">
        <f t="shared" si="26"/>
        <v>28700</v>
      </c>
      <c r="H379" s="461">
        <f>(Lusqtoff!H37)</f>
        <v>21082.970303999999</v>
      </c>
      <c r="I379" s="474">
        <f t="shared" si="30"/>
        <v>19253.456352000001</v>
      </c>
      <c r="J379" s="462">
        <f t="shared" si="31"/>
        <v>17423.9424</v>
      </c>
      <c r="K379" s="474">
        <f t="shared" si="27"/>
        <v>17423.9424</v>
      </c>
      <c r="L379" s="921">
        <f>(Lusqtoff!F37)</f>
        <v>12804.480000000001</v>
      </c>
    </row>
    <row r="380" spans="1:12" ht="15.6">
      <c r="A380" s="921" t="s">
        <v>481</v>
      </c>
      <c r="B380" s="921" t="s">
        <v>388</v>
      </c>
      <c r="C380" s="921" t="s">
        <v>482</v>
      </c>
      <c r="D380" s="921">
        <f>(Lusqtoff!U65)</f>
        <v>79000</v>
      </c>
      <c r="E380" s="506">
        <f>ROUNDUP(($D380+($D380*Publico!L$1)),-1)</f>
        <v>81370</v>
      </c>
      <c r="F380" s="506">
        <f>ROUNDUP(($D380+($D380*Publico!L$2)),-1)</f>
        <v>92430</v>
      </c>
      <c r="G380" s="473">
        <f t="shared" si="26"/>
        <v>79000</v>
      </c>
      <c r="H380" s="461">
        <f>(Lusqtoff!H65)</f>
        <v>56187.862499999996</v>
      </c>
      <c r="I380" s="474">
        <f t="shared" si="30"/>
        <v>51312.056250000001</v>
      </c>
      <c r="J380" s="462">
        <f t="shared" si="31"/>
        <v>46436.25</v>
      </c>
      <c r="K380" s="474">
        <f t="shared" si="27"/>
        <v>46436.25</v>
      </c>
      <c r="L380" s="921">
        <f>(Lusqtoff!F65)</f>
        <v>34125</v>
      </c>
    </row>
    <row r="381" spans="1:12" ht="15.6">
      <c r="A381" s="921" t="s">
        <v>399</v>
      </c>
      <c r="B381" s="921" t="s">
        <v>388</v>
      </c>
      <c r="C381" s="921" t="s">
        <v>400</v>
      </c>
      <c r="D381" s="921">
        <f>(Lusqtoff!U23)</f>
        <v>116600</v>
      </c>
      <c r="E381" s="506">
        <f>ROUNDUP(($D381+($D381*Publico!L$1)),-1)</f>
        <v>120100</v>
      </c>
      <c r="F381" s="506">
        <f>ROUNDUP(($D381+($D381*Publico!L$2)),-1)</f>
        <v>136430</v>
      </c>
      <c r="G381" s="473">
        <f t="shared" si="26"/>
        <v>116600</v>
      </c>
      <c r="H381" s="461">
        <f>(Lusqtoff!H23)</f>
        <v>91359.53798400001</v>
      </c>
      <c r="I381" s="474">
        <f t="shared" si="30"/>
        <v>83431.644192000007</v>
      </c>
      <c r="J381" s="462">
        <f t="shared" si="31"/>
        <v>75503.750400000004</v>
      </c>
      <c r="K381" s="474">
        <f t="shared" si="27"/>
        <v>75503.750400000004</v>
      </c>
      <c r="L381" s="921">
        <f>(Lusqtoff!F23)</f>
        <v>55486.080000000002</v>
      </c>
    </row>
    <row r="382" spans="1:12" ht="15.6">
      <c r="A382" s="921" t="s">
        <v>393</v>
      </c>
      <c r="B382" s="921" t="s">
        <v>382</v>
      </c>
      <c r="C382" s="921">
        <v>25046</v>
      </c>
      <c r="D382" s="921">
        <f>(Lusqtoff!U18)</f>
        <v>26550</v>
      </c>
      <c r="E382" s="506">
        <f>ROUNDUP(($D382+($D382*Publico!L$1)),-1)</f>
        <v>27350</v>
      </c>
      <c r="F382" s="506">
        <f>ROUNDUP(($D382+($D382*Publico!L$2)),-1)</f>
        <v>31070</v>
      </c>
      <c r="G382" s="473">
        <f t="shared" si="26"/>
        <v>26550</v>
      </c>
      <c r="H382" s="461">
        <f>(Lusqtoff!H18)</f>
        <v>24063.816677999999</v>
      </c>
      <c r="I382" s="474">
        <f t="shared" si="30"/>
        <v>21975.634238999999</v>
      </c>
      <c r="J382" s="462">
        <f t="shared" si="31"/>
        <v>19887.451799999999</v>
      </c>
      <c r="K382" s="474">
        <f t="shared" si="27"/>
        <v>19887.451799999999</v>
      </c>
      <c r="L382" s="921">
        <f>(Lusqtoff!F18)</f>
        <v>14614.86</v>
      </c>
    </row>
    <row r="383" spans="1:12" ht="15.6">
      <c r="A383" s="921" t="s">
        <v>394</v>
      </c>
      <c r="B383" s="921" t="s">
        <v>382</v>
      </c>
      <c r="C383" s="921">
        <v>49621</v>
      </c>
      <c r="D383" s="921">
        <f>(Lusqtoff!U19)</f>
        <v>44500</v>
      </c>
      <c r="E383" s="506">
        <f>ROUNDUP(($D383+($D383*Publico!L$1)),-1)</f>
        <v>45840</v>
      </c>
      <c r="F383" s="506">
        <f>ROUNDUP(($D383+($D383*Publico!L$2)),-1)</f>
        <v>52070</v>
      </c>
      <c r="G383" s="473">
        <f t="shared" si="26"/>
        <v>44500</v>
      </c>
      <c r="H383" s="461">
        <f>(Lusqtoff!H19)</f>
        <v>34002.745333040002</v>
      </c>
      <c r="I383" s="474">
        <f t="shared" si="30"/>
        <v>31052.093878520005</v>
      </c>
      <c r="J383" s="462">
        <f t="shared" si="31"/>
        <v>28101.442424000004</v>
      </c>
      <c r="K383" s="474">
        <f t="shared" si="27"/>
        <v>28101.442424000004</v>
      </c>
      <c r="L383" s="921">
        <f>(Lusqtoff!F19)</f>
        <v>20651.144799999998</v>
      </c>
    </row>
    <row r="384" spans="1:12" ht="15.6">
      <c r="A384" s="921" t="s">
        <v>475</v>
      </c>
      <c r="B384" s="921" t="s">
        <v>388</v>
      </c>
      <c r="C384" s="921" t="s">
        <v>476</v>
      </c>
      <c r="D384" s="921">
        <f>(Lusqtoff!U62)</f>
        <v>78800</v>
      </c>
      <c r="E384" s="506">
        <f>ROUNDUP(($D384+($D384*Publico!L$1)),-1)</f>
        <v>81170</v>
      </c>
      <c r="F384" s="506">
        <f>ROUNDUP(($D384+($D384*Publico!L$2)),-1)</f>
        <v>92200</v>
      </c>
      <c r="G384" s="473">
        <f t="shared" si="26"/>
        <v>78800</v>
      </c>
      <c r="H384" s="461">
        <f>(Lusqtoff!H62)</f>
        <v>63248.910911999999</v>
      </c>
      <c r="I384" s="474">
        <f t="shared" si="30"/>
        <v>57760.369055999996</v>
      </c>
      <c r="J384" s="462">
        <f t="shared" si="31"/>
        <v>52271.8272</v>
      </c>
      <c r="K384" s="474">
        <f t="shared" si="27"/>
        <v>52271.8272</v>
      </c>
      <c r="L384" s="921">
        <f>(Lusqtoff!F62)</f>
        <v>38413.440000000002</v>
      </c>
    </row>
    <row r="385" spans="1:12" ht="15.6">
      <c r="A385" s="921" t="s">
        <v>477</v>
      </c>
      <c r="B385" s="921" t="s">
        <v>388</v>
      </c>
      <c r="C385" s="921" t="s">
        <v>478</v>
      </c>
      <c r="D385" s="921">
        <f>(Lusqtoff!U63)</f>
        <v>66800</v>
      </c>
      <c r="E385" s="506">
        <f>ROUNDUP(($D385+($D385*Publico!L$1)),-1)</f>
        <v>68810</v>
      </c>
      <c r="F385" s="506">
        <f>ROUNDUP(($D385+($D385*Publico!L$2)),-1)</f>
        <v>78160</v>
      </c>
      <c r="G385" s="473">
        <f t="shared" si="26"/>
        <v>66800</v>
      </c>
      <c r="H385" s="461">
        <f>(Lusqtoff!H63)</f>
        <v>52707.425759999998</v>
      </c>
      <c r="I385" s="474">
        <f t="shared" si="30"/>
        <v>48133.640879999999</v>
      </c>
      <c r="J385" s="462">
        <f t="shared" si="31"/>
        <v>43559.856</v>
      </c>
      <c r="K385" s="474">
        <f t="shared" si="27"/>
        <v>43559.856</v>
      </c>
      <c r="L385" s="921">
        <f>(Lusqtoff!F63)</f>
        <v>32011.199999999997</v>
      </c>
    </row>
    <row r="386" spans="1:12" ht="15.6">
      <c r="A386" s="921" t="s">
        <v>1831</v>
      </c>
      <c r="B386" s="921" t="s">
        <v>382</v>
      </c>
      <c r="C386" s="921">
        <v>19286</v>
      </c>
      <c r="D386" s="921">
        <f>(Lusqtoff!U14)</f>
        <v>51850</v>
      </c>
      <c r="E386" s="506">
        <f>ROUNDUP(($D386+($D386*Publico!L$1)),-1)</f>
        <v>53410</v>
      </c>
      <c r="F386" s="506">
        <f>ROUNDUP(($D386+($D386*Publico!L$2)),-1)</f>
        <v>60670</v>
      </c>
      <c r="G386" s="473">
        <f t="shared" si="26"/>
        <v>51850</v>
      </c>
      <c r="H386" s="456">
        <f>(Lusqtoff!H14)</f>
        <v>37161.509235839992</v>
      </c>
      <c r="I386" s="474">
        <f>(J386*1.105)</f>
        <v>33936.750169919993</v>
      </c>
      <c r="J386" s="462">
        <f t="shared" si="31"/>
        <v>30711.991103999993</v>
      </c>
      <c r="K386" s="474">
        <f t="shared" si="27"/>
        <v>30711.991103999993</v>
      </c>
      <c r="L386" s="921">
        <f>(Lusqtoff!F14)</f>
        <v>22569.5808</v>
      </c>
    </row>
    <row r="387" spans="1:12" ht="15.6">
      <c r="A387" s="921" t="s">
        <v>1207</v>
      </c>
      <c r="B387" s="921" t="s">
        <v>388</v>
      </c>
      <c r="C387" s="921" t="s">
        <v>444</v>
      </c>
      <c r="D387" s="921">
        <f>(Lusqtoff!U45)</f>
        <v>138100</v>
      </c>
      <c r="E387" s="506">
        <f>ROUNDUP(($D387+($D387*Publico!L$1)),-1)</f>
        <v>142250</v>
      </c>
      <c r="F387" s="506">
        <f>ROUNDUP(($D387+($D387*Publico!L$2)),-1)</f>
        <v>161580</v>
      </c>
      <c r="G387" s="473">
        <f t="shared" ref="G387:G450" si="32">(D387)</f>
        <v>138100</v>
      </c>
      <c r="H387" s="456">
        <f>(Lusqtoff!H45)</f>
        <v>105414.85152</v>
      </c>
      <c r="I387" s="474">
        <f t="shared" si="30"/>
        <v>96267.281759999998</v>
      </c>
      <c r="J387" s="462">
        <f t="shared" si="31"/>
        <v>87119.712</v>
      </c>
      <c r="K387" s="474">
        <f t="shared" ref="K387:K450" si="33">(J387)</f>
        <v>87119.712</v>
      </c>
      <c r="L387" s="921">
        <f>(Lusqtoff!F45)</f>
        <v>64022.399999999994</v>
      </c>
    </row>
    <row r="388" spans="1:12" ht="15.6">
      <c r="A388" s="921" t="s">
        <v>1208</v>
      </c>
      <c r="B388" s="921" t="s">
        <v>388</v>
      </c>
      <c r="C388" s="921" t="s">
        <v>416</v>
      </c>
      <c r="D388" s="921">
        <f>(Lusqtoff!U31)</f>
        <v>114200</v>
      </c>
      <c r="E388" s="506">
        <f>ROUNDUP(($D388+($D388*Publico!L$1)),-1)</f>
        <v>117630</v>
      </c>
      <c r="F388" s="506">
        <f>ROUNDUP(($D388+($D388*Publico!L$2)),-1)</f>
        <v>133620</v>
      </c>
      <c r="G388" s="473">
        <f t="shared" si="32"/>
        <v>114200</v>
      </c>
      <c r="H388" s="456">
        <f>(Lusqtoff!H31)</f>
        <v>96630.280559999999</v>
      </c>
      <c r="I388" s="474">
        <f t="shared" si="30"/>
        <v>88245.008280000009</v>
      </c>
      <c r="J388" s="462">
        <f t="shared" si="31"/>
        <v>79859.736000000004</v>
      </c>
      <c r="K388" s="474">
        <f t="shared" si="33"/>
        <v>79859.736000000004</v>
      </c>
      <c r="L388" s="921">
        <f>(Lusqtoff!F31)</f>
        <v>58687.199999999997</v>
      </c>
    </row>
    <row r="389" spans="1:12" ht="15.6">
      <c r="A389" s="921" t="s">
        <v>463</v>
      </c>
      <c r="B389" s="921" t="s">
        <v>388</v>
      </c>
      <c r="C389" s="921" t="s">
        <v>464</v>
      </c>
      <c r="D389" s="921">
        <f>(Lusqtoff!U56)</f>
        <v>282400</v>
      </c>
      <c r="E389" s="506">
        <f>ROUNDUP(($D389+($D389*Publico!L$1)),-1)</f>
        <v>290880</v>
      </c>
      <c r="F389" s="506">
        <f>ROUNDUP(($D389+($D389*Publico!L$2)),-1)</f>
        <v>330410</v>
      </c>
      <c r="G389" s="473">
        <f t="shared" si="32"/>
        <v>282400</v>
      </c>
      <c r="H389" s="456">
        <f>(Lusqtoff!H56)</f>
        <v>242454.15849599999</v>
      </c>
      <c r="I389" s="474">
        <f t="shared" si="30"/>
        <v>221414.74804800001</v>
      </c>
      <c r="J389" s="462">
        <f t="shared" si="31"/>
        <v>200375.3376</v>
      </c>
      <c r="K389" s="474">
        <f t="shared" si="33"/>
        <v>200375.3376</v>
      </c>
      <c r="L389" s="921">
        <f>(Lusqtoff!F56)</f>
        <v>147251.51999999999</v>
      </c>
    </row>
    <row r="390" spans="1:12" ht="15.6">
      <c r="A390" s="921" t="s">
        <v>471</v>
      </c>
      <c r="B390" s="921" t="s">
        <v>388</v>
      </c>
      <c r="C390" s="921" t="s">
        <v>472</v>
      </c>
      <c r="D390" s="921">
        <f>(Lusqtoff!U60)</f>
        <v>466100</v>
      </c>
      <c r="E390" s="506">
        <f>ROUNDUP(($D390+($D390*Publico!L$1)),-1)</f>
        <v>480090</v>
      </c>
      <c r="F390" s="506">
        <f>ROUNDUP(($D390+($D390*Publico!L$2)),-1)</f>
        <v>545340</v>
      </c>
      <c r="G390" s="473">
        <f t="shared" si="32"/>
        <v>466100</v>
      </c>
      <c r="H390" s="456">
        <f>(Lusqtoff!H60)</f>
        <v>368951.98031999997</v>
      </c>
      <c r="I390" s="474">
        <f t="shared" si="30"/>
        <v>336935.48615999997</v>
      </c>
      <c r="J390" s="462">
        <f t="shared" si="31"/>
        <v>304918.99199999997</v>
      </c>
      <c r="K390" s="474">
        <f t="shared" si="33"/>
        <v>304918.99199999997</v>
      </c>
      <c r="L390" s="921">
        <f>(Lusqtoff!F60)</f>
        <v>224078.4</v>
      </c>
    </row>
    <row r="391" spans="1:12" ht="15.6">
      <c r="A391" s="921" t="s">
        <v>401</v>
      </c>
      <c r="B391" s="921" t="s">
        <v>388</v>
      </c>
      <c r="C391" s="921" t="s">
        <v>402</v>
      </c>
      <c r="D391" s="921">
        <f>(Lusqtoff!U24)</f>
        <v>97800</v>
      </c>
      <c r="E391" s="506">
        <f>ROUNDUP(($D391+($D391*Publico!L$1)),-1)</f>
        <v>100740</v>
      </c>
      <c r="F391" s="506">
        <f>ROUNDUP(($D391+($D391*Publico!L$2)),-1)</f>
        <v>114430</v>
      </c>
      <c r="G391" s="473">
        <f t="shared" si="32"/>
        <v>97800</v>
      </c>
      <c r="H391" s="456">
        <f>(Lusqtoff!H24)</f>
        <v>79061.13863999999</v>
      </c>
      <c r="I391" s="474">
        <f t="shared" si="30"/>
        <v>72200.461319999988</v>
      </c>
      <c r="J391" s="462">
        <f t="shared" si="31"/>
        <v>65339.783999999992</v>
      </c>
      <c r="K391" s="474">
        <f t="shared" si="33"/>
        <v>65339.783999999992</v>
      </c>
      <c r="L391" s="921">
        <f>(Lusqtoff!F24)</f>
        <v>48016.800000000003</v>
      </c>
    </row>
    <row r="392" spans="1:12" ht="15.6">
      <c r="A392" s="921" t="s">
        <v>483</v>
      </c>
      <c r="B392" s="921" t="s">
        <v>388</v>
      </c>
      <c r="C392" s="921" t="s">
        <v>484</v>
      </c>
      <c r="D392" s="921">
        <f>(Lusqtoff!U66)</f>
        <v>81700</v>
      </c>
      <c r="E392" s="506">
        <f>ROUNDUP(($D392+($D392*Publico!L$1)),-1)</f>
        <v>84160</v>
      </c>
      <c r="F392" s="506">
        <f>ROUNDUP(($D392+($D392*Publico!L$2)),-1)</f>
        <v>95590</v>
      </c>
      <c r="G392" s="473">
        <f t="shared" si="32"/>
        <v>81700</v>
      </c>
      <c r="H392" s="456">
        <f>(Lusqtoff!H66)</f>
        <v>66762.739296</v>
      </c>
      <c r="I392" s="474">
        <f t="shared" si="30"/>
        <v>60969.278448000005</v>
      </c>
      <c r="J392" s="462">
        <f t="shared" si="31"/>
        <v>55175.817600000002</v>
      </c>
      <c r="K392" s="474">
        <f t="shared" si="33"/>
        <v>55175.817600000002</v>
      </c>
      <c r="L392" s="921">
        <f>(Lusqtoff!F66)</f>
        <v>40547.520000000004</v>
      </c>
    </row>
    <row r="393" spans="1:12" ht="15.6">
      <c r="A393" s="921" t="s">
        <v>396</v>
      </c>
      <c r="B393" s="921" t="s">
        <v>388</v>
      </c>
      <c r="C393" s="921" t="s">
        <v>397</v>
      </c>
      <c r="D393" s="921">
        <f>(Lusqtoff!U21)</f>
        <v>68000</v>
      </c>
      <c r="E393" s="506">
        <f>ROUNDUP(($D393+($D393*Publico!L$1)),-1)</f>
        <v>70040</v>
      </c>
      <c r="F393" s="506">
        <f>ROUNDUP(($D393+($D393*Publico!L$2)),-1)</f>
        <v>79560</v>
      </c>
      <c r="G393" s="473">
        <f t="shared" si="32"/>
        <v>68000</v>
      </c>
      <c r="H393" s="456">
        <f>(Lusqtoff!H21)</f>
        <v>63248.910911999999</v>
      </c>
      <c r="I393" s="474">
        <f t="shared" ref="I393:I456" si="34">(J393*1.105)</f>
        <v>57760.369055999996</v>
      </c>
      <c r="J393" s="462">
        <f t="shared" si="31"/>
        <v>52271.8272</v>
      </c>
      <c r="K393" s="474">
        <f t="shared" si="33"/>
        <v>52271.8272</v>
      </c>
      <c r="L393" s="921">
        <f>(Lusqtoff!F21)</f>
        <v>38413.440000000002</v>
      </c>
    </row>
    <row r="394" spans="1:12" ht="15.6">
      <c r="A394" s="921" t="s">
        <v>497</v>
      </c>
      <c r="B394" s="921" t="s">
        <v>388</v>
      </c>
      <c r="C394" s="921" t="s">
        <v>498</v>
      </c>
      <c r="D394" s="921">
        <f>(Lusqtoff!U73)</f>
        <v>46100</v>
      </c>
      <c r="E394" s="506">
        <f>ROUNDUP(($D394+($D394*Publico!L$1)),-1)</f>
        <v>47490</v>
      </c>
      <c r="F394" s="506">
        <f>ROUNDUP(($D394+($D394*Publico!L$2)),-1)</f>
        <v>53940</v>
      </c>
      <c r="G394" s="473">
        <f t="shared" si="32"/>
        <v>46100</v>
      </c>
      <c r="H394" s="456">
        <f>(Lusqtoff!H73)</f>
        <v>38652.112223999997</v>
      </c>
      <c r="I394" s="474">
        <f t="shared" si="34"/>
        <v>35298.003311999993</v>
      </c>
      <c r="J394" s="462">
        <f t="shared" si="31"/>
        <v>31943.894399999997</v>
      </c>
      <c r="K394" s="474">
        <f t="shared" si="33"/>
        <v>31943.894399999997</v>
      </c>
      <c r="L394" s="921">
        <f>(Lusqtoff!F73)</f>
        <v>20020</v>
      </c>
    </row>
    <row r="395" spans="1:12" ht="15.6">
      <c r="A395" s="921" t="s">
        <v>417</v>
      </c>
      <c r="B395" s="921" t="s">
        <v>388</v>
      </c>
      <c r="C395" s="921" t="s">
        <v>418</v>
      </c>
      <c r="D395" s="921">
        <f>(Lusqtoff!U32)</f>
        <v>36200</v>
      </c>
      <c r="E395" s="506">
        <f>ROUNDUP(($D395+($D395*Publico!L$1)),-1)</f>
        <v>37290</v>
      </c>
      <c r="F395" s="506">
        <f>ROUNDUP(($D395+($D395*Publico!L$2)),-1)</f>
        <v>42360</v>
      </c>
      <c r="G395" s="473">
        <f t="shared" si="32"/>
        <v>36200</v>
      </c>
      <c r="H395" s="456">
        <f>(Lusqtoff!H32)</f>
        <v>25685.88</v>
      </c>
      <c r="I395" s="474">
        <f t="shared" si="34"/>
        <v>23456.94</v>
      </c>
      <c r="J395" s="462">
        <f t="shared" si="31"/>
        <v>21228</v>
      </c>
      <c r="K395" s="474">
        <f t="shared" si="33"/>
        <v>21228</v>
      </c>
      <c r="L395" s="921">
        <f>(Lusqtoff!F32)</f>
        <v>15600</v>
      </c>
    </row>
    <row r="396" spans="1:12" ht="15.6">
      <c r="A396" s="921" t="s">
        <v>450</v>
      </c>
      <c r="B396" s="921" t="s">
        <v>388</v>
      </c>
      <c r="C396" s="921" t="s">
        <v>451</v>
      </c>
      <c r="D396" s="921">
        <f>(Lusqtoff!U49)</f>
        <v>225500</v>
      </c>
      <c r="E396" s="506">
        <f>ROUNDUP(($D396+($D396*Publico!L$1)),-1)</f>
        <v>232270</v>
      </c>
      <c r="F396" s="506">
        <f>ROUNDUP(($D396+($D396*Publico!L$2)),-1)</f>
        <v>263840</v>
      </c>
      <c r="G396" s="473">
        <f t="shared" si="32"/>
        <v>225500</v>
      </c>
      <c r="H396" s="456">
        <f>(Lusqtoff!H49)</f>
        <v>202045.13207999995</v>
      </c>
      <c r="I396" s="474">
        <f t="shared" si="34"/>
        <v>184512.29003999996</v>
      </c>
      <c r="J396" s="462">
        <f t="shared" si="31"/>
        <v>166979.44799999997</v>
      </c>
      <c r="K396" s="474">
        <f t="shared" si="33"/>
        <v>166979.44799999997</v>
      </c>
      <c r="L396" s="921">
        <f>(Lusqtoff!F49)</f>
        <v>122709.59999999999</v>
      </c>
    </row>
    <row r="397" spans="1:12" ht="15.6">
      <c r="A397" s="921" t="s">
        <v>499</v>
      </c>
      <c r="B397" s="921" t="s">
        <v>388</v>
      </c>
      <c r="C397" s="921" t="s">
        <v>500</v>
      </c>
      <c r="D397" s="921">
        <f>(Lusqtoff!U74)</f>
        <v>4800</v>
      </c>
      <c r="E397" s="506">
        <f>ROUNDUP(($D397+($D397*Publico!L$1)),-1)</f>
        <v>4950</v>
      </c>
      <c r="F397" s="506">
        <f>ROUNDUP(($D397+($D397*Publico!L$2)),-1)</f>
        <v>5620</v>
      </c>
      <c r="G397" s="473">
        <f t="shared" si="32"/>
        <v>4800</v>
      </c>
      <c r="H397" s="456">
        <f>(Lusqtoff!H74)</f>
        <v>3745.8575000000001</v>
      </c>
      <c r="I397" s="474">
        <f t="shared" si="34"/>
        <v>3420.80375</v>
      </c>
      <c r="J397" s="462">
        <f t="shared" si="31"/>
        <v>3095.75</v>
      </c>
      <c r="K397" s="474">
        <f t="shared" si="33"/>
        <v>3095.75</v>
      </c>
      <c r="L397" s="921">
        <f>(Lusqtoff!F74)</f>
        <v>2275</v>
      </c>
    </row>
    <row r="398" spans="1:12" ht="15.6">
      <c r="A398" s="921" t="s">
        <v>448</v>
      </c>
      <c r="B398" s="921" t="s">
        <v>388</v>
      </c>
      <c r="C398" s="921" t="s">
        <v>449</v>
      </c>
      <c r="D398" s="921">
        <f>(Lusqtoff!U48)</f>
        <v>173600</v>
      </c>
      <c r="E398" s="506">
        <f>ROUNDUP(($D398+($D398*Publico!L$1)),-1)</f>
        <v>178810</v>
      </c>
      <c r="F398" s="506">
        <f>ROUNDUP(($D398+($D398*Publico!L$2)),-1)</f>
        <v>203120</v>
      </c>
      <c r="G398" s="473">
        <f t="shared" si="32"/>
        <v>173600</v>
      </c>
      <c r="H398" s="456">
        <f>(Lusqtoff!H48)</f>
        <v>147580.79212799997</v>
      </c>
      <c r="I398" s="474">
        <f t="shared" si="34"/>
        <v>134774.19446399997</v>
      </c>
      <c r="J398" s="462">
        <f t="shared" si="31"/>
        <v>121967.59679999998</v>
      </c>
      <c r="K398" s="474">
        <f t="shared" si="33"/>
        <v>121967.59679999998</v>
      </c>
      <c r="L398" s="921">
        <f>(Lusqtoff!F48)</f>
        <v>89631.360000000001</v>
      </c>
    </row>
    <row r="399" spans="1:12" ht="15.6">
      <c r="A399" s="921" t="s">
        <v>489</v>
      </c>
      <c r="B399" s="921" t="s">
        <v>388</v>
      </c>
      <c r="C399" s="921" t="s">
        <v>490</v>
      </c>
      <c r="D399" s="921">
        <f>(Lusqtoff!U69)</f>
        <v>357900</v>
      </c>
      <c r="E399" s="506">
        <f>ROUNDUP(($D399+($D399*Publico!L$1)),-1)</f>
        <v>368640</v>
      </c>
      <c r="F399" s="506">
        <f>ROUNDUP(($D399+($D399*Publico!L$2)),-1)</f>
        <v>418750</v>
      </c>
      <c r="G399" s="473">
        <f t="shared" si="32"/>
        <v>357900</v>
      </c>
      <c r="H399" s="456">
        <f>(Lusqtoff!H69)</f>
        <v>281106.27071999997</v>
      </c>
      <c r="I399" s="474">
        <f t="shared" si="34"/>
        <v>256712.75135999999</v>
      </c>
      <c r="J399" s="462">
        <f t="shared" si="31"/>
        <v>232319.23199999999</v>
      </c>
      <c r="K399" s="474">
        <f t="shared" si="33"/>
        <v>232319.23199999999</v>
      </c>
      <c r="L399" s="921">
        <f>(Lusqtoff!F69)</f>
        <v>170726.39999999999</v>
      </c>
    </row>
    <row r="400" spans="1:12" ht="15.6">
      <c r="A400" s="921" t="s">
        <v>1212</v>
      </c>
      <c r="B400" s="921" t="s">
        <v>1211</v>
      </c>
      <c r="C400" s="921" t="s">
        <v>1213</v>
      </c>
      <c r="D400" s="921">
        <f>('Terminales - Liquimoly - Bari'!O37)</f>
        <v>13000</v>
      </c>
      <c r="E400" s="506">
        <f>ROUNDUP(($D400+($D400*Publico!L$1)),-1)</f>
        <v>13390</v>
      </c>
      <c r="F400" s="506">
        <f>ROUNDUP(($D400+($D400*Publico!L$2)),-1)</f>
        <v>15210</v>
      </c>
      <c r="G400" s="473">
        <f t="shared" si="32"/>
        <v>13000</v>
      </c>
      <c r="H400" s="474">
        <f>('Terminales - Liquimoly - Bari'!G37)</f>
        <v>9318.4132799999988</v>
      </c>
      <c r="I400" s="474">
        <f t="shared" si="34"/>
        <v>8509.7906399999993</v>
      </c>
      <c r="J400" s="462">
        <f t="shared" si="31"/>
        <v>7701.1679999999997</v>
      </c>
      <c r="K400" s="474">
        <f t="shared" si="33"/>
        <v>7701.1679999999997</v>
      </c>
      <c r="L400" s="921">
        <f>('Terminales - Liquimoly - Bari'!D37)</f>
        <v>4813.2299999999996</v>
      </c>
    </row>
    <row r="401" spans="1:12" ht="15.6">
      <c r="A401" s="921" t="s">
        <v>1214</v>
      </c>
      <c r="B401" s="921" t="s">
        <v>1211</v>
      </c>
      <c r="C401" s="921" t="s">
        <v>1215</v>
      </c>
      <c r="D401" s="921">
        <f>('Terminales - Liquimoly - Bari'!O38)</f>
        <v>13000</v>
      </c>
      <c r="E401" s="506">
        <f>ROUNDUP(($D401+($D401*Publico!L$1)),-1)</f>
        <v>13390</v>
      </c>
      <c r="F401" s="506">
        <f>ROUNDUP(($D401+($D401*Publico!L$2)),-1)</f>
        <v>15210</v>
      </c>
      <c r="G401" s="473">
        <f t="shared" si="32"/>
        <v>13000</v>
      </c>
      <c r="H401" s="474">
        <f>('Terminales - Liquimoly - Bari'!G38)</f>
        <v>9318.4132799999988</v>
      </c>
      <c r="I401" s="474">
        <f t="shared" si="34"/>
        <v>8509.7906399999993</v>
      </c>
      <c r="J401" s="462">
        <f t="shared" si="31"/>
        <v>7701.1679999999997</v>
      </c>
      <c r="K401" s="474">
        <f t="shared" si="33"/>
        <v>7701.1679999999997</v>
      </c>
      <c r="L401" s="921">
        <f>('Terminales - Liquimoly - Bari'!D38)</f>
        <v>4813.2299999999996</v>
      </c>
    </row>
    <row r="402" spans="1:12" ht="15.6">
      <c r="A402" s="921" t="s">
        <v>1216</v>
      </c>
      <c r="B402" s="921" t="s">
        <v>1211</v>
      </c>
      <c r="C402" s="921" t="s">
        <v>1217</v>
      </c>
      <c r="D402" s="921">
        <f>('Terminales - Liquimoly - Bari'!O39)</f>
        <v>13000</v>
      </c>
      <c r="E402" s="506">
        <f>ROUNDUP(($D402+($D402*Publico!L$1)),-1)</f>
        <v>13390</v>
      </c>
      <c r="F402" s="506">
        <f>ROUNDUP(($D402+($D402*Publico!L$2)),-1)</f>
        <v>15210</v>
      </c>
      <c r="G402" s="473">
        <f t="shared" si="32"/>
        <v>13000</v>
      </c>
      <c r="H402" s="474">
        <f>('Terminales - Liquimoly - Bari'!G39)</f>
        <v>9318.4132799999988</v>
      </c>
      <c r="I402" s="474">
        <f t="shared" si="34"/>
        <v>8509.7906399999993</v>
      </c>
      <c r="J402" s="462">
        <f t="shared" si="31"/>
        <v>7701.1679999999997</v>
      </c>
      <c r="K402" s="474">
        <f t="shared" si="33"/>
        <v>7701.1679999999997</v>
      </c>
      <c r="L402" s="921">
        <f>('Terminales - Liquimoly - Bari'!D39)</f>
        <v>4813.2299999999996</v>
      </c>
    </row>
    <row r="403" spans="1:12" ht="15.6">
      <c r="A403" s="921" t="s">
        <v>1218</v>
      </c>
      <c r="B403" s="921" t="s">
        <v>1211</v>
      </c>
      <c r="C403" s="921" t="s">
        <v>1219</v>
      </c>
      <c r="D403" s="921">
        <f>('Terminales - Liquimoly - Bari'!O40)</f>
        <v>13000</v>
      </c>
      <c r="E403" s="506">
        <f>ROUNDUP(($D403+($D403*Publico!L$1)),-1)</f>
        <v>13390</v>
      </c>
      <c r="F403" s="506">
        <f>ROUNDUP(($D403+($D403*Publico!L$2)),-1)</f>
        <v>15210</v>
      </c>
      <c r="G403" s="473">
        <f t="shared" si="32"/>
        <v>13000</v>
      </c>
      <c r="H403" s="474">
        <f>('Terminales - Liquimoly - Bari'!G40)</f>
        <v>9318.4132799999988</v>
      </c>
      <c r="I403" s="474">
        <f t="shared" si="34"/>
        <v>8509.7906399999993</v>
      </c>
      <c r="J403" s="462">
        <f t="shared" si="31"/>
        <v>7701.1679999999997</v>
      </c>
      <c r="K403" s="474">
        <f t="shared" si="33"/>
        <v>7701.1679999999997</v>
      </c>
      <c r="L403" s="921">
        <f>('Terminales - Liquimoly - Bari'!D40)</f>
        <v>4813.2299999999996</v>
      </c>
    </row>
    <row r="404" spans="1:12" ht="15.6">
      <c r="A404" s="921" t="s">
        <v>1220</v>
      </c>
      <c r="B404" s="921" t="s">
        <v>1211</v>
      </c>
      <c r="C404" s="921" t="s">
        <v>1221</v>
      </c>
      <c r="D404" s="921">
        <f>('Terminales - Liquimoly - Bari'!O41)</f>
        <v>13000</v>
      </c>
      <c r="E404" s="506">
        <f>ROUNDUP(($D404+($D404*Publico!L$1)),-1)</f>
        <v>13390</v>
      </c>
      <c r="F404" s="506">
        <f>ROUNDUP(($D404+($D404*Publico!L$2)),-1)</f>
        <v>15210</v>
      </c>
      <c r="G404" s="473">
        <f t="shared" si="32"/>
        <v>13000</v>
      </c>
      <c r="H404" s="474">
        <f>('Terminales - Liquimoly - Bari'!G41)</f>
        <v>9318.4132799999988</v>
      </c>
      <c r="I404" s="474">
        <f t="shared" si="34"/>
        <v>8509.7906399999993</v>
      </c>
      <c r="J404" s="462">
        <f t="shared" si="31"/>
        <v>7701.1679999999997</v>
      </c>
      <c r="K404" s="474">
        <f t="shared" si="33"/>
        <v>7701.1679999999997</v>
      </c>
      <c r="L404" s="921">
        <f>('Terminales - Liquimoly - Bari'!D41)</f>
        <v>4813.2299999999996</v>
      </c>
    </row>
    <row r="405" spans="1:12" ht="15.6">
      <c r="A405" s="921" t="s">
        <v>1222</v>
      </c>
      <c r="B405" s="921" t="s">
        <v>1211</v>
      </c>
      <c r="C405" s="921" t="s">
        <v>1223</v>
      </c>
      <c r="D405" s="921">
        <f>('Terminales - Liquimoly - Bari'!O42)</f>
        <v>13000</v>
      </c>
      <c r="E405" s="506">
        <f>ROUNDUP(($D405+($D405*Publico!L$1)),-1)</f>
        <v>13390</v>
      </c>
      <c r="F405" s="506">
        <f>ROUNDUP(($D405+($D405*Publico!L$2)),-1)</f>
        <v>15210</v>
      </c>
      <c r="G405" s="473">
        <f t="shared" si="32"/>
        <v>13000</v>
      </c>
      <c r="H405" s="474">
        <f>('Terminales - Liquimoly - Bari'!G42)</f>
        <v>9318.4132799999988</v>
      </c>
      <c r="I405" s="474">
        <f t="shared" si="34"/>
        <v>8509.7906399999993</v>
      </c>
      <c r="J405" s="462">
        <f t="shared" si="31"/>
        <v>7701.1679999999997</v>
      </c>
      <c r="K405" s="474">
        <f t="shared" si="33"/>
        <v>7701.1679999999997</v>
      </c>
      <c r="L405" s="921">
        <f>('Terminales - Liquimoly - Bari'!D42)</f>
        <v>4813.2299999999996</v>
      </c>
    </row>
    <row r="406" spans="1:12" ht="15.6">
      <c r="A406" s="921" t="s">
        <v>1224</v>
      </c>
      <c r="B406" s="921" t="s">
        <v>1211</v>
      </c>
      <c r="C406" s="921" t="s">
        <v>1225</v>
      </c>
      <c r="D406" s="921">
        <f>('Terminales - Liquimoly - Bari'!O43)</f>
        <v>13000</v>
      </c>
      <c r="E406" s="506">
        <f>ROUNDUP(($D406+($D406*Publico!L$1)),-1)</f>
        <v>13390</v>
      </c>
      <c r="F406" s="506">
        <f>ROUNDUP(($D406+($D406*Publico!L$2)),-1)</f>
        <v>15210</v>
      </c>
      <c r="G406" s="473">
        <f t="shared" si="32"/>
        <v>13000</v>
      </c>
      <c r="H406" s="474">
        <f>('Terminales - Liquimoly - Bari'!G43)</f>
        <v>9318.4132799999988</v>
      </c>
      <c r="I406" s="474">
        <f t="shared" si="34"/>
        <v>8509.7906399999993</v>
      </c>
      <c r="J406" s="462">
        <f t="shared" si="31"/>
        <v>7701.1679999999997</v>
      </c>
      <c r="K406" s="474">
        <f t="shared" si="33"/>
        <v>7701.1679999999997</v>
      </c>
      <c r="L406" s="921">
        <f>('Terminales - Liquimoly - Bari'!D43)</f>
        <v>4813.2299999999996</v>
      </c>
    </row>
    <row r="407" spans="1:12" ht="15.6">
      <c r="A407" s="921" t="s">
        <v>1226</v>
      </c>
      <c r="B407" s="921" t="s">
        <v>1211</v>
      </c>
      <c r="C407" s="921" t="s">
        <v>1227</v>
      </c>
      <c r="D407" s="921">
        <f>('Terminales - Liquimoly - Bari'!O44)</f>
        <v>13000</v>
      </c>
      <c r="E407" s="506">
        <f>ROUNDUP(($D407+($D407*Publico!L$1)),-1)</f>
        <v>13390</v>
      </c>
      <c r="F407" s="506">
        <f>ROUNDUP(($D407+($D407*Publico!L$2)),-1)</f>
        <v>15210</v>
      </c>
      <c r="G407" s="473">
        <f t="shared" si="32"/>
        <v>13000</v>
      </c>
      <c r="H407" s="474">
        <f>('Terminales - Liquimoly - Bari'!G44)</f>
        <v>9318.4132799999988</v>
      </c>
      <c r="I407" s="474">
        <f t="shared" si="34"/>
        <v>8509.7906399999993</v>
      </c>
      <c r="J407" s="462">
        <f t="shared" si="31"/>
        <v>7701.1679999999997</v>
      </c>
      <c r="K407" s="474">
        <f t="shared" si="33"/>
        <v>7701.1679999999997</v>
      </c>
      <c r="L407" s="921">
        <f>('Terminales - Liquimoly - Bari'!D44)</f>
        <v>4813.2299999999996</v>
      </c>
    </row>
    <row r="408" spans="1:12" ht="15.6">
      <c r="A408" s="921" t="s">
        <v>1228</v>
      </c>
      <c r="B408" s="921" t="s">
        <v>1211</v>
      </c>
      <c r="C408" s="921" t="s">
        <v>1229</v>
      </c>
      <c r="D408" s="921">
        <f>('Terminales - Liquimoly - Bari'!O45)</f>
        <v>13000</v>
      </c>
      <c r="E408" s="506">
        <f>ROUNDUP(($D408+($D408*Publico!L$1)),-1)</f>
        <v>13390</v>
      </c>
      <c r="F408" s="506">
        <f>ROUNDUP(($D408+($D408*Publico!L$2)),-1)</f>
        <v>15210</v>
      </c>
      <c r="G408" s="473">
        <f t="shared" si="32"/>
        <v>13000</v>
      </c>
      <c r="H408" s="474">
        <f>('Terminales - Liquimoly - Bari'!G45)</f>
        <v>9318.4132799999988</v>
      </c>
      <c r="I408" s="474">
        <f t="shared" si="34"/>
        <v>8509.7906399999993</v>
      </c>
      <c r="J408" s="462">
        <f t="shared" si="31"/>
        <v>7701.1679999999997</v>
      </c>
      <c r="K408" s="474">
        <f t="shared" si="33"/>
        <v>7701.1679999999997</v>
      </c>
      <c r="L408" s="921">
        <f>('Terminales - Liquimoly - Bari'!D45)</f>
        <v>4813.2299999999996</v>
      </c>
    </row>
    <row r="409" spans="1:12" ht="15.6">
      <c r="A409" s="921" t="s">
        <v>1230</v>
      </c>
      <c r="B409" s="921" t="s">
        <v>1211</v>
      </c>
      <c r="C409" s="921" t="s">
        <v>1231</v>
      </c>
      <c r="D409" s="921">
        <f>('Terminales - Liquimoly - Bari'!O46)</f>
        <v>13000</v>
      </c>
      <c r="E409" s="506">
        <f>ROUNDUP(($D409+($D409*Publico!L$1)),-1)</f>
        <v>13390</v>
      </c>
      <c r="F409" s="506">
        <f>ROUNDUP(($D409+($D409*Publico!L$2)),-1)</f>
        <v>15210</v>
      </c>
      <c r="G409" s="473">
        <f t="shared" si="32"/>
        <v>13000</v>
      </c>
      <c r="H409" s="474">
        <f>('Terminales - Liquimoly - Bari'!G46)</f>
        <v>9318.4132799999988</v>
      </c>
      <c r="I409" s="474">
        <f t="shared" si="34"/>
        <v>8509.7906399999993</v>
      </c>
      <c r="J409" s="462">
        <f t="shared" si="31"/>
        <v>7701.1679999999997</v>
      </c>
      <c r="K409" s="474">
        <f t="shared" si="33"/>
        <v>7701.1679999999997</v>
      </c>
      <c r="L409" s="921">
        <f>('Terminales - Liquimoly - Bari'!D46)</f>
        <v>4813.2299999999996</v>
      </c>
    </row>
    <row r="410" spans="1:12" ht="15.6">
      <c r="A410" s="921" t="s">
        <v>1232</v>
      </c>
      <c r="B410" s="921" t="s">
        <v>1211</v>
      </c>
      <c r="C410" s="921" t="s">
        <v>1233</v>
      </c>
      <c r="D410" s="921">
        <f>('Terminales - Liquimoly - Bari'!O47)</f>
        <v>13000</v>
      </c>
      <c r="E410" s="506">
        <f>ROUNDUP(($D410+($D410*Publico!L$1)),-1)</f>
        <v>13390</v>
      </c>
      <c r="F410" s="506">
        <f>ROUNDUP(($D410+($D410*Publico!L$2)),-1)</f>
        <v>15210</v>
      </c>
      <c r="G410" s="473">
        <f t="shared" si="32"/>
        <v>13000</v>
      </c>
      <c r="H410" s="474">
        <f>('Terminales - Liquimoly - Bari'!G47)</f>
        <v>9318.4132799999988</v>
      </c>
      <c r="I410" s="474">
        <f t="shared" si="34"/>
        <v>8509.7906399999993</v>
      </c>
      <c r="J410" s="462">
        <f t="shared" si="31"/>
        <v>7701.1679999999997</v>
      </c>
      <c r="K410" s="474">
        <f t="shared" si="33"/>
        <v>7701.1679999999997</v>
      </c>
      <c r="L410" s="921">
        <f>('Terminales - Liquimoly - Bari'!D47)</f>
        <v>4813.2299999999996</v>
      </c>
    </row>
    <row r="411" spans="1:12" ht="15.6">
      <c r="A411" s="921" t="s">
        <v>1234</v>
      </c>
      <c r="B411" s="921" t="s">
        <v>1211</v>
      </c>
      <c r="C411" s="921" t="s">
        <v>1235</v>
      </c>
      <c r="D411" s="921">
        <f>('Terminales - Liquimoly - Bari'!O48)</f>
        <v>13000</v>
      </c>
      <c r="E411" s="506">
        <f>ROUNDUP(($D411+($D411*Publico!L$1)),-1)</f>
        <v>13390</v>
      </c>
      <c r="F411" s="506">
        <f>ROUNDUP(($D411+($D411*Publico!L$2)),-1)</f>
        <v>15210</v>
      </c>
      <c r="G411" s="473">
        <f t="shared" si="32"/>
        <v>13000</v>
      </c>
      <c r="H411" s="474">
        <f>('Terminales - Liquimoly - Bari'!G48)</f>
        <v>11046.816000000001</v>
      </c>
      <c r="I411" s="474">
        <f t="shared" si="34"/>
        <v>10088.208000000001</v>
      </c>
      <c r="J411" s="462">
        <f t="shared" si="31"/>
        <v>9129.6</v>
      </c>
      <c r="K411" s="474">
        <f t="shared" si="33"/>
        <v>9129.6</v>
      </c>
      <c r="L411" s="921">
        <f>('Terminales - Liquimoly - Bari'!D48)</f>
        <v>5706</v>
      </c>
    </row>
    <row r="412" spans="1:12" ht="15.6">
      <c r="A412" s="921" t="s">
        <v>1236</v>
      </c>
      <c r="B412" s="921" t="s">
        <v>1211</v>
      </c>
      <c r="C412" s="921" t="s">
        <v>1237</v>
      </c>
      <c r="D412" s="921">
        <f>('Terminales - Liquimoly - Bari'!O49)</f>
        <v>13000</v>
      </c>
      <c r="E412" s="506">
        <f>ROUNDUP(($D412+($D412*Publico!L$1)),-1)</f>
        <v>13390</v>
      </c>
      <c r="F412" s="506">
        <f>ROUNDUP(($D412+($D412*Publico!L$2)),-1)</f>
        <v>15210</v>
      </c>
      <c r="G412" s="473">
        <f t="shared" si="32"/>
        <v>13000</v>
      </c>
      <c r="H412" s="474">
        <f>('Terminales - Liquimoly - Bari'!G49)</f>
        <v>11197.107680000001</v>
      </c>
      <c r="I412" s="474">
        <f t="shared" si="34"/>
        <v>10225.457840000001</v>
      </c>
      <c r="J412" s="462">
        <f t="shared" si="31"/>
        <v>9253.8080000000009</v>
      </c>
      <c r="K412" s="474">
        <f t="shared" si="33"/>
        <v>9253.8080000000009</v>
      </c>
      <c r="L412" s="921">
        <f>('Terminales - Liquimoly - Bari'!D49)</f>
        <v>5783.63</v>
      </c>
    </row>
    <row r="413" spans="1:12" ht="15.6">
      <c r="A413" s="921" t="s">
        <v>1238</v>
      </c>
      <c r="B413" s="921" t="s">
        <v>1211</v>
      </c>
      <c r="C413" s="921" t="s">
        <v>1239</v>
      </c>
      <c r="D413" s="921">
        <f>('Terminales - Liquimoly - Bari'!O50)</f>
        <v>13000</v>
      </c>
      <c r="E413" s="506">
        <f>ROUNDUP(($D413+($D413*Publico!L$1)),-1)</f>
        <v>13390</v>
      </c>
      <c r="F413" s="506">
        <f>ROUNDUP(($D413+($D413*Publico!L$2)),-1)</f>
        <v>15210</v>
      </c>
      <c r="G413" s="473">
        <f t="shared" si="32"/>
        <v>13000</v>
      </c>
      <c r="H413" s="474">
        <f>('Terminales - Liquimoly - Bari'!G50)</f>
        <v>11347.418720000001</v>
      </c>
      <c r="I413" s="474">
        <f t="shared" si="34"/>
        <v>10362.72536</v>
      </c>
      <c r="J413" s="462">
        <f t="shared" si="31"/>
        <v>9378.0320000000011</v>
      </c>
      <c r="K413" s="474">
        <f t="shared" si="33"/>
        <v>9378.0320000000011</v>
      </c>
      <c r="L413" s="921">
        <f>('Terminales - Liquimoly - Bari'!D50)</f>
        <v>5861.27</v>
      </c>
    </row>
    <row r="414" spans="1:12" ht="15.6">
      <c r="A414" s="921" t="s">
        <v>1240</v>
      </c>
      <c r="B414" s="921" t="s">
        <v>1211</v>
      </c>
      <c r="C414" s="921" t="s">
        <v>1241</v>
      </c>
      <c r="D414" s="921">
        <f>('Terminales - Liquimoly - Bari'!O51)</f>
        <v>9500</v>
      </c>
      <c r="E414" s="506">
        <f>ROUNDUP(($D414+($D414*Publico!L$1)),-1)</f>
        <v>9790</v>
      </c>
      <c r="F414" s="506">
        <f>ROUNDUP(($D414+($D414*Publico!L$2)),-1)</f>
        <v>11120</v>
      </c>
      <c r="G414" s="473">
        <f t="shared" si="32"/>
        <v>9500</v>
      </c>
      <c r="H414" s="474">
        <f>('Terminales - Liquimoly - Bari'!G51)</f>
        <v>8004.8179200000004</v>
      </c>
      <c r="I414" s="474">
        <f t="shared" si="34"/>
        <v>7310.1849600000005</v>
      </c>
      <c r="J414" s="462">
        <f t="shared" si="31"/>
        <v>6615.5520000000006</v>
      </c>
      <c r="K414" s="474">
        <f t="shared" si="33"/>
        <v>6615.5520000000006</v>
      </c>
      <c r="L414" s="921">
        <f>('Terminales - Liquimoly - Bari'!D51)</f>
        <v>4134.72</v>
      </c>
    </row>
    <row r="415" spans="1:12" ht="15.6">
      <c r="A415" s="921" t="s">
        <v>1242</v>
      </c>
      <c r="B415" s="921" t="s">
        <v>1211</v>
      </c>
      <c r="C415" s="921" t="s">
        <v>1243</v>
      </c>
      <c r="D415" s="921">
        <f>('Terminales - Liquimoly - Bari'!O52)</f>
        <v>9500</v>
      </c>
      <c r="E415" s="506">
        <f>ROUNDUP(($D415+($D415*Publico!L$1)),-1)</f>
        <v>9790</v>
      </c>
      <c r="F415" s="506">
        <f>ROUNDUP(($D415+($D415*Publico!L$2)),-1)</f>
        <v>11120</v>
      </c>
      <c r="G415" s="473">
        <f t="shared" si="32"/>
        <v>9500</v>
      </c>
      <c r="H415" s="474">
        <f>('Terminales - Liquimoly - Bari'!G52)</f>
        <v>8447.7360000000008</v>
      </c>
      <c r="I415" s="474">
        <f t="shared" si="34"/>
        <v>7714.6680000000015</v>
      </c>
      <c r="J415" s="462">
        <f t="shared" si="31"/>
        <v>6981.6000000000013</v>
      </c>
      <c r="K415" s="474">
        <f t="shared" si="33"/>
        <v>6981.6000000000013</v>
      </c>
      <c r="L415" s="921">
        <f>('Terminales - Liquimoly - Bari'!D52)</f>
        <v>4363.5</v>
      </c>
    </row>
    <row r="416" spans="1:12" ht="15.6">
      <c r="A416" s="921" t="s">
        <v>1244</v>
      </c>
      <c r="B416" s="921" t="s">
        <v>1211</v>
      </c>
      <c r="C416" s="921" t="s">
        <v>1245</v>
      </c>
      <c r="D416" s="921">
        <f>('Terminales - Liquimoly - Bari'!O53)</f>
        <v>9500</v>
      </c>
      <c r="E416" s="506">
        <f>ROUNDUP(($D416+($D416*Publico!L$1)),-1)</f>
        <v>9790</v>
      </c>
      <c r="F416" s="506">
        <f>ROUNDUP(($D416+($D416*Publico!L$2)),-1)</f>
        <v>11120</v>
      </c>
      <c r="G416" s="473">
        <f t="shared" si="32"/>
        <v>9500</v>
      </c>
      <c r="H416" s="474">
        <f>('Terminales - Liquimoly - Bari'!G53)</f>
        <v>8447.7360000000008</v>
      </c>
      <c r="I416" s="474">
        <f t="shared" si="34"/>
        <v>7714.6680000000015</v>
      </c>
      <c r="J416" s="462">
        <f t="shared" si="31"/>
        <v>6981.6000000000013</v>
      </c>
      <c r="K416" s="474">
        <f t="shared" si="33"/>
        <v>6981.6000000000013</v>
      </c>
      <c r="L416" s="921">
        <f>('Terminales - Liquimoly - Bari'!D53)</f>
        <v>4363.5</v>
      </c>
    </row>
    <row r="417" spans="1:12" ht="15.6">
      <c r="A417" s="921" t="s">
        <v>1246</v>
      </c>
      <c r="B417" s="921" t="s">
        <v>1211</v>
      </c>
      <c r="C417" s="921" t="s">
        <v>1247</v>
      </c>
      <c r="D417" s="921">
        <f>('Terminales - Liquimoly - Bari'!O54)</f>
        <v>9500</v>
      </c>
      <c r="E417" s="506">
        <f>ROUNDUP(($D417+($D417*Publico!L$1)),-1)</f>
        <v>9790</v>
      </c>
      <c r="F417" s="506">
        <f>ROUNDUP(($D417+($D417*Publico!L$2)),-1)</f>
        <v>11120</v>
      </c>
      <c r="G417" s="473">
        <f t="shared" si="32"/>
        <v>9500</v>
      </c>
      <c r="H417" s="474">
        <f>('Terminales - Liquimoly - Bari'!G54)</f>
        <v>8447.7360000000008</v>
      </c>
      <c r="I417" s="474">
        <f t="shared" si="34"/>
        <v>7714.6680000000015</v>
      </c>
      <c r="J417" s="462">
        <f t="shared" si="31"/>
        <v>6981.6000000000013</v>
      </c>
      <c r="K417" s="474">
        <f t="shared" si="33"/>
        <v>6981.6000000000013</v>
      </c>
      <c r="L417" s="921">
        <f>('Terminales - Liquimoly - Bari'!D54)</f>
        <v>4363.5</v>
      </c>
    </row>
    <row r="418" spans="1:12" ht="15.6">
      <c r="A418" s="921" t="s">
        <v>1248</v>
      </c>
      <c r="B418" s="921" t="s">
        <v>1211</v>
      </c>
      <c r="C418" s="921" t="s">
        <v>1249</v>
      </c>
      <c r="D418" s="921">
        <f>('Terminales - Liquimoly - Bari'!O55)</f>
        <v>9500</v>
      </c>
      <c r="E418" s="506">
        <f>ROUNDUP(($D418+($D418*Publico!L$1)),-1)</f>
        <v>9790</v>
      </c>
      <c r="F418" s="506">
        <f>ROUNDUP(($D418+($D418*Publico!L$2)),-1)</f>
        <v>11120</v>
      </c>
      <c r="G418" s="473">
        <f t="shared" si="32"/>
        <v>9500</v>
      </c>
      <c r="H418" s="474">
        <f>('Terminales - Liquimoly - Bari'!G55)</f>
        <v>8881.4387200000019</v>
      </c>
      <c r="I418" s="474">
        <f t="shared" si="34"/>
        <v>8110.7353600000024</v>
      </c>
      <c r="J418" s="462">
        <f t="shared" ref="J418:J458" si="35">(H418/1.21)</f>
        <v>7340.032000000002</v>
      </c>
      <c r="K418" s="474">
        <f t="shared" si="33"/>
        <v>7340.032000000002</v>
      </c>
      <c r="L418" s="921">
        <f>('Terminales - Liquimoly - Bari'!D55)</f>
        <v>4587.5200000000004</v>
      </c>
    </row>
    <row r="419" spans="1:12" ht="15.6">
      <c r="A419" s="921" t="s">
        <v>1250</v>
      </c>
      <c r="B419" s="921" t="s">
        <v>1211</v>
      </c>
      <c r="C419" s="921" t="s">
        <v>1251</v>
      </c>
      <c r="D419" s="921">
        <f>('Terminales - Liquimoly - Bari'!O56)</f>
        <v>9500</v>
      </c>
      <c r="E419" s="506">
        <f>ROUNDUP(($D419+($D419*Publico!L$1)),-1)</f>
        <v>9790</v>
      </c>
      <c r="F419" s="506">
        <f>ROUNDUP(($D419+($D419*Publico!L$2)),-1)</f>
        <v>11120</v>
      </c>
      <c r="G419" s="473">
        <f t="shared" si="32"/>
        <v>9500</v>
      </c>
      <c r="H419" s="474">
        <f>('Terminales - Liquimoly - Bari'!G56)</f>
        <v>8881.4387200000019</v>
      </c>
      <c r="I419" s="474">
        <f t="shared" si="34"/>
        <v>8110.7353600000024</v>
      </c>
      <c r="J419" s="462">
        <f t="shared" si="35"/>
        <v>7340.032000000002</v>
      </c>
      <c r="K419" s="474">
        <f t="shared" si="33"/>
        <v>7340.032000000002</v>
      </c>
      <c r="L419" s="921">
        <f>('Terminales - Liquimoly - Bari'!D56)</f>
        <v>4587.5200000000004</v>
      </c>
    </row>
    <row r="420" spans="1:12" ht="15.6">
      <c r="A420" s="921" t="s">
        <v>1252</v>
      </c>
      <c r="B420" s="921" t="s">
        <v>1211</v>
      </c>
      <c r="C420" s="921" t="s">
        <v>1253</v>
      </c>
      <c r="D420" s="921">
        <f>('Terminales - Liquimoly - Bari'!O57)</f>
        <v>9500</v>
      </c>
      <c r="E420" s="506">
        <f>ROUNDUP(($D420+($D420*Publico!L$1)),-1)</f>
        <v>9790</v>
      </c>
      <c r="F420" s="506">
        <f>ROUNDUP(($D420+($D420*Publico!L$2)),-1)</f>
        <v>11120</v>
      </c>
      <c r="G420" s="473">
        <f t="shared" si="32"/>
        <v>9500</v>
      </c>
      <c r="H420" s="474">
        <f>('Terminales - Liquimoly - Bari'!G57)</f>
        <v>8881.4387200000019</v>
      </c>
      <c r="I420" s="474">
        <f t="shared" si="34"/>
        <v>8110.7353600000024</v>
      </c>
      <c r="J420" s="462">
        <f t="shared" si="35"/>
        <v>7340.032000000002</v>
      </c>
      <c r="K420" s="474">
        <f t="shared" si="33"/>
        <v>7340.032000000002</v>
      </c>
      <c r="L420" s="921">
        <f>('Terminales - Liquimoly - Bari'!D57)</f>
        <v>4587.5200000000004</v>
      </c>
    </row>
    <row r="421" spans="1:12" ht="15.6">
      <c r="A421" s="921" t="s">
        <v>1254</v>
      </c>
      <c r="B421" s="921" t="s">
        <v>1211</v>
      </c>
      <c r="C421" s="921" t="s">
        <v>1255</v>
      </c>
      <c r="D421" s="921">
        <f>('Terminales - Liquimoly - Bari'!O58)</f>
        <v>9500</v>
      </c>
      <c r="E421" s="506">
        <f>ROUNDUP(($D421+($D421*Publico!L$1)),-1)</f>
        <v>9790</v>
      </c>
      <c r="F421" s="506">
        <f>ROUNDUP(($D421+($D421*Publico!L$2)),-1)</f>
        <v>11120</v>
      </c>
      <c r="G421" s="473">
        <f t="shared" si="32"/>
        <v>9500</v>
      </c>
      <c r="H421" s="474">
        <f>('Terminales - Liquimoly - Bari'!G58)</f>
        <v>8881.4387200000019</v>
      </c>
      <c r="I421" s="474">
        <f t="shared" si="34"/>
        <v>8110.7353600000024</v>
      </c>
      <c r="J421" s="462">
        <f t="shared" si="35"/>
        <v>7340.032000000002</v>
      </c>
      <c r="K421" s="474">
        <f t="shared" si="33"/>
        <v>7340.032000000002</v>
      </c>
      <c r="L421" s="921">
        <f>('Terminales - Liquimoly - Bari'!D58)</f>
        <v>4587.5200000000004</v>
      </c>
    </row>
    <row r="422" spans="1:12" ht="15.6">
      <c r="A422" s="921" t="s">
        <v>1256</v>
      </c>
      <c r="B422" s="921" t="s">
        <v>1211</v>
      </c>
      <c r="C422" s="921" t="s">
        <v>1257</v>
      </c>
      <c r="D422" s="921">
        <f>('Terminales - Liquimoly - Bari'!O62)</f>
        <v>43900</v>
      </c>
      <c r="E422" s="506">
        <f>ROUNDUP(($D422+($D422*Publico!L$1)),-1)</f>
        <v>45220</v>
      </c>
      <c r="F422" s="506">
        <f>ROUNDUP(($D422+($D422*Publico!L$2)),-1)</f>
        <v>51370</v>
      </c>
      <c r="G422" s="473">
        <f t="shared" si="32"/>
        <v>43900</v>
      </c>
      <c r="H422" s="474">
        <f>('Terminales - Liquimoly - Bari'!G62)</f>
        <v>42463.333440000002</v>
      </c>
      <c r="I422" s="474">
        <f t="shared" si="34"/>
        <v>38778.498720000003</v>
      </c>
      <c r="J422" s="462">
        <f t="shared" si="35"/>
        <v>35093.664000000004</v>
      </c>
      <c r="K422" s="474">
        <f t="shared" si="33"/>
        <v>35093.664000000004</v>
      </c>
      <c r="L422" s="921">
        <f>('Terminales - Liquimoly - Bari'!D62)</f>
        <v>21933.54</v>
      </c>
    </row>
    <row r="423" spans="1:12" ht="15.6">
      <c r="A423" s="921" t="s">
        <v>1258</v>
      </c>
      <c r="B423" s="921" t="s">
        <v>1211</v>
      </c>
      <c r="C423" s="921" t="s">
        <v>1259</v>
      </c>
      <c r="D423" s="921">
        <f>('Terminales - Liquimoly - Bari'!O63)</f>
        <v>51950</v>
      </c>
      <c r="E423" s="506">
        <f>ROUNDUP(($D423+($D423*Publico!L$1)),-1)</f>
        <v>53510</v>
      </c>
      <c r="F423" s="506">
        <f>ROUNDUP(($D423+($D423*Publico!L$2)),-1)</f>
        <v>60790</v>
      </c>
      <c r="G423" s="473">
        <f t="shared" si="32"/>
        <v>51950</v>
      </c>
      <c r="H423" s="474">
        <f>('Terminales - Liquimoly - Bari'!G63)</f>
        <v>50252.016320000002</v>
      </c>
      <c r="I423" s="474">
        <f t="shared" si="34"/>
        <v>45891.304160000007</v>
      </c>
      <c r="J423" s="462">
        <f t="shared" si="35"/>
        <v>41530.592000000004</v>
      </c>
      <c r="K423" s="474">
        <f t="shared" si="33"/>
        <v>41530.592000000004</v>
      </c>
      <c r="L423" s="921">
        <f>('Terminales - Liquimoly - Bari'!D63)</f>
        <v>25956.62</v>
      </c>
    </row>
    <row r="424" spans="1:12" ht="15.6">
      <c r="A424" s="921" t="s">
        <v>1260</v>
      </c>
      <c r="B424" s="921" t="s">
        <v>1211</v>
      </c>
      <c r="C424" s="921" t="s">
        <v>1261</v>
      </c>
      <c r="D424" s="921">
        <f>('Terminales - Liquimoly - Bari'!O64)</f>
        <v>43250</v>
      </c>
      <c r="E424" s="506">
        <f>ROUNDUP(($D424+($D424*Publico!L$1)),-1)</f>
        <v>44550</v>
      </c>
      <c r="F424" s="506">
        <f>ROUNDUP(($D424+($D424*Publico!L$2)),-1)</f>
        <v>50610</v>
      </c>
      <c r="G424" s="473">
        <f t="shared" si="32"/>
        <v>43250</v>
      </c>
      <c r="H424" s="474">
        <f>('Terminales - Liquimoly - Bari'!G64)</f>
        <v>41856.707199999997</v>
      </c>
      <c r="I424" s="474">
        <f t="shared" si="34"/>
        <v>38224.513599999998</v>
      </c>
      <c r="J424" s="462">
        <f t="shared" si="35"/>
        <v>34592.32</v>
      </c>
      <c r="K424" s="474">
        <f t="shared" si="33"/>
        <v>34592.32</v>
      </c>
      <c r="L424" s="921">
        <f>('Terminales - Liquimoly - Bari'!D64)</f>
        <v>21620.2</v>
      </c>
    </row>
    <row r="425" spans="1:12" ht="15.6">
      <c r="A425" s="921" t="s">
        <v>1262</v>
      </c>
      <c r="B425" s="921" t="s">
        <v>1211</v>
      </c>
      <c r="C425" s="921" t="s">
        <v>1263</v>
      </c>
      <c r="D425" s="921">
        <f>('Terminales - Liquimoly - Bari'!O65)</f>
        <v>50450</v>
      </c>
      <c r="E425" s="506">
        <f>ROUNDUP(($D425+($D425*Publico!L$1)),-1)</f>
        <v>51970</v>
      </c>
      <c r="F425" s="506">
        <f>ROUNDUP(($D425+($D425*Publico!L$2)),-1)</f>
        <v>59030</v>
      </c>
      <c r="G425" s="473">
        <f t="shared" si="32"/>
        <v>50450</v>
      </c>
      <c r="H425" s="474">
        <f>('Terminales - Liquimoly - Bari'!G65)</f>
        <v>48821.602720000003</v>
      </c>
      <c r="I425" s="474">
        <f t="shared" si="34"/>
        <v>44585.017359999998</v>
      </c>
      <c r="J425" s="462">
        <f t="shared" si="35"/>
        <v>40348.432000000001</v>
      </c>
      <c r="K425" s="474">
        <f t="shared" si="33"/>
        <v>40348.432000000001</v>
      </c>
      <c r="L425" s="921">
        <f>('Terminales - Liquimoly - Bari'!D65)</f>
        <v>25217.77</v>
      </c>
    </row>
    <row r="426" spans="1:12" ht="15.6">
      <c r="A426" s="921" t="s">
        <v>1264</v>
      </c>
      <c r="B426" s="921" t="s">
        <v>1211</v>
      </c>
      <c r="C426" s="921" t="s">
        <v>1265</v>
      </c>
      <c r="D426" s="921">
        <f>('Terminales - Liquimoly - Bari'!O66)</f>
        <v>37650</v>
      </c>
      <c r="E426" s="506">
        <f>ROUNDUP(($D426+($D426*Publico!L$1)),-1)</f>
        <v>38780</v>
      </c>
      <c r="F426" s="506">
        <f>ROUNDUP(($D426+($D426*Publico!L$2)),-1)</f>
        <v>44060</v>
      </c>
      <c r="G426" s="473">
        <f t="shared" si="32"/>
        <v>37650</v>
      </c>
      <c r="H426" s="474">
        <f>('Terminales - Liquimoly - Bari'!G66)</f>
        <v>36404.640800000001</v>
      </c>
      <c r="I426" s="474">
        <f t="shared" si="34"/>
        <v>33245.560400000002</v>
      </c>
      <c r="J426" s="462">
        <f t="shared" si="35"/>
        <v>30086.480000000003</v>
      </c>
      <c r="K426" s="474">
        <f t="shared" si="33"/>
        <v>30086.480000000003</v>
      </c>
      <c r="L426" s="921">
        <f>('Terminales - Liquimoly - Bari'!D66)</f>
        <v>18804.05</v>
      </c>
    </row>
    <row r="427" spans="1:12" ht="15.6">
      <c r="A427" s="921" t="s">
        <v>1266</v>
      </c>
      <c r="B427" s="921" t="s">
        <v>1211</v>
      </c>
      <c r="C427" s="921" t="s">
        <v>1267</v>
      </c>
      <c r="D427" s="921">
        <f>('Terminales - Liquimoly - Bari'!O67)</f>
        <v>43900</v>
      </c>
      <c r="E427" s="506">
        <f>ROUNDUP(($D427+($D427*Publico!L$1)),-1)</f>
        <v>45220</v>
      </c>
      <c r="F427" s="506">
        <f>ROUNDUP(($D427+($D427*Publico!L$2)),-1)</f>
        <v>51370</v>
      </c>
      <c r="G427" s="473">
        <f t="shared" si="32"/>
        <v>43900</v>
      </c>
      <c r="H427" s="474">
        <f>('Terminales - Liquimoly - Bari'!G67)</f>
        <v>42463.333440000002</v>
      </c>
      <c r="I427" s="474">
        <f t="shared" si="34"/>
        <v>38778.498720000003</v>
      </c>
      <c r="J427" s="462">
        <f t="shared" si="35"/>
        <v>35093.664000000004</v>
      </c>
      <c r="K427" s="474">
        <f t="shared" si="33"/>
        <v>35093.664000000004</v>
      </c>
      <c r="L427" s="921">
        <f>('Terminales - Liquimoly - Bari'!D67)</f>
        <v>21933.54</v>
      </c>
    </row>
    <row r="428" spans="1:12" ht="15.6">
      <c r="A428" s="921" t="s">
        <v>1268</v>
      </c>
      <c r="B428" s="921" t="s">
        <v>1211</v>
      </c>
      <c r="C428" s="921" t="s">
        <v>1269</v>
      </c>
      <c r="D428" s="921">
        <f>('Terminales - Liquimoly - Bari'!O70)</f>
        <v>79200</v>
      </c>
      <c r="E428" s="506">
        <f>ROUNDUP(($D428+($D428*Publico!L$1)),-1)</f>
        <v>81580</v>
      </c>
      <c r="F428" s="506">
        <f>ROUNDUP(($D428+($D428*Publico!L$2)),-1)</f>
        <v>92670</v>
      </c>
      <c r="G428" s="473">
        <f t="shared" si="32"/>
        <v>79200</v>
      </c>
      <c r="H428" s="474">
        <f>('Terminales - Liquimoly - Bari'!G70)</f>
        <v>76665.599999999991</v>
      </c>
      <c r="I428" s="474">
        <f t="shared" si="34"/>
        <v>70012.799999999988</v>
      </c>
      <c r="J428" s="462">
        <f t="shared" si="35"/>
        <v>63359.999999999993</v>
      </c>
      <c r="K428" s="474">
        <f t="shared" si="33"/>
        <v>63359.999999999993</v>
      </c>
      <c r="L428" s="921">
        <f>('Terminales - Liquimoly - Bari'!D70)</f>
        <v>39600</v>
      </c>
    </row>
    <row r="429" spans="1:12" ht="15.6">
      <c r="A429" s="921" t="s">
        <v>1270</v>
      </c>
      <c r="B429" s="921" t="s">
        <v>1211</v>
      </c>
      <c r="C429" s="921" t="s">
        <v>1271</v>
      </c>
      <c r="D429" s="921">
        <f>('Terminales - Liquimoly - Bari'!O71)</f>
        <v>39750</v>
      </c>
      <c r="E429" s="506">
        <f>ROUNDUP(($D429+($D429*Publico!L$1)),-1)</f>
        <v>40950</v>
      </c>
      <c r="F429" s="506">
        <f>ROUNDUP(($D429+($D429*Publico!L$2)),-1)</f>
        <v>46510</v>
      </c>
      <c r="G429" s="473">
        <f t="shared" si="32"/>
        <v>39750</v>
      </c>
      <c r="H429" s="474">
        <f>('Terminales - Liquimoly - Bari'!G71)</f>
        <v>38460.576000000001</v>
      </c>
      <c r="I429" s="474">
        <f t="shared" si="34"/>
        <v>35123.088000000003</v>
      </c>
      <c r="J429" s="462">
        <f t="shared" si="35"/>
        <v>31785.600000000002</v>
      </c>
      <c r="K429" s="474">
        <f t="shared" si="33"/>
        <v>31785.600000000002</v>
      </c>
      <c r="L429" s="921">
        <f>('Terminales - Liquimoly - Bari'!D71)</f>
        <v>19866</v>
      </c>
    </row>
    <row r="430" spans="1:12" ht="15.6">
      <c r="A430" s="921" t="s">
        <v>465</v>
      </c>
      <c r="B430" s="921" t="s">
        <v>388</v>
      </c>
      <c r="C430" s="921" t="s">
        <v>466</v>
      </c>
      <c r="D430" s="921">
        <f>(Lusqtoff!U57)</f>
        <v>345800</v>
      </c>
      <c r="E430" s="506">
        <f>ROUNDUP(($D430+($D430*Publico!L$1)),-1)</f>
        <v>356180</v>
      </c>
      <c r="F430" s="506">
        <f>ROUNDUP(($D430+($D430*Publico!L$2)),-1)</f>
        <v>404590</v>
      </c>
      <c r="G430" s="473">
        <f t="shared" si="32"/>
        <v>345800</v>
      </c>
      <c r="H430" s="474">
        <f>(Lusqtoff!H57)</f>
        <v>286654.42079999996</v>
      </c>
      <c r="I430" s="474">
        <f t="shared" si="34"/>
        <v>261779.45039999997</v>
      </c>
      <c r="J430" s="462">
        <f t="shared" si="35"/>
        <v>236904.47999999998</v>
      </c>
      <c r="K430" s="474">
        <f t="shared" si="33"/>
        <v>236904.47999999998</v>
      </c>
      <c r="L430" s="921">
        <f>(Lusqtoff!F57)</f>
        <v>174095.99999999997</v>
      </c>
    </row>
    <row r="431" spans="1:12" ht="15.6">
      <c r="A431" s="921" t="s">
        <v>473</v>
      </c>
      <c r="B431" s="921" t="s">
        <v>388</v>
      </c>
      <c r="C431" s="921" t="s">
        <v>474</v>
      </c>
      <c r="D431" s="921">
        <f>(Lusqtoff!U61)</f>
        <v>172000</v>
      </c>
      <c r="E431" s="506">
        <f>ROUNDUP(($D431+($D431*Publico!L$1)),-1)</f>
        <v>177160</v>
      </c>
      <c r="F431" s="506">
        <f>ROUNDUP(($D431+($D431*Publico!L$2)),-1)</f>
        <v>201240</v>
      </c>
      <c r="G431" s="473">
        <f t="shared" si="32"/>
        <v>172000</v>
      </c>
      <c r="H431" s="474">
        <f>(Lusqtoff!H61)</f>
        <v>140553.13535999999</v>
      </c>
      <c r="I431" s="474">
        <f t="shared" si="34"/>
        <v>128356.37568</v>
      </c>
      <c r="J431" s="462">
        <f t="shared" si="35"/>
        <v>116159.61599999999</v>
      </c>
      <c r="K431" s="474">
        <f t="shared" si="33"/>
        <v>116159.61599999999</v>
      </c>
      <c r="L431" s="921">
        <f>(Lusqtoff!F61)</f>
        <v>81095.040000000008</v>
      </c>
    </row>
    <row r="432" spans="1:12" ht="15.6">
      <c r="A432" s="921" t="s">
        <v>491</v>
      </c>
      <c r="B432" s="921" t="s">
        <v>388</v>
      </c>
      <c r="C432" s="921" t="s">
        <v>492</v>
      </c>
      <c r="D432" s="921">
        <f>(Lusqtoff!U70)</f>
        <v>163300</v>
      </c>
      <c r="E432" s="506">
        <f>ROUNDUP(($D432+($D432*Publico!L$1)),-1)</f>
        <v>168200</v>
      </c>
      <c r="F432" s="506">
        <f>ROUNDUP(($D432+($D432*Publico!L$2)),-1)</f>
        <v>191070</v>
      </c>
      <c r="G432" s="473">
        <f t="shared" si="32"/>
        <v>163300</v>
      </c>
      <c r="H432" s="474">
        <f>(Lusqtoff!H70)</f>
        <v>131768.5644</v>
      </c>
      <c r="I432" s="474">
        <f t="shared" si="34"/>
        <v>120334.10219999999</v>
      </c>
      <c r="J432" s="462">
        <f t="shared" si="35"/>
        <v>108899.64</v>
      </c>
      <c r="K432" s="474">
        <f t="shared" si="33"/>
        <v>108899.64</v>
      </c>
      <c r="L432" s="921">
        <f>(Lusqtoff!F70)</f>
        <v>80028</v>
      </c>
    </row>
    <row r="433" spans="1:12" ht="15.6">
      <c r="A433" s="921" t="s">
        <v>387</v>
      </c>
      <c r="B433" s="921" t="s">
        <v>382</v>
      </c>
      <c r="C433" s="921">
        <v>49622</v>
      </c>
      <c r="D433" s="921">
        <f>(Lusqtoff!U15)</f>
        <v>27950</v>
      </c>
      <c r="E433" s="506">
        <f>ROUNDUP(($D433+($D433*Publico!L$1)),-1)</f>
        <v>28790</v>
      </c>
      <c r="F433" s="506">
        <f>ROUNDUP(($D433+($D433*Publico!L$2)),-1)</f>
        <v>32710</v>
      </c>
      <c r="G433" s="473">
        <f t="shared" si="32"/>
        <v>27950</v>
      </c>
      <c r="H433" s="474">
        <f>(Lusqtoff!H15)</f>
        <v>23422.697113199996</v>
      </c>
      <c r="I433" s="474">
        <f t="shared" si="34"/>
        <v>21390.149016599997</v>
      </c>
      <c r="J433" s="462">
        <f t="shared" si="35"/>
        <v>19357.600919999997</v>
      </c>
      <c r="K433" s="474">
        <f t="shared" si="33"/>
        <v>19357.600919999997</v>
      </c>
      <c r="L433" s="921">
        <f>(Lusqtoff!F15)</f>
        <v>14225.483999999999</v>
      </c>
    </row>
    <row r="434" spans="1:12" ht="15.6">
      <c r="A434" s="921" t="s">
        <v>1273</v>
      </c>
      <c r="B434" s="921" t="s">
        <v>1272</v>
      </c>
      <c r="C434" s="921" t="s">
        <v>1274</v>
      </c>
      <c r="D434" s="921">
        <f>('Tempel - Melisam'!R21)</f>
        <v>37000</v>
      </c>
      <c r="E434" s="506">
        <f>ROUNDUP(($D434+($D434*Publico!L$1)),-1)</f>
        <v>38110</v>
      </c>
      <c r="F434" s="506">
        <f>ROUNDUP(($D434+($D434*Publico!L$2)),-1)</f>
        <v>43290</v>
      </c>
      <c r="G434" s="473">
        <f t="shared" si="32"/>
        <v>37000</v>
      </c>
      <c r="H434" s="474">
        <f>('Tempel - Melisam'!F21)</f>
        <v>31581</v>
      </c>
      <c r="I434" s="474">
        <f t="shared" si="34"/>
        <v>28840.5</v>
      </c>
      <c r="J434" s="462">
        <f t="shared" si="35"/>
        <v>26100</v>
      </c>
      <c r="K434" s="474">
        <f t="shared" si="33"/>
        <v>26100</v>
      </c>
      <c r="L434" s="921">
        <f>('Tempel - Melisam'!C21)</f>
        <v>18000</v>
      </c>
    </row>
    <row r="435" spans="1:12" ht="15.6">
      <c r="A435" s="921" t="s">
        <v>1275</v>
      </c>
      <c r="B435" s="921" t="s">
        <v>1272</v>
      </c>
      <c r="C435" s="921" t="s">
        <v>1276</v>
      </c>
      <c r="D435" s="921">
        <f>('Tempel - Melisam'!R22)</f>
        <v>37000</v>
      </c>
      <c r="E435" s="506">
        <f>ROUNDUP(($D435+($D435*Publico!L$1)),-1)</f>
        <v>38110</v>
      </c>
      <c r="F435" s="506">
        <f>ROUNDUP(($D435+($D435*Publico!L$2)),-1)</f>
        <v>43290</v>
      </c>
      <c r="G435" s="473">
        <f t="shared" si="32"/>
        <v>37000</v>
      </c>
      <c r="H435" s="474">
        <f>('Tempel - Melisam'!F22)</f>
        <v>31581</v>
      </c>
      <c r="I435" s="474">
        <f t="shared" si="34"/>
        <v>28840.5</v>
      </c>
      <c r="J435" s="462">
        <f t="shared" si="35"/>
        <v>26100</v>
      </c>
      <c r="K435" s="474">
        <f t="shared" si="33"/>
        <v>26100</v>
      </c>
      <c r="L435" s="921">
        <f>('Tempel - Melisam'!C22)</f>
        <v>18000</v>
      </c>
    </row>
    <row r="436" spans="1:12" ht="15.6">
      <c r="A436" s="921" t="s">
        <v>1278</v>
      </c>
      <c r="B436" s="921" t="s">
        <v>1277</v>
      </c>
      <c r="C436" s="921" t="s">
        <v>1279</v>
      </c>
      <c r="D436" s="921">
        <f>(Novelbat!U4)</f>
        <v>32400</v>
      </c>
      <c r="E436" s="506">
        <f>ROUNDUP(($D436+($D436*Publico!L$1)),-1)</f>
        <v>33380</v>
      </c>
      <c r="F436" s="506">
        <f>ROUNDUP(($D436+($D436*Publico!L$2)),-1)</f>
        <v>37910</v>
      </c>
      <c r="G436" s="473">
        <f t="shared" si="32"/>
        <v>32400</v>
      </c>
      <c r="H436" s="456">
        <f>(Novelbat!H4)</f>
        <v>21780.103109424002</v>
      </c>
      <c r="I436" s="474">
        <f t="shared" si="34"/>
        <v>19890.094161912002</v>
      </c>
      <c r="J436" s="462">
        <f t="shared" si="35"/>
        <v>18000.085214400002</v>
      </c>
      <c r="K436" s="474">
        <f t="shared" si="33"/>
        <v>18000.085214400002</v>
      </c>
      <c r="L436" s="921">
        <f>(Novelbat!F4)</f>
        <v>11528.203385000001</v>
      </c>
    </row>
    <row r="437" spans="1:12" ht="15.6">
      <c r="A437" s="921" t="s">
        <v>1280</v>
      </c>
      <c r="B437" s="921" t="s">
        <v>1277</v>
      </c>
      <c r="C437" s="921" t="s">
        <v>1281</v>
      </c>
      <c r="D437" s="921">
        <f>(Novelbat!U5)</f>
        <v>39000</v>
      </c>
      <c r="E437" s="506">
        <f>ROUNDUP(($D437+($D437*Publico!L$1)),-1)</f>
        <v>40170</v>
      </c>
      <c r="F437" s="506">
        <f>ROUNDUP(($D437+($D437*Publico!L$2)),-1)</f>
        <v>45630</v>
      </c>
      <c r="G437" s="473">
        <f t="shared" si="32"/>
        <v>39000</v>
      </c>
      <c r="H437" s="456">
        <f>(Novelbat!H5)</f>
        <v>26811.693973152</v>
      </c>
      <c r="I437" s="474">
        <f t="shared" si="34"/>
        <v>24485.059372175998</v>
      </c>
      <c r="J437" s="462">
        <f t="shared" si="35"/>
        <v>22158.4247712</v>
      </c>
      <c r="K437" s="474">
        <f t="shared" si="33"/>
        <v>22158.4247712</v>
      </c>
      <c r="L437" s="921">
        <f>(Novelbat!F5)</f>
        <v>14191.423229999999</v>
      </c>
    </row>
    <row r="438" spans="1:12" ht="15.6">
      <c r="A438" s="921" t="s">
        <v>1282</v>
      </c>
      <c r="B438" s="921" t="s">
        <v>1277</v>
      </c>
      <c r="C438" s="921" t="s">
        <v>1283</v>
      </c>
      <c r="D438" s="921">
        <f>(Novelbat!U6)</f>
        <v>39000</v>
      </c>
      <c r="E438" s="506">
        <f>ROUNDUP(($D438+($D438*Publico!L$1)),-1)</f>
        <v>40170</v>
      </c>
      <c r="F438" s="506">
        <f>ROUNDUP(($D438+($D438*Publico!L$2)),-1)</f>
        <v>45630</v>
      </c>
      <c r="G438" s="473">
        <f t="shared" si="32"/>
        <v>39000</v>
      </c>
      <c r="H438" s="456">
        <f>(Novelbat!H6)</f>
        <v>26811.693973152</v>
      </c>
      <c r="I438" s="474">
        <f t="shared" si="34"/>
        <v>24485.059372175998</v>
      </c>
      <c r="J438" s="462">
        <f t="shared" si="35"/>
        <v>22158.4247712</v>
      </c>
      <c r="K438" s="474">
        <f t="shared" si="33"/>
        <v>22158.4247712</v>
      </c>
      <c r="L438" s="921">
        <f>(Novelbat!F6)</f>
        <v>14191.423229999999</v>
      </c>
    </row>
    <row r="439" spans="1:12" ht="15.6">
      <c r="A439" s="921" t="s">
        <v>1284</v>
      </c>
      <c r="B439" s="921" t="s">
        <v>1277</v>
      </c>
      <c r="C439" s="921" t="s">
        <v>1285</v>
      </c>
      <c r="D439" s="921">
        <f>(Novelbat!U7)</f>
        <v>45400</v>
      </c>
      <c r="E439" s="506">
        <f>ROUNDUP(($D439+($D439*Publico!L$1)),-1)</f>
        <v>46770</v>
      </c>
      <c r="F439" s="506">
        <f>ROUNDUP(($D439+($D439*Publico!L$2)),-1)</f>
        <v>53120</v>
      </c>
      <c r="G439" s="473">
        <f t="shared" si="32"/>
        <v>45400</v>
      </c>
      <c r="H439" s="456">
        <f>(Novelbat!H7)</f>
        <v>29345.082380064003</v>
      </c>
      <c r="I439" s="474">
        <f t="shared" si="34"/>
        <v>26798.608289232001</v>
      </c>
      <c r="J439" s="462">
        <f t="shared" si="35"/>
        <v>24252.134198400003</v>
      </c>
      <c r="K439" s="474">
        <f t="shared" si="33"/>
        <v>24252.134198400003</v>
      </c>
      <c r="L439" s="921">
        <f>(Novelbat!F7)</f>
        <v>15532.34511</v>
      </c>
    </row>
    <row r="440" spans="1:12" ht="15.6">
      <c r="A440" s="921" t="s">
        <v>1286</v>
      </c>
      <c r="B440" s="921" t="s">
        <v>1277</v>
      </c>
      <c r="C440" s="921" t="s">
        <v>1287</v>
      </c>
      <c r="D440" s="921">
        <f>(Novelbat!U8)</f>
        <v>61950</v>
      </c>
      <c r="E440" s="506">
        <f>ROUNDUP(($D440+($D440*Publico!L$1)),-1)</f>
        <v>63810</v>
      </c>
      <c r="F440" s="506">
        <f>ROUNDUP(($D440+($D440*Publico!L$2)),-1)</f>
        <v>72490</v>
      </c>
      <c r="G440" s="473">
        <f t="shared" si="32"/>
        <v>61950</v>
      </c>
      <c r="H440" s="456">
        <f>(Novelbat!H8)</f>
        <v>46551.011977007998</v>
      </c>
      <c r="I440" s="474">
        <f t="shared" si="34"/>
        <v>42511.461350903999</v>
      </c>
      <c r="J440" s="462">
        <f t="shared" si="35"/>
        <v>38471.9107248</v>
      </c>
      <c r="K440" s="474">
        <f t="shared" si="33"/>
        <v>38471.9107248</v>
      </c>
      <c r="L440" s="921">
        <f>(Novelbat!F8)</f>
        <v>24639.439545000001</v>
      </c>
    </row>
    <row r="441" spans="1:12" ht="15.6">
      <c r="A441" s="921" t="s">
        <v>1288</v>
      </c>
      <c r="B441" s="921" t="s">
        <v>1277</v>
      </c>
      <c r="C441" s="921" t="s">
        <v>1289</v>
      </c>
      <c r="D441" s="921">
        <f>(Novelbat!U9)</f>
        <v>77200</v>
      </c>
      <c r="E441" s="506">
        <f>ROUNDUP(($D441+($D441*Publico!L$1)),-1)</f>
        <v>79520</v>
      </c>
      <c r="F441" s="506">
        <f>ROUNDUP(($D441+($D441*Publico!L$2)),-1)</f>
        <v>90330</v>
      </c>
      <c r="G441" s="473">
        <f t="shared" si="32"/>
        <v>77200</v>
      </c>
      <c r="H441" s="456">
        <f>(Novelbat!H9)</f>
        <v>57493.842456863989</v>
      </c>
      <c r="I441" s="474">
        <f t="shared" si="34"/>
        <v>52504.707367631992</v>
      </c>
      <c r="J441" s="462">
        <f t="shared" si="35"/>
        <v>47515.572278399995</v>
      </c>
      <c r="K441" s="474">
        <f t="shared" si="33"/>
        <v>47515.572278399995</v>
      </c>
      <c r="L441" s="921">
        <f>(Novelbat!F9)</f>
        <v>30431.47711</v>
      </c>
    </row>
    <row r="442" spans="1:12" ht="15.6">
      <c r="A442" s="921" t="s">
        <v>1290</v>
      </c>
      <c r="B442" s="921" t="s">
        <v>1277</v>
      </c>
      <c r="C442" s="921" t="s">
        <v>1291</v>
      </c>
      <c r="D442" s="921">
        <f>(Novelbat!U10)</f>
        <v>94300</v>
      </c>
      <c r="E442" s="506">
        <f>ROUNDUP(($D442+($D442*Publico!L$1)),-1)</f>
        <v>97130</v>
      </c>
      <c r="F442" s="506">
        <f>ROUNDUP(($D442+($D442*Publico!L$2)),-1)</f>
        <v>110340</v>
      </c>
      <c r="G442" s="473">
        <f t="shared" si="32"/>
        <v>94300</v>
      </c>
      <c r="H442" s="456">
        <f>(Novelbat!H10)</f>
        <v>70195.97044152001</v>
      </c>
      <c r="I442" s="474">
        <f t="shared" si="34"/>
        <v>64104.584576760011</v>
      </c>
      <c r="J442" s="462">
        <f t="shared" si="35"/>
        <v>58013.198712000012</v>
      </c>
      <c r="K442" s="474">
        <f t="shared" si="33"/>
        <v>58013.198712000012</v>
      </c>
      <c r="L442" s="921">
        <f>(Novelbat!F10)</f>
        <v>37154.710424999997</v>
      </c>
    </row>
    <row r="443" spans="1:12" ht="15.6">
      <c r="A443" s="921" t="s">
        <v>1292</v>
      </c>
      <c r="B443" s="921" t="s">
        <v>1277</v>
      </c>
      <c r="C443" s="921" t="s">
        <v>1293</v>
      </c>
      <c r="D443" s="921">
        <f>(Novelbat!U11)</f>
        <v>157500</v>
      </c>
      <c r="E443" s="506">
        <f>ROUNDUP(($D443+($D443*Publico!L$1)),-1)</f>
        <v>162230</v>
      </c>
      <c r="F443" s="506">
        <f>ROUNDUP(($D443+($D443*Publico!L$2)),-1)</f>
        <v>184280</v>
      </c>
      <c r="G443" s="473">
        <f t="shared" si="32"/>
        <v>157500</v>
      </c>
      <c r="H443" s="456">
        <f>(Novelbat!H11)</f>
        <v>139019.68882929595</v>
      </c>
      <c r="I443" s="474">
        <f t="shared" si="34"/>
        <v>126955.99682344795</v>
      </c>
      <c r="J443" s="462">
        <f t="shared" si="35"/>
        <v>114892.30481759996</v>
      </c>
      <c r="K443" s="474">
        <f t="shared" si="33"/>
        <v>114892.30481759996</v>
      </c>
      <c r="L443" s="921">
        <f>(Novelbat!F11)</f>
        <v>73583.088164999994</v>
      </c>
    </row>
    <row r="444" spans="1:12" ht="15.6">
      <c r="A444" s="921" t="s">
        <v>1294</v>
      </c>
      <c r="B444" s="921" t="s">
        <v>1277</v>
      </c>
      <c r="C444" s="921" t="s">
        <v>1295</v>
      </c>
      <c r="D444" s="921">
        <f>(Novelbat!U12)</f>
        <v>27950</v>
      </c>
      <c r="E444" s="506">
        <f>ROUNDUP(($D444+($D444*Publico!L$1)),-1)</f>
        <v>28790</v>
      </c>
      <c r="F444" s="506">
        <f>ROUNDUP(($D444+($D444*Publico!L$2)),-1)</f>
        <v>32710</v>
      </c>
      <c r="G444" s="473">
        <f t="shared" si="32"/>
        <v>27950</v>
      </c>
      <c r="H444" s="456">
        <f>(Novelbat!H12)</f>
        <v>18930.041151647998</v>
      </c>
      <c r="I444" s="474">
        <f t="shared" si="34"/>
        <v>17287.351630223999</v>
      </c>
      <c r="J444" s="462">
        <f t="shared" si="35"/>
        <v>15644.662108799999</v>
      </c>
      <c r="K444" s="474">
        <f t="shared" si="33"/>
        <v>15644.662108799999</v>
      </c>
      <c r="L444" s="921">
        <f>(Novelbat!F12)</f>
        <v>10019.66627</v>
      </c>
    </row>
    <row r="445" spans="1:12" ht="15.6">
      <c r="A445" s="921" t="s">
        <v>1296</v>
      </c>
      <c r="B445" s="921" t="s">
        <v>1277</v>
      </c>
      <c r="C445" s="921" t="s">
        <v>1297</v>
      </c>
      <c r="D445" s="921">
        <f>(Novelbat!U13)</f>
        <v>30300</v>
      </c>
      <c r="E445" s="506">
        <f>ROUNDUP(($D445+($D445*Publico!L$1)),-1)</f>
        <v>31210</v>
      </c>
      <c r="F445" s="506">
        <f>ROUNDUP(($D445+($D445*Publico!L$2)),-1)</f>
        <v>35460</v>
      </c>
      <c r="G445" s="473">
        <f t="shared" si="32"/>
        <v>30300</v>
      </c>
      <c r="H445" s="456">
        <f>(Novelbat!H13)</f>
        <v>21780.103109424002</v>
      </c>
      <c r="I445" s="474">
        <f t="shared" si="34"/>
        <v>19890.094161912002</v>
      </c>
      <c r="J445" s="462">
        <f t="shared" si="35"/>
        <v>18000.085214400002</v>
      </c>
      <c r="K445" s="474">
        <f t="shared" si="33"/>
        <v>18000.085214400002</v>
      </c>
      <c r="L445" s="921">
        <f>(Novelbat!F13)</f>
        <v>11528.203385000001</v>
      </c>
    </row>
    <row r="446" spans="1:12" ht="15.6">
      <c r="A446" s="921" t="s">
        <v>1298</v>
      </c>
      <c r="B446" s="921" t="s">
        <v>1277</v>
      </c>
      <c r="C446" s="921" t="s">
        <v>1299</v>
      </c>
      <c r="D446" s="921">
        <f>(Novelbat!U14)</f>
        <v>35100</v>
      </c>
      <c r="E446" s="506">
        <f>ROUNDUP(($D446+($D446*Publico!L$1)),-1)</f>
        <v>36160</v>
      </c>
      <c r="F446" s="506">
        <f>ROUNDUP(($D446+($D446*Publico!L$2)),-1)</f>
        <v>41070</v>
      </c>
      <c r="G446" s="473">
        <f t="shared" si="32"/>
        <v>35100</v>
      </c>
      <c r="H446" s="456">
        <f>(Novelbat!H14)</f>
        <v>24313.491516336002</v>
      </c>
      <c r="I446" s="474">
        <f t="shared" si="34"/>
        <v>22203.643078968002</v>
      </c>
      <c r="J446" s="462">
        <f t="shared" si="35"/>
        <v>20093.794641600001</v>
      </c>
      <c r="K446" s="474">
        <f t="shared" si="33"/>
        <v>20093.794641600001</v>
      </c>
      <c r="L446" s="921">
        <f>(Novelbat!F14)</f>
        <v>12869.125265000001</v>
      </c>
    </row>
    <row r="447" spans="1:12" ht="15.6">
      <c r="A447" s="921" t="s">
        <v>1300</v>
      </c>
      <c r="B447" s="921" t="s">
        <v>1277</v>
      </c>
      <c r="C447" s="921" t="s">
        <v>1301</v>
      </c>
      <c r="D447" s="921">
        <f>(Novelbat!U15)</f>
        <v>39000</v>
      </c>
      <c r="E447" s="506">
        <f>ROUNDUP(($D447+($D447*Publico!L$1)),-1)</f>
        <v>40170</v>
      </c>
      <c r="F447" s="506">
        <f>ROUNDUP(($D447+($D447*Publico!L$2)),-1)</f>
        <v>45630</v>
      </c>
      <c r="G447" s="473">
        <f t="shared" si="32"/>
        <v>39000</v>
      </c>
      <c r="H447" s="456">
        <f>(Novelbat!H15)</f>
        <v>26811.693973152</v>
      </c>
      <c r="I447" s="474">
        <f t="shared" si="34"/>
        <v>24485.059372175998</v>
      </c>
      <c r="J447" s="462">
        <f t="shared" si="35"/>
        <v>22158.4247712</v>
      </c>
      <c r="K447" s="474">
        <f t="shared" si="33"/>
        <v>22158.4247712</v>
      </c>
      <c r="L447" s="921">
        <f>(Novelbat!F15)</f>
        <v>14191.423229999999</v>
      </c>
    </row>
    <row r="448" spans="1:12" ht="15.6">
      <c r="A448" s="921" t="s">
        <v>1302</v>
      </c>
      <c r="B448" s="921" t="s">
        <v>1277</v>
      </c>
      <c r="C448" s="921" t="s">
        <v>1303</v>
      </c>
      <c r="D448" s="921">
        <f>(Novelbat!U16)</f>
        <v>39000</v>
      </c>
      <c r="E448" s="506">
        <f>ROUNDUP(($D448+($D448*Publico!L$1)),-1)</f>
        <v>40170</v>
      </c>
      <c r="F448" s="506">
        <f>ROUNDUP(($D448+($D448*Publico!L$2)),-1)</f>
        <v>45630</v>
      </c>
      <c r="G448" s="473">
        <f t="shared" si="32"/>
        <v>39000</v>
      </c>
      <c r="H448" s="456">
        <f>(Novelbat!H16)</f>
        <v>26811.693973152</v>
      </c>
      <c r="I448" s="474">
        <f t="shared" si="34"/>
        <v>24485.059372175998</v>
      </c>
      <c r="J448" s="462">
        <f t="shared" si="35"/>
        <v>22158.4247712</v>
      </c>
      <c r="K448" s="474">
        <f t="shared" si="33"/>
        <v>22158.4247712</v>
      </c>
      <c r="L448" s="921">
        <f>(Novelbat!F16)</f>
        <v>14191.423229999999</v>
      </c>
    </row>
    <row r="449" spans="1:12" ht="15.6">
      <c r="A449" s="921" t="s">
        <v>1304</v>
      </c>
      <c r="B449" s="921" t="s">
        <v>1277</v>
      </c>
      <c r="C449" s="921" t="s">
        <v>1305</v>
      </c>
      <c r="D449" s="921">
        <f>(Novelbat!U17)</f>
        <v>44900</v>
      </c>
      <c r="E449" s="506">
        <f>ROUNDUP(($D449+($D449*Publico!L$1)),-1)</f>
        <v>46250</v>
      </c>
      <c r="F449" s="506">
        <f>ROUNDUP(($D449+($D449*Publico!L$2)),-1)</f>
        <v>52540</v>
      </c>
      <c r="G449" s="473">
        <f t="shared" si="32"/>
        <v>44900</v>
      </c>
      <c r="H449" s="456">
        <f>(Novelbat!H17)</f>
        <v>30611.776583519997</v>
      </c>
      <c r="I449" s="474">
        <f t="shared" si="34"/>
        <v>27955.382747759995</v>
      </c>
      <c r="J449" s="462">
        <f t="shared" si="35"/>
        <v>25298.988911999997</v>
      </c>
      <c r="K449" s="474">
        <f t="shared" si="33"/>
        <v>25298.988911999997</v>
      </c>
      <c r="L449" s="921">
        <f>(Novelbat!F17)</f>
        <v>16202.806049999999</v>
      </c>
    </row>
    <row r="450" spans="1:12" ht="15.6">
      <c r="A450" s="921" t="s">
        <v>1306</v>
      </c>
      <c r="B450" s="921" t="s">
        <v>1277</v>
      </c>
      <c r="C450" s="921" t="s">
        <v>1307</v>
      </c>
      <c r="D450" s="921">
        <f>(Novelbat!U18)</f>
        <v>61950</v>
      </c>
      <c r="E450" s="506">
        <f>ROUNDUP(($D450+($D450*Publico!L$1)),-1)</f>
        <v>63810</v>
      </c>
      <c r="F450" s="506">
        <f>ROUNDUP(($D450+($D450*Publico!L$2)),-1)</f>
        <v>72490</v>
      </c>
      <c r="G450" s="473">
        <f t="shared" si="32"/>
        <v>61950</v>
      </c>
      <c r="H450" s="456">
        <f>(Novelbat!H18)</f>
        <v>41026.817811936002</v>
      </c>
      <c r="I450" s="474">
        <f t="shared" si="34"/>
        <v>37466.639406768001</v>
      </c>
      <c r="J450" s="462">
        <f t="shared" si="35"/>
        <v>33906.461001600001</v>
      </c>
      <c r="K450" s="474">
        <f t="shared" si="33"/>
        <v>33906.461001600001</v>
      </c>
      <c r="L450" s="921">
        <f>(Novelbat!F18)</f>
        <v>21715.48489</v>
      </c>
    </row>
    <row r="451" spans="1:12" ht="15.6">
      <c r="A451" s="921" t="s">
        <v>1308</v>
      </c>
      <c r="B451" s="921" t="s">
        <v>1277</v>
      </c>
      <c r="C451" s="921" t="s">
        <v>1309</v>
      </c>
      <c r="D451" s="921">
        <f>(Novelbat!U19)</f>
        <v>72800</v>
      </c>
      <c r="E451" s="506">
        <f>ROUNDUP(($D451+($D451*Publico!L$1)),-1)</f>
        <v>74990</v>
      </c>
      <c r="F451" s="506">
        <f>ROUNDUP(($D451+($D451*Publico!L$2)),-1)</f>
        <v>85180</v>
      </c>
      <c r="G451" s="473">
        <f t="shared" ref="G451:G478" si="36">(D451)</f>
        <v>72800</v>
      </c>
      <c r="H451" s="456">
        <f>(Novelbat!H19)</f>
        <v>44193.553320576</v>
      </c>
      <c r="I451" s="474">
        <f t="shared" si="34"/>
        <v>40358.575553088005</v>
      </c>
      <c r="J451" s="462">
        <f t="shared" si="35"/>
        <v>36523.597785600003</v>
      </c>
      <c r="K451" s="474">
        <f t="shared" ref="K451:K474" si="37">(J451)</f>
        <v>36523.597785600003</v>
      </c>
      <c r="L451" s="921">
        <f>(Novelbat!F19)</f>
        <v>23391.63724</v>
      </c>
    </row>
    <row r="452" spans="1:12" ht="15.6">
      <c r="A452" s="921" t="s">
        <v>1310</v>
      </c>
      <c r="B452" s="921" t="s">
        <v>1277</v>
      </c>
      <c r="C452" s="921" t="s">
        <v>1311</v>
      </c>
      <c r="D452" s="921">
        <f>(Novelbat!U20)</f>
        <v>115500</v>
      </c>
      <c r="E452" s="506">
        <f>ROUNDUP(($D452+($D452*Publico!L$1)),-1)</f>
        <v>118970</v>
      </c>
      <c r="F452" s="506">
        <f>ROUNDUP(($D452+($D452*Publico!L$2)),-1)</f>
        <v>135140</v>
      </c>
      <c r="G452" s="473">
        <f t="shared" si="36"/>
        <v>115500</v>
      </c>
      <c r="H452" s="456">
        <f>(Novelbat!H20)</f>
        <v>93066.838003919984</v>
      </c>
      <c r="I452" s="474">
        <f t="shared" si="34"/>
        <v>84990.790077959988</v>
      </c>
      <c r="J452" s="462">
        <f t="shared" si="35"/>
        <v>76914.742151999992</v>
      </c>
      <c r="K452" s="474">
        <f t="shared" si="37"/>
        <v>76914.742151999992</v>
      </c>
      <c r="L452" s="921">
        <f>(Novelbat!F20)</f>
        <v>49260.255174999998</v>
      </c>
    </row>
    <row r="453" spans="1:12" ht="15.6">
      <c r="A453" s="921" t="s">
        <v>1312</v>
      </c>
      <c r="B453" s="921" t="s">
        <v>1277</v>
      </c>
      <c r="C453" s="921" t="s">
        <v>1313</v>
      </c>
      <c r="D453" s="921">
        <f>(Novelbat!U22)</f>
        <v>48550</v>
      </c>
      <c r="E453" s="506">
        <f>ROUNDUP(($D453+($D453*Publico!L$1)),-1)</f>
        <v>50010</v>
      </c>
      <c r="F453" s="506">
        <f>ROUNDUP(($D453+($D453*Publico!L$2)),-1)</f>
        <v>56810</v>
      </c>
      <c r="G453" s="473">
        <f t="shared" si="36"/>
        <v>48550</v>
      </c>
      <c r="H453" s="456">
        <f>(Novelbat!H22)</f>
        <v>28500.619577759997</v>
      </c>
      <c r="I453" s="474">
        <f t="shared" si="34"/>
        <v>26027.425316879995</v>
      </c>
      <c r="J453" s="462">
        <f t="shared" si="35"/>
        <v>23554.231055999997</v>
      </c>
      <c r="K453" s="474">
        <f t="shared" si="37"/>
        <v>23554.231055999997</v>
      </c>
      <c r="L453" s="921">
        <f>(Novelbat!F22)</f>
        <v>15085.371150000003</v>
      </c>
    </row>
    <row r="454" spans="1:12" ht="15.6">
      <c r="A454" s="921" t="s">
        <v>1314</v>
      </c>
      <c r="B454" s="921" t="s">
        <v>1277</v>
      </c>
      <c r="C454" s="921" t="s">
        <v>1315</v>
      </c>
      <c r="D454" s="921">
        <f>(Novelbat!U23)</f>
        <v>70050</v>
      </c>
      <c r="E454" s="506">
        <f>ROUNDUP(($D454+($D454*Publico!L$1)),-1)</f>
        <v>72160</v>
      </c>
      <c r="F454" s="506">
        <f>ROUNDUP(($D454+($D454*Publico!L$2)),-1)</f>
        <v>81960</v>
      </c>
      <c r="G454" s="473">
        <f t="shared" si="36"/>
        <v>70050</v>
      </c>
      <c r="H454" s="456">
        <f>(Novelbat!H23)</f>
        <v>43067.602917503995</v>
      </c>
      <c r="I454" s="474">
        <f t="shared" si="34"/>
        <v>39330.331589951995</v>
      </c>
      <c r="J454" s="462">
        <f t="shared" si="35"/>
        <v>35593.060262399995</v>
      </c>
      <c r="K454" s="474">
        <f t="shared" si="37"/>
        <v>35593.060262399995</v>
      </c>
      <c r="L454" s="921">
        <f>(Novelbat!F23)</f>
        <v>22795.67196</v>
      </c>
    </row>
    <row r="455" spans="1:12" ht="15.6">
      <c r="A455" s="921" t="s">
        <v>1316</v>
      </c>
      <c r="B455" s="921" t="s">
        <v>1277</v>
      </c>
      <c r="C455" s="921" t="s">
        <v>1317</v>
      </c>
      <c r="D455" s="921">
        <f>(Novelbat!U24)</f>
        <v>76350</v>
      </c>
      <c r="E455" s="506">
        <f>ROUNDUP(($D455+($D455*Publico!L$1)),-1)</f>
        <v>78650</v>
      </c>
      <c r="F455" s="506">
        <f>ROUNDUP(($D455+($D455*Publico!L$2)),-1)</f>
        <v>89330</v>
      </c>
      <c r="G455" s="473">
        <f t="shared" si="36"/>
        <v>76350</v>
      </c>
      <c r="H455" s="456">
        <f>(Novelbat!H24)</f>
        <v>56825.309405040003</v>
      </c>
      <c r="I455" s="474">
        <f t="shared" si="34"/>
        <v>51894.187514520003</v>
      </c>
      <c r="J455" s="462">
        <f t="shared" si="35"/>
        <v>46963.065624000003</v>
      </c>
      <c r="K455" s="474">
        <f t="shared" si="37"/>
        <v>46963.065624000003</v>
      </c>
      <c r="L455" s="921">
        <f>(Novelbat!F24)</f>
        <v>30077.622724999994</v>
      </c>
    </row>
    <row r="456" spans="1:12" ht="15.6">
      <c r="A456" s="921" t="s">
        <v>1318</v>
      </c>
      <c r="B456" s="921" t="s">
        <v>1277</v>
      </c>
      <c r="C456" s="921" t="s">
        <v>1319</v>
      </c>
      <c r="D456" s="921">
        <f>(Novelbat!U25)</f>
        <v>72800</v>
      </c>
      <c r="E456" s="506">
        <f>ROUNDUP(($D456+($D456*Publico!L$1)),-1)</f>
        <v>74990</v>
      </c>
      <c r="F456" s="506">
        <f>ROUNDUP(($D456+($D456*Publico!L$2)),-1)</f>
        <v>85180</v>
      </c>
      <c r="G456" s="473">
        <f t="shared" si="36"/>
        <v>72800</v>
      </c>
      <c r="H456" s="456">
        <f>(Novelbat!H25)</f>
        <v>46551.011977007998</v>
      </c>
      <c r="I456" s="474">
        <f t="shared" si="34"/>
        <v>42511.461350903999</v>
      </c>
      <c r="J456" s="462">
        <f t="shared" si="35"/>
        <v>38471.9107248</v>
      </c>
      <c r="K456" s="474">
        <f t="shared" si="37"/>
        <v>38471.9107248</v>
      </c>
      <c r="L456" s="921">
        <f>(Novelbat!F25)</f>
        <v>24639.439545000001</v>
      </c>
    </row>
    <row r="457" spans="1:12" ht="15.6">
      <c r="A457" s="921" t="s">
        <v>1320</v>
      </c>
      <c r="B457" s="921" t="s">
        <v>796</v>
      </c>
      <c r="C457" s="921" t="s">
        <v>1321</v>
      </c>
      <c r="D457" s="921">
        <f>(Publico!D218)</f>
        <v>42700</v>
      </c>
      <c r="E457" s="506">
        <f>ROUNDUP(($D457+($D457*Publico!L$1)),-1)</f>
        <v>43990</v>
      </c>
      <c r="F457" s="506">
        <f>ROUNDUP(($D457+($D457*Publico!L$2)),-1)</f>
        <v>49960</v>
      </c>
      <c r="G457" s="473">
        <f t="shared" si="36"/>
        <v>42700</v>
      </c>
      <c r="H457" s="456">
        <f>(Yuasa!I98)</f>
        <v>33459.167807999991</v>
      </c>
      <c r="I457" s="474">
        <f>(J457*1.105)</f>
        <v>30555.686303999992</v>
      </c>
      <c r="J457" s="462">
        <f t="shared" si="35"/>
        <v>27652.204799999992</v>
      </c>
      <c r="K457" s="474">
        <f t="shared" si="37"/>
        <v>27652.204799999992</v>
      </c>
      <c r="L457" s="451">
        <f>(Yuasa!F98)</f>
        <v>19405.055999999997</v>
      </c>
    </row>
    <row r="458" spans="1:12" ht="15.6">
      <c r="A458" s="921" t="s">
        <v>485</v>
      </c>
      <c r="B458" s="921" t="s">
        <v>388</v>
      </c>
      <c r="C458" s="921" t="s">
        <v>486</v>
      </c>
      <c r="D458" s="921">
        <f>(Lusqtoff!U67)</f>
        <v>267500</v>
      </c>
      <c r="E458" s="506">
        <f>ROUNDUP(($D458+($D458*Publico!L$1)),-1)</f>
        <v>275530</v>
      </c>
      <c r="F458" s="506">
        <f>ROUNDUP(($D458+($D458*Publico!L$2)),-1)</f>
        <v>312980</v>
      </c>
      <c r="G458" s="473">
        <f t="shared" si="36"/>
        <v>267500</v>
      </c>
      <c r="H458" s="456">
        <f>(Lusqtoff!H67)</f>
        <v>254752.55783999996</v>
      </c>
      <c r="I458" s="474">
        <f t="shared" ref="I458:I478" si="38">(J458*1.105)</f>
        <v>232645.93091999996</v>
      </c>
      <c r="J458" s="462">
        <f t="shared" si="35"/>
        <v>210539.30399999997</v>
      </c>
      <c r="K458" s="474">
        <f t="shared" si="37"/>
        <v>210539.30399999997</v>
      </c>
      <c r="L458" s="456">
        <f>(Lusqtoff!F67)</f>
        <v>154720.79999999999</v>
      </c>
    </row>
    <row r="459" spans="1:12" ht="15.6">
      <c r="A459" s="921" t="s">
        <v>487</v>
      </c>
      <c r="B459" s="921" t="s">
        <v>388</v>
      </c>
      <c r="C459" s="921" t="s">
        <v>488</v>
      </c>
      <c r="D459" s="921">
        <f>(Lusqtoff!U68)</f>
        <v>109300</v>
      </c>
      <c r="E459" s="506">
        <f>ROUNDUP(($D459+($D459*Publico!L$1)),-1)</f>
        <v>112580</v>
      </c>
      <c r="F459" s="506">
        <f>ROUNDUP(($D459+($D459*Publico!L$2)),-1)</f>
        <v>127890</v>
      </c>
      <c r="G459" s="473">
        <f t="shared" si="36"/>
        <v>109300</v>
      </c>
      <c r="H459" s="456">
        <f>(Lusqtoff!H68)</f>
        <v>84331.88121599998</v>
      </c>
      <c r="I459" s="474">
        <f t="shared" si="38"/>
        <v>77013.825407999975</v>
      </c>
      <c r="J459" s="462">
        <f t="shared" ref="J459:J474" si="39">(H459/1.21)</f>
        <v>69695.769599999985</v>
      </c>
      <c r="K459" s="474">
        <f t="shared" si="37"/>
        <v>69695.769599999985</v>
      </c>
      <c r="L459" s="456">
        <f>(Lusqtoff!F68)</f>
        <v>51217.919999999991</v>
      </c>
    </row>
    <row r="460" spans="1:12" ht="15.6">
      <c r="A460" s="921" t="s">
        <v>1832</v>
      </c>
      <c r="B460" s="921" t="s">
        <v>521</v>
      </c>
      <c r="C460" s="921" t="s">
        <v>35</v>
      </c>
      <c r="D460" s="921">
        <f>(Varta!AA10)</f>
        <v>132000</v>
      </c>
      <c r="E460" s="506">
        <f>ROUNDUP(($D460+($D460*Publico!L$1)),-1)</f>
        <v>135960</v>
      </c>
      <c r="F460" s="506">
        <f>ROUNDUP(($D460+($D460*Publico!L$2)),-1)</f>
        <v>154440</v>
      </c>
      <c r="G460" s="473">
        <f t="shared" si="36"/>
        <v>132000</v>
      </c>
      <c r="H460" s="456">
        <f>(Varta!G10)</f>
        <v>91260.142049999995</v>
      </c>
      <c r="I460" s="474">
        <f t="shared" si="38"/>
        <v>83340.873524999988</v>
      </c>
      <c r="J460" s="462">
        <f t="shared" si="39"/>
        <v>75421.604999999996</v>
      </c>
      <c r="K460" s="474">
        <f t="shared" si="37"/>
        <v>75421.604999999996</v>
      </c>
      <c r="L460" s="456">
        <f>(Varta!E10)</f>
        <v>52306.852203000002</v>
      </c>
    </row>
    <row r="461" spans="1:12" ht="15.6">
      <c r="A461" s="921" t="s">
        <v>501</v>
      </c>
      <c r="B461" s="921" t="s">
        <v>388</v>
      </c>
      <c r="C461" s="921" t="s">
        <v>502</v>
      </c>
      <c r="D461" s="921">
        <f>(Lusqtoff!U75)</f>
        <v>135600</v>
      </c>
      <c r="E461" s="506">
        <f>ROUNDUP(($D461+($D461*Publico!L$1)),-1)</f>
        <v>139670</v>
      </c>
      <c r="F461" s="506">
        <f>ROUNDUP(($D461+($D461*Publico!L$2)),-1)</f>
        <v>158660</v>
      </c>
      <c r="G461" s="473">
        <f t="shared" si="36"/>
        <v>135600</v>
      </c>
      <c r="H461" s="456">
        <f>(Varta!G11)</f>
        <v>97770.565199999968</v>
      </c>
      <c r="I461" s="474">
        <f t="shared" si="38"/>
        <v>89286.342599999974</v>
      </c>
      <c r="J461" s="462">
        <f t="shared" si="39"/>
        <v>80802.119999999981</v>
      </c>
      <c r="K461" s="474">
        <f t="shared" si="37"/>
        <v>80802.119999999981</v>
      </c>
      <c r="L461" s="456">
        <f>(Lusqtoff!F75)</f>
        <v>58500</v>
      </c>
    </row>
    <row r="462" spans="1:12" ht="15.6">
      <c r="A462" s="921" t="s">
        <v>503</v>
      </c>
      <c r="B462" s="921" t="s">
        <v>388</v>
      </c>
      <c r="C462" s="921" t="s">
        <v>504</v>
      </c>
      <c r="D462" s="921">
        <f>(Lusqtoff!U76)</f>
        <v>44100</v>
      </c>
      <c r="E462" s="506">
        <f>ROUNDUP(($D462+($D462*Publico!L$1)),-1)</f>
        <v>45430</v>
      </c>
      <c r="F462" s="506">
        <f>ROUNDUP(($D462+($D462*Publico!L$2)),-1)</f>
        <v>51600</v>
      </c>
      <c r="G462" s="473">
        <f t="shared" si="36"/>
        <v>44100</v>
      </c>
      <c r="H462" s="456">
        <f>(Varta!G12)</f>
        <v>104006.86526999999</v>
      </c>
      <c r="I462" s="474">
        <f t="shared" si="38"/>
        <v>94981.476135000004</v>
      </c>
      <c r="J462" s="462">
        <f t="shared" si="39"/>
        <v>85956.087</v>
      </c>
      <c r="K462" s="474">
        <f t="shared" si="37"/>
        <v>85956.087</v>
      </c>
      <c r="L462" s="456">
        <f>(Lusqtoff!F76)</f>
        <v>19094.399999999998</v>
      </c>
    </row>
    <row r="463" spans="1:12" ht="15.6">
      <c r="A463" s="921" t="s">
        <v>1325</v>
      </c>
      <c r="B463" s="921" t="s">
        <v>388</v>
      </c>
      <c r="C463" s="921" t="s">
        <v>1326</v>
      </c>
      <c r="D463" s="921">
        <v>22300</v>
      </c>
      <c r="E463" s="506">
        <f>ROUNDUP(($D463+($D463*Publico!L$1)),-1)</f>
        <v>22970</v>
      </c>
      <c r="F463" s="506">
        <f>ROUNDUP(($D463+($D463*Publico!L$2)),-1)</f>
        <v>26100</v>
      </c>
      <c r="G463" s="473">
        <f t="shared" si="36"/>
        <v>22300</v>
      </c>
      <c r="H463" s="456">
        <f>(Varta!G13)</f>
        <v>104166.77039999998</v>
      </c>
      <c r="I463" s="474">
        <f t="shared" si="38"/>
        <v>95127.505199999985</v>
      </c>
      <c r="J463" s="462">
        <f t="shared" si="39"/>
        <v>86088.239999999991</v>
      </c>
      <c r="K463" s="474">
        <f t="shared" si="37"/>
        <v>86088.239999999991</v>
      </c>
      <c r="L463" s="456">
        <f>(Lusqtoff!F35+Lusqtoff!F36)</f>
        <v>12421.76</v>
      </c>
    </row>
    <row r="464" spans="1:12" ht="15.6">
      <c r="A464" s="921" t="s">
        <v>1327</v>
      </c>
      <c r="B464" s="921" t="s">
        <v>651</v>
      </c>
      <c r="C464" s="921" t="s">
        <v>1328</v>
      </c>
      <c r="D464" s="921">
        <f>('Willard - Elpra'!AE6)</f>
        <v>148550</v>
      </c>
      <c r="E464" s="506">
        <f>ROUNDUP(($D464+($D464*Publico!L$1)),-1)</f>
        <v>153010</v>
      </c>
      <c r="F464" s="506">
        <f>ROUNDUP(($D464+($D464*Publico!L$2)),-1)</f>
        <v>173810</v>
      </c>
      <c r="G464" s="473">
        <f t="shared" si="36"/>
        <v>148550</v>
      </c>
      <c r="H464" s="456">
        <f>(Varta!G14)</f>
        <v>117644.48849999999</v>
      </c>
      <c r="I464" s="474">
        <f t="shared" si="38"/>
        <v>107435.66924999999</v>
      </c>
      <c r="J464" s="462">
        <f t="shared" si="39"/>
        <v>97226.849999999991</v>
      </c>
      <c r="K464" s="474">
        <f t="shared" si="37"/>
        <v>97226.849999999991</v>
      </c>
      <c r="L464" s="456">
        <f>('Willard - Elpra'!H6)</f>
        <v>78558.339251699988</v>
      </c>
    </row>
    <row r="465" spans="1:12" ht="15.6">
      <c r="A465" s="921" t="s">
        <v>1329</v>
      </c>
      <c r="B465" s="921" t="s">
        <v>1196</v>
      </c>
      <c r="C465" s="921" t="s">
        <v>1330</v>
      </c>
      <c r="D465" s="921">
        <f>(Moura!AB41)</f>
        <v>44000</v>
      </c>
      <c r="E465" s="506">
        <f>ROUNDUP(($D465+($D465*Publico!L$1)),-1)</f>
        <v>45320</v>
      </c>
      <c r="F465" s="506">
        <f>ROUNDUP(($D465+($D465*Publico!L$2)),-1)</f>
        <v>51480</v>
      </c>
      <c r="G465" s="473">
        <f t="shared" si="36"/>
        <v>44000</v>
      </c>
      <c r="H465" s="461">
        <f>(Moura!H41)</f>
        <v>32826.501399999994</v>
      </c>
      <c r="I465" s="474">
        <f t="shared" si="38"/>
        <v>29977.920699999995</v>
      </c>
      <c r="J465" s="462">
        <f t="shared" si="39"/>
        <v>27129.339999999997</v>
      </c>
      <c r="K465" s="474">
        <f t="shared" si="37"/>
        <v>27129.339999999997</v>
      </c>
      <c r="L465" s="921">
        <f>(Moura!E41)</f>
        <v>19378.099999999999</v>
      </c>
    </row>
    <row r="466" spans="1:12" ht="15.6">
      <c r="A466" s="921" t="s">
        <v>1331</v>
      </c>
      <c r="B466" s="921" t="s">
        <v>1196</v>
      </c>
      <c r="C466" s="921" t="s">
        <v>1332</v>
      </c>
      <c r="D466" s="921">
        <f>(Moura!AB42)</f>
        <v>43300</v>
      </c>
      <c r="E466" s="506">
        <f>ROUNDUP(($D466+($D466*Publico!L$1)),-1)</f>
        <v>44600</v>
      </c>
      <c r="F466" s="506">
        <f>ROUNDUP(($D466+($D466*Publico!L$2)),-1)</f>
        <v>50670</v>
      </c>
      <c r="G466" s="473">
        <f t="shared" si="36"/>
        <v>43300</v>
      </c>
      <c r="H466" s="461">
        <f>(Moura!H42)</f>
        <v>33885.4208</v>
      </c>
      <c r="I466" s="474">
        <f t="shared" si="38"/>
        <v>30944.950399999998</v>
      </c>
      <c r="J466" s="462">
        <f t="shared" si="39"/>
        <v>28004.48</v>
      </c>
      <c r="K466" s="474">
        <f t="shared" si="37"/>
        <v>28004.48</v>
      </c>
      <c r="L466" s="921">
        <f>(Moura!E42)</f>
        <v>20003.2</v>
      </c>
    </row>
    <row r="467" spans="1:12" ht="15.6">
      <c r="A467" s="921" t="s">
        <v>1333</v>
      </c>
      <c r="B467" s="921" t="s">
        <v>1196</v>
      </c>
      <c r="C467" s="921" t="s">
        <v>1334</v>
      </c>
      <c r="D467" s="921">
        <f>(Moura!AB45)</f>
        <v>70000</v>
      </c>
      <c r="E467" s="506">
        <f>ROUNDUP(($D467+($D467*Publico!L$1)),-1)</f>
        <v>72100</v>
      </c>
      <c r="F467" s="506">
        <f>ROUNDUP(($D467+($D467*Publico!L$2)),-1)</f>
        <v>81900</v>
      </c>
      <c r="G467" s="473">
        <f t="shared" si="36"/>
        <v>70000</v>
      </c>
      <c r="H467" s="461">
        <f>(Moura!H45)</f>
        <v>52945.97</v>
      </c>
      <c r="I467" s="474">
        <f t="shared" si="38"/>
        <v>48351.485000000001</v>
      </c>
      <c r="J467" s="462">
        <f t="shared" si="39"/>
        <v>43757</v>
      </c>
      <c r="K467" s="474">
        <f t="shared" si="37"/>
        <v>43757</v>
      </c>
      <c r="L467" s="921">
        <f>(Moura!E45)</f>
        <v>31255</v>
      </c>
    </row>
    <row r="468" spans="1:12" ht="15.6">
      <c r="A468" s="921" t="s">
        <v>1335</v>
      </c>
      <c r="B468" s="921" t="s">
        <v>1196</v>
      </c>
      <c r="C468" s="921" t="s">
        <v>1336</v>
      </c>
      <c r="D468" s="921">
        <f>(Moura!AB46)</f>
        <v>75000</v>
      </c>
      <c r="E468" s="506">
        <f>ROUNDUP(($D468+($D468*Publico!L$1)),-1)</f>
        <v>77250</v>
      </c>
      <c r="F468" s="506">
        <f>ROUNDUP(($D468+($D468*Publico!L$2)),-1)</f>
        <v>87750</v>
      </c>
      <c r="G468" s="473">
        <f t="shared" si="36"/>
        <v>75000</v>
      </c>
      <c r="H468" s="461">
        <f>(Moura!H46)</f>
        <v>60358.405799999993</v>
      </c>
      <c r="I468" s="474">
        <f t="shared" si="38"/>
        <v>55120.692899999995</v>
      </c>
      <c r="J468" s="462">
        <f t="shared" si="39"/>
        <v>49882.979999999996</v>
      </c>
      <c r="K468" s="474">
        <f t="shared" si="37"/>
        <v>49882.979999999996</v>
      </c>
      <c r="L468" s="921">
        <f>(Moura!E46)</f>
        <v>35630.699999999997</v>
      </c>
    </row>
    <row r="469" spans="1:12" ht="15.6">
      <c r="A469" s="921" t="s">
        <v>1337</v>
      </c>
      <c r="B469" s="921" t="s">
        <v>1109</v>
      </c>
      <c r="C469" s="921">
        <v>2505</v>
      </c>
      <c r="D469" s="921">
        <f>('Terminales - Liquimoly - Bari'!O31)</f>
        <v>24100</v>
      </c>
      <c r="E469" s="506">
        <f>ROUNDUP(($D469+($D469*Publico!L$1)),-1)</f>
        <v>24830</v>
      </c>
      <c r="F469" s="506">
        <f>ROUNDUP(($D469+($D469*Publico!L$2)),-1)</f>
        <v>28200</v>
      </c>
      <c r="G469" s="473">
        <f t="shared" si="36"/>
        <v>24100</v>
      </c>
      <c r="H469" s="461">
        <v>10</v>
      </c>
      <c r="I469" s="474">
        <f t="shared" si="38"/>
        <v>9.132231404958679</v>
      </c>
      <c r="J469" s="462">
        <f t="shared" si="39"/>
        <v>8.2644628099173563</v>
      </c>
      <c r="K469" s="474">
        <f t="shared" si="37"/>
        <v>8.2644628099173563</v>
      </c>
      <c r="L469" s="921">
        <f>('Terminales - Liquimoly - Bari'!E31)</f>
        <v>8798.9</v>
      </c>
    </row>
    <row r="470" spans="1:12" ht="15.6">
      <c r="A470" s="921" t="s">
        <v>1338</v>
      </c>
      <c r="B470" s="921" t="s">
        <v>1109</v>
      </c>
      <c r="C470" s="921">
        <v>2657</v>
      </c>
      <c r="D470" s="921">
        <f>('Terminales - Liquimoly - Bari'!O32)</f>
        <v>25900</v>
      </c>
      <c r="E470" s="506">
        <f>ROUNDUP(($D470+($D470*Publico!L$1)),-1)</f>
        <v>26680</v>
      </c>
      <c r="F470" s="506">
        <f>ROUNDUP(($D470+($D470*Publico!L$2)),-1)</f>
        <v>30310</v>
      </c>
      <c r="G470" s="473">
        <f t="shared" si="36"/>
        <v>25900</v>
      </c>
      <c r="H470" s="461">
        <f>('Terminales - Liquimoly - Bari'!G32)</f>
        <v>26001.69</v>
      </c>
      <c r="I470" s="474">
        <f t="shared" si="38"/>
        <v>23745.345000000001</v>
      </c>
      <c r="J470" s="462">
        <f t="shared" si="39"/>
        <v>21489</v>
      </c>
      <c r="K470" s="474">
        <f t="shared" si="37"/>
        <v>21489</v>
      </c>
      <c r="L470" s="921">
        <f>('Terminales - Liquimoly - Bari'!E32)</f>
        <v>14326</v>
      </c>
    </row>
    <row r="471" spans="1:12" ht="15.6">
      <c r="A471" s="921" t="s">
        <v>1339</v>
      </c>
      <c r="B471" s="921" t="s">
        <v>1109</v>
      </c>
      <c r="C471" s="921">
        <v>3040</v>
      </c>
      <c r="D471" s="921">
        <f>('Terminales - Liquimoly - Bari'!O27)</f>
        <v>17600</v>
      </c>
      <c r="E471" s="506">
        <f>ROUNDUP(($D471+($D471*Publico!L$1)),-1)</f>
        <v>18130</v>
      </c>
      <c r="F471" s="506">
        <f>ROUNDUP(($D471+($D471*Publico!L$2)),-1)</f>
        <v>20600</v>
      </c>
      <c r="G471" s="473">
        <f t="shared" si="36"/>
        <v>17600</v>
      </c>
      <c r="H471" s="461">
        <f>('Terminales - Liquimoly - Bari'!G27)</f>
        <v>15918.275999999998</v>
      </c>
      <c r="I471" s="474">
        <f t="shared" si="38"/>
        <v>14536.937999999998</v>
      </c>
      <c r="J471" s="462">
        <f t="shared" si="39"/>
        <v>13155.599999999999</v>
      </c>
      <c r="K471" s="474">
        <f t="shared" si="37"/>
        <v>13155.599999999999</v>
      </c>
      <c r="L471" s="921">
        <f>('Terminales - Liquimoly - Bari'!E27)</f>
        <v>8770.4</v>
      </c>
    </row>
    <row r="472" spans="1:12" ht="15.6">
      <c r="A472" s="921" t="s">
        <v>509</v>
      </c>
      <c r="B472" s="921" t="s">
        <v>388</v>
      </c>
      <c r="C472" s="921" t="s">
        <v>510</v>
      </c>
      <c r="D472" s="921">
        <f>(Lusqtoff!U79)</f>
        <v>24400</v>
      </c>
      <c r="E472" s="506">
        <f>ROUNDUP(($D472+($D472*Publico!L$1)),-1)</f>
        <v>25140</v>
      </c>
      <c r="F472" s="506">
        <f>ROUNDUP(($D472+($D472*Publico!L$2)),-1)</f>
        <v>28550</v>
      </c>
      <c r="G472" s="473">
        <f t="shared" si="36"/>
        <v>24400</v>
      </c>
      <c r="H472" s="461">
        <f>(Lusqtoff!H79)</f>
        <v>17303</v>
      </c>
      <c r="I472" s="474">
        <f t="shared" si="38"/>
        <v>15801.5</v>
      </c>
      <c r="J472" s="462">
        <f t="shared" si="39"/>
        <v>14300</v>
      </c>
      <c r="K472" s="474">
        <f t="shared" si="37"/>
        <v>14300</v>
      </c>
      <c r="L472" s="921">
        <f>(Lusqtoff!F79)</f>
        <v>10400</v>
      </c>
    </row>
    <row r="473" spans="1:12" ht="15.6">
      <c r="A473" s="921" t="s">
        <v>505</v>
      </c>
      <c r="B473" s="921" t="s">
        <v>388</v>
      </c>
      <c r="C473" s="921" t="s">
        <v>506</v>
      </c>
      <c r="D473" s="921">
        <f>(Lusqtoff!U77)</f>
        <v>82800</v>
      </c>
      <c r="E473" s="506">
        <f>ROUNDUP(($D473+($D473*Publico!L$1)),-1)</f>
        <v>85290</v>
      </c>
      <c r="F473" s="506">
        <f>ROUNDUP(($D473+($D473*Publico!L$2)),-1)</f>
        <v>96880</v>
      </c>
      <c r="G473" s="473">
        <f t="shared" si="36"/>
        <v>82800</v>
      </c>
      <c r="H473" s="461">
        <f>(Lusqtoff!H77)</f>
        <v>56591.130815999997</v>
      </c>
      <c r="I473" s="474">
        <f t="shared" si="38"/>
        <v>51680.330207999999</v>
      </c>
      <c r="J473" s="462">
        <f t="shared" si="39"/>
        <v>46769.529600000002</v>
      </c>
      <c r="K473" s="474">
        <f t="shared" si="37"/>
        <v>46769.529600000002</v>
      </c>
      <c r="L473" s="921">
        <f>(Lusqtoff!F77)</f>
        <v>34369.919999999998</v>
      </c>
    </row>
    <row r="474" spans="1:12" ht="15.6">
      <c r="A474" s="921" t="s">
        <v>507</v>
      </c>
      <c r="B474" s="921" t="s">
        <v>388</v>
      </c>
      <c r="C474" s="921" t="s">
        <v>508</v>
      </c>
      <c r="D474" s="921">
        <f>(Lusqtoff!U78)</f>
        <v>148000</v>
      </c>
      <c r="E474" s="506">
        <f>ROUNDUP(($D474+($D474*Publico!L$1)),-1)</f>
        <v>152440</v>
      </c>
      <c r="F474" s="506">
        <f>ROUNDUP(($D474+($D474*Publico!L$2)),-1)</f>
        <v>173160</v>
      </c>
      <c r="G474" s="473">
        <f t="shared" si="36"/>
        <v>148000</v>
      </c>
      <c r="H474" s="461">
        <f>(Lusqtoff!H78)</f>
        <v>96167.93471999999</v>
      </c>
      <c r="I474" s="474">
        <f t="shared" si="38"/>
        <v>87822.783360000001</v>
      </c>
      <c r="J474" s="462">
        <f t="shared" si="39"/>
        <v>79477.631999999998</v>
      </c>
      <c r="K474" s="474">
        <f t="shared" si="37"/>
        <v>79477.631999999998</v>
      </c>
      <c r="L474" s="921">
        <f>(Lusqtoff!F78)</f>
        <v>58406.399999999994</v>
      </c>
    </row>
    <row r="475" spans="1:12" ht="15.6">
      <c r="A475" s="921" t="s">
        <v>1340</v>
      </c>
      <c r="B475" s="921" t="s">
        <v>796</v>
      </c>
      <c r="C475" s="921" t="s">
        <v>1341</v>
      </c>
      <c r="D475" s="605">
        <f>(Publico!D223)</f>
        <v>86500</v>
      </c>
      <c r="E475" s="506">
        <f>ROUNDUP(($D475+($D475*Publico!L$1)),-1)</f>
        <v>89100</v>
      </c>
      <c r="F475" s="506">
        <f>ROUNDUP(($D475+($D475*Publico!L$2)),-1)</f>
        <v>101210</v>
      </c>
      <c r="G475" s="473">
        <f t="shared" si="36"/>
        <v>86500</v>
      </c>
      <c r="H475" s="461">
        <f>(Yuasa!I90)</f>
        <v>63613.204934400004</v>
      </c>
      <c r="I475" s="474">
        <f>(J475*1.105)</f>
        <v>58093.050787200009</v>
      </c>
      <c r="J475" s="462">
        <f>(H475/1.21)</f>
        <v>52572.896640000006</v>
      </c>
      <c r="K475" s="474">
        <f>(J475)</f>
        <v>52572.896640000006</v>
      </c>
      <c r="L475" s="451">
        <f>(Yuasa!F90)</f>
        <v>36893.260800000004</v>
      </c>
    </row>
    <row r="476" spans="1:12" ht="15.6">
      <c r="A476" s="921" t="s">
        <v>511</v>
      </c>
      <c r="B476" s="921" t="s">
        <v>388</v>
      </c>
      <c r="C476" s="921">
        <v>15480</v>
      </c>
      <c r="D476" s="921">
        <f>(Lusqtoff!U80)</f>
        <v>39000</v>
      </c>
      <c r="E476" s="506">
        <f>ROUNDUP(($D476+($D476*Publico!L$1)),-1)</f>
        <v>40170</v>
      </c>
      <c r="F476" s="506">
        <f>ROUNDUP(($D476+($D476*Publico!L$2)),-1)</f>
        <v>45630</v>
      </c>
      <c r="G476" s="473">
        <f t="shared" si="36"/>
        <v>39000</v>
      </c>
      <c r="H476" s="461">
        <f>(Yuasa!I91)</f>
        <v>238923.51246719999</v>
      </c>
      <c r="I476" s="474">
        <f>(J476*1.105)</f>
        <v>218190.48039359998</v>
      </c>
      <c r="J476" s="462">
        <f t="shared" ref="J476:J478" si="40">(H476/1.21)</f>
        <v>197457.44832</v>
      </c>
      <c r="K476" s="474">
        <f t="shared" ref="K476:K478" si="41">(J476)</f>
        <v>197457.44832</v>
      </c>
      <c r="L476" s="921">
        <f>(Lusqtoff!F80)</f>
        <v>16134.767999999998</v>
      </c>
    </row>
    <row r="477" spans="1:12" ht="15.6">
      <c r="A477" s="921" t="s">
        <v>512</v>
      </c>
      <c r="B477" s="921" t="s">
        <v>388</v>
      </c>
      <c r="C477" s="921" t="s">
        <v>513</v>
      </c>
      <c r="D477" s="921">
        <f>(Lusqtoff!U81)</f>
        <v>149100</v>
      </c>
      <c r="E477" s="506">
        <f>ROUNDUP(($D477+($D477*Publico!L$1)),-1)</f>
        <v>153580</v>
      </c>
      <c r="F477" s="506">
        <f>ROUNDUP(($D477+($D477*Publico!L$2)),-1)</f>
        <v>174450</v>
      </c>
      <c r="G477" s="473">
        <f t="shared" si="36"/>
        <v>149100</v>
      </c>
      <c r="H477" s="461">
        <f>(Yuasa!I92)</f>
        <v>66503.191392000008</v>
      </c>
      <c r="I477" s="474">
        <f t="shared" si="38"/>
        <v>60732.253296000003</v>
      </c>
      <c r="J477" s="462">
        <f t="shared" si="40"/>
        <v>54961.315200000005</v>
      </c>
      <c r="K477" s="474">
        <f t="shared" si="41"/>
        <v>54961.315200000005</v>
      </c>
      <c r="L477" s="921">
        <f>(Lusqtoff!F81)</f>
        <v>68739.839999999997</v>
      </c>
    </row>
    <row r="478" spans="1:12" ht="15.6">
      <c r="A478" s="921" t="s">
        <v>514</v>
      </c>
      <c r="B478" s="921" t="s">
        <v>388</v>
      </c>
      <c r="C478" s="921" t="s">
        <v>515</v>
      </c>
      <c r="D478" s="921">
        <f>(Lusqtoff!U82)</f>
        <v>44100</v>
      </c>
      <c r="E478" s="506">
        <f>ROUNDUP(($D478+($D478*Publico!L$1)),-1)</f>
        <v>45430</v>
      </c>
      <c r="F478" s="506">
        <f>ROUNDUP(($D478+($D478*Publico!L$2)),-1)</f>
        <v>51600</v>
      </c>
      <c r="G478" s="473">
        <f t="shared" si="36"/>
        <v>44100</v>
      </c>
      <c r="H478" s="461">
        <f>(Yuasa!I93)</f>
        <v>150972.65948159999</v>
      </c>
      <c r="I478" s="474">
        <f t="shared" si="38"/>
        <v>137871.72622079999</v>
      </c>
      <c r="J478" s="462">
        <f t="shared" si="40"/>
        <v>124770.79295999999</v>
      </c>
      <c r="K478" s="474">
        <f t="shared" si="41"/>
        <v>124770.79295999999</v>
      </c>
      <c r="L478" s="921">
        <f>(Lusqtoff!F82)</f>
        <v>19094.399999999998</v>
      </c>
    </row>
  </sheetData>
  <autoFilter ref="A1:L478" xr:uid="{47111889-B694-451D-83A4-5F99A917F23A}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>
    <pageSetUpPr fitToPage="1"/>
  </sheetPr>
  <dimension ref="A1:L476"/>
  <sheetViews>
    <sheetView topLeftCell="A26" zoomScale="73" zoomScaleNormal="73" workbookViewId="0">
      <selection activeCell="F53" sqref="F53"/>
    </sheetView>
  </sheetViews>
  <sheetFormatPr baseColWidth="10" defaultColWidth="11.44140625" defaultRowHeight="15.6"/>
  <cols>
    <col min="1" max="1" width="49" customWidth="1"/>
    <col min="2" max="2" width="16" customWidth="1"/>
    <col min="3" max="3" width="17.44140625" customWidth="1"/>
    <col min="4" max="5" width="16.5546875" customWidth="1"/>
    <col min="6" max="6" width="14" customWidth="1"/>
    <col min="7" max="7" width="17" style="172" bestFit="1" customWidth="1"/>
    <col min="8" max="8" width="12.88671875" customWidth="1"/>
    <col min="9" max="9" width="13.33203125" bestFit="1" customWidth="1"/>
    <col min="11" max="11" width="14.109375" customWidth="1"/>
    <col min="14" max="14" width="14.5546875" bestFit="1" customWidth="1"/>
    <col min="20" max="20" width="13.88671875" bestFit="1" customWidth="1"/>
  </cols>
  <sheetData>
    <row r="1" spans="1:12" ht="16.2" thickBot="1">
      <c r="A1" s="105" t="s">
        <v>1833</v>
      </c>
      <c r="B1" s="1009" t="s">
        <v>1834</v>
      </c>
      <c r="C1" s="1010"/>
      <c r="D1" s="1011"/>
      <c r="E1" s="201" t="s">
        <v>1835</v>
      </c>
      <c r="F1" s="201"/>
      <c r="G1" s="201"/>
      <c r="H1" s="201"/>
      <c r="I1" s="921"/>
      <c r="J1" s="921"/>
      <c r="K1" s="367" t="s">
        <v>1592</v>
      </c>
      <c r="L1" s="368">
        <v>0.03</v>
      </c>
    </row>
    <row r="2" spans="1:12" ht="16.2" thickBot="1">
      <c r="A2" s="105" t="s">
        <v>1836</v>
      </c>
      <c r="B2" s="367" t="s">
        <v>25</v>
      </c>
      <c r="C2" s="453"/>
      <c r="D2" s="454">
        <v>10000</v>
      </c>
      <c r="E2" s="201"/>
      <c r="F2" s="201"/>
      <c r="G2" s="201"/>
      <c r="H2" s="921"/>
      <c r="I2" s="921"/>
      <c r="J2" s="921"/>
      <c r="K2" s="367" t="s">
        <v>1594</v>
      </c>
      <c r="L2" s="368">
        <v>0.17</v>
      </c>
    </row>
    <row r="3" spans="1:12" ht="16.2" thickBot="1">
      <c r="A3" s="178" t="s">
        <v>24</v>
      </c>
      <c r="B3" s="501" t="s">
        <v>27</v>
      </c>
      <c r="C3" s="183"/>
      <c r="D3" s="184">
        <v>14000</v>
      </c>
      <c r="E3" s="921"/>
      <c r="F3" s="921"/>
      <c r="H3" s="921"/>
      <c r="I3" s="921"/>
      <c r="J3" s="921"/>
      <c r="K3" s="429" t="s">
        <v>1595</v>
      </c>
      <c r="L3" s="921"/>
    </row>
    <row r="4" spans="1:12" ht="16.2" thickBot="1">
      <c r="A4" s="852"/>
      <c r="B4" s="637" t="s">
        <v>29</v>
      </c>
      <c r="C4" s="638"/>
      <c r="D4" s="639">
        <v>19000</v>
      </c>
      <c r="E4" s="160"/>
      <c r="F4" s="160"/>
      <c r="H4" s="921"/>
      <c r="I4" s="921"/>
      <c r="J4" s="921"/>
      <c r="K4" s="667" t="s">
        <v>1596</v>
      </c>
      <c r="L4" s="668">
        <v>0.09</v>
      </c>
    </row>
    <row r="5" spans="1:12" ht="16.2" thickBot="1">
      <c r="A5" s="737">
        <v>45854</v>
      </c>
      <c r="B5" s="1015" t="s">
        <v>1837</v>
      </c>
      <c r="C5" s="1016"/>
      <c r="D5" s="1016"/>
      <c r="E5" s="838"/>
      <c r="F5" s="973"/>
      <c r="H5" s="921"/>
      <c r="I5" s="921"/>
      <c r="J5" s="921"/>
      <c r="K5" s="669" t="s">
        <v>1598</v>
      </c>
      <c r="L5" s="670">
        <v>0.16</v>
      </c>
    </row>
    <row r="6" spans="1:12">
      <c r="A6" s="738" t="s">
        <v>1838</v>
      </c>
      <c r="B6" s="851" t="s">
        <v>1839</v>
      </c>
      <c r="C6" s="161" t="s">
        <v>1840</v>
      </c>
      <c r="D6" s="865" t="s">
        <v>1841</v>
      </c>
      <c r="E6" s="867" t="s">
        <v>1842</v>
      </c>
      <c r="F6" s="837" t="s">
        <v>1843</v>
      </c>
      <c r="G6" s="921"/>
      <c r="H6" s="921"/>
      <c r="I6" s="921"/>
      <c r="J6" s="921"/>
      <c r="K6" s="921"/>
      <c r="L6" s="921"/>
    </row>
    <row r="7" spans="1:12">
      <c r="A7" s="739" t="s">
        <v>1844</v>
      </c>
      <c r="B7" s="163">
        <f>ROUNDUP((F7+(F7*L$2)),-1)</f>
        <v>117710</v>
      </c>
      <c r="C7" s="759">
        <f>(B7/6)</f>
        <v>19618.333333333332</v>
      </c>
      <c r="D7" s="759">
        <f>(B7/3)</f>
        <v>39236.666666666664</v>
      </c>
      <c r="E7" s="869">
        <f>ROUNDUP(F7+(F7*L$1),-1)</f>
        <v>103620</v>
      </c>
      <c r="F7" s="466">
        <f>(F113+D$2)</f>
        <v>100600</v>
      </c>
      <c r="G7" s="921"/>
      <c r="H7" s="921"/>
      <c r="I7" s="921"/>
      <c r="J7" s="921"/>
      <c r="K7" s="921"/>
      <c r="L7" s="921"/>
    </row>
    <row r="8" spans="1:12">
      <c r="A8" s="741" t="s">
        <v>1845</v>
      </c>
      <c r="B8" s="163">
        <v>146868</v>
      </c>
      <c r="C8" s="759">
        <f t="shared" ref="C8:C9" si="0">(B8/6)</f>
        <v>24478</v>
      </c>
      <c r="D8" s="759">
        <f t="shared" ref="D8:D9" si="1">(B8/3)</f>
        <v>48956</v>
      </c>
      <c r="E8" s="869">
        <f>ROUNDUP(F8+(F8*L$1),-1)</f>
        <v>131840</v>
      </c>
      <c r="F8" s="466">
        <f>(F114+D$2)</f>
        <v>128000</v>
      </c>
      <c r="G8" s="921"/>
      <c r="H8" s="921"/>
      <c r="I8" s="921"/>
      <c r="J8" s="921"/>
      <c r="K8" s="921"/>
      <c r="L8" s="921"/>
    </row>
    <row r="9" spans="1:12">
      <c r="A9" s="742" t="s">
        <v>1846</v>
      </c>
      <c r="B9" s="163">
        <f>ROUNDUP((F9+(F9*L$2)),-1)</f>
        <v>152100</v>
      </c>
      <c r="C9" s="759">
        <f t="shared" si="0"/>
        <v>25350</v>
      </c>
      <c r="D9" s="759">
        <f t="shared" si="1"/>
        <v>50700</v>
      </c>
      <c r="E9" s="869">
        <f>ROUNDUP(F9+(F9*L$1),-1)</f>
        <v>133900</v>
      </c>
      <c r="F9" s="466">
        <f>(F115+D$2)</f>
        <v>130000</v>
      </c>
      <c r="G9" s="921"/>
      <c r="H9" s="921"/>
      <c r="I9" s="921"/>
      <c r="J9" s="921"/>
      <c r="K9" s="921"/>
      <c r="L9" s="921"/>
    </row>
    <row r="10" spans="1:12">
      <c r="A10" s="738" t="s">
        <v>1847</v>
      </c>
      <c r="B10" s="851" t="s">
        <v>1839</v>
      </c>
      <c r="C10" s="161" t="s">
        <v>1840</v>
      </c>
      <c r="D10" s="865" t="s">
        <v>1841</v>
      </c>
      <c r="E10" s="871" t="s">
        <v>1842</v>
      </c>
      <c r="F10" s="761" t="s">
        <v>1843</v>
      </c>
      <c r="G10" s="921"/>
      <c r="H10" s="921"/>
      <c r="I10" s="921"/>
      <c r="J10" s="921"/>
      <c r="K10" s="921"/>
      <c r="L10" s="921"/>
    </row>
    <row r="11" spans="1:12">
      <c r="A11" s="739" t="s">
        <v>1848</v>
      </c>
      <c r="B11" s="163">
        <f>ROUNDUP((F11+(F11*L$2)),-1)</f>
        <v>141460</v>
      </c>
      <c r="C11" s="759">
        <f t="shared" ref="C11:C14" si="2">(B11/6)</f>
        <v>23576.666666666668</v>
      </c>
      <c r="D11" s="759">
        <f t="shared" ref="D11:D14" si="3">(B11/3)</f>
        <v>47153.333333333336</v>
      </c>
      <c r="E11" s="869">
        <f>ROUNDUP(F11+(F11*L$1),-1)</f>
        <v>124530</v>
      </c>
      <c r="F11" s="466">
        <f>(F117+D$2)</f>
        <v>120900</v>
      </c>
      <c r="G11" s="921"/>
      <c r="H11" s="921"/>
      <c r="I11" s="921"/>
      <c r="J11" s="921"/>
      <c r="K11" s="921"/>
      <c r="L11" s="921"/>
    </row>
    <row r="12" spans="1:12">
      <c r="A12" s="742" t="s">
        <v>1849</v>
      </c>
      <c r="B12" s="163">
        <v>161948</v>
      </c>
      <c r="C12" s="759">
        <f t="shared" si="2"/>
        <v>26991.333333333332</v>
      </c>
      <c r="D12" s="759">
        <f t="shared" si="3"/>
        <v>53982.666666666664</v>
      </c>
      <c r="E12" s="869">
        <f>ROUNDUP(F12+(F12*L$1),-1)</f>
        <v>145230</v>
      </c>
      <c r="F12" s="466">
        <f>(F118+D$2)</f>
        <v>141000</v>
      </c>
      <c r="G12" s="921"/>
      <c r="H12" s="921"/>
      <c r="I12" s="921"/>
      <c r="J12" s="921"/>
      <c r="K12" s="921"/>
      <c r="L12" s="921"/>
    </row>
    <row r="13" spans="1:12">
      <c r="A13" s="741" t="s">
        <v>1850</v>
      </c>
      <c r="B13" s="163">
        <f>ROUNDUP((F13+(F13*L$2)),-1)</f>
        <v>173810</v>
      </c>
      <c r="C13" s="759">
        <f t="shared" si="2"/>
        <v>28968.333333333332</v>
      </c>
      <c r="D13" s="759">
        <f t="shared" si="3"/>
        <v>57936.666666666664</v>
      </c>
      <c r="E13" s="869">
        <f>ROUNDUP(F13+(F13*L$1),-1)</f>
        <v>153010</v>
      </c>
      <c r="F13" s="466">
        <f>(F119+D$2)</f>
        <v>148550</v>
      </c>
      <c r="G13" s="921"/>
      <c r="H13" s="921"/>
      <c r="I13" s="921"/>
      <c r="J13" s="921"/>
      <c r="K13" s="921"/>
      <c r="L13" s="921"/>
    </row>
    <row r="14" spans="1:12">
      <c r="A14" s="856" t="s">
        <v>1851</v>
      </c>
      <c r="B14" s="572">
        <f>ROUNDUP((F14+(F14*L$2)),-1)</f>
        <v>166140</v>
      </c>
      <c r="C14" s="857">
        <f t="shared" si="2"/>
        <v>27690</v>
      </c>
      <c r="D14" s="857">
        <f t="shared" si="3"/>
        <v>55380</v>
      </c>
      <c r="E14" s="870">
        <f>ROUNDUP(F14+(F14*L$1),-1)</f>
        <v>146260</v>
      </c>
      <c r="F14" s="466">
        <f>(F120+D$2)</f>
        <v>142000</v>
      </c>
      <c r="G14" s="921"/>
      <c r="H14" s="921"/>
      <c r="I14" s="921"/>
      <c r="J14" s="921"/>
      <c r="K14" s="921"/>
      <c r="L14" s="921"/>
    </row>
    <row r="15" spans="1:12">
      <c r="A15" s="738" t="s">
        <v>1852</v>
      </c>
      <c r="B15" s="851" t="s">
        <v>1839</v>
      </c>
      <c r="C15" s="161" t="s">
        <v>1840</v>
      </c>
      <c r="D15" s="865" t="s">
        <v>1841</v>
      </c>
      <c r="E15" s="871" t="s">
        <v>1842</v>
      </c>
      <c r="F15" s="761" t="s">
        <v>1843</v>
      </c>
      <c r="G15" s="921"/>
      <c r="H15" s="921"/>
      <c r="I15" s="921"/>
      <c r="J15" s="921"/>
      <c r="K15" s="921"/>
      <c r="L15" s="921"/>
    </row>
    <row r="16" spans="1:12">
      <c r="A16" s="859" t="s">
        <v>1853</v>
      </c>
      <c r="B16" s="569">
        <f t="shared" ref="B16:B17" si="4">ROUNDUP((F16+(F16*L$2)),-1)</f>
        <v>115830</v>
      </c>
      <c r="C16" s="860">
        <f t="shared" ref="C16:C22" si="5">(B16/6)</f>
        <v>19305</v>
      </c>
      <c r="D16" s="860">
        <f t="shared" ref="D16:D22" si="6">(B16/3)</f>
        <v>38610</v>
      </c>
      <c r="E16" s="868">
        <f t="shared" ref="E16:E22" si="7">ROUNDUP(F16+(F16*L$1),-1)</f>
        <v>101970</v>
      </c>
      <c r="F16" s="466">
        <f t="shared" ref="F16:F22" si="8">(F122+D$2)</f>
        <v>99000</v>
      </c>
      <c r="G16" s="921"/>
      <c r="H16" s="921"/>
      <c r="I16" s="921"/>
      <c r="J16" s="921"/>
      <c r="K16" s="921"/>
      <c r="L16" s="921"/>
    </row>
    <row r="17" spans="1:7">
      <c r="A17" s="739" t="s">
        <v>1854</v>
      </c>
      <c r="B17" s="163">
        <f t="shared" si="4"/>
        <v>133210</v>
      </c>
      <c r="C17" s="759">
        <f t="shared" si="5"/>
        <v>22201.666666666668</v>
      </c>
      <c r="D17" s="759">
        <f t="shared" si="6"/>
        <v>44403.333333333336</v>
      </c>
      <c r="E17" s="869">
        <f t="shared" si="7"/>
        <v>117270</v>
      </c>
      <c r="F17" s="466">
        <f t="shared" si="8"/>
        <v>113850</v>
      </c>
      <c r="G17" s="921"/>
    </row>
    <row r="18" spans="1:7">
      <c r="A18" s="742" t="s">
        <v>1855</v>
      </c>
      <c r="B18" s="163">
        <f>ROUNDUP((F18+(F18*L$2)),-1)</f>
        <v>145730</v>
      </c>
      <c r="C18" s="759">
        <f t="shared" si="5"/>
        <v>24288.333333333332</v>
      </c>
      <c r="D18" s="759">
        <f t="shared" si="6"/>
        <v>48576.666666666664</v>
      </c>
      <c r="E18" s="869">
        <f t="shared" si="7"/>
        <v>128290</v>
      </c>
      <c r="F18" s="466">
        <f t="shared" si="8"/>
        <v>124550</v>
      </c>
      <c r="G18" s="921"/>
    </row>
    <row r="19" spans="1:7">
      <c r="A19" s="742" t="s">
        <v>1856</v>
      </c>
      <c r="B19" s="163">
        <v>156148</v>
      </c>
      <c r="C19" s="759">
        <f t="shared" si="5"/>
        <v>26024.666666666668</v>
      </c>
      <c r="D19" s="759">
        <f t="shared" si="6"/>
        <v>52049.333333333336</v>
      </c>
      <c r="E19" s="869">
        <f t="shared" si="7"/>
        <v>140080</v>
      </c>
      <c r="F19" s="466">
        <f t="shared" si="8"/>
        <v>136000</v>
      </c>
      <c r="G19" s="921"/>
    </row>
    <row r="20" spans="1:7">
      <c r="A20" s="742" t="s">
        <v>1857</v>
      </c>
      <c r="B20" s="163">
        <v>175868</v>
      </c>
      <c r="C20" s="759">
        <f t="shared" si="5"/>
        <v>29311.333333333332</v>
      </c>
      <c r="D20" s="759">
        <f t="shared" si="6"/>
        <v>58622.666666666664</v>
      </c>
      <c r="E20" s="869">
        <f t="shared" si="7"/>
        <v>157590</v>
      </c>
      <c r="F20" s="466">
        <f t="shared" si="8"/>
        <v>153000</v>
      </c>
      <c r="G20" s="921"/>
    </row>
    <row r="21" spans="1:7">
      <c r="A21" s="742" t="s">
        <v>1858</v>
      </c>
      <c r="B21" s="163">
        <f>ROUNDUP((F21+(F21*L$2)),-1)</f>
        <v>169480</v>
      </c>
      <c r="C21" s="759">
        <f t="shared" si="5"/>
        <v>28246.666666666668</v>
      </c>
      <c r="D21" s="759">
        <f t="shared" si="6"/>
        <v>56493.333333333336</v>
      </c>
      <c r="E21" s="869">
        <f t="shared" si="7"/>
        <v>149200</v>
      </c>
      <c r="F21" s="466">
        <f t="shared" si="8"/>
        <v>144850</v>
      </c>
      <c r="G21" s="921"/>
    </row>
    <row r="22" spans="1:7">
      <c r="A22" s="753" t="s">
        <v>1859</v>
      </c>
      <c r="B22" s="572">
        <f>ROUNDUP((F22+(F22*L$2)),-1)</f>
        <v>179010</v>
      </c>
      <c r="C22" s="857">
        <f t="shared" si="5"/>
        <v>29835</v>
      </c>
      <c r="D22" s="857">
        <f t="shared" si="6"/>
        <v>59670</v>
      </c>
      <c r="E22" s="870">
        <f t="shared" si="7"/>
        <v>157590</v>
      </c>
      <c r="F22" s="466">
        <f t="shared" si="8"/>
        <v>153000</v>
      </c>
      <c r="G22" s="921"/>
    </row>
    <row r="23" spans="1:7">
      <c r="A23" s="738" t="s">
        <v>1860</v>
      </c>
      <c r="B23" s="851" t="s">
        <v>1839</v>
      </c>
      <c r="C23" s="161" t="s">
        <v>1840</v>
      </c>
      <c r="D23" s="865" t="s">
        <v>1841</v>
      </c>
      <c r="E23" s="871" t="s">
        <v>1842</v>
      </c>
      <c r="F23" s="761" t="s">
        <v>1843</v>
      </c>
      <c r="G23" s="921"/>
    </row>
    <row r="24" spans="1:7">
      <c r="A24" s="861" t="s">
        <v>1861</v>
      </c>
      <c r="B24" s="569">
        <f>ROUNDUP((F24+(F24*L$2)),-1)</f>
        <v>151580</v>
      </c>
      <c r="C24" s="860">
        <f t="shared" ref="C24:C28" si="9">(B24/6)</f>
        <v>25263.333333333332</v>
      </c>
      <c r="D24" s="860">
        <f t="shared" ref="D24:D28" si="10">(B24/3)</f>
        <v>50526.666666666664</v>
      </c>
      <c r="E24" s="868">
        <f>ROUNDUP(F24+(F24*L$1),-1)</f>
        <v>133440</v>
      </c>
      <c r="F24" s="466">
        <f>(F130+D$2)</f>
        <v>129550</v>
      </c>
      <c r="G24" s="921"/>
    </row>
    <row r="25" spans="1:7">
      <c r="A25" s="742" t="s">
        <v>1862</v>
      </c>
      <c r="B25" s="163">
        <v>182828</v>
      </c>
      <c r="C25" s="759">
        <f t="shared" si="9"/>
        <v>30471.333333333332</v>
      </c>
      <c r="D25" s="759">
        <f t="shared" si="10"/>
        <v>60942.666666666664</v>
      </c>
      <c r="E25" s="869">
        <f>ROUNDUP(F25+(F25*L$1),-1)</f>
        <v>163770</v>
      </c>
      <c r="F25" s="466">
        <f>(F131+D$2)</f>
        <v>159000</v>
      </c>
      <c r="G25" s="921"/>
    </row>
    <row r="26" spans="1:7">
      <c r="A26" s="742" t="s">
        <v>1863</v>
      </c>
      <c r="B26" s="163">
        <f>ROUNDUP((F26+(F26*L$2)),-1)</f>
        <v>204580</v>
      </c>
      <c r="C26" s="759">
        <f t="shared" si="9"/>
        <v>34096.666666666664</v>
      </c>
      <c r="D26" s="759">
        <f t="shared" si="10"/>
        <v>68193.333333333328</v>
      </c>
      <c r="E26" s="869">
        <f>ROUNDUP(F26+(F26*L$1),-1)</f>
        <v>180100</v>
      </c>
      <c r="F26" s="466">
        <f>(F132+D$2)</f>
        <v>174850</v>
      </c>
      <c r="G26" s="921"/>
    </row>
    <row r="27" spans="1:7">
      <c r="A27" s="742" t="s">
        <v>1864</v>
      </c>
      <c r="B27" s="163">
        <f>ROUNDUP((F27+(F27*L$2)),-1)</f>
        <v>188370</v>
      </c>
      <c r="C27" s="759">
        <f t="shared" si="9"/>
        <v>31395</v>
      </c>
      <c r="D27" s="759">
        <f t="shared" si="10"/>
        <v>62790</v>
      </c>
      <c r="E27" s="869">
        <f>ROUNDUP(F27+(F27*L$1),-1)</f>
        <v>165830</v>
      </c>
      <c r="F27" s="466">
        <f>(F133+D$2)</f>
        <v>161000</v>
      </c>
      <c r="G27" s="921"/>
    </row>
    <row r="28" spans="1:7">
      <c r="A28" s="753" t="s">
        <v>1865</v>
      </c>
      <c r="B28" s="572">
        <f>ROUNDUP((F28+(F28*L$2)),-1)</f>
        <v>218790</v>
      </c>
      <c r="C28" s="857">
        <f t="shared" si="9"/>
        <v>36465</v>
      </c>
      <c r="D28" s="857">
        <f t="shared" si="10"/>
        <v>72930</v>
      </c>
      <c r="E28" s="870">
        <f>ROUNDUP(F28+(F28*L$1),-1)</f>
        <v>192610</v>
      </c>
      <c r="F28" s="466">
        <f>(F134+D$2)</f>
        <v>187000</v>
      </c>
      <c r="G28" s="921"/>
    </row>
    <row r="29" spans="1:7">
      <c r="A29" s="738" t="s">
        <v>1866</v>
      </c>
      <c r="B29" s="851" t="s">
        <v>1839</v>
      </c>
      <c r="C29" s="161" t="s">
        <v>1840</v>
      </c>
      <c r="D29" s="865" t="s">
        <v>1841</v>
      </c>
      <c r="E29" s="871" t="s">
        <v>1842</v>
      </c>
      <c r="F29" s="761" t="s">
        <v>1843</v>
      </c>
      <c r="G29" s="921"/>
    </row>
    <row r="30" spans="1:7">
      <c r="A30" s="859" t="s">
        <v>1867</v>
      </c>
      <c r="B30" s="569">
        <f t="shared" ref="B30:B40" si="11">ROUNDUP((F30+(F30*L$2)),-1)</f>
        <v>139230</v>
      </c>
      <c r="C30" s="860">
        <f t="shared" ref="C30:C41" si="12">(B30/6)</f>
        <v>23205</v>
      </c>
      <c r="D30" s="860">
        <f t="shared" ref="D30:D41" si="13">(B30/3)</f>
        <v>46410</v>
      </c>
      <c r="E30" s="868">
        <f t="shared" ref="E30:E41" si="14">ROUNDUP(F30+(F30*L$1),-1)</f>
        <v>122570</v>
      </c>
      <c r="F30" s="466">
        <f t="shared" ref="F30:F41" si="15">(F136+D$2)</f>
        <v>119000</v>
      </c>
      <c r="G30" s="921"/>
    </row>
    <row r="31" spans="1:7">
      <c r="A31" s="739" t="s">
        <v>1868</v>
      </c>
      <c r="B31" s="163">
        <f t="shared" si="11"/>
        <v>158250</v>
      </c>
      <c r="C31" s="759">
        <f t="shared" si="12"/>
        <v>26375</v>
      </c>
      <c r="D31" s="759">
        <f t="shared" si="13"/>
        <v>52750</v>
      </c>
      <c r="E31" s="869">
        <f t="shared" si="14"/>
        <v>139310</v>
      </c>
      <c r="F31" s="466">
        <f t="shared" si="15"/>
        <v>135250</v>
      </c>
      <c r="G31" s="921"/>
    </row>
    <row r="32" spans="1:7">
      <c r="A32" s="742" t="s">
        <v>1869</v>
      </c>
      <c r="B32" s="163">
        <f t="shared" si="11"/>
        <v>161700</v>
      </c>
      <c r="C32" s="759">
        <f t="shared" si="12"/>
        <v>26950</v>
      </c>
      <c r="D32" s="759">
        <f t="shared" si="13"/>
        <v>53900</v>
      </c>
      <c r="E32" s="869">
        <f t="shared" si="14"/>
        <v>142350</v>
      </c>
      <c r="F32" s="466">
        <f t="shared" si="15"/>
        <v>138200</v>
      </c>
      <c r="G32" s="921"/>
    </row>
    <row r="33" spans="1:7">
      <c r="A33" s="742" t="s">
        <v>1870</v>
      </c>
      <c r="B33" s="163">
        <v>195588</v>
      </c>
      <c r="C33" s="759">
        <f t="shared" si="12"/>
        <v>32598</v>
      </c>
      <c r="D33" s="759">
        <f t="shared" si="13"/>
        <v>65196</v>
      </c>
      <c r="E33" s="869">
        <f t="shared" si="14"/>
        <v>175100</v>
      </c>
      <c r="F33" s="466">
        <f t="shared" si="15"/>
        <v>170000</v>
      </c>
      <c r="G33" s="921"/>
    </row>
    <row r="34" spans="1:7">
      <c r="A34" s="742" t="s">
        <v>1871</v>
      </c>
      <c r="B34" s="163">
        <f t="shared" si="11"/>
        <v>205570</v>
      </c>
      <c r="C34" s="759">
        <f t="shared" si="12"/>
        <v>34261.666666666664</v>
      </c>
      <c r="D34" s="759">
        <f t="shared" si="13"/>
        <v>68523.333333333328</v>
      </c>
      <c r="E34" s="869">
        <f t="shared" si="14"/>
        <v>180980</v>
      </c>
      <c r="F34" s="466">
        <f t="shared" si="15"/>
        <v>175700</v>
      </c>
      <c r="G34" s="921"/>
    </row>
    <row r="35" spans="1:7">
      <c r="A35" s="742" t="s">
        <v>1872</v>
      </c>
      <c r="B35" s="163">
        <v>208348</v>
      </c>
      <c r="C35" s="759">
        <f t="shared" si="12"/>
        <v>34724.666666666664</v>
      </c>
      <c r="D35" s="759">
        <f t="shared" si="13"/>
        <v>69449.333333333328</v>
      </c>
      <c r="E35" s="869">
        <f t="shared" si="14"/>
        <v>186430</v>
      </c>
      <c r="F35" s="466">
        <f t="shared" si="15"/>
        <v>181000</v>
      </c>
      <c r="G35" s="921"/>
    </row>
    <row r="36" spans="1:7">
      <c r="A36" s="742" t="s">
        <v>1873</v>
      </c>
      <c r="B36" s="163">
        <f>ROUNDUP((F36+(F36*L$2)),-1)</f>
        <v>210490</v>
      </c>
      <c r="C36" s="759">
        <f t="shared" si="12"/>
        <v>35081.666666666664</v>
      </c>
      <c r="D36" s="759">
        <f t="shared" si="13"/>
        <v>70163.333333333328</v>
      </c>
      <c r="E36" s="869">
        <f t="shared" si="14"/>
        <v>185300</v>
      </c>
      <c r="F36" s="466">
        <f t="shared" si="15"/>
        <v>179900</v>
      </c>
      <c r="G36" s="921"/>
    </row>
    <row r="37" spans="1:7">
      <c r="A37" s="742" t="s">
        <v>1874</v>
      </c>
      <c r="B37" s="163">
        <f t="shared" si="11"/>
        <v>195750</v>
      </c>
      <c r="C37" s="759">
        <f t="shared" si="12"/>
        <v>32625</v>
      </c>
      <c r="D37" s="759">
        <f t="shared" si="13"/>
        <v>65250</v>
      </c>
      <c r="E37" s="869">
        <f t="shared" si="14"/>
        <v>172320</v>
      </c>
      <c r="F37" s="466">
        <f t="shared" si="15"/>
        <v>167300</v>
      </c>
      <c r="G37" s="921"/>
    </row>
    <row r="38" spans="1:7">
      <c r="A38" s="742" t="s">
        <v>1875</v>
      </c>
      <c r="B38" s="163">
        <v>215308</v>
      </c>
      <c r="C38" s="759">
        <f t="shared" si="12"/>
        <v>35884.666666666664</v>
      </c>
      <c r="D38" s="759">
        <f t="shared" si="13"/>
        <v>71769.333333333328</v>
      </c>
      <c r="E38" s="869">
        <f t="shared" si="14"/>
        <v>192610</v>
      </c>
      <c r="F38" s="466">
        <f t="shared" si="15"/>
        <v>187000</v>
      </c>
      <c r="G38" s="921"/>
    </row>
    <row r="39" spans="1:7">
      <c r="A39" s="742" t="s">
        <v>1876</v>
      </c>
      <c r="B39" s="163">
        <f t="shared" si="11"/>
        <v>253720</v>
      </c>
      <c r="C39" s="759">
        <f t="shared" si="12"/>
        <v>42286.666666666664</v>
      </c>
      <c r="D39" s="759">
        <f t="shared" si="13"/>
        <v>84573.333333333328</v>
      </c>
      <c r="E39" s="869">
        <f t="shared" si="14"/>
        <v>223360</v>
      </c>
      <c r="F39" s="466">
        <f t="shared" si="15"/>
        <v>216850</v>
      </c>
      <c r="G39" s="921"/>
    </row>
    <row r="40" spans="1:7">
      <c r="A40" s="742" t="s">
        <v>1877</v>
      </c>
      <c r="B40" s="163">
        <f t="shared" si="11"/>
        <v>230490</v>
      </c>
      <c r="C40" s="759">
        <f t="shared" si="12"/>
        <v>38415</v>
      </c>
      <c r="D40" s="759">
        <f t="shared" si="13"/>
        <v>76830</v>
      </c>
      <c r="E40" s="869">
        <f t="shared" si="14"/>
        <v>202910</v>
      </c>
      <c r="F40" s="466">
        <f t="shared" si="15"/>
        <v>197000</v>
      </c>
      <c r="G40" s="921"/>
    </row>
    <row r="41" spans="1:7">
      <c r="A41" s="753" t="s">
        <v>1878</v>
      </c>
      <c r="B41" s="572">
        <v>241988</v>
      </c>
      <c r="C41" s="857">
        <f t="shared" si="12"/>
        <v>40331.333333333336</v>
      </c>
      <c r="D41" s="857">
        <f t="shared" si="13"/>
        <v>80662.666666666672</v>
      </c>
      <c r="E41" s="870">
        <f t="shared" si="14"/>
        <v>216300</v>
      </c>
      <c r="F41" s="466">
        <f t="shared" si="15"/>
        <v>210000</v>
      </c>
      <c r="G41" s="921"/>
    </row>
    <row r="42" spans="1:7">
      <c r="A42" s="738" t="s">
        <v>1879</v>
      </c>
      <c r="B42" s="851" t="s">
        <v>1839</v>
      </c>
      <c r="C42" s="161" t="s">
        <v>1840</v>
      </c>
      <c r="D42" s="865" t="s">
        <v>1841</v>
      </c>
      <c r="E42" s="871" t="s">
        <v>1842</v>
      </c>
      <c r="F42" s="761" t="s">
        <v>1843</v>
      </c>
      <c r="G42" s="921"/>
    </row>
    <row r="43" spans="1:7">
      <c r="A43" s="861" t="s">
        <v>1880</v>
      </c>
      <c r="B43" s="569">
        <f>ROUNDUP((F43+(F43*L$2)),-1)</f>
        <v>264310</v>
      </c>
      <c r="C43" s="860">
        <f t="shared" ref="C43:C46" si="16">(B43/6)</f>
        <v>44051.666666666664</v>
      </c>
      <c r="D43" s="860">
        <f t="shared" ref="D43:D46" si="17">(B43/3)</f>
        <v>88103.333333333328</v>
      </c>
      <c r="E43" s="868">
        <f>ROUNDUP(F43+(F43*L$1),-1)</f>
        <v>232680</v>
      </c>
      <c r="F43" s="466">
        <f>(F149+D$3)</f>
        <v>225900</v>
      </c>
      <c r="G43" s="921"/>
    </row>
    <row r="44" spans="1:7">
      <c r="A44" s="739" t="s">
        <v>1881</v>
      </c>
      <c r="B44" s="163">
        <v>330668</v>
      </c>
      <c r="C44" s="759">
        <f t="shared" si="16"/>
        <v>55111.333333333336</v>
      </c>
      <c r="D44" s="759">
        <f t="shared" si="17"/>
        <v>110222.66666666667</v>
      </c>
      <c r="E44" s="869">
        <f>ROUNDUP(F44+(F44*L$1),-1)</f>
        <v>295610</v>
      </c>
      <c r="F44" s="466">
        <f>(F150+D$3)</f>
        <v>287000</v>
      </c>
      <c r="G44" s="921"/>
    </row>
    <row r="45" spans="1:7">
      <c r="A45" s="742" t="s">
        <v>1882</v>
      </c>
      <c r="B45" s="163">
        <f>ROUNDUP((F45+(F45*L$2)),-1)</f>
        <v>336960</v>
      </c>
      <c r="C45" s="759">
        <f t="shared" si="16"/>
        <v>56160</v>
      </c>
      <c r="D45" s="759">
        <f t="shared" si="17"/>
        <v>112320</v>
      </c>
      <c r="E45" s="869">
        <f>ROUNDUP(F45+(F45*L$1),-1)</f>
        <v>296640</v>
      </c>
      <c r="F45" s="466">
        <f>(F151+D$3)</f>
        <v>288000</v>
      </c>
      <c r="G45" s="921"/>
    </row>
    <row r="46" spans="1:7">
      <c r="A46" s="753" t="s">
        <v>1883</v>
      </c>
      <c r="B46" s="572">
        <f>ROUNDUP((F46+(F46*L$2)),-1)</f>
        <v>350540</v>
      </c>
      <c r="C46" s="857">
        <f t="shared" si="16"/>
        <v>58423.333333333336</v>
      </c>
      <c r="D46" s="857">
        <f t="shared" si="17"/>
        <v>116846.66666666667</v>
      </c>
      <c r="E46" s="870">
        <f>ROUNDUP(F46+(F46*L$1),-1)</f>
        <v>308590</v>
      </c>
      <c r="F46" s="466">
        <f>(F152+D$3)</f>
        <v>299600</v>
      </c>
      <c r="G46" s="921"/>
    </row>
    <row r="47" spans="1:7">
      <c r="A47" s="738" t="s">
        <v>1884</v>
      </c>
      <c r="B47" s="851" t="s">
        <v>1839</v>
      </c>
      <c r="C47" s="161" t="s">
        <v>1840</v>
      </c>
      <c r="D47" s="865" t="s">
        <v>1841</v>
      </c>
      <c r="E47" s="871" t="s">
        <v>1842</v>
      </c>
      <c r="F47" s="761" t="s">
        <v>1843</v>
      </c>
      <c r="G47" s="921"/>
    </row>
    <row r="48" spans="1:7">
      <c r="A48" s="862" t="s">
        <v>1885</v>
      </c>
      <c r="B48" s="569">
        <f>ROUNDUP((F48+(F48*L$2)),-1)</f>
        <v>257400</v>
      </c>
      <c r="C48" s="860">
        <f t="shared" ref="C48:C50" si="18">(B48/6)</f>
        <v>42900</v>
      </c>
      <c r="D48" s="860">
        <f t="shared" ref="D48:D50" si="19">(B48/3)</f>
        <v>85800</v>
      </c>
      <c r="E48" s="868">
        <f>ROUNDUP(F48+(F48*L$1),-1)</f>
        <v>226600</v>
      </c>
      <c r="F48" s="466">
        <f>(F154+D$3)</f>
        <v>220000</v>
      </c>
      <c r="G48" s="921"/>
    </row>
    <row r="49" spans="1:8">
      <c r="A49" s="739" t="s">
        <v>1886</v>
      </c>
      <c r="B49" s="163">
        <v>286588</v>
      </c>
      <c r="C49" s="759">
        <f t="shared" si="18"/>
        <v>47764.666666666664</v>
      </c>
      <c r="D49" s="759">
        <f t="shared" si="19"/>
        <v>95529.333333333328</v>
      </c>
      <c r="E49" s="869">
        <f>ROUNDUP(F49+(F49*L$1),-1)</f>
        <v>256470</v>
      </c>
      <c r="F49" s="466">
        <f>(F155+D$3)</f>
        <v>249000</v>
      </c>
      <c r="G49" s="921"/>
      <c r="H49" s="921"/>
    </row>
    <row r="50" spans="1:8">
      <c r="A50" s="753" t="s">
        <v>1887</v>
      </c>
      <c r="B50" s="572">
        <f>ROUNDUP((F50+(F50*L$2)),-1)</f>
        <v>297180</v>
      </c>
      <c r="C50" s="857">
        <f t="shared" si="18"/>
        <v>49530</v>
      </c>
      <c r="D50" s="857">
        <f t="shared" si="19"/>
        <v>99060</v>
      </c>
      <c r="E50" s="870">
        <f>ROUNDUP(F50+(F50*L$1),-1)</f>
        <v>261620</v>
      </c>
      <c r="F50" s="466">
        <f>(F156+D$3)</f>
        <v>254000</v>
      </c>
      <c r="G50" s="921"/>
      <c r="H50" s="921"/>
    </row>
    <row r="51" spans="1:8">
      <c r="A51" s="875" t="s">
        <v>1888</v>
      </c>
      <c r="B51" s="851" t="s">
        <v>1839</v>
      </c>
      <c r="C51" s="161" t="s">
        <v>1840</v>
      </c>
      <c r="D51" s="865" t="s">
        <v>1841</v>
      </c>
      <c r="E51" s="871" t="s">
        <v>1842</v>
      </c>
      <c r="F51" s="761" t="s">
        <v>1843</v>
      </c>
      <c r="G51" s="921"/>
      <c r="H51" s="921"/>
    </row>
    <row r="52" spans="1:8">
      <c r="A52" s="861" t="s">
        <v>1889</v>
      </c>
      <c r="B52" s="569">
        <f>ROUNDUP((F52+(F52*L$2)),-1)</f>
        <v>279630</v>
      </c>
      <c r="C52" s="860">
        <f t="shared" ref="C52:C59" si="20">(B52/6)</f>
        <v>46605</v>
      </c>
      <c r="D52" s="860">
        <f t="shared" ref="D52:D59" si="21">(B52/3)</f>
        <v>93210</v>
      </c>
      <c r="E52" s="868">
        <f>ROUNDUP(F52+(F52*L$1),-1)</f>
        <v>246170</v>
      </c>
      <c r="F52" s="466">
        <f t="shared" ref="F52:F59" si="22">(F158+D$2)</f>
        <v>239000</v>
      </c>
      <c r="G52" s="921"/>
      <c r="H52" s="921"/>
    </row>
    <row r="53" spans="1:8">
      <c r="A53" s="744" t="s">
        <v>1890</v>
      </c>
      <c r="B53" s="569">
        <v>275628</v>
      </c>
      <c r="C53" s="860">
        <f t="shared" si="20"/>
        <v>45938</v>
      </c>
      <c r="D53" s="860">
        <f t="shared" si="21"/>
        <v>91876</v>
      </c>
      <c r="E53" s="868">
        <f t="shared" ref="E53:E59" si="23">ROUNDUP(F53+(F53*L$1),-1)</f>
        <v>246170</v>
      </c>
      <c r="F53" s="466">
        <f t="shared" si="22"/>
        <v>239000</v>
      </c>
      <c r="G53" s="921"/>
      <c r="H53" s="921"/>
    </row>
    <row r="54" spans="1:8">
      <c r="A54" s="744" t="s">
        <v>1891</v>
      </c>
      <c r="B54" s="569">
        <f t="shared" ref="B54:B57" si="24">ROUNDUP((F54+(F54*L$2)),-1)</f>
        <v>283140</v>
      </c>
      <c r="C54" s="860">
        <f t="shared" si="20"/>
        <v>47190</v>
      </c>
      <c r="D54" s="860">
        <f t="shared" si="21"/>
        <v>94380</v>
      </c>
      <c r="E54" s="868">
        <f t="shared" si="23"/>
        <v>249260</v>
      </c>
      <c r="F54" s="466">
        <f t="shared" si="22"/>
        <v>242000</v>
      </c>
      <c r="G54" s="921"/>
      <c r="H54" s="921"/>
    </row>
    <row r="55" spans="1:8">
      <c r="A55" s="742" t="s">
        <v>1892</v>
      </c>
      <c r="B55" s="569">
        <f t="shared" si="24"/>
        <v>339300</v>
      </c>
      <c r="C55" s="860">
        <f t="shared" si="20"/>
        <v>56550</v>
      </c>
      <c r="D55" s="860">
        <f t="shared" si="21"/>
        <v>113100</v>
      </c>
      <c r="E55" s="868">
        <f t="shared" si="23"/>
        <v>298700</v>
      </c>
      <c r="F55" s="466">
        <f t="shared" si="22"/>
        <v>290000</v>
      </c>
      <c r="G55" s="921"/>
      <c r="H55" s="921"/>
    </row>
    <row r="56" spans="1:8">
      <c r="A56" s="742" t="s">
        <v>1893</v>
      </c>
      <c r="B56" s="569">
        <v>347548</v>
      </c>
      <c r="C56" s="860">
        <f t="shared" si="20"/>
        <v>57924.666666666664</v>
      </c>
      <c r="D56" s="860">
        <f t="shared" si="21"/>
        <v>115849.33333333333</v>
      </c>
      <c r="E56" s="868">
        <f t="shared" si="23"/>
        <v>310030</v>
      </c>
      <c r="F56" s="466">
        <f t="shared" si="22"/>
        <v>301000</v>
      </c>
      <c r="G56" s="921"/>
      <c r="H56" s="921"/>
    </row>
    <row r="57" spans="1:8">
      <c r="A57" s="742" t="s">
        <v>1894</v>
      </c>
      <c r="B57" s="569">
        <f t="shared" si="24"/>
        <v>339300</v>
      </c>
      <c r="C57" s="860">
        <f t="shared" si="20"/>
        <v>56550</v>
      </c>
      <c r="D57" s="860">
        <f t="shared" si="21"/>
        <v>113100</v>
      </c>
      <c r="E57" s="868">
        <f t="shared" si="23"/>
        <v>298700</v>
      </c>
      <c r="F57" s="466">
        <f t="shared" si="22"/>
        <v>290000</v>
      </c>
      <c r="G57" s="921"/>
      <c r="H57" s="921"/>
    </row>
    <row r="58" spans="1:8">
      <c r="A58" s="742" t="s">
        <v>1895</v>
      </c>
      <c r="B58" s="569">
        <v>435708</v>
      </c>
      <c r="C58" s="860">
        <f t="shared" si="20"/>
        <v>72618</v>
      </c>
      <c r="D58" s="860">
        <f t="shared" si="21"/>
        <v>145236</v>
      </c>
      <c r="E58" s="868">
        <f t="shared" si="23"/>
        <v>388310</v>
      </c>
      <c r="F58" s="466">
        <f t="shared" si="22"/>
        <v>377000</v>
      </c>
      <c r="G58" s="921"/>
      <c r="H58" s="921"/>
    </row>
    <row r="59" spans="1:8" ht="16.2" thickBot="1">
      <c r="A59" s="745" t="s">
        <v>1896</v>
      </c>
      <c r="B59" s="575">
        <v>542428</v>
      </c>
      <c r="C59" s="876">
        <f t="shared" si="20"/>
        <v>90404.666666666672</v>
      </c>
      <c r="D59" s="876">
        <f t="shared" si="21"/>
        <v>180809.33333333334</v>
      </c>
      <c r="E59" s="877">
        <f t="shared" si="23"/>
        <v>483070</v>
      </c>
      <c r="F59" s="762">
        <f t="shared" si="22"/>
        <v>469000</v>
      </c>
      <c r="G59" s="921"/>
      <c r="H59" s="921"/>
    </row>
    <row r="60" spans="1:8">
      <c r="A60" s="170"/>
      <c r="B60" s="171"/>
      <c r="C60" s="171"/>
      <c r="D60" s="171"/>
      <c r="E60" s="171"/>
      <c r="F60" s="171"/>
      <c r="G60" s="921"/>
      <c r="H60" s="921"/>
    </row>
    <row r="61" spans="1:8">
      <c r="A61" s="170"/>
      <c r="B61" s="171"/>
      <c r="C61" s="171"/>
      <c r="D61" s="171"/>
      <c r="E61" s="171"/>
      <c r="F61" s="171"/>
      <c r="G61" s="921"/>
      <c r="H61" s="921"/>
    </row>
    <row r="62" spans="1:8" ht="16.2" thickBot="1">
      <c r="A62" s="105" t="s">
        <v>1833</v>
      </c>
      <c r="B62" s="171"/>
      <c r="C62" s="171"/>
      <c r="D62" s="171"/>
      <c r="E62" s="171"/>
      <c r="F62" s="171"/>
      <c r="G62" s="171"/>
      <c r="H62" s="171"/>
    </row>
    <row r="63" spans="1:8" ht="16.2" thickBot="1">
      <c r="A63" s="105" t="s">
        <v>1836</v>
      </c>
      <c r="B63" s="1009" t="s">
        <v>1834</v>
      </c>
      <c r="C63" s="1010"/>
      <c r="D63" s="1011"/>
      <c r="E63" s="201" t="s">
        <v>1897</v>
      </c>
      <c r="F63" s="201"/>
      <c r="G63" s="171"/>
      <c r="H63" s="201"/>
    </row>
    <row r="64" spans="1:8" ht="16.2" thickBot="1">
      <c r="A64" s="178" t="s">
        <v>24</v>
      </c>
      <c r="B64" s="367" t="s">
        <v>25</v>
      </c>
      <c r="C64" s="453"/>
      <c r="D64" s="454">
        <v>10000</v>
      </c>
      <c r="E64" s="921"/>
      <c r="F64" s="921"/>
      <c r="H64" s="921"/>
    </row>
    <row r="65" spans="1:7" ht="16.2" thickBot="1">
      <c r="A65" s="185"/>
      <c r="B65" s="501" t="s">
        <v>27</v>
      </c>
      <c r="C65" s="183"/>
      <c r="D65" s="184">
        <v>14000</v>
      </c>
      <c r="E65" s="160"/>
      <c r="F65" s="160"/>
    </row>
    <row r="66" spans="1:7" ht="16.2" thickBot="1">
      <c r="A66" s="88"/>
      <c r="B66" s="176" t="s">
        <v>29</v>
      </c>
      <c r="C66" s="333"/>
      <c r="D66" s="177">
        <v>19000</v>
      </c>
      <c r="E66" s="160"/>
      <c r="F66" s="160"/>
    </row>
    <row r="67" spans="1:7" ht="16.2" thickBot="1">
      <c r="A67" s="737">
        <v>45854</v>
      </c>
      <c r="B67" s="1015" t="s">
        <v>1837</v>
      </c>
      <c r="C67" s="1016"/>
      <c r="D67" s="1016"/>
      <c r="E67" s="838"/>
      <c r="F67" s="866"/>
    </row>
    <row r="68" spans="1:7">
      <c r="A68" s="855" t="s">
        <v>1898</v>
      </c>
      <c r="B68" s="851" t="s">
        <v>1839</v>
      </c>
      <c r="C68" s="161" t="s">
        <v>1840</v>
      </c>
      <c r="D68" s="865" t="s">
        <v>1841</v>
      </c>
      <c r="E68" s="867" t="s">
        <v>1842</v>
      </c>
      <c r="F68" s="837" t="s">
        <v>1843</v>
      </c>
      <c r="G68" s="921"/>
    </row>
    <row r="69" spans="1:7">
      <c r="A69" s="861" t="s">
        <v>1899</v>
      </c>
      <c r="B69" s="569">
        <f>ROUNDUP((F69+(F69*L$2)),-1)</f>
        <v>154210</v>
      </c>
      <c r="C69" s="860">
        <f t="shared" ref="C69:C105" si="25">(B69/6)</f>
        <v>25701.666666666668</v>
      </c>
      <c r="D69" s="860">
        <f t="shared" ref="D69" si="26">(B69/3)</f>
        <v>51403.333333333336</v>
      </c>
      <c r="E69" s="868">
        <f t="shared" ref="E69:E79" si="27">ROUNDUP(F69+(F69*L$1),-1)</f>
        <v>135760</v>
      </c>
      <c r="F69" s="466">
        <f t="shared" ref="F69:F74" si="28">(F173+D$2)</f>
        <v>131800</v>
      </c>
      <c r="G69" s="921"/>
    </row>
    <row r="70" spans="1:7">
      <c r="A70" s="742" t="s">
        <v>1900</v>
      </c>
      <c r="B70" s="163">
        <v>150348</v>
      </c>
      <c r="C70" s="759">
        <f t="shared" si="25"/>
        <v>25058</v>
      </c>
      <c r="D70" s="759">
        <f t="shared" ref="D70:D79" si="29">(B70/3)</f>
        <v>50116</v>
      </c>
      <c r="E70" s="869">
        <f t="shared" si="27"/>
        <v>134930</v>
      </c>
      <c r="F70" s="466">
        <f t="shared" si="28"/>
        <v>131000</v>
      </c>
      <c r="G70" s="921"/>
    </row>
    <row r="71" spans="1:7">
      <c r="A71" s="742" t="s">
        <v>1901</v>
      </c>
      <c r="B71" s="163">
        <f t="shared" ref="B71:B79" si="30">ROUNDUP((F71+(F71*L$2)),-1)</f>
        <v>154440</v>
      </c>
      <c r="C71" s="759">
        <f t="shared" si="25"/>
        <v>25740</v>
      </c>
      <c r="D71" s="759">
        <f t="shared" si="29"/>
        <v>51480</v>
      </c>
      <c r="E71" s="869">
        <f t="shared" si="27"/>
        <v>135960</v>
      </c>
      <c r="F71" s="466">
        <f t="shared" si="28"/>
        <v>132000</v>
      </c>
      <c r="G71" s="921"/>
    </row>
    <row r="72" spans="1:7">
      <c r="A72" s="742" t="s">
        <v>1902</v>
      </c>
      <c r="B72" s="163">
        <f t="shared" si="30"/>
        <v>178660</v>
      </c>
      <c r="C72" s="759">
        <f t="shared" si="25"/>
        <v>29776.666666666668</v>
      </c>
      <c r="D72" s="759">
        <f t="shared" si="29"/>
        <v>59553.333333333336</v>
      </c>
      <c r="E72" s="869">
        <f t="shared" si="27"/>
        <v>157290</v>
      </c>
      <c r="F72" s="466">
        <f t="shared" si="28"/>
        <v>152700</v>
      </c>
      <c r="G72" s="921"/>
    </row>
    <row r="73" spans="1:7">
      <c r="A73" s="742" t="s">
        <v>1903</v>
      </c>
      <c r="B73" s="163">
        <v>168908</v>
      </c>
      <c r="C73" s="759">
        <f t="shared" si="25"/>
        <v>28151.333333333332</v>
      </c>
      <c r="D73" s="759">
        <f t="shared" si="29"/>
        <v>56302.666666666664</v>
      </c>
      <c r="E73" s="869">
        <f t="shared" si="27"/>
        <v>151410</v>
      </c>
      <c r="F73" s="466">
        <f t="shared" si="28"/>
        <v>147000</v>
      </c>
      <c r="G73" s="921"/>
    </row>
    <row r="74" spans="1:7">
      <c r="A74" s="742" t="s">
        <v>1904</v>
      </c>
      <c r="B74" s="163">
        <f t="shared" si="30"/>
        <v>164970</v>
      </c>
      <c r="C74" s="759">
        <f t="shared" si="25"/>
        <v>27495</v>
      </c>
      <c r="D74" s="759">
        <f t="shared" si="29"/>
        <v>54990</v>
      </c>
      <c r="E74" s="869">
        <f t="shared" si="27"/>
        <v>145230</v>
      </c>
      <c r="F74" s="466">
        <f t="shared" si="28"/>
        <v>141000</v>
      </c>
      <c r="G74" s="921"/>
    </row>
    <row r="75" spans="1:7">
      <c r="A75" s="742" t="s">
        <v>1905</v>
      </c>
      <c r="B75" s="163">
        <v>235548</v>
      </c>
      <c r="C75" s="759">
        <f t="shared" si="25"/>
        <v>39258</v>
      </c>
      <c r="D75" s="759">
        <f t="shared" si="29"/>
        <v>78516</v>
      </c>
      <c r="E75" s="869">
        <f t="shared" si="27"/>
        <v>211150</v>
      </c>
      <c r="F75" s="466">
        <f>(F179+D$3)</f>
        <v>205000</v>
      </c>
      <c r="G75" s="921"/>
    </row>
    <row r="76" spans="1:7">
      <c r="A76" s="742" t="s">
        <v>1906</v>
      </c>
      <c r="B76" s="163">
        <f t="shared" si="30"/>
        <v>229320</v>
      </c>
      <c r="C76" s="759">
        <f t="shared" si="25"/>
        <v>38220</v>
      </c>
      <c r="D76" s="759">
        <f t="shared" si="29"/>
        <v>76440</v>
      </c>
      <c r="E76" s="869">
        <f t="shared" si="27"/>
        <v>201880</v>
      </c>
      <c r="F76" s="466">
        <f>(F180+D$3)</f>
        <v>196000</v>
      </c>
      <c r="G76" s="921"/>
    </row>
    <row r="77" spans="1:7">
      <c r="A77" s="753" t="s">
        <v>1907</v>
      </c>
      <c r="B77" s="163">
        <v>283108</v>
      </c>
      <c r="C77" s="759">
        <f t="shared" si="25"/>
        <v>47184.666666666664</v>
      </c>
      <c r="D77" s="759">
        <f t="shared" si="29"/>
        <v>94369.333333333328</v>
      </c>
      <c r="E77" s="869">
        <f t="shared" si="27"/>
        <v>253380</v>
      </c>
      <c r="F77" s="466">
        <f>(F181+D$3)</f>
        <v>246000</v>
      </c>
      <c r="G77" s="921"/>
    </row>
    <row r="78" spans="1:7">
      <c r="A78" s="742" t="s">
        <v>1908</v>
      </c>
      <c r="B78" s="163">
        <f t="shared" si="30"/>
        <v>294840</v>
      </c>
      <c r="C78" s="759">
        <f t="shared" si="25"/>
        <v>49140</v>
      </c>
      <c r="D78" s="759">
        <f t="shared" si="29"/>
        <v>98280</v>
      </c>
      <c r="E78" s="869">
        <f t="shared" si="27"/>
        <v>259560</v>
      </c>
      <c r="F78" s="466">
        <f>(F182+D$3)</f>
        <v>252000</v>
      </c>
      <c r="G78" s="921"/>
    </row>
    <row r="79" spans="1:7">
      <c r="A79" s="753" t="s">
        <v>1909</v>
      </c>
      <c r="B79" s="572">
        <f t="shared" si="30"/>
        <v>287820</v>
      </c>
      <c r="C79" s="857">
        <f t="shared" si="25"/>
        <v>47970</v>
      </c>
      <c r="D79" s="857">
        <f t="shared" si="29"/>
        <v>95940</v>
      </c>
      <c r="E79" s="870">
        <f t="shared" si="27"/>
        <v>253380</v>
      </c>
      <c r="F79" s="466">
        <f>(F183+D$3)</f>
        <v>246000</v>
      </c>
      <c r="G79" s="921"/>
    </row>
    <row r="80" spans="1:7">
      <c r="A80" s="855" t="s">
        <v>1910</v>
      </c>
      <c r="B80" s="851" t="s">
        <v>1839</v>
      </c>
      <c r="C80" s="161" t="s">
        <v>1840</v>
      </c>
      <c r="D80" s="865" t="s">
        <v>1841</v>
      </c>
      <c r="E80" s="871" t="s">
        <v>1842</v>
      </c>
      <c r="F80" s="761" t="s">
        <v>1843</v>
      </c>
      <c r="G80" s="921"/>
    </row>
    <row r="81" spans="1:7">
      <c r="A81" s="859" t="s">
        <v>1911</v>
      </c>
      <c r="B81" s="569">
        <v>395988</v>
      </c>
      <c r="C81" s="860">
        <f t="shared" si="25"/>
        <v>65998</v>
      </c>
      <c r="D81" s="860">
        <f t="shared" ref="D81:D82" si="31">(B81/3)</f>
        <v>131996</v>
      </c>
      <c r="E81" s="868">
        <f>ROUNDUP(F81+(F81*L$1),-1)</f>
        <v>354320</v>
      </c>
      <c r="F81" s="466">
        <f>(F185+D$4)</f>
        <v>344000</v>
      </c>
      <c r="G81" s="921"/>
    </row>
    <row r="82" spans="1:7">
      <c r="A82" s="858" t="s">
        <v>1912</v>
      </c>
      <c r="B82" s="572">
        <f t="shared" ref="B82" si="32">ROUNDUP((F82+(F82*L$2)),-1)</f>
        <v>410670</v>
      </c>
      <c r="C82" s="857">
        <f t="shared" si="25"/>
        <v>68445</v>
      </c>
      <c r="D82" s="857">
        <f t="shared" si="31"/>
        <v>136890</v>
      </c>
      <c r="E82" s="870">
        <f>ROUNDUP(F82+(F82*L$1),-1)</f>
        <v>361530</v>
      </c>
      <c r="F82" s="466">
        <f>(F186+D$4)</f>
        <v>351000</v>
      </c>
      <c r="G82" s="921"/>
    </row>
    <row r="83" spans="1:7">
      <c r="A83" s="855" t="s">
        <v>1913</v>
      </c>
      <c r="B83" s="851" t="s">
        <v>1839</v>
      </c>
      <c r="C83" s="161" t="s">
        <v>1840</v>
      </c>
      <c r="D83" s="865" t="s">
        <v>1841</v>
      </c>
      <c r="E83" s="871" t="s">
        <v>1842</v>
      </c>
      <c r="F83" s="761" t="s">
        <v>1843</v>
      </c>
      <c r="G83" s="921"/>
    </row>
    <row r="84" spans="1:7">
      <c r="A84" s="859" t="s">
        <v>1914</v>
      </c>
      <c r="B84" s="569">
        <f t="shared" ref="B84:B88" si="33">ROUNDUP((F84+(F84*L$2)),-1)</f>
        <v>368730</v>
      </c>
      <c r="C84" s="860">
        <f t="shared" si="25"/>
        <v>61455</v>
      </c>
      <c r="D84" s="860">
        <f t="shared" ref="D84:D88" si="34">(B84/3)</f>
        <v>122910</v>
      </c>
      <c r="E84" s="868">
        <f>ROUNDUP(F84+(F84*L$1),-1)</f>
        <v>324610</v>
      </c>
      <c r="F84" s="466">
        <f>(F188+D$4)</f>
        <v>315150</v>
      </c>
      <c r="G84" s="921"/>
    </row>
    <row r="85" spans="1:7">
      <c r="A85" s="752" t="s">
        <v>1915</v>
      </c>
      <c r="B85" s="163">
        <f t="shared" si="33"/>
        <v>479180</v>
      </c>
      <c r="C85" s="759">
        <f t="shared" si="25"/>
        <v>79863.333333333328</v>
      </c>
      <c r="D85" s="759">
        <f t="shared" si="34"/>
        <v>159726.66666666666</v>
      </c>
      <c r="E85" s="869">
        <f>ROUNDUP(F85+(F85*L$1),-1)</f>
        <v>421840</v>
      </c>
      <c r="F85" s="466">
        <f>(F189+D$4)</f>
        <v>409550</v>
      </c>
      <c r="G85" s="921"/>
    </row>
    <row r="86" spans="1:7">
      <c r="A86" s="752" t="s">
        <v>1916</v>
      </c>
      <c r="B86" s="163">
        <f t="shared" si="33"/>
        <v>457420</v>
      </c>
      <c r="C86" s="759">
        <f t="shared" si="25"/>
        <v>76236.666666666672</v>
      </c>
      <c r="D86" s="759">
        <f t="shared" si="34"/>
        <v>152473.33333333334</v>
      </c>
      <c r="E86" s="869">
        <f>ROUNDUP(F86+(F86*L$1),-1)</f>
        <v>402680</v>
      </c>
      <c r="F86" s="466">
        <f>(F190+D$4)</f>
        <v>390950</v>
      </c>
      <c r="G86" s="921"/>
    </row>
    <row r="87" spans="1:7">
      <c r="A87" s="752" t="s">
        <v>1917</v>
      </c>
      <c r="B87" s="163">
        <v>495748</v>
      </c>
      <c r="C87" s="759">
        <f t="shared" si="25"/>
        <v>82624.666666666672</v>
      </c>
      <c r="D87" s="759">
        <f t="shared" si="34"/>
        <v>165249.33333333334</v>
      </c>
      <c r="E87" s="869">
        <f>ROUNDUP(F87+(F87*L$1),-1)</f>
        <v>442900</v>
      </c>
      <c r="F87" s="466">
        <f>(F191+D$4)</f>
        <v>430000</v>
      </c>
      <c r="G87" s="921"/>
    </row>
    <row r="88" spans="1:7">
      <c r="A88" s="858" t="s">
        <v>1918</v>
      </c>
      <c r="B88" s="572">
        <f t="shared" si="33"/>
        <v>469170</v>
      </c>
      <c r="C88" s="857">
        <f t="shared" si="25"/>
        <v>78195</v>
      </c>
      <c r="D88" s="857">
        <f t="shared" si="34"/>
        <v>156390</v>
      </c>
      <c r="E88" s="870">
        <f>ROUNDUP(F88+(F88*L$1),-1)</f>
        <v>413030</v>
      </c>
      <c r="F88" s="466">
        <f>(F192+D$4)</f>
        <v>401000</v>
      </c>
      <c r="G88" s="921"/>
    </row>
    <row r="89" spans="1:7">
      <c r="A89" s="855" t="s">
        <v>1919</v>
      </c>
      <c r="B89" s="851" t="s">
        <v>1839</v>
      </c>
      <c r="C89" s="161" t="s">
        <v>1840</v>
      </c>
      <c r="D89" s="865" t="s">
        <v>1841</v>
      </c>
      <c r="E89" s="871" t="s">
        <v>1842</v>
      </c>
      <c r="F89" s="761" t="s">
        <v>1843</v>
      </c>
      <c r="G89" s="921"/>
    </row>
    <row r="90" spans="1:7">
      <c r="A90" s="859" t="s">
        <v>1920</v>
      </c>
      <c r="B90" s="569">
        <f t="shared" ref="B90:B92" si="35">ROUNDUP((F90+(F90*L$2)),-1)</f>
        <v>555640</v>
      </c>
      <c r="C90" s="860">
        <f t="shared" si="25"/>
        <v>92606.666666666672</v>
      </c>
      <c r="D90" s="860">
        <f t="shared" ref="D90:D92" si="36">(B90/3)</f>
        <v>185213.33333333334</v>
      </c>
      <c r="E90" s="868">
        <f>ROUNDUP(F90+(F90*L$1),-1)</f>
        <v>489150</v>
      </c>
      <c r="F90" s="466">
        <f>(F194+D$4)</f>
        <v>474900</v>
      </c>
      <c r="G90" s="921"/>
    </row>
    <row r="91" spans="1:7">
      <c r="A91" s="752" t="s">
        <v>1921</v>
      </c>
      <c r="B91" s="163">
        <f t="shared" si="35"/>
        <v>566170</v>
      </c>
      <c r="C91" s="759">
        <f t="shared" si="25"/>
        <v>94361.666666666672</v>
      </c>
      <c r="D91" s="759">
        <f t="shared" si="36"/>
        <v>188723.33333333334</v>
      </c>
      <c r="E91" s="869">
        <f>ROUNDUP(F91+(F91*L$1),-1)</f>
        <v>498420</v>
      </c>
      <c r="F91" s="466">
        <f>(F195+D$4)</f>
        <v>483900</v>
      </c>
      <c r="G91" s="921"/>
    </row>
    <row r="92" spans="1:7">
      <c r="A92" s="858" t="s">
        <v>1922</v>
      </c>
      <c r="B92" s="572">
        <f t="shared" si="35"/>
        <v>785070</v>
      </c>
      <c r="C92" s="857">
        <f t="shared" si="25"/>
        <v>130845</v>
      </c>
      <c r="D92" s="857">
        <f t="shared" si="36"/>
        <v>261690</v>
      </c>
      <c r="E92" s="870">
        <f>ROUNDUP(F92+(F92*L$1),-1)</f>
        <v>691130</v>
      </c>
      <c r="F92" s="466">
        <f>(F196+D$4)</f>
        <v>671000</v>
      </c>
      <c r="G92" s="921"/>
    </row>
    <row r="93" spans="1:7">
      <c r="A93" s="855" t="s">
        <v>1923</v>
      </c>
      <c r="B93" s="851" t="s">
        <v>1839</v>
      </c>
      <c r="C93" s="161" t="s">
        <v>1840</v>
      </c>
      <c r="D93" s="865" t="s">
        <v>1841</v>
      </c>
      <c r="E93" s="871" t="s">
        <v>1842</v>
      </c>
      <c r="F93" s="761" t="s">
        <v>1843</v>
      </c>
      <c r="G93" s="921"/>
    </row>
    <row r="94" spans="1:7">
      <c r="A94" s="863" t="s">
        <v>1924</v>
      </c>
      <c r="B94" s="567">
        <f>ROUNDUP((F94+(F94*L$2)),-1)</f>
        <v>564470</v>
      </c>
      <c r="C94" s="864">
        <f t="shared" si="25"/>
        <v>94078.333333333328</v>
      </c>
      <c r="D94" s="864">
        <f t="shared" ref="D94" si="37">(B94/3)</f>
        <v>188156.66666666666</v>
      </c>
      <c r="E94" s="872">
        <f>ROUNDUP(F94+(F94*L$1),-1)</f>
        <v>496930</v>
      </c>
      <c r="F94" s="466">
        <f>(F198+D$3)</f>
        <v>482450</v>
      </c>
      <c r="G94" s="921"/>
    </row>
    <row r="95" spans="1:7">
      <c r="A95" s="855" t="s">
        <v>1925</v>
      </c>
      <c r="B95" s="851" t="s">
        <v>1839</v>
      </c>
      <c r="C95" s="161" t="s">
        <v>1840</v>
      </c>
      <c r="D95" s="865" t="s">
        <v>1841</v>
      </c>
      <c r="E95" s="871" t="s">
        <v>1842</v>
      </c>
      <c r="F95" s="761" t="s">
        <v>1843</v>
      </c>
      <c r="G95" s="921"/>
    </row>
    <row r="96" spans="1:7">
      <c r="A96" s="863" t="s">
        <v>1926</v>
      </c>
      <c r="B96" s="567">
        <f>ROUNDUP((F96+(F96*L$2)),-1)</f>
        <v>427580</v>
      </c>
      <c r="C96" s="864">
        <f t="shared" si="25"/>
        <v>71263.333333333328</v>
      </c>
      <c r="D96" s="864">
        <f t="shared" ref="D96" si="38">(B96/3)</f>
        <v>142526.66666666666</v>
      </c>
      <c r="E96" s="872">
        <f>ROUNDUP(F96+(F96*L$1),-1)</f>
        <v>376420</v>
      </c>
      <c r="F96" s="466">
        <f>(F200+D$3)</f>
        <v>365450</v>
      </c>
      <c r="G96" s="921"/>
    </row>
    <row r="97" spans="1:8">
      <c r="A97" s="855" t="s">
        <v>1927</v>
      </c>
      <c r="B97" s="851" t="s">
        <v>1839</v>
      </c>
      <c r="C97" s="161" t="s">
        <v>1840</v>
      </c>
      <c r="D97" s="865" t="s">
        <v>1841</v>
      </c>
      <c r="E97" s="871" t="s">
        <v>1842</v>
      </c>
      <c r="F97" s="761" t="s">
        <v>1843</v>
      </c>
      <c r="G97" s="921"/>
      <c r="H97" s="921"/>
    </row>
    <row r="98" spans="1:8">
      <c r="A98" s="859" t="s">
        <v>1928</v>
      </c>
      <c r="B98" s="569">
        <f t="shared" ref="B98:B105" si="39">ROUNDUP((F98+(F98*L$2)),-1)</f>
        <v>531540</v>
      </c>
      <c r="C98" s="860">
        <f t="shared" si="25"/>
        <v>88590</v>
      </c>
      <c r="D98" s="860">
        <f t="shared" ref="D98:D105" si="40">(B98/3)</f>
        <v>177180</v>
      </c>
      <c r="E98" s="868">
        <f t="shared" ref="E98:E105" si="41">ROUNDUP(F98+(F98*L$1),-1)</f>
        <v>467930</v>
      </c>
      <c r="F98" s="466">
        <f>(F202+D$3)</f>
        <v>454300</v>
      </c>
      <c r="G98" s="921"/>
      <c r="H98" s="921"/>
    </row>
    <row r="99" spans="1:8">
      <c r="A99" s="752" t="s">
        <v>1929</v>
      </c>
      <c r="B99" s="163">
        <f t="shared" si="39"/>
        <v>306540</v>
      </c>
      <c r="C99" s="759">
        <f t="shared" si="25"/>
        <v>51090</v>
      </c>
      <c r="D99" s="759">
        <f t="shared" si="40"/>
        <v>102180</v>
      </c>
      <c r="E99" s="869">
        <f t="shared" si="41"/>
        <v>269860</v>
      </c>
      <c r="F99" s="466">
        <f>(F203+D$2)</f>
        <v>262000</v>
      </c>
      <c r="G99" s="921"/>
      <c r="H99" s="921"/>
    </row>
    <row r="100" spans="1:8">
      <c r="A100" s="752" t="s">
        <v>1930</v>
      </c>
      <c r="B100" s="163">
        <f t="shared" si="39"/>
        <v>472680</v>
      </c>
      <c r="C100" s="759">
        <f t="shared" si="25"/>
        <v>78780</v>
      </c>
      <c r="D100" s="759">
        <f t="shared" si="40"/>
        <v>157560</v>
      </c>
      <c r="E100" s="869">
        <f t="shared" si="41"/>
        <v>416120</v>
      </c>
      <c r="F100" s="466">
        <f>(F204+D$3)</f>
        <v>404000</v>
      </c>
      <c r="G100" s="921"/>
      <c r="H100" s="921"/>
    </row>
    <row r="101" spans="1:8">
      <c r="A101" s="752" t="s">
        <v>1931</v>
      </c>
      <c r="B101" s="163">
        <f t="shared" si="39"/>
        <v>648770</v>
      </c>
      <c r="C101" s="759">
        <f t="shared" si="25"/>
        <v>108128.33333333333</v>
      </c>
      <c r="D101" s="759">
        <f t="shared" si="40"/>
        <v>216256.66666666666</v>
      </c>
      <c r="E101" s="869">
        <f t="shared" si="41"/>
        <v>571140</v>
      </c>
      <c r="F101" s="466">
        <f>(F205+D$3)</f>
        <v>554500</v>
      </c>
      <c r="G101" s="921"/>
      <c r="H101" s="921"/>
    </row>
    <row r="102" spans="1:8">
      <c r="A102" s="752" t="s">
        <v>1932</v>
      </c>
      <c r="B102" s="163">
        <f t="shared" si="39"/>
        <v>835380</v>
      </c>
      <c r="C102" s="759">
        <f t="shared" si="25"/>
        <v>139230</v>
      </c>
      <c r="D102" s="759">
        <f t="shared" si="40"/>
        <v>278460</v>
      </c>
      <c r="E102" s="869">
        <f t="shared" si="41"/>
        <v>735420</v>
      </c>
      <c r="F102" s="466">
        <f>(F206+D$3)</f>
        <v>714000</v>
      </c>
      <c r="G102" s="921"/>
      <c r="H102" s="921"/>
    </row>
    <row r="103" spans="1:8">
      <c r="A103" s="752" t="s">
        <v>1933</v>
      </c>
      <c r="B103" s="163">
        <f t="shared" si="39"/>
        <v>675680</v>
      </c>
      <c r="C103" s="759">
        <f t="shared" si="25"/>
        <v>112613.33333333333</v>
      </c>
      <c r="D103" s="759">
        <f t="shared" si="40"/>
        <v>225226.66666666666</v>
      </c>
      <c r="E103" s="869">
        <f t="shared" si="41"/>
        <v>594830</v>
      </c>
      <c r="F103" s="466">
        <f>(F207+D$3)</f>
        <v>577500</v>
      </c>
      <c r="G103" s="921"/>
      <c r="H103" s="921"/>
    </row>
    <row r="104" spans="1:8">
      <c r="A104" s="752" t="s">
        <v>1934</v>
      </c>
      <c r="B104" s="163">
        <f t="shared" si="39"/>
        <v>789170</v>
      </c>
      <c r="C104" s="759">
        <f t="shared" si="25"/>
        <v>131528.33333333334</v>
      </c>
      <c r="D104" s="759">
        <f t="shared" si="40"/>
        <v>263056.66666666669</v>
      </c>
      <c r="E104" s="869">
        <f t="shared" si="41"/>
        <v>694740</v>
      </c>
      <c r="F104" s="466">
        <f>(F208+D$4)</f>
        <v>674500</v>
      </c>
      <c r="G104" s="921"/>
      <c r="H104" s="921"/>
    </row>
    <row r="105" spans="1:8" ht="16.2" thickBot="1">
      <c r="A105" s="754" t="s">
        <v>1935</v>
      </c>
      <c r="B105" s="366">
        <f t="shared" si="39"/>
        <v>950630</v>
      </c>
      <c r="C105" s="760">
        <f t="shared" si="25"/>
        <v>158438.33333333334</v>
      </c>
      <c r="D105" s="760">
        <f t="shared" si="40"/>
        <v>316876.66666666669</v>
      </c>
      <c r="E105" s="873">
        <f t="shared" si="41"/>
        <v>836880</v>
      </c>
      <c r="F105" s="762">
        <f>(F209+D$4)</f>
        <v>812500</v>
      </c>
      <c r="G105" s="921"/>
      <c r="H105" s="921"/>
    </row>
    <row r="109" spans="1:8">
      <c r="A109" s="105" t="s">
        <v>1833</v>
      </c>
      <c r="B109" s="921"/>
      <c r="C109" s="921"/>
      <c r="D109" s="182"/>
      <c r="E109" s="172" t="s">
        <v>1936</v>
      </c>
      <c r="F109" s="172"/>
      <c r="H109" s="172"/>
    </row>
    <row r="110" spans="1:8" ht="16.2" thickBot="1">
      <c r="A110" s="105" t="s">
        <v>1836</v>
      </c>
      <c r="B110" s="921"/>
      <c r="C110" s="921"/>
      <c r="D110" s="767" t="s">
        <v>1937</v>
      </c>
      <c r="E110" s="768"/>
      <c r="F110" s="768"/>
      <c r="G110" s="757"/>
      <c r="H110" s="160"/>
    </row>
    <row r="111" spans="1:8" ht="16.2" thickBot="1">
      <c r="A111" s="737">
        <v>45854</v>
      </c>
      <c r="B111" s="1015" t="s">
        <v>1837</v>
      </c>
      <c r="C111" s="1016"/>
      <c r="D111" s="1016"/>
      <c r="E111" s="838"/>
      <c r="F111" s="866"/>
      <c r="H111" s="921"/>
    </row>
    <row r="112" spans="1:8" ht="16.2" thickBot="1">
      <c r="A112" s="738" t="s">
        <v>1838</v>
      </c>
      <c r="B112" s="851" t="s">
        <v>1839</v>
      </c>
      <c r="C112" s="161" t="s">
        <v>1840</v>
      </c>
      <c r="D112" s="865" t="s">
        <v>1841</v>
      </c>
      <c r="E112" s="867" t="s">
        <v>1842</v>
      </c>
      <c r="F112" s="874" t="s">
        <v>1843</v>
      </c>
      <c r="G112" s="921"/>
      <c r="H112" s="921"/>
    </row>
    <row r="113" spans="1:7">
      <c r="A113" s="739" t="s">
        <v>1844</v>
      </c>
      <c r="B113" s="569">
        <f>(B7-D$2)</f>
        <v>107710</v>
      </c>
      <c r="C113" s="860">
        <f t="shared" ref="C113:C115" si="42">(B113/6)</f>
        <v>17951.666666666668</v>
      </c>
      <c r="D113" s="860">
        <f>(B113/3)</f>
        <v>35903.333333333336</v>
      </c>
      <c r="E113" s="868">
        <f>(E7-D$2)</f>
        <v>93620</v>
      </c>
      <c r="F113" s="844">
        <f>('Acubat-Lubeck'!AL7)</f>
        <v>90600</v>
      </c>
      <c r="G113" s="921"/>
    </row>
    <row r="114" spans="1:7">
      <c r="A114" s="741" t="s">
        <v>1845</v>
      </c>
      <c r="B114" s="569">
        <f>(B8-D$2)</f>
        <v>136868</v>
      </c>
      <c r="C114" s="759">
        <f t="shared" si="42"/>
        <v>22811.333333333332</v>
      </c>
      <c r="D114" s="759">
        <f t="shared" ref="D114:D115" si="43">(B114/3)</f>
        <v>45622.666666666664</v>
      </c>
      <c r="E114" s="869">
        <f>(E8-D$2)</f>
        <v>121840</v>
      </c>
      <c r="F114" s="466">
        <f>(Moura!X5)</f>
        <v>118000</v>
      </c>
      <c r="G114" s="921"/>
    </row>
    <row r="115" spans="1:7">
      <c r="A115" s="742" t="s">
        <v>1846</v>
      </c>
      <c r="B115" s="569">
        <f>(B9-D$2)</f>
        <v>142100</v>
      </c>
      <c r="C115" s="857">
        <f t="shared" si="42"/>
        <v>23683.333333333332</v>
      </c>
      <c r="D115" s="857">
        <f t="shared" si="43"/>
        <v>47366.666666666664</v>
      </c>
      <c r="E115" s="870">
        <f>(E9-D$2)</f>
        <v>123900</v>
      </c>
      <c r="F115" s="466">
        <f>(Varta!W11)</f>
        <v>120000</v>
      </c>
      <c r="G115" s="921"/>
    </row>
    <row r="116" spans="1:7">
      <c r="A116" s="738" t="s">
        <v>1847</v>
      </c>
      <c r="B116" s="851" t="s">
        <v>1839</v>
      </c>
      <c r="C116" s="161" t="s">
        <v>1840</v>
      </c>
      <c r="D116" s="865" t="s">
        <v>1841</v>
      </c>
      <c r="E116" s="871" t="s">
        <v>1842</v>
      </c>
      <c r="F116" s="761" t="s">
        <v>1843</v>
      </c>
      <c r="G116" s="921"/>
    </row>
    <row r="117" spans="1:7">
      <c r="A117" s="739" t="s">
        <v>1848</v>
      </c>
      <c r="B117" s="569">
        <f>(B11-D$2)</f>
        <v>131460</v>
      </c>
      <c r="C117" s="860">
        <f t="shared" ref="C117:C120" si="44">(B117/6)</f>
        <v>21910</v>
      </c>
      <c r="D117" s="860">
        <f t="shared" ref="D117:D120" si="45">(B117/3)</f>
        <v>43820</v>
      </c>
      <c r="E117" s="868">
        <f>(E11-D$2)</f>
        <v>114530</v>
      </c>
      <c r="F117" s="466">
        <f>('Acubat-Lubeck'!AL8)</f>
        <v>110900</v>
      </c>
      <c r="G117" s="921"/>
    </row>
    <row r="118" spans="1:7">
      <c r="A118" s="742" t="s">
        <v>1849</v>
      </c>
      <c r="B118" s="569">
        <f>(B12-D$2)</f>
        <v>151948</v>
      </c>
      <c r="C118" s="759">
        <f t="shared" si="44"/>
        <v>25324.666666666668</v>
      </c>
      <c r="D118" s="759">
        <f t="shared" si="45"/>
        <v>50649.333333333336</v>
      </c>
      <c r="E118" s="869">
        <f>(E12-D$2)</f>
        <v>135230</v>
      </c>
      <c r="F118" s="466">
        <f>(Moura!X6)</f>
        <v>131000</v>
      </c>
      <c r="G118" s="921"/>
    </row>
    <row r="119" spans="1:7">
      <c r="A119" s="741" t="s">
        <v>1850</v>
      </c>
      <c r="B119" s="569">
        <f>(B13-D$2)</f>
        <v>163810</v>
      </c>
      <c r="C119" s="759">
        <f t="shared" si="44"/>
        <v>27301.666666666668</v>
      </c>
      <c r="D119" s="759">
        <f t="shared" si="45"/>
        <v>54603.333333333336</v>
      </c>
      <c r="E119" s="869">
        <f>(E13-D$2)</f>
        <v>143010</v>
      </c>
      <c r="F119" s="466">
        <f>('Willard - Elpra'!AA6)</f>
        <v>138550</v>
      </c>
      <c r="G119" s="921"/>
    </row>
    <row r="120" spans="1:7">
      <c r="A120" s="856" t="s">
        <v>1851</v>
      </c>
      <c r="B120" s="569">
        <f>(B14-D$2)</f>
        <v>156140</v>
      </c>
      <c r="C120" s="857">
        <f t="shared" si="44"/>
        <v>26023.333333333332</v>
      </c>
      <c r="D120" s="857">
        <f t="shared" si="45"/>
        <v>52046.666666666664</v>
      </c>
      <c r="E120" s="870">
        <f>(E14-D$2)</f>
        <v>136260</v>
      </c>
      <c r="F120" s="466">
        <f>(Varta!W13)</f>
        <v>132000</v>
      </c>
      <c r="G120" s="921"/>
    </row>
    <row r="121" spans="1:7">
      <c r="A121" s="738" t="s">
        <v>1852</v>
      </c>
      <c r="B121" s="851" t="s">
        <v>1839</v>
      </c>
      <c r="C121" s="161" t="s">
        <v>1840</v>
      </c>
      <c r="D121" s="865" t="s">
        <v>1841</v>
      </c>
      <c r="E121" s="871" t="s">
        <v>1842</v>
      </c>
      <c r="F121" s="761" t="s">
        <v>1843</v>
      </c>
      <c r="G121" s="921"/>
    </row>
    <row r="122" spans="1:7">
      <c r="A122" s="859" t="s">
        <v>1853</v>
      </c>
      <c r="B122" s="569">
        <f t="shared" ref="B122:B128" si="46">(B16-D$2)</f>
        <v>105830</v>
      </c>
      <c r="C122" s="860">
        <f t="shared" ref="C122:C128" si="47">(B122/6)</f>
        <v>17638.333333333332</v>
      </c>
      <c r="D122" s="860">
        <f t="shared" ref="D122:D128" si="48">(B122/3)</f>
        <v>35276.666666666664</v>
      </c>
      <c r="E122" s="868">
        <f t="shared" ref="E122:E128" si="49">(E16-D$2)</f>
        <v>91970</v>
      </c>
      <c r="F122" s="466">
        <f>('Acubat-Lubeck'!AL22)</f>
        <v>89000</v>
      </c>
      <c r="G122" s="921"/>
    </row>
    <row r="123" spans="1:7">
      <c r="A123" s="739" t="s">
        <v>1854</v>
      </c>
      <c r="B123" s="569">
        <f t="shared" si="46"/>
        <v>123210</v>
      </c>
      <c r="C123" s="759">
        <f t="shared" si="47"/>
        <v>20535</v>
      </c>
      <c r="D123" s="759">
        <f t="shared" si="48"/>
        <v>41070</v>
      </c>
      <c r="E123" s="869">
        <f t="shared" si="49"/>
        <v>107270</v>
      </c>
      <c r="F123" s="466">
        <f>('Acubat-Lubeck'!AL9)</f>
        <v>103850</v>
      </c>
      <c r="G123" s="921"/>
    </row>
    <row r="124" spans="1:7">
      <c r="A124" s="742" t="s">
        <v>1855</v>
      </c>
      <c r="B124" s="569">
        <f t="shared" si="46"/>
        <v>135730</v>
      </c>
      <c r="C124" s="759">
        <f t="shared" si="47"/>
        <v>22621.666666666668</v>
      </c>
      <c r="D124" s="759">
        <f t="shared" si="48"/>
        <v>45243.333333333336</v>
      </c>
      <c r="E124" s="869">
        <f t="shared" si="49"/>
        <v>118290</v>
      </c>
      <c r="F124" s="466">
        <f>('Acubat-Lubeck'!AL10)</f>
        <v>114550</v>
      </c>
      <c r="G124" s="921"/>
    </row>
    <row r="125" spans="1:7">
      <c r="A125" s="742" t="s">
        <v>1856</v>
      </c>
      <c r="B125" s="569">
        <f t="shared" si="46"/>
        <v>146148</v>
      </c>
      <c r="C125" s="759">
        <f t="shared" si="47"/>
        <v>24358</v>
      </c>
      <c r="D125" s="759">
        <f t="shared" si="48"/>
        <v>48716</v>
      </c>
      <c r="E125" s="869">
        <f t="shared" si="49"/>
        <v>130080</v>
      </c>
      <c r="F125" s="466">
        <f>(Moura!X7)</f>
        <v>126000</v>
      </c>
      <c r="G125" s="921"/>
    </row>
    <row r="126" spans="1:7">
      <c r="A126" s="742" t="s">
        <v>1857</v>
      </c>
      <c r="B126" s="569">
        <f t="shared" si="46"/>
        <v>165868</v>
      </c>
      <c r="C126" s="759">
        <f t="shared" si="47"/>
        <v>27644.666666666668</v>
      </c>
      <c r="D126" s="759">
        <f t="shared" si="48"/>
        <v>55289.333333333336</v>
      </c>
      <c r="E126" s="869">
        <f t="shared" si="49"/>
        <v>147590</v>
      </c>
      <c r="F126" s="466">
        <f>(Moura!X8)</f>
        <v>143000</v>
      </c>
      <c r="G126" s="921"/>
    </row>
    <row r="127" spans="1:7">
      <c r="A127" s="742" t="s">
        <v>1858</v>
      </c>
      <c r="B127" s="569">
        <f t="shared" si="46"/>
        <v>159480</v>
      </c>
      <c r="C127" s="759">
        <f t="shared" si="47"/>
        <v>26580</v>
      </c>
      <c r="D127" s="759">
        <f t="shared" si="48"/>
        <v>53160</v>
      </c>
      <c r="E127" s="869">
        <f t="shared" si="49"/>
        <v>139200</v>
      </c>
      <c r="F127" s="466">
        <f>('Willard - Elpra'!AA8)</f>
        <v>134850</v>
      </c>
      <c r="G127" s="921"/>
    </row>
    <row r="128" spans="1:7">
      <c r="A128" s="753" t="s">
        <v>1859</v>
      </c>
      <c r="B128" s="569">
        <f t="shared" si="46"/>
        <v>169010</v>
      </c>
      <c r="C128" s="857">
        <f t="shared" si="47"/>
        <v>28168.333333333332</v>
      </c>
      <c r="D128" s="857">
        <f t="shared" si="48"/>
        <v>56336.666666666664</v>
      </c>
      <c r="E128" s="870">
        <f t="shared" si="49"/>
        <v>147590</v>
      </c>
      <c r="F128" s="466">
        <f>(Varta!W15)</f>
        <v>143000</v>
      </c>
      <c r="G128" s="921"/>
    </row>
    <row r="129" spans="1:7">
      <c r="A129" s="738" t="s">
        <v>1860</v>
      </c>
      <c r="B129" s="851" t="s">
        <v>1839</v>
      </c>
      <c r="C129" s="161" t="s">
        <v>1840</v>
      </c>
      <c r="D129" s="865" t="s">
        <v>1841</v>
      </c>
      <c r="E129" s="871" t="s">
        <v>1842</v>
      </c>
      <c r="F129" s="761" t="s">
        <v>1843</v>
      </c>
      <c r="G129" s="921"/>
    </row>
    <row r="130" spans="1:7">
      <c r="A130" s="861" t="s">
        <v>1861</v>
      </c>
      <c r="B130" s="569">
        <f>(B24-D$2)</f>
        <v>141580</v>
      </c>
      <c r="C130" s="860">
        <f t="shared" ref="C130:C134" si="50">(B130/6)</f>
        <v>23596.666666666668</v>
      </c>
      <c r="D130" s="860">
        <f t="shared" ref="D130:D134" si="51">(B130/3)</f>
        <v>47193.333333333336</v>
      </c>
      <c r="E130" s="868">
        <f>(E24-D$2)</f>
        <v>123440</v>
      </c>
      <c r="F130" s="466">
        <f>('Acubat-Lubeck'!AL11)</f>
        <v>119550</v>
      </c>
      <c r="G130" s="921"/>
    </row>
    <row r="131" spans="1:7">
      <c r="A131" s="742" t="s">
        <v>1862</v>
      </c>
      <c r="B131" s="569">
        <f>(B25-D$2)</f>
        <v>172828</v>
      </c>
      <c r="C131" s="759">
        <f t="shared" si="50"/>
        <v>28804.666666666668</v>
      </c>
      <c r="D131" s="759">
        <f t="shared" si="51"/>
        <v>57609.333333333336</v>
      </c>
      <c r="E131" s="869">
        <f>(E25-D$2)</f>
        <v>153770</v>
      </c>
      <c r="F131" s="466">
        <f>(Moura!X10)</f>
        <v>149000</v>
      </c>
      <c r="G131" s="921"/>
    </row>
    <row r="132" spans="1:7">
      <c r="A132" s="742" t="s">
        <v>1863</v>
      </c>
      <c r="B132" s="569">
        <f>(B26-D$2)</f>
        <v>194580</v>
      </c>
      <c r="C132" s="759">
        <f t="shared" si="50"/>
        <v>32430</v>
      </c>
      <c r="D132" s="759">
        <f t="shared" si="51"/>
        <v>64860</v>
      </c>
      <c r="E132" s="869">
        <f>(E26-D$2)</f>
        <v>170100</v>
      </c>
      <c r="F132" s="466">
        <f>('Willard - Elpra'!AA9)</f>
        <v>164850</v>
      </c>
      <c r="G132" s="921"/>
    </row>
    <row r="133" spans="1:7">
      <c r="A133" s="742" t="s">
        <v>1864</v>
      </c>
      <c r="B133" s="569">
        <f>(B27-D$2)</f>
        <v>178370</v>
      </c>
      <c r="C133" s="759">
        <f t="shared" si="50"/>
        <v>29728.333333333332</v>
      </c>
      <c r="D133" s="759">
        <f t="shared" si="51"/>
        <v>59456.666666666664</v>
      </c>
      <c r="E133" s="869">
        <f>(E27-D$2)</f>
        <v>155830</v>
      </c>
      <c r="F133" s="466">
        <f>(Varta!W14)</f>
        <v>151000</v>
      </c>
      <c r="G133" s="921"/>
    </row>
    <row r="134" spans="1:7">
      <c r="A134" s="753" t="s">
        <v>1865</v>
      </c>
      <c r="B134" s="569">
        <f>(B28-D$2)</f>
        <v>208790</v>
      </c>
      <c r="C134" s="857">
        <f t="shared" si="50"/>
        <v>34798.333333333336</v>
      </c>
      <c r="D134" s="857">
        <f t="shared" si="51"/>
        <v>69596.666666666672</v>
      </c>
      <c r="E134" s="870">
        <f>(E28-D$2)</f>
        <v>182610</v>
      </c>
      <c r="F134" s="466">
        <f>(Varta!W4)</f>
        <v>177000</v>
      </c>
      <c r="G134" s="921"/>
    </row>
    <row r="135" spans="1:7">
      <c r="A135" s="738" t="s">
        <v>1866</v>
      </c>
      <c r="B135" s="851" t="s">
        <v>1839</v>
      </c>
      <c r="C135" s="161" t="s">
        <v>1840</v>
      </c>
      <c r="D135" s="865" t="s">
        <v>1841</v>
      </c>
      <c r="E135" s="871" t="s">
        <v>1842</v>
      </c>
      <c r="F135" s="761" t="s">
        <v>1843</v>
      </c>
      <c r="G135" s="921"/>
    </row>
    <row r="136" spans="1:7">
      <c r="A136" s="859" t="s">
        <v>1867</v>
      </c>
      <c r="B136" s="569">
        <f t="shared" ref="B136:B147" si="52">(B30-D$2)</f>
        <v>129230</v>
      </c>
      <c r="C136" s="860">
        <f t="shared" ref="C136:C147" si="53">(B136/6)</f>
        <v>21538.333333333332</v>
      </c>
      <c r="D136" s="860">
        <f t="shared" ref="D136:D147" si="54">(B136/3)</f>
        <v>43076.666666666664</v>
      </c>
      <c r="E136" s="868">
        <f t="shared" ref="E136:E147" si="55">(E30-D$2)</f>
        <v>112570</v>
      </c>
      <c r="F136" s="466">
        <f>('Acubat-Lubeck'!AL23)</f>
        <v>109000</v>
      </c>
      <c r="G136" s="921"/>
    </row>
    <row r="137" spans="1:7">
      <c r="A137" s="739" t="s">
        <v>1868</v>
      </c>
      <c r="B137" s="569">
        <f t="shared" si="52"/>
        <v>148250</v>
      </c>
      <c r="C137" s="759">
        <f t="shared" si="53"/>
        <v>24708.333333333332</v>
      </c>
      <c r="D137" s="759">
        <f t="shared" si="54"/>
        <v>49416.666666666664</v>
      </c>
      <c r="E137" s="869">
        <f t="shared" si="55"/>
        <v>129310</v>
      </c>
      <c r="F137" s="466">
        <f>('Acubat-Lubeck'!AL12)</f>
        <v>125250</v>
      </c>
      <c r="G137" s="921"/>
    </row>
    <row r="138" spans="1:7">
      <c r="A138" s="742" t="s">
        <v>1869</v>
      </c>
      <c r="B138" s="569">
        <f t="shared" si="52"/>
        <v>151700</v>
      </c>
      <c r="C138" s="759">
        <f t="shared" si="53"/>
        <v>25283.333333333332</v>
      </c>
      <c r="D138" s="759">
        <f t="shared" si="54"/>
        <v>50566.666666666664</v>
      </c>
      <c r="E138" s="869">
        <f t="shared" si="55"/>
        <v>132350</v>
      </c>
      <c r="F138" s="466">
        <f>('Acubat-Lubeck'!AL13)</f>
        <v>128200</v>
      </c>
      <c r="G138" s="921"/>
    </row>
    <row r="139" spans="1:7">
      <c r="A139" s="742" t="s">
        <v>1870</v>
      </c>
      <c r="B139" s="569">
        <f t="shared" si="52"/>
        <v>185588</v>
      </c>
      <c r="C139" s="759">
        <f t="shared" si="53"/>
        <v>30931.333333333332</v>
      </c>
      <c r="D139" s="759">
        <f t="shared" si="54"/>
        <v>61862.666666666664</v>
      </c>
      <c r="E139" s="869">
        <f t="shared" si="55"/>
        <v>165100</v>
      </c>
      <c r="F139" s="466">
        <f>(Moura!X12)</f>
        <v>160000</v>
      </c>
      <c r="G139" s="921"/>
    </row>
    <row r="140" spans="1:7">
      <c r="A140" s="742" t="s">
        <v>1871</v>
      </c>
      <c r="B140" s="569">
        <f t="shared" si="52"/>
        <v>195570</v>
      </c>
      <c r="C140" s="759">
        <f t="shared" si="53"/>
        <v>32595</v>
      </c>
      <c r="D140" s="759">
        <f t="shared" si="54"/>
        <v>65190</v>
      </c>
      <c r="E140" s="869">
        <f t="shared" si="55"/>
        <v>170980</v>
      </c>
      <c r="F140" s="466">
        <f>('Willard - Elpra'!AA10)</f>
        <v>165700</v>
      </c>
      <c r="G140" s="921"/>
    </row>
    <row r="141" spans="1:7">
      <c r="A141" s="742" t="s">
        <v>1872</v>
      </c>
      <c r="B141" s="569">
        <f t="shared" si="52"/>
        <v>198348</v>
      </c>
      <c r="C141" s="759">
        <f t="shared" si="53"/>
        <v>33058</v>
      </c>
      <c r="D141" s="759">
        <f t="shared" si="54"/>
        <v>66116</v>
      </c>
      <c r="E141" s="869">
        <f t="shared" si="55"/>
        <v>176430</v>
      </c>
      <c r="F141" s="466">
        <f>(Moura!X13)</f>
        <v>171000</v>
      </c>
      <c r="G141" s="921"/>
    </row>
    <row r="142" spans="1:7">
      <c r="A142" s="742" t="s">
        <v>1873</v>
      </c>
      <c r="B142" s="569">
        <f t="shared" si="52"/>
        <v>200490</v>
      </c>
      <c r="C142" s="759">
        <f t="shared" si="53"/>
        <v>33415</v>
      </c>
      <c r="D142" s="759">
        <f t="shared" si="54"/>
        <v>66830</v>
      </c>
      <c r="E142" s="869">
        <f t="shared" si="55"/>
        <v>175300</v>
      </c>
      <c r="F142" s="466">
        <f>(Varta!W16)</f>
        <v>169900</v>
      </c>
      <c r="G142" s="921"/>
    </row>
    <row r="143" spans="1:7">
      <c r="A143" s="742" t="s">
        <v>1874</v>
      </c>
      <c r="B143" s="569">
        <f t="shared" si="52"/>
        <v>185750</v>
      </c>
      <c r="C143" s="759">
        <f t="shared" si="53"/>
        <v>30958.333333333332</v>
      </c>
      <c r="D143" s="759">
        <f t="shared" si="54"/>
        <v>61916.666666666664</v>
      </c>
      <c r="E143" s="869">
        <f t="shared" si="55"/>
        <v>162320</v>
      </c>
      <c r="F143" s="466">
        <f>('Acubat-Lubeck'!AL14)</f>
        <v>157300</v>
      </c>
      <c r="G143" s="921"/>
    </row>
    <row r="144" spans="1:7">
      <c r="A144" s="742" t="s">
        <v>1875</v>
      </c>
      <c r="B144" s="569">
        <f t="shared" si="52"/>
        <v>205308</v>
      </c>
      <c r="C144" s="759">
        <f t="shared" si="53"/>
        <v>34218</v>
      </c>
      <c r="D144" s="759">
        <f t="shared" si="54"/>
        <v>68436</v>
      </c>
      <c r="E144" s="869">
        <f t="shared" si="55"/>
        <v>182610</v>
      </c>
      <c r="F144" s="466">
        <f>(Moura!X15)</f>
        <v>177000</v>
      </c>
      <c r="G144" s="921"/>
    </row>
    <row r="145" spans="1:8">
      <c r="A145" s="742" t="s">
        <v>1876</v>
      </c>
      <c r="B145" s="569">
        <f t="shared" si="52"/>
        <v>243720</v>
      </c>
      <c r="C145" s="759">
        <f t="shared" si="53"/>
        <v>40620</v>
      </c>
      <c r="D145" s="759">
        <f t="shared" si="54"/>
        <v>81240</v>
      </c>
      <c r="E145" s="869">
        <f t="shared" si="55"/>
        <v>213360</v>
      </c>
      <c r="F145" s="466">
        <f>('Willard - Elpra'!AA11)</f>
        <v>206850</v>
      </c>
      <c r="G145" s="921"/>
      <c r="H145" s="921"/>
    </row>
    <row r="146" spans="1:8">
      <c r="A146" s="742" t="s">
        <v>1877</v>
      </c>
      <c r="B146" s="569">
        <f t="shared" si="52"/>
        <v>220490</v>
      </c>
      <c r="C146" s="759">
        <f t="shared" si="53"/>
        <v>36748.333333333336</v>
      </c>
      <c r="D146" s="759">
        <f t="shared" si="54"/>
        <v>73496.666666666672</v>
      </c>
      <c r="E146" s="869">
        <f t="shared" si="55"/>
        <v>192910</v>
      </c>
      <c r="F146" s="466">
        <f>(Varta!W7)</f>
        <v>187000</v>
      </c>
      <c r="G146" s="921"/>
      <c r="H146" s="921"/>
    </row>
    <row r="147" spans="1:8">
      <c r="A147" s="753" t="s">
        <v>1878</v>
      </c>
      <c r="B147" s="569">
        <f t="shared" si="52"/>
        <v>231988</v>
      </c>
      <c r="C147" s="857">
        <f t="shared" si="53"/>
        <v>38664.666666666664</v>
      </c>
      <c r="D147" s="857">
        <f t="shared" si="54"/>
        <v>77329.333333333328</v>
      </c>
      <c r="E147" s="870">
        <f t="shared" si="55"/>
        <v>206300</v>
      </c>
      <c r="F147" s="466">
        <f>(Moura!X21)</f>
        <v>200000</v>
      </c>
      <c r="G147" s="921"/>
      <c r="H147" s="921"/>
    </row>
    <row r="148" spans="1:8">
      <c r="A148" s="738" t="s">
        <v>1879</v>
      </c>
      <c r="B148" s="851" t="s">
        <v>1839</v>
      </c>
      <c r="C148" s="161" t="s">
        <v>1840</v>
      </c>
      <c r="D148" s="865" t="s">
        <v>1841</v>
      </c>
      <c r="E148" s="871" t="s">
        <v>1842</v>
      </c>
      <c r="F148" s="761" t="s">
        <v>1843</v>
      </c>
      <c r="G148" s="921"/>
      <c r="H148" s="921"/>
    </row>
    <row r="149" spans="1:8">
      <c r="A149" s="861" t="s">
        <v>1880</v>
      </c>
      <c r="B149" s="569">
        <f>(B43-D$3)</f>
        <v>250310</v>
      </c>
      <c r="C149" s="860">
        <f t="shared" ref="C149:C152" si="56">(B149/6)</f>
        <v>41718.333333333336</v>
      </c>
      <c r="D149" s="860">
        <f t="shared" ref="D149:D152" si="57">(B149/3)</f>
        <v>83436.666666666672</v>
      </c>
      <c r="E149" s="868">
        <f>(E43-D$3)</f>
        <v>218680</v>
      </c>
      <c r="F149" s="466">
        <f>('Acubat-Lubeck'!AL16)</f>
        <v>211900</v>
      </c>
      <c r="G149" s="921"/>
      <c r="H149" s="921"/>
    </row>
    <row r="150" spans="1:8">
      <c r="A150" s="739" t="s">
        <v>1881</v>
      </c>
      <c r="B150" s="569">
        <f>(B44-D$3)</f>
        <v>316668</v>
      </c>
      <c r="C150" s="759">
        <f t="shared" si="56"/>
        <v>52778</v>
      </c>
      <c r="D150" s="759">
        <f t="shared" si="57"/>
        <v>105556</v>
      </c>
      <c r="E150" s="869">
        <f>(E44-D$3)</f>
        <v>281610</v>
      </c>
      <c r="F150" s="466">
        <f>(Moura!X25)</f>
        <v>273000</v>
      </c>
      <c r="G150" s="921"/>
      <c r="H150" s="921"/>
    </row>
    <row r="151" spans="1:8">
      <c r="A151" s="742" t="s">
        <v>1882</v>
      </c>
      <c r="B151" s="569">
        <f>(B45-D$3)</f>
        <v>322960</v>
      </c>
      <c r="C151" s="759">
        <f t="shared" si="56"/>
        <v>53826.666666666664</v>
      </c>
      <c r="D151" s="759">
        <f t="shared" si="57"/>
        <v>107653.33333333333</v>
      </c>
      <c r="E151" s="869">
        <f>(E45-D$3)</f>
        <v>282640</v>
      </c>
      <c r="F151" s="466">
        <f>(Varta!W20)</f>
        <v>274000</v>
      </c>
      <c r="G151" s="921"/>
      <c r="H151" s="921"/>
    </row>
    <row r="152" spans="1:8">
      <c r="A152" s="753" t="s">
        <v>1883</v>
      </c>
      <c r="B152" s="569">
        <f>(B46-D$3)</f>
        <v>336540</v>
      </c>
      <c r="C152" s="857">
        <f t="shared" si="56"/>
        <v>56090</v>
      </c>
      <c r="D152" s="857">
        <f t="shared" si="57"/>
        <v>112180</v>
      </c>
      <c r="E152" s="870">
        <f>(E46-D$3)</f>
        <v>294590</v>
      </c>
      <c r="F152" s="466">
        <f>('Willard - Elpra'!AA12)</f>
        <v>285600</v>
      </c>
      <c r="G152" s="921"/>
      <c r="H152" s="921"/>
    </row>
    <row r="153" spans="1:8">
      <c r="A153" s="738" t="s">
        <v>1884</v>
      </c>
      <c r="B153" s="851" t="s">
        <v>1839</v>
      </c>
      <c r="C153" s="161" t="s">
        <v>1840</v>
      </c>
      <c r="D153" s="865" t="s">
        <v>1841</v>
      </c>
      <c r="E153" s="871" t="s">
        <v>1842</v>
      </c>
      <c r="F153" s="761" t="s">
        <v>1843</v>
      </c>
      <c r="G153" s="921"/>
      <c r="H153" s="921"/>
    </row>
    <row r="154" spans="1:8">
      <c r="A154" s="862" t="s">
        <v>1885</v>
      </c>
      <c r="B154" s="569">
        <f>(B48-D$3)</f>
        <v>243400</v>
      </c>
      <c r="C154" s="860">
        <f t="shared" ref="C154:C156" si="58">(B154/6)</f>
        <v>40566.666666666664</v>
      </c>
      <c r="D154" s="860">
        <f t="shared" ref="D154:D156" si="59">(B154/3)</f>
        <v>81133.333333333328</v>
      </c>
      <c r="E154" s="868">
        <f>(E48-D$3)</f>
        <v>212600</v>
      </c>
      <c r="F154" s="466">
        <f>('Acubat-Lubeck'!AL15)</f>
        <v>206000</v>
      </c>
      <c r="G154" s="921"/>
      <c r="H154" s="921"/>
    </row>
    <row r="155" spans="1:8">
      <c r="A155" s="739" t="s">
        <v>1886</v>
      </c>
      <c r="B155" s="569">
        <f>(B49-D$3)</f>
        <v>272588</v>
      </c>
      <c r="C155" s="759">
        <f t="shared" si="58"/>
        <v>45431.333333333336</v>
      </c>
      <c r="D155" s="759">
        <f t="shared" si="59"/>
        <v>90862.666666666672</v>
      </c>
      <c r="E155" s="869">
        <f>(E49-D$3)</f>
        <v>242470</v>
      </c>
      <c r="F155" s="466">
        <f>(Moura!X24)</f>
        <v>235000</v>
      </c>
      <c r="G155" s="921"/>
      <c r="H155" s="921"/>
    </row>
    <row r="156" spans="1:8">
      <c r="A156" s="753" t="s">
        <v>1887</v>
      </c>
      <c r="B156" s="569">
        <f>(B50-D$3)</f>
        <v>283180</v>
      </c>
      <c r="C156" s="857">
        <f t="shared" si="58"/>
        <v>47196.666666666664</v>
      </c>
      <c r="D156" s="857">
        <f t="shared" si="59"/>
        <v>94393.333333333328</v>
      </c>
      <c r="E156" s="870">
        <f>(E50-D$3)</f>
        <v>247620</v>
      </c>
      <c r="F156" s="466">
        <f>(Varta!W8)</f>
        <v>240000</v>
      </c>
      <c r="G156" s="921"/>
      <c r="H156" s="921"/>
    </row>
    <row r="157" spans="1:8">
      <c r="A157" s="875" t="s">
        <v>1888</v>
      </c>
      <c r="B157" s="851" t="s">
        <v>1839</v>
      </c>
      <c r="C157" s="161" t="s">
        <v>1840</v>
      </c>
      <c r="D157" s="865" t="s">
        <v>1841</v>
      </c>
      <c r="E157" s="871" t="s">
        <v>1842</v>
      </c>
      <c r="F157" s="761" t="s">
        <v>1843</v>
      </c>
      <c r="G157" s="921"/>
      <c r="H157" s="921"/>
    </row>
    <row r="158" spans="1:8">
      <c r="A158" s="861" t="s">
        <v>1889</v>
      </c>
      <c r="B158" s="569">
        <f t="shared" ref="B158:B165" si="60">(B52-D$2)</f>
        <v>269630</v>
      </c>
      <c r="C158" s="860">
        <f t="shared" ref="C158:C165" si="61">(B158/6)</f>
        <v>44938.333333333336</v>
      </c>
      <c r="D158" s="860">
        <f t="shared" ref="D158:D165" si="62">(B158/3)</f>
        <v>89876.666666666672</v>
      </c>
      <c r="E158" s="868">
        <f t="shared" ref="E158:E165" si="63">(E52-D$2)</f>
        <v>236170</v>
      </c>
      <c r="F158" s="466">
        <f>(Varta!W30)</f>
        <v>229000</v>
      </c>
      <c r="G158" s="921"/>
      <c r="H158" s="921"/>
    </row>
    <row r="159" spans="1:8">
      <c r="A159" s="744" t="s">
        <v>1890</v>
      </c>
      <c r="B159" s="569">
        <f t="shared" si="60"/>
        <v>265628</v>
      </c>
      <c r="C159" s="759">
        <f t="shared" si="61"/>
        <v>44271.333333333336</v>
      </c>
      <c r="D159" s="759">
        <f t="shared" si="62"/>
        <v>88542.666666666672</v>
      </c>
      <c r="E159" s="869">
        <f t="shared" si="63"/>
        <v>236170</v>
      </c>
      <c r="F159" s="466">
        <f>(Moura!X31)</f>
        <v>229000</v>
      </c>
      <c r="G159" s="921"/>
      <c r="H159" s="921"/>
    </row>
    <row r="160" spans="1:8">
      <c r="A160" s="744" t="s">
        <v>1891</v>
      </c>
      <c r="B160" s="569">
        <f t="shared" si="60"/>
        <v>273140</v>
      </c>
      <c r="C160" s="759">
        <f t="shared" si="61"/>
        <v>45523.333333333336</v>
      </c>
      <c r="D160" s="759">
        <f t="shared" si="62"/>
        <v>91046.666666666672</v>
      </c>
      <c r="E160" s="869">
        <f t="shared" si="63"/>
        <v>239260</v>
      </c>
      <c r="F160" s="466">
        <f>('Willard - Elpra'!AA18)</f>
        <v>232000</v>
      </c>
      <c r="G160" s="921"/>
      <c r="H160" s="921"/>
    </row>
    <row r="161" spans="1:8">
      <c r="A161" s="742" t="s">
        <v>1892</v>
      </c>
      <c r="B161" s="569">
        <f t="shared" si="60"/>
        <v>329300</v>
      </c>
      <c r="C161" s="759">
        <f t="shared" si="61"/>
        <v>54883.333333333336</v>
      </c>
      <c r="D161" s="759">
        <f t="shared" si="62"/>
        <v>109766.66666666667</v>
      </c>
      <c r="E161" s="869">
        <f t="shared" si="63"/>
        <v>288700</v>
      </c>
      <c r="F161" s="466">
        <f>(Varta!W31)</f>
        <v>280000</v>
      </c>
      <c r="G161" s="921"/>
      <c r="H161" s="921"/>
    </row>
    <row r="162" spans="1:8">
      <c r="A162" s="742" t="s">
        <v>1893</v>
      </c>
      <c r="B162" s="569">
        <f t="shared" si="60"/>
        <v>337548</v>
      </c>
      <c r="C162" s="759">
        <f>(B162/6)</f>
        <v>56258</v>
      </c>
      <c r="D162" s="759">
        <f>(B162/3)</f>
        <v>112516</v>
      </c>
      <c r="E162" s="869">
        <f t="shared" si="63"/>
        <v>300030</v>
      </c>
      <c r="F162" s="466">
        <f>(Moura!X32)</f>
        <v>291000</v>
      </c>
      <c r="G162" s="921"/>
      <c r="H162" s="921"/>
    </row>
    <row r="163" spans="1:8">
      <c r="A163" s="742" t="s">
        <v>1894</v>
      </c>
      <c r="B163" s="569">
        <f t="shared" si="60"/>
        <v>329300</v>
      </c>
      <c r="C163" s="759">
        <f>(B163/6)</f>
        <v>54883.333333333336</v>
      </c>
      <c r="D163" s="759">
        <f>(B163/3)</f>
        <v>109766.66666666667</v>
      </c>
      <c r="E163" s="869">
        <f t="shared" si="63"/>
        <v>288700</v>
      </c>
      <c r="F163" s="466">
        <f>('Willard - Elpra'!AA19)</f>
        <v>280000</v>
      </c>
      <c r="G163" s="921"/>
      <c r="H163" s="921"/>
    </row>
    <row r="164" spans="1:8">
      <c r="A164" s="742" t="s">
        <v>1895</v>
      </c>
      <c r="B164" s="569">
        <f t="shared" si="60"/>
        <v>425708</v>
      </c>
      <c r="C164" s="759">
        <f t="shared" si="61"/>
        <v>70951.333333333328</v>
      </c>
      <c r="D164" s="759">
        <f t="shared" si="62"/>
        <v>141902.66666666666</v>
      </c>
      <c r="E164" s="869">
        <f t="shared" si="63"/>
        <v>378310</v>
      </c>
      <c r="F164" s="466">
        <f>(Moura!X33)</f>
        <v>367000</v>
      </c>
      <c r="G164" s="921"/>
      <c r="H164" s="921"/>
    </row>
    <row r="165" spans="1:8" ht="16.2" thickBot="1">
      <c r="A165" s="745" t="s">
        <v>1896</v>
      </c>
      <c r="B165" s="575">
        <f t="shared" si="60"/>
        <v>532428</v>
      </c>
      <c r="C165" s="760">
        <f t="shared" si="61"/>
        <v>88738</v>
      </c>
      <c r="D165" s="760">
        <f t="shared" si="62"/>
        <v>177476</v>
      </c>
      <c r="E165" s="873">
        <f t="shared" si="63"/>
        <v>473070</v>
      </c>
      <c r="F165" s="762">
        <f>(Moura!X34)</f>
        <v>459000</v>
      </c>
      <c r="G165" s="921"/>
      <c r="H165" s="921"/>
    </row>
    <row r="166" spans="1:8">
      <c r="A166" s="170"/>
      <c r="B166" s="171"/>
      <c r="C166" s="171"/>
      <c r="D166" s="171"/>
      <c r="E166" s="171"/>
      <c r="F166" s="171"/>
      <c r="G166" s="171"/>
      <c r="H166" s="171"/>
    </row>
    <row r="167" spans="1:8">
      <c r="A167" s="170"/>
      <c r="B167" s="171"/>
      <c r="C167" s="171"/>
      <c r="D167" s="171"/>
      <c r="E167" s="171"/>
      <c r="F167" s="171"/>
      <c r="G167" s="171"/>
      <c r="H167" s="171"/>
    </row>
    <row r="168" spans="1:8">
      <c r="A168" s="170"/>
      <c r="B168" s="171"/>
      <c r="C168" s="171"/>
      <c r="D168" s="171"/>
      <c r="E168" s="172" t="s">
        <v>1938</v>
      </c>
      <c r="F168" s="172"/>
      <c r="G168" s="171"/>
      <c r="H168" s="171"/>
    </row>
    <row r="169" spans="1:8">
      <c r="A169" s="105" t="s">
        <v>1833</v>
      </c>
      <c r="B169" s="160"/>
      <c r="C169" s="160"/>
      <c r="D169" s="767" t="s">
        <v>1937</v>
      </c>
      <c r="E169" s="770"/>
      <c r="F169" s="770"/>
      <c r="H169" s="172"/>
    </row>
    <row r="170" spans="1:8" ht="16.2" thickBot="1">
      <c r="A170" s="105" t="s">
        <v>1836</v>
      </c>
      <c r="B170" s="160"/>
      <c r="C170" s="160"/>
      <c r="D170" s="921"/>
      <c r="E170" s="186"/>
      <c r="F170" s="186"/>
      <c r="G170" s="755"/>
      <c r="H170" s="921"/>
    </row>
    <row r="171" spans="1:8" ht="16.2" thickBot="1">
      <c r="A171" s="737">
        <v>45854</v>
      </c>
      <c r="B171" s="1015" t="s">
        <v>1837</v>
      </c>
      <c r="C171" s="1016"/>
      <c r="D171" s="1016"/>
      <c r="E171" s="1017"/>
      <c r="F171" s="866"/>
      <c r="H171" s="921"/>
    </row>
    <row r="172" spans="1:8">
      <c r="A172" s="855" t="s">
        <v>1898</v>
      </c>
      <c r="B172" s="851" t="s">
        <v>1839</v>
      </c>
      <c r="C172" s="161" t="s">
        <v>1840</v>
      </c>
      <c r="D172" s="865" t="s">
        <v>1841</v>
      </c>
      <c r="E172" s="867" t="s">
        <v>1842</v>
      </c>
      <c r="F172" s="837" t="s">
        <v>1843</v>
      </c>
      <c r="G172" s="921"/>
      <c r="H172" s="921"/>
    </row>
    <row r="173" spans="1:8">
      <c r="A173" s="861" t="s">
        <v>1899</v>
      </c>
      <c r="B173" s="569">
        <f t="shared" ref="B173:B178" si="64">(B69-D$2)</f>
        <v>144210</v>
      </c>
      <c r="C173" s="860">
        <f t="shared" ref="C173:C183" si="65">(B173/6)</f>
        <v>24035</v>
      </c>
      <c r="D173" s="860">
        <f t="shared" ref="D173:D183" si="66">(B173/3)</f>
        <v>48070</v>
      </c>
      <c r="E173" s="868">
        <f t="shared" ref="E173:E178" si="67">(E69-D$2)</f>
        <v>125760</v>
      </c>
      <c r="F173" s="466">
        <f>('Willard - Elpra'!AA4)</f>
        <v>121800</v>
      </c>
      <c r="G173" s="921"/>
      <c r="H173" s="921"/>
    </row>
    <row r="174" spans="1:8">
      <c r="A174" s="742" t="s">
        <v>1900</v>
      </c>
      <c r="B174" s="569">
        <f t="shared" si="64"/>
        <v>140348</v>
      </c>
      <c r="C174" s="759">
        <f t="shared" si="65"/>
        <v>23391.333333333332</v>
      </c>
      <c r="D174" s="759">
        <f t="shared" si="66"/>
        <v>46782.666666666664</v>
      </c>
      <c r="E174" s="869">
        <f t="shared" si="67"/>
        <v>124930</v>
      </c>
      <c r="F174" s="466">
        <f>(Moura!X17)</f>
        <v>121000</v>
      </c>
      <c r="G174" s="921"/>
      <c r="H174" s="921"/>
    </row>
    <row r="175" spans="1:8">
      <c r="A175" s="742" t="s">
        <v>1901</v>
      </c>
      <c r="B175" s="569">
        <f t="shared" si="64"/>
        <v>144440</v>
      </c>
      <c r="C175" s="759">
        <f t="shared" si="65"/>
        <v>24073.333333333332</v>
      </c>
      <c r="D175" s="759">
        <f t="shared" si="66"/>
        <v>48146.666666666664</v>
      </c>
      <c r="E175" s="869">
        <f t="shared" si="67"/>
        <v>125960</v>
      </c>
      <c r="F175" s="466">
        <f>(Varta!W9)</f>
        <v>122000</v>
      </c>
      <c r="G175" s="921"/>
      <c r="H175" s="921"/>
    </row>
    <row r="176" spans="1:8">
      <c r="A176" s="742" t="s">
        <v>1902</v>
      </c>
      <c r="B176" s="569">
        <f t="shared" si="64"/>
        <v>168660</v>
      </c>
      <c r="C176" s="759">
        <f t="shared" si="65"/>
        <v>28110</v>
      </c>
      <c r="D176" s="759">
        <f t="shared" si="66"/>
        <v>56220</v>
      </c>
      <c r="E176" s="869">
        <f t="shared" si="67"/>
        <v>147290</v>
      </c>
      <c r="F176" s="466">
        <f>('Willard - Elpra'!AA5)</f>
        <v>142700</v>
      </c>
      <c r="G176" s="921"/>
      <c r="H176" s="921"/>
    </row>
    <row r="177" spans="1:7">
      <c r="A177" s="742" t="s">
        <v>1903</v>
      </c>
      <c r="B177" s="569">
        <f t="shared" si="64"/>
        <v>158908</v>
      </c>
      <c r="C177" s="759">
        <f t="shared" si="65"/>
        <v>26484.666666666668</v>
      </c>
      <c r="D177" s="759">
        <f t="shared" si="66"/>
        <v>52969.333333333336</v>
      </c>
      <c r="E177" s="869">
        <f t="shared" si="67"/>
        <v>141410</v>
      </c>
      <c r="F177" s="466">
        <f>(Moura!X18)</f>
        <v>137000</v>
      </c>
      <c r="G177" s="921"/>
    </row>
    <row r="178" spans="1:7">
      <c r="A178" s="742" t="s">
        <v>1904</v>
      </c>
      <c r="B178" s="569">
        <f t="shared" si="64"/>
        <v>154970</v>
      </c>
      <c r="C178" s="759">
        <f t="shared" si="65"/>
        <v>25828.333333333332</v>
      </c>
      <c r="D178" s="759">
        <f t="shared" si="66"/>
        <v>51656.666666666664</v>
      </c>
      <c r="E178" s="869">
        <f t="shared" si="67"/>
        <v>135230</v>
      </c>
      <c r="F178" s="466">
        <f>(Varta!W12)</f>
        <v>131000</v>
      </c>
      <c r="G178" s="921"/>
    </row>
    <row r="179" spans="1:7">
      <c r="A179" s="742" t="s">
        <v>1905</v>
      </c>
      <c r="B179" s="569">
        <f>(B75-D$3)</f>
        <v>221548</v>
      </c>
      <c r="C179" s="759">
        <f t="shared" si="65"/>
        <v>36924.666666666664</v>
      </c>
      <c r="D179" s="759">
        <f t="shared" si="66"/>
        <v>73849.333333333328</v>
      </c>
      <c r="E179" s="869">
        <f>(E75-D$3)</f>
        <v>197150</v>
      </c>
      <c r="F179" s="466">
        <f>(Moura!X19)</f>
        <v>191000</v>
      </c>
      <c r="G179" s="921"/>
    </row>
    <row r="180" spans="1:7">
      <c r="A180" s="742" t="s">
        <v>1906</v>
      </c>
      <c r="B180" s="569">
        <f>(B76-D$3)</f>
        <v>215320</v>
      </c>
      <c r="C180" s="759">
        <f t="shared" si="65"/>
        <v>35886.666666666664</v>
      </c>
      <c r="D180" s="759">
        <f t="shared" si="66"/>
        <v>71773.333333333328</v>
      </c>
      <c r="E180" s="869">
        <f>(E76-D$3)</f>
        <v>187880</v>
      </c>
      <c r="F180" s="466">
        <f>(Varta!W17)</f>
        <v>182000</v>
      </c>
      <c r="G180" s="921"/>
    </row>
    <row r="181" spans="1:7">
      <c r="A181" s="753" t="s">
        <v>1907</v>
      </c>
      <c r="B181" s="569">
        <f>(B77-D$3)</f>
        <v>269108</v>
      </c>
      <c r="C181" s="759">
        <f t="shared" si="65"/>
        <v>44851.333333333336</v>
      </c>
      <c r="D181" s="759">
        <f t="shared" si="66"/>
        <v>89702.666666666672</v>
      </c>
      <c r="E181" s="869">
        <f>(E77-D$3)</f>
        <v>239380</v>
      </c>
      <c r="F181" s="466">
        <f>(Moura!X22)</f>
        <v>232000</v>
      </c>
      <c r="G181" s="921"/>
    </row>
    <row r="182" spans="1:7">
      <c r="A182" s="742" t="s">
        <v>1908</v>
      </c>
      <c r="B182" s="569">
        <f>(B78-D$3)</f>
        <v>280840</v>
      </c>
      <c r="C182" s="759">
        <f t="shared" si="65"/>
        <v>46806.666666666664</v>
      </c>
      <c r="D182" s="759">
        <f t="shared" si="66"/>
        <v>93613.333333333328</v>
      </c>
      <c r="E182" s="869">
        <f>(E78-D$3)</f>
        <v>245560</v>
      </c>
      <c r="F182" s="466">
        <f>(Varta!W18)</f>
        <v>238000</v>
      </c>
      <c r="G182" s="921"/>
    </row>
    <row r="183" spans="1:7">
      <c r="A183" s="753" t="s">
        <v>1909</v>
      </c>
      <c r="B183" s="569">
        <f>(B79-D$3)</f>
        <v>273820</v>
      </c>
      <c r="C183" s="857">
        <f t="shared" si="65"/>
        <v>45636.666666666664</v>
      </c>
      <c r="D183" s="857">
        <f t="shared" si="66"/>
        <v>91273.333333333328</v>
      </c>
      <c r="E183" s="870">
        <f>(E79-D$3)</f>
        <v>239380</v>
      </c>
      <c r="F183" s="466">
        <f>(Moura!X23)</f>
        <v>232000</v>
      </c>
      <c r="G183" s="921"/>
    </row>
    <row r="184" spans="1:7">
      <c r="A184" s="855" t="s">
        <v>1910</v>
      </c>
      <c r="B184" s="851" t="s">
        <v>1839</v>
      </c>
      <c r="C184" s="161" t="s">
        <v>1840</v>
      </c>
      <c r="D184" s="865" t="s">
        <v>1841</v>
      </c>
      <c r="E184" s="871" t="s">
        <v>1842</v>
      </c>
      <c r="F184" s="761" t="s">
        <v>1843</v>
      </c>
      <c r="G184" s="921"/>
    </row>
    <row r="185" spans="1:7">
      <c r="A185" s="859" t="s">
        <v>1911</v>
      </c>
      <c r="B185" s="569">
        <f>(B81-D$4)</f>
        <v>376988</v>
      </c>
      <c r="C185" s="860">
        <f t="shared" ref="C185:C186" si="68">(B185/6)</f>
        <v>62831.333333333336</v>
      </c>
      <c r="D185" s="860">
        <f t="shared" ref="D185:D186" si="69">(B185/3)</f>
        <v>125662.66666666667</v>
      </c>
      <c r="E185" s="868">
        <f>(E81-D$4)</f>
        <v>335320</v>
      </c>
      <c r="F185" s="466">
        <f>(Moura!X26)</f>
        <v>325000</v>
      </c>
      <c r="G185" s="921"/>
    </row>
    <row r="186" spans="1:7">
      <c r="A186" s="858" t="s">
        <v>1912</v>
      </c>
      <c r="B186" s="569">
        <f>(B82-D$4)</f>
        <v>391670</v>
      </c>
      <c r="C186" s="857">
        <f t="shared" si="68"/>
        <v>65278.333333333336</v>
      </c>
      <c r="D186" s="857">
        <f t="shared" si="69"/>
        <v>130556.66666666667</v>
      </c>
      <c r="E186" s="870">
        <f>(E82-D$4)</f>
        <v>342530</v>
      </c>
      <c r="F186" s="466">
        <f>(Varta!W21)</f>
        <v>332000</v>
      </c>
      <c r="G186" s="921"/>
    </row>
    <row r="187" spans="1:7">
      <c r="A187" s="855" t="s">
        <v>1913</v>
      </c>
      <c r="B187" s="851" t="s">
        <v>1839</v>
      </c>
      <c r="C187" s="161" t="s">
        <v>1840</v>
      </c>
      <c r="D187" s="865" t="s">
        <v>1841</v>
      </c>
      <c r="E187" s="871" t="s">
        <v>1842</v>
      </c>
      <c r="F187" s="761" t="s">
        <v>1843</v>
      </c>
      <c r="G187" s="921"/>
    </row>
    <row r="188" spans="1:7">
      <c r="A188" s="859" t="s">
        <v>1914</v>
      </c>
      <c r="B188" s="569">
        <f>(B84-D$4)</f>
        <v>349730</v>
      </c>
      <c r="C188" s="860">
        <f t="shared" ref="C188:C192" si="70">(B188/6)</f>
        <v>58288.333333333336</v>
      </c>
      <c r="D188" s="860">
        <f t="shared" ref="D188:D192" si="71">(B188/3)</f>
        <v>116576.66666666667</v>
      </c>
      <c r="E188" s="868">
        <f>(E84-D$4)</f>
        <v>305610</v>
      </c>
      <c r="F188" s="466">
        <f>('Acubat-Lubeck'!AL17)</f>
        <v>296150</v>
      </c>
      <c r="G188" s="921"/>
    </row>
    <row r="189" spans="1:7">
      <c r="A189" s="752" t="s">
        <v>1915</v>
      </c>
      <c r="B189" s="569">
        <f>(B85-D$4)</f>
        <v>460180</v>
      </c>
      <c r="C189" s="759">
        <f t="shared" si="70"/>
        <v>76696.666666666672</v>
      </c>
      <c r="D189" s="759">
        <f t="shared" si="71"/>
        <v>153393.33333333334</v>
      </c>
      <c r="E189" s="869">
        <f>(E85-D$4)</f>
        <v>402840</v>
      </c>
      <c r="F189" s="466">
        <f>('Willard - Elpra'!AA16)</f>
        <v>390550</v>
      </c>
      <c r="G189" s="921"/>
    </row>
    <row r="190" spans="1:7">
      <c r="A190" s="752" t="s">
        <v>1916</v>
      </c>
      <c r="B190" s="569">
        <f>(B86-D$4)</f>
        <v>438420</v>
      </c>
      <c r="C190" s="759">
        <f t="shared" si="70"/>
        <v>73070</v>
      </c>
      <c r="D190" s="759">
        <f t="shared" si="71"/>
        <v>146140</v>
      </c>
      <c r="E190" s="869">
        <f>(E86-D$4)</f>
        <v>383680</v>
      </c>
      <c r="F190" s="466">
        <f>(Varta!W23)</f>
        <v>371950</v>
      </c>
      <c r="G190" s="921"/>
    </row>
    <row r="191" spans="1:7">
      <c r="A191" s="752" t="s">
        <v>1917</v>
      </c>
      <c r="B191" s="569">
        <f>(B87-D$4)</f>
        <v>476748</v>
      </c>
      <c r="C191" s="759">
        <f t="shared" si="70"/>
        <v>79458</v>
      </c>
      <c r="D191" s="759">
        <f t="shared" si="71"/>
        <v>158916</v>
      </c>
      <c r="E191" s="869">
        <f>(E87-D$4)</f>
        <v>423900</v>
      </c>
      <c r="F191" s="466">
        <f>(Moura!X28)</f>
        <v>411000</v>
      </c>
      <c r="G191" s="921"/>
    </row>
    <row r="192" spans="1:7">
      <c r="A192" s="858" t="s">
        <v>1918</v>
      </c>
      <c r="B192" s="569">
        <f>(B88-D$4)</f>
        <v>450170</v>
      </c>
      <c r="C192" s="857">
        <f t="shared" si="70"/>
        <v>75028.333333333328</v>
      </c>
      <c r="D192" s="857">
        <f t="shared" si="71"/>
        <v>150056.66666666666</v>
      </c>
      <c r="E192" s="870">
        <f>(E88-D$4)</f>
        <v>394030</v>
      </c>
      <c r="F192" s="466">
        <f>(Varta!W24)</f>
        <v>382000</v>
      </c>
      <c r="G192" s="921"/>
    </row>
    <row r="193" spans="1:7">
      <c r="A193" s="855" t="s">
        <v>1919</v>
      </c>
      <c r="B193" s="851" t="s">
        <v>1839</v>
      </c>
      <c r="C193" s="161" t="s">
        <v>1840</v>
      </c>
      <c r="D193" s="865" t="s">
        <v>1841</v>
      </c>
      <c r="E193" s="871" t="s">
        <v>1842</v>
      </c>
      <c r="F193" s="761" t="s">
        <v>1843</v>
      </c>
      <c r="G193" s="921"/>
    </row>
    <row r="194" spans="1:7">
      <c r="A194" s="859" t="s">
        <v>1920</v>
      </c>
      <c r="B194" s="569">
        <f>(B90-D$4)</f>
        <v>536640</v>
      </c>
      <c r="C194" s="860">
        <f t="shared" ref="C194:C196" si="72">(B194/6)</f>
        <v>89440</v>
      </c>
      <c r="D194" s="860">
        <f t="shared" ref="D194:D196" si="73">(B194/3)</f>
        <v>178880</v>
      </c>
      <c r="E194" s="868">
        <f>(E90-D$4)</f>
        <v>470150</v>
      </c>
      <c r="F194" s="466">
        <f>(Varta!W26)</f>
        <v>455900</v>
      </c>
      <c r="G194" s="921"/>
    </row>
    <row r="195" spans="1:7">
      <c r="A195" s="752" t="s">
        <v>1921</v>
      </c>
      <c r="B195" s="569">
        <f>(B91-D$4)</f>
        <v>547170</v>
      </c>
      <c r="C195" s="759">
        <f t="shared" si="72"/>
        <v>91195</v>
      </c>
      <c r="D195" s="759">
        <f t="shared" si="73"/>
        <v>182390</v>
      </c>
      <c r="E195" s="869">
        <f>(E91-D$4)</f>
        <v>479420</v>
      </c>
      <c r="F195" s="466">
        <f>(Varta!W27)</f>
        <v>464900</v>
      </c>
      <c r="G195" s="921"/>
    </row>
    <row r="196" spans="1:7">
      <c r="A196" s="858" t="s">
        <v>1922</v>
      </c>
      <c r="B196" s="569">
        <f>(B92-D$4)</f>
        <v>766070</v>
      </c>
      <c r="C196" s="857">
        <f t="shared" si="72"/>
        <v>127678.33333333333</v>
      </c>
      <c r="D196" s="857">
        <f t="shared" si="73"/>
        <v>255356.66666666666</v>
      </c>
      <c r="E196" s="870">
        <f>(E92-D$4)</f>
        <v>672130</v>
      </c>
      <c r="F196" s="466">
        <f>(Varta!W28)</f>
        <v>652000</v>
      </c>
      <c r="G196" s="921"/>
    </row>
    <row r="197" spans="1:7">
      <c r="A197" s="855" t="s">
        <v>1923</v>
      </c>
      <c r="B197" s="851" t="s">
        <v>1839</v>
      </c>
      <c r="C197" s="161" t="s">
        <v>1840</v>
      </c>
      <c r="D197" s="865" t="s">
        <v>1841</v>
      </c>
      <c r="E197" s="871" t="s">
        <v>1842</v>
      </c>
      <c r="F197" s="761" t="s">
        <v>1843</v>
      </c>
      <c r="G197" s="921"/>
    </row>
    <row r="198" spans="1:7">
      <c r="A198" s="863" t="s">
        <v>1924</v>
      </c>
      <c r="B198" s="569">
        <f>(B94-D$4)</f>
        <v>545470</v>
      </c>
      <c r="C198" s="864">
        <f t="shared" ref="C198" si="74">(B198/6)</f>
        <v>90911.666666666672</v>
      </c>
      <c r="D198" s="864">
        <f t="shared" ref="D198" si="75">(B198/3)</f>
        <v>181823.33333333334</v>
      </c>
      <c r="E198" s="872">
        <f>(E94-D$4)</f>
        <v>477930</v>
      </c>
      <c r="F198" s="466">
        <f>('Willard - Elpra'!AA17)</f>
        <v>468450</v>
      </c>
      <c r="G198" s="921"/>
    </row>
    <row r="199" spans="1:7">
      <c r="A199" s="855" t="s">
        <v>1925</v>
      </c>
      <c r="B199" s="851" t="s">
        <v>1839</v>
      </c>
      <c r="C199" s="161" t="s">
        <v>1840</v>
      </c>
      <c r="D199" s="865" t="s">
        <v>1841</v>
      </c>
      <c r="E199" s="871" t="s">
        <v>1842</v>
      </c>
      <c r="F199" s="761" t="s">
        <v>1843</v>
      </c>
      <c r="G199" s="921"/>
    </row>
    <row r="200" spans="1:7">
      <c r="A200" s="863" t="s">
        <v>1926</v>
      </c>
      <c r="B200" s="569">
        <f>(B96-D$3)</f>
        <v>413580</v>
      </c>
      <c r="C200" s="864">
        <f t="shared" ref="C200" si="76">(B200/6)</f>
        <v>68930</v>
      </c>
      <c r="D200" s="864">
        <f t="shared" ref="D200" si="77">(B200/3)</f>
        <v>137860</v>
      </c>
      <c r="E200" s="872">
        <f>(E96-D$3)</f>
        <v>362420</v>
      </c>
      <c r="F200" s="466">
        <f>('Willard - Elpra'!L22)</f>
        <v>351450</v>
      </c>
      <c r="G200" s="921"/>
    </row>
    <row r="201" spans="1:7">
      <c r="A201" s="855" t="s">
        <v>1927</v>
      </c>
      <c r="B201" s="851" t="s">
        <v>1839</v>
      </c>
      <c r="C201" s="161" t="s">
        <v>1840</v>
      </c>
      <c r="D201" s="865" t="s">
        <v>1841</v>
      </c>
      <c r="E201" s="871" t="s">
        <v>1842</v>
      </c>
      <c r="F201" s="761" t="s">
        <v>1843</v>
      </c>
      <c r="G201" s="921"/>
    </row>
    <row r="202" spans="1:7">
      <c r="A202" s="859" t="s">
        <v>1928</v>
      </c>
      <c r="B202" s="569">
        <f>(B98-D$3)</f>
        <v>517540</v>
      </c>
      <c r="C202" s="860">
        <f t="shared" ref="C202:C209" si="78">(B202/6)</f>
        <v>86256.666666666672</v>
      </c>
      <c r="D202" s="860">
        <f t="shared" ref="D202:D209" si="79">(B202/3)</f>
        <v>172513.33333333334</v>
      </c>
      <c r="E202" s="868">
        <f>(E98-D$3)</f>
        <v>453930</v>
      </c>
      <c r="F202" s="466">
        <f>('Willard - Elpra'!L23)</f>
        <v>440300</v>
      </c>
      <c r="G202" s="921"/>
    </row>
    <row r="203" spans="1:7">
      <c r="A203" s="752" t="s">
        <v>1929</v>
      </c>
      <c r="B203" s="569">
        <f>(B99-D$2)</f>
        <v>296540</v>
      </c>
      <c r="C203" s="759">
        <f t="shared" si="78"/>
        <v>49423.333333333336</v>
      </c>
      <c r="D203" s="759">
        <f t="shared" si="79"/>
        <v>98846.666666666672</v>
      </c>
      <c r="E203" s="869">
        <f>(E99-D$2)</f>
        <v>259860</v>
      </c>
      <c r="F203" s="466">
        <f>(Varta!W32)</f>
        <v>252000</v>
      </c>
      <c r="G203" s="921"/>
    </row>
    <row r="204" spans="1:7">
      <c r="A204" s="752" t="s">
        <v>1930</v>
      </c>
      <c r="B204" s="569">
        <f>(B100-D$3)</f>
        <v>458680</v>
      </c>
      <c r="C204" s="759">
        <f t="shared" si="78"/>
        <v>76446.666666666672</v>
      </c>
      <c r="D204" s="759">
        <f t="shared" si="79"/>
        <v>152893.33333333334</v>
      </c>
      <c r="E204" s="869">
        <f>(E100-D$3)</f>
        <v>402120</v>
      </c>
      <c r="F204" s="466">
        <f>('Optima - Pioneiro'!J24)</f>
        <v>390000</v>
      </c>
      <c r="G204" s="921"/>
    </row>
    <row r="205" spans="1:7">
      <c r="A205" s="752" t="s">
        <v>1931</v>
      </c>
      <c r="B205" s="569">
        <f>(B101-D$3)</f>
        <v>634770</v>
      </c>
      <c r="C205" s="759">
        <f t="shared" si="78"/>
        <v>105795</v>
      </c>
      <c r="D205" s="759">
        <f t="shared" si="79"/>
        <v>211590</v>
      </c>
      <c r="E205" s="869">
        <f>(E101-D$3)</f>
        <v>557140</v>
      </c>
      <c r="F205" s="466">
        <f>('Battery Trading'!R5)</f>
        <v>540500</v>
      </c>
      <c r="G205" s="921"/>
    </row>
    <row r="206" spans="1:7">
      <c r="A206" s="752" t="s">
        <v>1932</v>
      </c>
      <c r="B206" s="569">
        <f>(B102-D$3)</f>
        <v>821380</v>
      </c>
      <c r="C206" s="759">
        <f t="shared" si="78"/>
        <v>136896.66666666666</v>
      </c>
      <c r="D206" s="759">
        <f t="shared" si="79"/>
        <v>273793.33333333331</v>
      </c>
      <c r="E206" s="869">
        <f>(E102-D$3)</f>
        <v>721420</v>
      </c>
      <c r="F206" s="466">
        <f>(Moura!X48)</f>
        <v>700000</v>
      </c>
      <c r="G206" s="921"/>
    </row>
    <row r="207" spans="1:7">
      <c r="A207" s="752" t="s">
        <v>1933</v>
      </c>
      <c r="B207" s="569">
        <f>(B103-D$3)</f>
        <v>661680</v>
      </c>
      <c r="C207" s="759">
        <f t="shared" si="78"/>
        <v>110280</v>
      </c>
      <c r="D207" s="759">
        <f t="shared" si="79"/>
        <v>220560</v>
      </c>
      <c r="E207" s="869">
        <f>(E103-D$3)</f>
        <v>580830</v>
      </c>
      <c r="F207" s="466">
        <f>('Battery Trading'!R11)</f>
        <v>563500</v>
      </c>
      <c r="G207" s="921"/>
    </row>
    <row r="208" spans="1:7">
      <c r="A208" s="752" t="s">
        <v>1934</v>
      </c>
      <c r="B208" s="569">
        <f>(B104-D$4)</f>
        <v>770170</v>
      </c>
      <c r="C208" s="759">
        <f t="shared" si="78"/>
        <v>128361.66666666667</v>
      </c>
      <c r="D208" s="759">
        <f t="shared" si="79"/>
        <v>256723.33333333334</v>
      </c>
      <c r="E208" s="869">
        <f>(E104-D$4)</f>
        <v>675740</v>
      </c>
      <c r="F208" s="466">
        <f>('Battery Trading'!R12)</f>
        <v>655500</v>
      </c>
      <c r="G208" s="921"/>
    </row>
    <row r="209" spans="1:7" ht="16.2" thickBot="1">
      <c r="A209" s="754" t="s">
        <v>1935</v>
      </c>
      <c r="B209" s="575">
        <f>(B105-D$4)</f>
        <v>931630</v>
      </c>
      <c r="C209" s="760">
        <f t="shared" si="78"/>
        <v>155271.66666666666</v>
      </c>
      <c r="D209" s="760">
        <f t="shared" si="79"/>
        <v>310543.33333333331</v>
      </c>
      <c r="E209" s="873">
        <f>(E105-D$4)</f>
        <v>817880</v>
      </c>
      <c r="F209" s="762">
        <f>('Battery Trading'!R13)</f>
        <v>793500</v>
      </c>
      <c r="G209" s="921"/>
    </row>
    <row r="210" spans="1:7">
      <c r="A210" s="172"/>
      <c r="B210" s="171"/>
      <c r="C210" s="171"/>
      <c r="D210" s="171"/>
      <c r="E210" s="171"/>
      <c r="F210" s="171"/>
      <c r="G210" s="171"/>
    </row>
    <row r="211" spans="1:7">
      <c r="A211" s="172"/>
      <c r="B211" s="171"/>
      <c r="C211" s="171"/>
      <c r="D211" s="171"/>
      <c r="E211" s="171"/>
      <c r="F211" s="171"/>
      <c r="G211" s="171"/>
    </row>
    <row r="212" spans="1:7">
      <c r="A212" s="166"/>
      <c r="B212" s="171"/>
      <c r="C212" s="171"/>
      <c r="D212" s="171"/>
      <c r="E212" s="201"/>
      <c r="F212" s="201"/>
    </row>
    <row r="213" spans="1:7">
      <c r="A213" s="105" t="s">
        <v>1833</v>
      </c>
      <c r="B213" s="171"/>
      <c r="C213" s="171"/>
      <c r="D213" s="171"/>
      <c r="E213" s="171"/>
      <c r="F213" s="171"/>
    </row>
    <row r="214" spans="1:7" ht="16.2" thickBot="1">
      <c r="A214" s="105" t="s">
        <v>1836</v>
      </c>
      <c r="B214" s="160"/>
      <c r="C214" s="160"/>
      <c r="D214" s="172" t="s">
        <v>1939</v>
      </c>
      <c r="E214" s="921"/>
      <c r="F214" s="172"/>
    </row>
    <row r="215" spans="1:7" ht="16.2" thickBot="1">
      <c r="A215" s="737">
        <v>45854</v>
      </c>
      <c r="B215" s="1012" t="s">
        <v>1837</v>
      </c>
      <c r="C215" s="1013"/>
      <c r="D215" s="1014"/>
      <c r="E215" s="763"/>
      <c r="F215" s="763"/>
      <c r="G215" s="288"/>
    </row>
    <row r="216" spans="1:7" ht="16.2" thickBot="1">
      <c r="A216" s="557" t="s">
        <v>1940</v>
      </c>
      <c r="B216" s="832" t="s">
        <v>1839</v>
      </c>
      <c r="C216" s="558" t="s">
        <v>1592</v>
      </c>
      <c r="D216" s="559" t="s">
        <v>1941</v>
      </c>
      <c r="E216" s="1"/>
      <c r="F216" s="288"/>
      <c r="G216" s="921"/>
    </row>
    <row r="217" spans="1:7">
      <c r="A217" s="560" t="s">
        <v>1942</v>
      </c>
      <c r="B217" s="574">
        <f t="shared" ref="B217:B256" si="80">ROUNDUP(($D217+($D217*L$2)),-1)</f>
        <v>37910</v>
      </c>
      <c r="C217" s="574">
        <f t="shared" ref="C217:C257" si="81">ROUNDUP(D217+(D217*L$1),-1)</f>
        <v>33380</v>
      </c>
      <c r="D217" s="561">
        <f>(Novelbat!U4)</f>
        <v>32400</v>
      </c>
      <c r="E217" s="288"/>
      <c r="F217" s="288"/>
      <c r="G217" s="921"/>
    </row>
    <row r="218" spans="1:7" ht="16.2" thickBot="1">
      <c r="A218" s="564" t="s">
        <v>1943</v>
      </c>
      <c r="B218" s="366">
        <f t="shared" si="80"/>
        <v>49960</v>
      </c>
      <c r="C218" s="366">
        <f t="shared" si="81"/>
        <v>43990</v>
      </c>
      <c r="D218" s="565">
        <f>(Yuasa!Q98)</f>
        <v>42700</v>
      </c>
      <c r="E218" s="288"/>
      <c r="F218" s="288"/>
      <c r="G218" s="921"/>
    </row>
    <row r="219" spans="1:7">
      <c r="A219" s="568" t="s">
        <v>1944</v>
      </c>
      <c r="B219" s="569">
        <f t="shared" si="80"/>
        <v>45630</v>
      </c>
      <c r="C219" s="567">
        <f t="shared" si="81"/>
        <v>40170</v>
      </c>
      <c r="D219" s="570">
        <f>(Novelbat!U5)</f>
        <v>39000</v>
      </c>
      <c r="E219" s="288"/>
      <c r="F219" s="288"/>
      <c r="G219" s="921"/>
    </row>
    <row r="220" spans="1:7" ht="16.2" thickBot="1">
      <c r="A220" s="571" t="s">
        <v>1945</v>
      </c>
      <c r="B220" s="567">
        <f t="shared" si="80"/>
        <v>175500</v>
      </c>
      <c r="C220" s="572">
        <f t="shared" si="81"/>
        <v>154500</v>
      </c>
      <c r="D220" s="573">
        <f>(Yuasa!Q89)</f>
        <v>150000</v>
      </c>
      <c r="E220" s="288"/>
      <c r="F220" s="288"/>
      <c r="G220" s="171"/>
    </row>
    <row r="221" spans="1:7" ht="16.2" thickBot="1">
      <c r="A221" s="606" t="s">
        <v>1946</v>
      </c>
      <c r="B221" s="607">
        <f t="shared" si="80"/>
        <v>45630</v>
      </c>
      <c r="C221" s="607">
        <f t="shared" si="81"/>
        <v>40170</v>
      </c>
      <c r="D221" s="608">
        <f>(Novelbat!U6)</f>
        <v>39000</v>
      </c>
      <c r="E221" s="288"/>
      <c r="F221" s="288"/>
      <c r="G221" s="171"/>
    </row>
    <row r="222" spans="1:7">
      <c r="A222" s="568" t="s">
        <v>1947</v>
      </c>
      <c r="B222" s="569">
        <f t="shared" si="80"/>
        <v>53120</v>
      </c>
      <c r="C222" s="567">
        <f t="shared" si="81"/>
        <v>46770</v>
      </c>
      <c r="D222" s="570">
        <f>(Novelbat!U7)</f>
        <v>45400</v>
      </c>
      <c r="E222" s="288"/>
      <c r="F222" s="288"/>
      <c r="G222" s="171"/>
    </row>
    <row r="223" spans="1:7" ht="16.2" thickBot="1">
      <c r="A223" s="571" t="s">
        <v>1948</v>
      </c>
      <c r="B223" s="567">
        <f t="shared" si="80"/>
        <v>101210</v>
      </c>
      <c r="C223" s="567">
        <f t="shared" si="81"/>
        <v>89100</v>
      </c>
      <c r="D223" s="573">
        <f>(Yuasa!Q45)</f>
        <v>86500</v>
      </c>
      <c r="E223" s="288"/>
      <c r="F223" s="288"/>
      <c r="G223" s="171"/>
    </row>
    <row r="224" spans="1:7">
      <c r="A224" s="560" t="s">
        <v>1949</v>
      </c>
      <c r="B224" s="574">
        <f t="shared" si="80"/>
        <v>72490</v>
      </c>
      <c r="C224" s="361">
        <f t="shared" si="81"/>
        <v>63810</v>
      </c>
      <c r="D224" s="561">
        <f>(Novelbat!U8)</f>
        <v>61950</v>
      </c>
      <c r="E224" s="288"/>
      <c r="F224" s="288"/>
      <c r="G224" s="171"/>
    </row>
    <row r="225" spans="1:7" ht="16.2" thickBot="1">
      <c r="A225" s="564" t="s">
        <v>1950</v>
      </c>
      <c r="B225" s="366">
        <f t="shared" si="80"/>
        <v>135320</v>
      </c>
      <c r="C225" s="575">
        <f t="shared" si="81"/>
        <v>119120</v>
      </c>
      <c r="D225" s="565">
        <f>(Yuasa!Q46)</f>
        <v>115650</v>
      </c>
      <c r="E225" s="288"/>
      <c r="F225" s="288"/>
      <c r="G225" s="171"/>
    </row>
    <row r="226" spans="1:7">
      <c r="A226" s="568" t="s">
        <v>1951</v>
      </c>
      <c r="B226" s="567">
        <f t="shared" si="80"/>
        <v>90330</v>
      </c>
      <c r="C226" s="567">
        <f t="shared" si="81"/>
        <v>79520</v>
      </c>
      <c r="D226" s="570">
        <f>(Novelbat!U9)</f>
        <v>77200</v>
      </c>
      <c r="E226" s="288"/>
      <c r="F226" s="288"/>
      <c r="G226" s="171"/>
    </row>
    <row r="227" spans="1:7" ht="16.2" thickBot="1">
      <c r="A227" s="571" t="s">
        <v>1079</v>
      </c>
      <c r="B227" s="572">
        <f t="shared" si="80"/>
        <v>163400</v>
      </c>
      <c r="C227" s="572">
        <f t="shared" si="81"/>
        <v>143840</v>
      </c>
      <c r="D227" s="573">
        <f>(Yuasa!Q59)</f>
        <v>139650</v>
      </c>
      <c r="E227" s="288"/>
      <c r="F227" s="288"/>
      <c r="G227" s="171"/>
    </row>
    <row r="228" spans="1:7" ht="16.2" thickBot="1">
      <c r="A228" s="606" t="s">
        <v>1952</v>
      </c>
      <c r="B228" s="607">
        <f t="shared" si="80"/>
        <v>85180</v>
      </c>
      <c r="C228" s="607">
        <f t="shared" si="81"/>
        <v>74990</v>
      </c>
      <c r="D228" s="608">
        <f>(Novelbat!U25)</f>
        <v>72800</v>
      </c>
      <c r="E228" s="288"/>
      <c r="F228" s="288"/>
      <c r="G228" s="171"/>
    </row>
    <row r="229" spans="1:7">
      <c r="A229" s="568" t="s">
        <v>1953</v>
      </c>
      <c r="B229" s="567">
        <f t="shared" si="80"/>
        <v>110340</v>
      </c>
      <c r="C229" s="569">
        <f t="shared" si="81"/>
        <v>97130</v>
      </c>
      <c r="D229" s="570">
        <f>(Novelbat!U10)</f>
        <v>94300</v>
      </c>
      <c r="E229" s="288"/>
      <c r="F229" s="288"/>
      <c r="G229" s="171"/>
    </row>
    <row r="230" spans="1:7" ht="16.2" thickBot="1">
      <c r="A230" s="571" t="s">
        <v>1954</v>
      </c>
      <c r="B230" s="572">
        <f t="shared" si="80"/>
        <v>148770</v>
      </c>
      <c r="C230" s="567">
        <f t="shared" si="81"/>
        <v>130970</v>
      </c>
      <c r="D230" s="573">
        <f>(Yuasa!Q48)</f>
        <v>127150</v>
      </c>
      <c r="E230" s="288"/>
      <c r="F230" s="288"/>
      <c r="G230" s="171"/>
    </row>
    <row r="231" spans="1:7">
      <c r="A231" s="560" t="s">
        <v>1955</v>
      </c>
      <c r="B231" s="574">
        <f t="shared" si="80"/>
        <v>32710</v>
      </c>
      <c r="C231" s="574">
        <f t="shared" si="81"/>
        <v>28790</v>
      </c>
      <c r="D231" s="561">
        <f>(Novelbat!U12)</f>
        <v>27950</v>
      </c>
      <c r="E231" s="288"/>
      <c r="F231" s="288"/>
      <c r="G231" s="171"/>
    </row>
    <row r="232" spans="1:7" ht="16.2" thickBot="1">
      <c r="A232" s="564" t="s">
        <v>1956</v>
      </c>
      <c r="B232" s="366">
        <f t="shared" si="80"/>
        <v>81610</v>
      </c>
      <c r="C232" s="366">
        <f t="shared" si="81"/>
        <v>71850</v>
      </c>
      <c r="D232" s="565">
        <f>(Yuasa!Q96)</f>
        <v>69750</v>
      </c>
      <c r="E232" s="288"/>
      <c r="F232" s="288"/>
      <c r="G232" s="171"/>
    </row>
    <row r="233" spans="1:7">
      <c r="A233" s="560" t="s">
        <v>1957</v>
      </c>
      <c r="B233" s="574">
        <f t="shared" si="80"/>
        <v>35460</v>
      </c>
      <c r="C233" s="574">
        <f t="shared" si="81"/>
        <v>31210</v>
      </c>
      <c r="D233" s="651">
        <f>(Novelbat!U13)</f>
        <v>30300</v>
      </c>
      <c r="E233" s="288"/>
      <c r="F233" s="288"/>
      <c r="G233" s="171"/>
    </row>
    <row r="234" spans="1:7">
      <c r="A234" s="566" t="s">
        <v>1958</v>
      </c>
      <c r="B234" s="163">
        <f t="shared" si="80"/>
        <v>55580</v>
      </c>
      <c r="C234" s="163">
        <f t="shared" si="81"/>
        <v>48930</v>
      </c>
      <c r="D234" s="563">
        <f>(Moura!X43)</f>
        <v>47500</v>
      </c>
      <c r="E234" s="288"/>
      <c r="F234" s="288"/>
      <c r="G234" s="171"/>
    </row>
    <row r="235" spans="1:7" ht="16.2" thickBot="1">
      <c r="A235" s="564" t="s">
        <v>1959</v>
      </c>
      <c r="B235" s="575">
        <f t="shared" si="80"/>
        <v>58800</v>
      </c>
      <c r="C235" s="575">
        <f t="shared" si="81"/>
        <v>51760</v>
      </c>
      <c r="D235" s="652">
        <f>(Yuasa!Q95)</f>
        <v>50250</v>
      </c>
      <c r="E235" s="288"/>
      <c r="F235" s="288"/>
      <c r="G235" s="171"/>
    </row>
    <row r="236" spans="1:7" ht="16.2" thickBot="1">
      <c r="A236" s="560" t="s">
        <v>1960</v>
      </c>
      <c r="B236" s="575">
        <f t="shared" si="80"/>
        <v>41070</v>
      </c>
      <c r="C236" s="575">
        <f t="shared" si="81"/>
        <v>36160</v>
      </c>
      <c r="D236" s="786">
        <f>(Novelbat!U14)</f>
        <v>35100</v>
      </c>
      <c r="E236" s="288"/>
      <c r="F236" s="171"/>
      <c r="G236" s="171"/>
    </row>
    <row r="237" spans="1:7">
      <c r="A237" s="560" t="s">
        <v>1961</v>
      </c>
      <c r="B237" s="574">
        <f t="shared" si="80"/>
        <v>45630</v>
      </c>
      <c r="C237" s="574">
        <f t="shared" si="81"/>
        <v>40170</v>
      </c>
      <c r="D237" s="651">
        <f>(Novelbat!U15)</f>
        <v>39000</v>
      </c>
      <c r="E237" s="288"/>
      <c r="F237" s="172"/>
      <c r="G237" s="171"/>
    </row>
    <row r="238" spans="1:7">
      <c r="A238" s="568" t="s">
        <v>1962</v>
      </c>
      <c r="B238" s="163">
        <f t="shared" si="80"/>
        <v>67920</v>
      </c>
      <c r="C238" s="163">
        <f t="shared" si="81"/>
        <v>59800</v>
      </c>
      <c r="D238" s="563">
        <f>(Moura!X44)</f>
        <v>58050</v>
      </c>
      <c r="E238" s="288"/>
      <c r="F238" s="172"/>
      <c r="G238" s="171"/>
    </row>
    <row r="239" spans="1:7" ht="16.2" thickBot="1">
      <c r="A239" s="564" t="s">
        <v>1963</v>
      </c>
      <c r="B239" s="366">
        <f t="shared" si="80"/>
        <v>81610</v>
      </c>
      <c r="C239" s="575">
        <f t="shared" si="81"/>
        <v>71850</v>
      </c>
      <c r="D239" s="565">
        <f>(Yuasa!Q96)</f>
        <v>69750</v>
      </c>
      <c r="E239" s="288"/>
      <c r="F239" s="172"/>
      <c r="G239" s="171"/>
    </row>
    <row r="240" spans="1:7">
      <c r="A240" s="568" t="s">
        <v>1964</v>
      </c>
      <c r="B240" s="569">
        <f t="shared" si="80"/>
        <v>45630</v>
      </c>
      <c r="C240" s="361">
        <f t="shared" si="81"/>
        <v>40170</v>
      </c>
      <c r="D240" s="570">
        <f>(Novelbat!U16)</f>
        <v>39000</v>
      </c>
      <c r="E240" s="288"/>
      <c r="F240" s="172"/>
      <c r="G240" s="171"/>
    </row>
    <row r="241" spans="1:8" ht="16.2" thickBot="1">
      <c r="A241" s="571" t="s">
        <v>1965</v>
      </c>
      <c r="B241" s="572">
        <f t="shared" si="80"/>
        <v>81030</v>
      </c>
      <c r="C241" s="567">
        <f t="shared" si="81"/>
        <v>71330</v>
      </c>
      <c r="D241" s="573">
        <f>(Yuasa!Q75)</f>
        <v>69250</v>
      </c>
      <c r="E241" s="288"/>
      <c r="F241" s="172"/>
      <c r="G241" s="171"/>
      <c r="H241" s="921"/>
    </row>
    <row r="242" spans="1:8">
      <c r="A242" s="560" t="s">
        <v>1966</v>
      </c>
      <c r="B242" s="361">
        <f t="shared" si="80"/>
        <v>52540</v>
      </c>
      <c r="C242" s="361">
        <f t="shared" si="81"/>
        <v>46250</v>
      </c>
      <c r="D242" s="561">
        <f>(Novelbat!U17)</f>
        <v>44900</v>
      </c>
      <c r="E242" s="288"/>
      <c r="F242" s="172"/>
      <c r="G242" s="171"/>
      <c r="H242" s="921"/>
    </row>
    <row r="243" spans="1:8">
      <c r="A243" s="562" t="s">
        <v>1967</v>
      </c>
      <c r="B243" s="569">
        <f t="shared" si="80"/>
        <v>87750</v>
      </c>
      <c r="C243" s="569">
        <f t="shared" si="81"/>
        <v>77250</v>
      </c>
      <c r="D243" s="786">
        <f>(Moura!AB46)</f>
        <v>75000</v>
      </c>
      <c r="E243" s="288"/>
      <c r="F243" s="172"/>
      <c r="G243" s="171"/>
      <c r="H243" s="921"/>
    </row>
    <row r="244" spans="1:8" ht="16.2" thickBot="1">
      <c r="A244" s="896" t="s">
        <v>1968</v>
      </c>
      <c r="B244" s="366">
        <f t="shared" si="80"/>
        <v>107700</v>
      </c>
      <c r="C244" s="575">
        <f t="shared" si="81"/>
        <v>94820</v>
      </c>
      <c r="D244" s="565">
        <f>(Yuasa!Q97)</f>
        <v>92050</v>
      </c>
      <c r="E244" s="288"/>
      <c r="F244" s="172"/>
      <c r="G244" s="171"/>
      <c r="H244" s="921"/>
    </row>
    <row r="245" spans="1:8">
      <c r="A245" s="568" t="s">
        <v>1969</v>
      </c>
      <c r="B245" s="567">
        <f t="shared" si="80"/>
        <v>72490</v>
      </c>
      <c r="C245" s="567">
        <f t="shared" si="81"/>
        <v>63810</v>
      </c>
      <c r="D245" s="570">
        <f>(Novelbat!U18)</f>
        <v>61950</v>
      </c>
      <c r="E245" s="288"/>
      <c r="F245" s="172"/>
      <c r="G245" s="171"/>
      <c r="H245" s="921"/>
    </row>
    <row r="246" spans="1:8" ht="16.2" thickBot="1">
      <c r="A246" s="571" t="s">
        <v>1081</v>
      </c>
      <c r="B246" s="572">
        <f t="shared" si="80"/>
        <v>204870</v>
      </c>
      <c r="C246" s="572">
        <f t="shared" si="81"/>
        <v>180360</v>
      </c>
      <c r="D246" s="573">
        <f>(Yuasa!Q85)</f>
        <v>175100</v>
      </c>
      <c r="E246" s="288"/>
      <c r="F246" s="172"/>
      <c r="G246" s="171"/>
      <c r="H246" s="921"/>
    </row>
    <row r="247" spans="1:8">
      <c r="A247" s="560" t="s">
        <v>1970</v>
      </c>
      <c r="B247" s="574">
        <f t="shared" si="80"/>
        <v>85180</v>
      </c>
      <c r="C247" s="361">
        <f t="shared" si="81"/>
        <v>74990</v>
      </c>
      <c r="D247" s="561">
        <f>(Novelbat!U19)</f>
        <v>72800</v>
      </c>
      <c r="E247" s="288"/>
      <c r="F247" s="172"/>
      <c r="G247" s="171"/>
      <c r="H247" s="921"/>
    </row>
    <row r="248" spans="1:8" ht="16.2" thickBot="1">
      <c r="A248" s="564" t="s">
        <v>1073</v>
      </c>
      <c r="B248" s="366">
        <f t="shared" si="80"/>
        <v>221840</v>
      </c>
      <c r="C248" s="575">
        <f t="shared" si="81"/>
        <v>195290</v>
      </c>
      <c r="D248" s="565">
        <f>(Yuasa!Q86)</f>
        <v>189600</v>
      </c>
      <c r="E248" s="288"/>
      <c r="F248" s="172"/>
      <c r="G248" s="171"/>
      <c r="H248" s="921"/>
    </row>
    <row r="249" spans="1:8" ht="16.2" thickBot="1">
      <c r="A249" s="564" t="s">
        <v>1152</v>
      </c>
      <c r="B249" s="575">
        <f t="shared" si="80"/>
        <v>225110</v>
      </c>
      <c r="C249" s="575">
        <f t="shared" si="81"/>
        <v>198180</v>
      </c>
      <c r="D249" s="565">
        <f>(Yuasa!Q70)</f>
        <v>192400</v>
      </c>
      <c r="E249" s="288"/>
      <c r="F249" s="172"/>
      <c r="G249" s="171"/>
      <c r="H249" s="921"/>
    </row>
    <row r="250" spans="1:8">
      <c r="A250" s="568" t="s">
        <v>1971</v>
      </c>
      <c r="B250" s="567">
        <f t="shared" si="80"/>
        <v>184280</v>
      </c>
      <c r="C250" s="569">
        <f t="shared" si="81"/>
        <v>162230</v>
      </c>
      <c r="D250" s="570">
        <f>(Novelbat!U11)</f>
        <v>157500</v>
      </c>
      <c r="E250" s="288"/>
      <c r="F250" s="172"/>
      <c r="G250" s="171"/>
      <c r="H250" s="921"/>
    </row>
    <row r="251" spans="1:8" ht="16.2" thickBot="1">
      <c r="A251" s="571" t="s">
        <v>1972</v>
      </c>
      <c r="B251" s="572">
        <f t="shared" si="80"/>
        <v>135140</v>
      </c>
      <c r="C251" s="567">
        <f t="shared" si="81"/>
        <v>118970</v>
      </c>
      <c r="D251" s="573">
        <f>(Novelbat!U20)</f>
        <v>115500</v>
      </c>
      <c r="E251" s="288"/>
      <c r="F251" s="172"/>
      <c r="G251" s="171"/>
      <c r="H251" s="921"/>
    </row>
    <row r="252" spans="1:8" ht="16.2" thickBot="1">
      <c r="A252" s="560" t="s">
        <v>1973</v>
      </c>
      <c r="B252" s="574">
        <f t="shared" si="80"/>
        <v>56810</v>
      </c>
      <c r="C252" s="574">
        <f t="shared" si="81"/>
        <v>50010</v>
      </c>
      <c r="D252" s="561">
        <f>(Novelbat!U22)</f>
        <v>48550</v>
      </c>
      <c r="E252" s="288"/>
      <c r="F252" s="172"/>
      <c r="G252" s="171"/>
      <c r="H252" s="921"/>
    </row>
    <row r="253" spans="1:8">
      <c r="A253" s="560" t="s">
        <v>1974</v>
      </c>
      <c r="B253" s="361">
        <f t="shared" si="80"/>
        <v>45630</v>
      </c>
      <c r="C253" s="574">
        <f t="shared" si="81"/>
        <v>40170</v>
      </c>
      <c r="D253" s="561">
        <f>(Novelbat!U16)</f>
        <v>39000</v>
      </c>
      <c r="E253" s="288"/>
      <c r="F253" s="172"/>
      <c r="G253" s="171"/>
      <c r="H253" s="921"/>
    </row>
    <row r="254" spans="1:8">
      <c r="A254" s="562" t="s">
        <v>1975</v>
      </c>
      <c r="B254" s="163">
        <f t="shared" si="80"/>
        <v>81960</v>
      </c>
      <c r="C254" s="572">
        <f t="shared" si="81"/>
        <v>72160</v>
      </c>
      <c r="D254" s="563">
        <f>(Novelbat!U23)</f>
        <v>70050</v>
      </c>
      <c r="E254" s="288"/>
      <c r="F254" s="172"/>
      <c r="G254" s="171"/>
      <c r="H254" s="921"/>
    </row>
    <row r="255" spans="1:8">
      <c r="A255" s="562" t="s">
        <v>1976</v>
      </c>
      <c r="B255" s="567">
        <f t="shared" si="80"/>
        <v>89330</v>
      </c>
      <c r="C255" s="572">
        <f t="shared" si="81"/>
        <v>78650</v>
      </c>
      <c r="D255" s="563">
        <f>(Novelbat!U24)</f>
        <v>76350</v>
      </c>
      <c r="E255" s="288"/>
      <c r="F255" s="172"/>
      <c r="G255" s="171"/>
      <c r="H255" s="921"/>
    </row>
    <row r="256" spans="1:8">
      <c r="A256" s="562" t="s">
        <v>1977</v>
      </c>
      <c r="B256" s="572">
        <f t="shared" si="80"/>
        <v>141750</v>
      </c>
      <c r="C256" s="572">
        <f t="shared" si="81"/>
        <v>124790</v>
      </c>
      <c r="D256" s="563">
        <f>(Moto!G30)</f>
        <v>121150</v>
      </c>
      <c r="E256" s="288"/>
      <c r="F256" s="172"/>
      <c r="G256" s="171"/>
      <c r="H256" s="921"/>
    </row>
    <row r="257" spans="1:8" ht="16.2" thickBot="1">
      <c r="A257" s="564" t="s">
        <v>1978</v>
      </c>
      <c r="B257" s="366">
        <v>146148</v>
      </c>
      <c r="C257" s="366">
        <f t="shared" si="81"/>
        <v>129780</v>
      </c>
      <c r="D257" s="565">
        <f>(Moura!X35)</f>
        <v>126000</v>
      </c>
      <c r="E257" s="171"/>
      <c r="F257" s="288"/>
      <c r="G257" s="171"/>
      <c r="H257" s="921"/>
    </row>
    <row r="258" spans="1:8">
      <c r="A258" s="166"/>
      <c r="B258" s="171"/>
      <c r="C258" s="171"/>
      <c r="D258" s="171"/>
      <c r="E258" s="171"/>
      <c r="F258" s="171"/>
      <c r="G258" s="288"/>
      <c r="H258" s="171"/>
    </row>
    <row r="259" spans="1:8">
      <c r="A259" s="166"/>
      <c r="B259" s="171"/>
      <c r="C259" s="171"/>
      <c r="D259" s="171"/>
      <c r="E259" s="171"/>
      <c r="F259" s="171"/>
      <c r="G259" s="288"/>
      <c r="H259" s="171"/>
    </row>
    <row r="260" spans="1:8">
      <c r="A260" s="166"/>
      <c r="B260" s="171"/>
      <c r="C260" s="171"/>
      <c r="D260" s="171"/>
      <c r="E260" s="171"/>
      <c r="F260" s="171"/>
      <c r="G260" s="288"/>
      <c r="H260" s="171"/>
    </row>
    <row r="261" spans="1:8">
      <c r="A261" s="166"/>
      <c r="B261" s="171"/>
      <c r="C261" s="171"/>
      <c r="D261" s="171"/>
      <c r="E261" s="171"/>
      <c r="F261" s="171"/>
      <c r="G261" s="288"/>
      <c r="H261" s="171"/>
    </row>
    <row r="262" spans="1:8">
      <c r="A262" s="951">
        <v>45854</v>
      </c>
      <c r="B262" s="921"/>
      <c r="C262" s="921"/>
      <c r="D262" s="172" t="s">
        <v>1979</v>
      </c>
      <c r="E262" s="171"/>
      <c r="F262" s="171"/>
      <c r="G262" s="288"/>
      <c r="H262" s="171"/>
    </row>
    <row r="263" spans="1:8" ht="16.2" thickBot="1">
      <c r="A263" s="166"/>
      <c r="B263" s="171"/>
      <c r="C263" s="171"/>
      <c r="D263" s="171"/>
      <c r="E263" s="171"/>
      <c r="F263" s="1"/>
      <c r="H263" s="171"/>
    </row>
    <row r="264" spans="1:8">
      <c r="A264" s="845" t="s">
        <v>1980</v>
      </c>
      <c r="B264" s="834" t="s">
        <v>1839</v>
      </c>
      <c r="C264" s="846" t="s">
        <v>1981</v>
      </c>
      <c r="D264" s="504" t="s">
        <v>1941</v>
      </c>
      <c r="E264" s="582"/>
      <c r="F264" s="172"/>
      <c r="G264" s="171"/>
      <c r="H264" s="921"/>
    </row>
    <row r="265" spans="1:8">
      <c r="A265" s="847" t="s">
        <v>1982</v>
      </c>
      <c r="B265" s="163">
        <f t="shared" ref="B265:B283" si="82">ROUNDUP(($D265+($D265*L$2)),-1)</f>
        <v>31130</v>
      </c>
      <c r="C265" s="163">
        <f t="shared" ref="C265:C283" si="83">ROUNDUP(D265+(D265*L$1),-1)</f>
        <v>27400</v>
      </c>
      <c r="D265" s="848">
        <f>('Tempel - Melisam'!R9)</f>
        <v>26600</v>
      </c>
      <c r="E265" s="582"/>
      <c r="F265" s="172"/>
      <c r="G265" s="171"/>
      <c r="H265" s="921"/>
    </row>
    <row r="266" spans="1:8">
      <c r="A266" s="847" t="s">
        <v>1983</v>
      </c>
      <c r="B266" s="163">
        <f t="shared" si="82"/>
        <v>46690</v>
      </c>
      <c r="C266" s="163">
        <f t="shared" si="83"/>
        <v>41100</v>
      </c>
      <c r="D266" s="848">
        <f>(Yuasa!Q3)</f>
        <v>39900</v>
      </c>
      <c r="E266" s="582"/>
      <c r="F266" s="172"/>
      <c r="G266" s="171"/>
      <c r="H266" s="921"/>
    </row>
    <row r="267" spans="1:8">
      <c r="A267" s="847" t="s">
        <v>1984</v>
      </c>
      <c r="B267" s="163">
        <f t="shared" si="82"/>
        <v>25160</v>
      </c>
      <c r="C267" s="163">
        <f t="shared" si="83"/>
        <v>22150</v>
      </c>
      <c r="D267" s="848">
        <v>21500</v>
      </c>
      <c r="E267" s="582"/>
      <c r="F267" s="172"/>
      <c r="G267" s="171"/>
      <c r="H267" s="921"/>
    </row>
    <row r="268" spans="1:8">
      <c r="A268" s="847" t="s">
        <v>1985</v>
      </c>
      <c r="B268" s="163">
        <f t="shared" si="82"/>
        <v>49140</v>
      </c>
      <c r="C268" s="163">
        <f t="shared" si="83"/>
        <v>43260</v>
      </c>
      <c r="D268" s="848">
        <f>(Yuasa!Q5)</f>
        <v>42000</v>
      </c>
      <c r="E268" s="582"/>
      <c r="F268" s="172"/>
      <c r="G268" s="171"/>
      <c r="H268" s="921"/>
    </row>
    <row r="269" spans="1:8">
      <c r="A269" s="847" t="s">
        <v>1986</v>
      </c>
      <c r="B269" s="163">
        <f t="shared" si="82"/>
        <v>25160</v>
      </c>
      <c r="C269" s="163">
        <f t="shared" si="83"/>
        <v>22150</v>
      </c>
      <c r="D269" s="848">
        <v>21500</v>
      </c>
      <c r="E269" s="582"/>
      <c r="F269" s="172"/>
      <c r="G269" s="171"/>
      <c r="H269" s="921"/>
    </row>
    <row r="270" spans="1:8">
      <c r="A270" s="847" t="s">
        <v>1987</v>
      </c>
      <c r="B270" s="163">
        <f t="shared" si="82"/>
        <v>57740</v>
      </c>
      <c r="C270" s="163">
        <f t="shared" si="83"/>
        <v>50840</v>
      </c>
      <c r="D270" s="848">
        <f>(Yuasa!Q6)</f>
        <v>49350</v>
      </c>
      <c r="E270" s="582"/>
      <c r="F270" s="172"/>
      <c r="G270" s="921"/>
      <c r="H270" s="921"/>
    </row>
    <row r="271" spans="1:8">
      <c r="A271" s="847" t="s">
        <v>1988</v>
      </c>
      <c r="B271" s="163">
        <f t="shared" si="82"/>
        <v>28320</v>
      </c>
      <c r="C271" s="163">
        <f t="shared" si="83"/>
        <v>24930</v>
      </c>
      <c r="D271" s="848">
        <f>('Tempel - Melisam'!R3)</f>
        <v>24200</v>
      </c>
      <c r="E271" s="582"/>
      <c r="F271" s="172"/>
      <c r="G271" s="921"/>
      <c r="H271" s="921"/>
    </row>
    <row r="272" spans="1:8">
      <c r="A272" s="847" t="s">
        <v>1989</v>
      </c>
      <c r="B272" s="163">
        <f t="shared" si="82"/>
        <v>45630</v>
      </c>
      <c r="C272" s="163">
        <f t="shared" si="83"/>
        <v>40170</v>
      </c>
      <c r="D272" s="848">
        <f>(Moura!X50)</f>
        <v>39000</v>
      </c>
      <c r="E272" s="582"/>
      <c r="F272" s="172"/>
      <c r="G272" s="921"/>
      <c r="H272" s="921"/>
    </row>
    <row r="273" spans="1:7">
      <c r="A273" s="847" t="s">
        <v>1990</v>
      </c>
      <c r="B273" s="163">
        <f t="shared" si="82"/>
        <v>165850</v>
      </c>
      <c r="C273" s="163">
        <f t="shared" si="83"/>
        <v>146010</v>
      </c>
      <c r="D273" s="848">
        <f>(Yuasa!Q8)</f>
        <v>141750</v>
      </c>
      <c r="E273" s="582"/>
      <c r="F273" s="172"/>
      <c r="G273" s="921"/>
    </row>
    <row r="274" spans="1:7">
      <c r="A274" s="847" t="s">
        <v>1991</v>
      </c>
      <c r="B274" s="163">
        <f t="shared" si="82"/>
        <v>83660</v>
      </c>
      <c r="C274" s="163">
        <f t="shared" si="83"/>
        <v>73650</v>
      </c>
      <c r="D274" s="848">
        <f>('Tempel - Melisam'!R4)</f>
        <v>71500</v>
      </c>
      <c r="E274" s="582"/>
      <c r="F274" s="172"/>
      <c r="G274" s="921"/>
    </row>
    <row r="275" spans="1:7">
      <c r="A275" s="847" t="s">
        <v>1992</v>
      </c>
      <c r="B275" s="163">
        <f t="shared" si="82"/>
        <v>96710</v>
      </c>
      <c r="C275" s="163">
        <f t="shared" si="83"/>
        <v>85130</v>
      </c>
      <c r="D275" s="848">
        <f>('Willard - Elpra'!Z25)</f>
        <v>82650</v>
      </c>
      <c r="E275" s="582"/>
      <c r="F275" s="172"/>
      <c r="G275" s="921"/>
    </row>
    <row r="276" spans="1:7">
      <c r="A276" s="847" t="s">
        <v>1993</v>
      </c>
      <c r="B276" s="163">
        <f t="shared" si="82"/>
        <v>135140</v>
      </c>
      <c r="C276" s="163">
        <f t="shared" si="83"/>
        <v>118970</v>
      </c>
      <c r="D276" s="848">
        <f>(Yuasa!Q9)</f>
        <v>115500</v>
      </c>
      <c r="E276" s="582"/>
      <c r="F276" s="172"/>
      <c r="G276" s="921"/>
    </row>
    <row r="277" spans="1:7">
      <c r="A277" s="847" t="s">
        <v>1994</v>
      </c>
      <c r="B277" s="163">
        <f t="shared" si="82"/>
        <v>109400</v>
      </c>
      <c r="C277" s="163">
        <f t="shared" si="83"/>
        <v>96310</v>
      </c>
      <c r="D277" s="848">
        <f>('Tempel - Melisam'!R5)</f>
        <v>93500</v>
      </c>
      <c r="E277" s="582"/>
      <c r="F277" s="172"/>
      <c r="G277" s="921"/>
    </row>
    <row r="278" spans="1:7">
      <c r="A278" s="847" t="s">
        <v>1995</v>
      </c>
      <c r="B278" s="163">
        <f t="shared" si="82"/>
        <v>159480</v>
      </c>
      <c r="C278" s="163">
        <f t="shared" si="83"/>
        <v>140390</v>
      </c>
      <c r="D278" s="848">
        <f>('Willard - Elpra'!Z26)</f>
        <v>136300</v>
      </c>
      <c r="E278" s="582"/>
      <c r="F278" s="172"/>
      <c r="G278" s="921"/>
    </row>
    <row r="279" spans="1:7">
      <c r="A279" s="847" t="s">
        <v>1996</v>
      </c>
      <c r="B279" s="163">
        <f t="shared" si="82"/>
        <v>227280</v>
      </c>
      <c r="C279" s="163">
        <f t="shared" si="83"/>
        <v>200080</v>
      </c>
      <c r="D279" s="848">
        <f>(Yuasa!Q10)</f>
        <v>194250</v>
      </c>
      <c r="E279" s="582"/>
      <c r="F279" s="172"/>
      <c r="G279" s="921"/>
    </row>
    <row r="280" spans="1:7">
      <c r="A280" s="847" t="s">
        <v>1997</v>
      </c>
      <c r="B280" s="163">
        <f t="shared" si="82"/>
        <v>154440</v>
      </c>
      <c r="C280" s="163">
        <f t="shared" si="83"/>
        <v>135960</v>
      </c>
      <c r="D280" s="848">
        <f>('Tempel - Melisam'!R6)</f>
        <v>132000</v>
      </c>
      <c r="E280" s="582"/>
      <c r="F280" s="172"/>
      <c r="G280" s="921"/>
    </row>
    <row r="281" spans="1:7">
      <c r="A281" s="847" t="s">
        <v>1998</v>
      </c>
      <c r="B281" s="163">
        <f t="shared" si="82"/>
        <v>356270</v>
      </c>
      <c r="C281" s="163">
        <f t="shared" si="83"/>
        <v>313640</v>
      </c>
      <c r="D281" s="848">
        <f>(Yuasa!Q11)</f>
        <v>304500</v>
      </c>
      <c r="E281" s="582"/>
      <c r="F281" s="172"/>
      <c r="G281" s="921"/>
    </row>
    <row r="282" spans="1:7">
      <c r="A282" s="847" t="s">
        <v>1999</v>
      </c>
      <c r="B282" s="163">
        <f t="shared" si="82"/>
        <v>96710</v>
      </c>
      <c r="C282" s="163">
        <f t="shared" si="83"/>
        <v>85130</v>
      </c>
      <c r="D282" s="848">
        <f>('Willard - Elpra'!L25)</f>
        <v>82650</v>
      </c>
      <c r="E282" s="582"/>
      <c r="F282" s="172"/>
      <c r="G282" s="921"/>
    </row>
    <row r="283" spans="1:7" ht="16.2" thickBot="1">
      <c r="A283" s="849" t="s">
        <v>2000</v>
      </c>
      <c r="B283" s="366">
        <f t="shared" si="82"/>
        <v>154440</v>
      </c>
      <c r="C283" s="366">
        <f t="shared" si="83"/>
        <v>135960</v>
      </c>
      <c r="D283" s="850">
        <f>('Tempel - Melisam'!R6)</f>
        <v>132000</v>
      </c>
      <c r="E283" s="201"/>
      <c r="F283" s="172"/>
      <c r="G283" s="921"/>
    </row>
    <row r="284" spans="1:7">
      <c r="A284" s="921"/>
      <c r="B284" s="921"/>
      <c r="C284" s="921"/>
      <c r="D284" s="921"/>
      <c r="E284" s="201"/>
      <c r="F284" s="921"/>
    </row>
    <row r="286" spans="1:7">
      <c r="A286" s="168" t="s">
        <v>2001</v>
      </c>
      <c r="B286" s="168" t="s">
        <v>2002</v>
      </c>
      <c r="C286" s="168" t="s">
        <v>2003</v>
      </c>
      <c r="D286" s="921"/>
      <c r="E286" s="921"/>
      <c r="F286" s="921"/>
    </row>
    <row r="287" spans="1:7">
      <c r="A287" s="187" t="s">
        <v>2004</v>
      </c>
      <c r="B287" s="169">
        <v>4000</v>
      </c>
      <c r="C287" s="169"/>
      <c r="D287" s="921"/>
      <c r="E287" s="921"/>
      <c r="F287" s="921"/>
    </row>
    <row r="288" spans="1:7">
      <c r="A288" s="187" t="s">
        <v>2005</v>
      </c>
      <c r="B288" s="169">
        <v>5000</v>
      </c>
      <c r="C288" s="169"/>
      <c r="D288" s="921"/>
      <c r="E288" s="921"/>
      <c r="F288" s="921"/>
    </row>
    <row r="289" spans="1:7">
      <c r="A289" s="187" t="s">
        <v>2006</v>
      </c>
      <c r="B289" s="169">
        <v>8000</v>
      </c>
      <c r="C289" s="169"/>
      <c r="D289" s="921"/>
      <c r="E289" s="921"/>
      <c r="F289" s="921"/>
    </row>
    <row r="290" spans="1:7">
      <c r="A290" s="187" t="s">
        <v>2007</v>
      </c>
      <c r="B290" s="169">
        <v>12000</v>
      </c>
      <c r="C290" s="169"/>
      <c r="D290" s="921"/>
      <c r="E290" s="921"/>
      <c r="F290" s="921"/>
    </row>
    <row r="291" spans="1:7">
      <c r="A291" s="675" t="s">
        <v>2008</v>
      </c>
      <c r="B291" s="676">
        <v>55000</v>
      </c>
      <c r="C291" s="676">
        <f>B291+D2</f>
        <v>65000</v>
      </c>
      <c r="D291" s="921"/>
      <c r="E291" s="921"/>
      <c r="F291" s="921"/>
    </row>
    <row r="292" spans="1:7">
      <c r="A292" s="675" t="s">
        <v>1035</v>
      </c>
      <c r="B292" s="676">
        <v>90000</v>
      </c>
      <c r="C292" s="676">
        <f>B292+D3</f>
        <v>104000</v>
      </c>
      <c r="D292" s="921"/>
      <c r="E292" s="921"/>
      <c r="F292" s="921"/>
    </row>
    <row r="293" spans="1:7">
      <c r="A293" s="675" t="s">
        <v>2009</v>
      </c>
      <c r="B293" s="676">
        <v>120000</v>
      </c>
      <c r="C293" s="676">
        <f>B293+D4</f>
        <v>139000</v>
      </c>
      <c r="D293" s="921"/>
      <c r="E293" s="921"/>
      <c r="F293" s="921"/>
    </row>
    <row r="294" spans="1:7">
      <c r="A294" s="187" t="s">
        <v>2010</v>
      </c>
      <c r="B294" s="169">
        <v>6000</v>
      </c>
      <c r="C294" s="169"/>
      <c r="D294" s="921"/>
      <c r="E294" s="921"/>
      <c r="F294" s="921"/>
    </row>
    <row r="295" spans="1:7">
      <c r="A295" s="187" t="s">
        <v>2011</v>
      </c>
      <c r="B295" s="169">
        <v>7000</v>
      </c>
      <c r="C295" s="169"/>
      <c r="D295" s="921"/>
      <c r="E295" s="921"/>
      <c r="F295" s="921"/>
    </row>
    <row r="296" spans="1:7">
      <c r="A296" s="789"/>
      <c r="B296" s="884"/>
      <c r="C296" s="884"/>
      <c r="D296" s="921"/>
      <c r="E296" s="921"/>
      <c r="F296" s="921"/>
    </row>
    <row r="297" spans="1:7">
      <c r="A297" s="789"/>
      <c r="B297" s="884"/>
      <c r="C297" s="884"/>
      <c r="D297" s="921"/>
      <c r="E297" s="921"/>
      <c r="F297" s="921"/>
    </row>
    <row r="298" spans="1:7">
      <c r="A298" s="789"/>
      <c r="B298" s="884"/>
      <c r="C298" s="884"/>
      <c r="D298" s="921"/>
      <c r="E298" s="921"/>
      <c r="F298" s="921"/>
    </row>
    <row r="299" spans="1:7">
      <c r="A299" s="951">
        <v>45854</v>
      </c>
      <c r="B299" s="921"/>
      <c r="C299" s="884"/>
      <c r="D299" s="172" t="s">
        <v>2012</v>
      </c>
      <c r="E299" s="921"/>
      <c r="F299" s="921"/>
    </row>
    <row r="300" spans="1:7" ht="16.2" thickBot="1">
      <c r="A300" s="921"/>
      <c r="B300" s="921"/>
      <c r="C300" s="921"/>
      <c r="D300" s="921"/>
      <c r="E300" s="921"/>
      <c r="F300" s="1"/>
    </row>
    <row r="301" spans="1:7">
      <c r="A301" s="437" t="s">
        <v>2013</v>
      </c>
      <c r="B301" s="834" t="s">
        <v>1839</v>
      </c>
      <c r="C301" s="553" t="s">
        <v>1592</v>
      </c>
      <c r="D301" s="504" t="s">
        <v>1941</v>
      </c>
      <c r="E301" s="771"/>
      <c r="F301" s="172"/>
      <c r="G301" s="921"/>
    </row>
    <row r="302" spans="1:7">
      <c r="A302" s="438" t="s">
        <v>1110</v>
      </c>
      <c r="B302" s="163">
        <f t="shared" ref="B302:B311" si="84">ROUNDUP(($D302+($D302*L$2)),-1)</f>
        <v>26270</v>
      </c>
      <c r="C302" s="163">
        <f t="shared" ref="C302:C311" si="85">ROUNDUP(($D302+($D302*L$1)),-1)</f>
        <v>23130</v>
      </c>
      <c r="D302" s="466">
        <f>('Terminales - Liquimoly - Bari'!O21)</f>
        <v>22450</v>
      </c>
      <c r="E302" s="771"/>
      <c r="F302" s="172"/>
      <c r="G302" s="921"/>
    </row>
    <row r="303" spans="1:7">
      <c r="A303" s="438" t="s">
        <v>1112</v>
      </c>
      <c r="B303" s="163">
        <f t="shared" si="84"/>
        <v>30830</v>
      </c>
      <c r="C303" s="163">
        <f t="shared" si="85"/>
        <v>27150</v>
      </c>
      <c r="D303" s="466">
        <f>('Terminales - Liquimoly - Bari'!O22)</f>
        <v>26350</v>
      </c>
      <c r="E303" s="771"/>
      <c r="F303" s="172"/>
      <c r="G303" s="921"/>
    </row>
    <row r="304" spans="1:7">
      <c r="A304" s="438" t="s">
        <v>1111</v>
      </c>
      <c r="B304" s="163">
        <f t="shared" si="84"/>
        <v>25570</v>
      </c>
      <c r="C304" s="163">
        <f t="shared" si="85"/>
        <v>22510</v>
      </c>
      <c r="D304" s="466">
        <f>('Terminales - Liquimoly - Bari'!O23)</f>
        <v>21850</v>
      </c>
      <c r="E304" s="771"/>
      <c r="F304" s="172"/>
      <c r="G304" s="921"/>
    </row>
    <row r="305" spans="1:7">
      <c r="A305" s="438" t="s">
        <v>2014</v>
      </c>
      <c r="B305" s="163">
        <f t="shared" si="84"/>
        <v>40840</v>
      </c>
      <c r="C305" s="163">
        <f t="shared" si="85"/>
        <v>35950</v>
      </c>
      <c r="D305" s="466">
        <f>('Terminales - Liquimoly - Bari'!O24)</f>
        <v>34900</v>
      </c>
      <c r="E305" s="771"/>
      <c r="F305" s="172"/>
      <c r="G305" s="921"/>
    </row>
    <row r="306" spans="1:7">
      <c r="A306" s="438" t="s">
        <v>1114</v>
      </c>
      <c r="B306" s="163">
        <f t="shared" si="84"/>
        <v>38730</v>
      </c>
      <c r="C306" s="163">
        <f t="shared" si="85"/>
        <v>34100</v>
      </c>
      <c r="D306" s="466">
        <f>('Terminales - Liquimoly - Bari'!O25)</f>
        <v>33100</v>
      </c>
      <c r="E306" s="771"/>
      <c r="F306" s="172"/>
      <c r="G306" s="921"/>
    </row>
    <row r="307" spans="1:7">
      <c r="A307" s="438" t="s">
        <v>2015</v>
      </c>
      <c r="B307" s="163">
        <f t="shared" si="84"/>
        <v>15800</v>
      </c>
      <c r="C307" s="163">
        <f t="shared" si="85"/>
        <v>13910</v>
      </c>
      <c r="D307" s="466">
        <f>('Terminales - Liquimoly - Bari'!O26)</f>
        <v>13500</v>
      </c>
      <c r="E307" s="771"/>
      <c r="F307" s="172"/>
      <c r="G307" s="921"/>
    </row>
    <row r="308" spans="1:7">
      <c r="A308" s="438" t="s">
        <v>2016</v>
      </c>
      <c r="B308" s="163">
        <f t="shared" si="84"/>
        <v>41420</v>
      </c>
      <c r="C308" s="163">
        <f t="shared" si="85"/>
        <v>36470</v>
      </c>
      <c r="D308" s="466">
        <f>('Terminales - Liquimoly - Bari'!O28)</f>
        <v>35400</v>
      </c>
      <c r="E308" s="771"/>
      <c r="F308" s="172"/>
      <c r="G308" s="921"/>
    </row>
    <row r="309" spans="1:7">
      <c r="A309" s="580" t="s">
        <v>2017</v>
      </c>
      <c r="B309" s="163">
        <f t="shared" si="84"/>
        <v>24810</v>
      </c>
      <c r="C309" s="163">
        <f t="shared" si="85"/>
        <v>21840</v>
      </c>
      <c r="D309" s="581">
        <f>('Terminales - Liquimoly - Bari'!O29)</f>
        <v>21200</v>
      </c>
      <c r="E309" s="771"/>
      <c r="F309" s="172"/>
      <c r="G309" s="921"/>
    </row>
    <row r="310" spans="1:7">
      <c r="A310" s="580" t="s">
        <v>1186</v>
      </c>
      <c r="B310" s="163">
        <f t="shared" si="84"/>
        <v>29960</v>
      </c>
      <c r="C310" s="163">
        <f t="shared" si="85"/>
        <v>26370</v>
      </c>
      <c r="D310" s="581">
        <f>('Terminales - Liquimoly - Bari'!O30)</f>
        <v>25600</v>
      </c>
      <c r="E310" s="771"/>
      <c r="F310" s="172"/>
      <c r="G310" s="171"/>
    </row>
    <row r="311" spans="1:7">
      <c r="A311" s="580" t="s">
        <v>2018</v>
      </c>
      <c r="B311" s="572">
        <f t="shared" si="84"/>
        <v>28200</v>
      </c>
      <c r="C311" s="163">
        <f t="shared" si="85"/>
        <v>24830</v>
      </c>
      <c r="D311" s="581">
        <f>('Terminales - Liquimoly - Bari'!O31)</f>
        <v>24100</v>
      </c>
      <c r="E311" s="1"/>
      <c r="F311" s="172"/>
      <c r="G311" s="921"/>
    </row>
    <row r="312" spans="1:7">
      <c r="A312" s="503" t="s">
        <v>2019</v>
      </c>
      <c r="B312" s="851" t="s">
        <v>1839</v>
      </c>
      <c r="C312" s="554" t="s">
        <v>1592</v>
      </c>
      <c r="D312" s="505" t="s">
        <v>1941</v>
      </c>
      <c r="E312" s="583"/>
      <c r="F312" s="172"/>
      <c r="G312" s="921"/>
    </row>
    <row r="313" spans="1:7">
      <c r="A313" s="438" t="s">
        <v>2020</v>
      </c>
      <c r="B313" s="466">
        <v>8000</v>
      </c>
      <c r="C313" s="466">
        <v>8000</v>
      </c>
      <c r="D313" s="466">
        <v>8000</v>
      </c>
      <c r="E313" s="583"/>
      <c r="F313" s="172"/>
      <c r="G313" s="921"/>
    </row>
    <row r="314" spans="1:7">
      <c r="A314" s="438" t="s">
        <v>1120</v>
      </c>
      <c r="B314" s="466">
        <v>19000</v>
      </c>
      <c r="C314" s="466">
        <v>19000</v>
      </c>
      <c r="D314" s="466">
        <v>19000</v>
      </c>
      <c r="E314" s="583"/>
      <c r="F314" s="172"/>
      <c r="G314" s="921"/>
    </row>
    <row r="315" spans="1:7">
      <c r="A315" s="555" t="s">
        <v>1122</v>
      </c>
      <c r="B315" s="556">
        <v>27000</v>
      </c>
      <c r="C315" s="556">
        <v>27000</v>
      </c>
      <c r="D315" s="556">
        <v>27000</v>
      </c>
      <c r="E315" s="665"/>
      <c r="F315" s="172"/>
      <c r="G315" s="288"/>
    </row>
    <row r="316" spans="1:7">
      <c r="A316" s="882"/>
      <c r="B316" s="883"/>
      <c r="C316" s="883"/>
      <c r="D316" s="883"/>
      <c r="E316" s="665"/>
      <c r="F316" s="172"/>
      <c r="G316" s="288"/>
    </row>
    <row r="317" spans="1:7" ht="21">
      <c r="A317" s="279" t="s">
        <v>2021</v>
      </c>
      <c r="B317" s="280"/>
      <c r="C317" s="280"/>
      <c r="D317" s="280"/>
      <c r="E317" s="764"/>
      <c r="F317" s="756"/>
      <c r="G317" s="921"/>
    </row>
    <row r="318" spans="1:7" ht="16.2" thickBot="1">
      <c r="A318" s="358" t="s">
        <v>2022</v>
      </c>
      <c r="B318" s="281" t="s">
        <v>372</v>
      </c>
      <c r="C318" s="282" t="s">
        <v>2023</v>
      </c>
      <c r="D318" s="283" t="s">
        <v>2024</v>
      </c>
      <c r="E318" s="469"/>
      <c r="F318" s="469"/>
      <c r="G318" s="288"/>
    </row>
    <row r="319" spans="1:7">
      <c r="A319" s="359" t="s">
        <v>2025</v>
      </c>
      <c r="B319" s="360">
        <v>1</v>
      </c>
      <c r="C319" s="361">
        <f t="shared" ref="C319:C340" si="86">ROUNDUP((D319+(D319*L$2)),-1)</f>
        <v>1120</v>
      </c>
      <c r="D319" s="419">
        <v>950</v>
      </c>
      <c r="E319" s="469"/>
      <c r="F319" s="469"/>
      <c r="G319" s="921"/>
    </row>
    <row r="320" spans="1:7">
      <c r="A320" s="362" t="s">
        <v>2026</v>
      </c>
      <c r="B320" s="357">
        <f>+B319+1</f>
        <v>2</v>
      </c>
      <c r="C320" s="163">
        <f t="shared" si="86"/>
        <v>1700</v>
      </c>
      <c r="D320" s="363">
        <v>1450</v>
      </c>
      <c r="E320" s="469"/>
      <c r="F320" s="469"/>
      <c r="G320" s="921"/>
    </row>
    <row r="321" spans="1:7">
      <c r="A321" s="362" t="s">
        <v>2027</v>
      </c>
      <c r="B321" s="357">
        <f t="shared" ref="B321:B340" si="87">+B320+1</f>
        <v>3</v>
      </c>
      <c r="C321" s="163">
        <f t="shared" si="86"/>
        <v>1060</v>
      </c>
      <c r="D321" s="363">
        <v>900</v>
      </c>
      <c r="E321" s="469"/>
      <c r="F321" s="469"/>
      <c r="G321" s="921"/>
    </row>
    <row r="322" spans="1:7">
      <c r="A322" s="362" t="s">
        <v>2028</v>
      </c>
      <c r="B322" s="357">
        <f t="shared" si="87"/>
        <v>4</v>
      </c>
      <c r="C322" s="163">
        <f t="shared" si="86"/>
        <v>1410</v>
      </c>
      <c r="D322" s="363">
        <v>1200</v>
      </c>
      <c r="E322" s="469"/>
      <c r="F322" s="469"/>
      <c r="G322" s="921"/>
    </row>
    <row r="323" spans="1:7">
      <c r="A323" s="362" t="s">
        <v>2029</v>
      </c>
      <c r="B323" s="357">
        <f t="shared" si="87"/>
        <v>5</v>
      </c>
      <c r="C323" s="163">
        <f t="shared" si="86"/>
        <v>1410</v>
      </c>
      <c r="D323" s="363">
        <v>1200</v>
      </c>
      <c r="E323" s="469"/>
      <c r="F323" s="469"/>
      <c r="G323" s="921"/>
    </row>
    <row r="324" spans="1:7">
      <c r="A324" s="362" t="s">
        <v>2030</v>
      </c>
      <c r="B324" s="357">
        <f t="shared" si="87"/>
        <v>6</v>
      </c>
      <c r="C324" s="163">
        <f t="shared" si="86"/>
        <v>770</v>
      </c>
      <c r="D324" s="363">
        <v>650</v>
      </c>
      <c r="E324" s="469"/>
      <c r="F324" s="469"/>
      <c r="G324" s="921"/>
    </row>
    <row r="325" spans="1:7">
      <c r="A325" s="362" t="s">
        <v>2031</v>
      </c>
      <c r="B325" s="357">
        <f t="shared" si="87"/>
        <v>7</v>
      </c>
      <c r="C325" s="163">
        <f t="shared" si="86"/>
        <v>1000</v>
      </c>
      <c r="D325" s="363">
        <v>850</v>
      </c>
      <c r="E325" s="469"/>
      <c r="F325" s="469"/>
      <c r="G325" s="921"/>
    </row>
    <row r="326" spans="1:7">
      <c r="A326" s="362" t="s">
        <v>2032</v>
      </c>
      <c r="B326" s="357">
        <f t="shared" si="87"/>
        <v>8</v>
      </c>
      <c r="C326" s="163">
        <f t="shared" si="86"/>
        <v>2110</v>
      </c>
      <c r="D326" s="363">
        <v>1800</v>
      </c>
      <c r="E326" s="469"/>
      <c r="F326" s="469"/>
      <c r="G326" s="921"/>
    </row>
    <row r="327" spans="1:7">
      <c r="A327" s="362" t="s">
        <v>2033</v>
      </c>
      <c r="B327" s="357">
        <f t="shared" si="87"/>
        <v>9</v>
      </c>
      <c r="C327" s="163">
        <f t="shared" si="86"/>
        <v>2110</v>
      </c>
      <c r="D327" s="363">
        <v>1800</v>
      </c>
      <c r="E327" s="469"/>
      <c r="F327" s="469"/>
      <c r="G327" s="921"/>
    </row>
    <row r="328" spans="1:7">
      <c r="A328" s="362" t="s">
        <v>2034</v>
      </c>
      <c r="B328" s="357">
        <f t="shared" si="87"/>
        <v>10</v>
      </c>
      <c r="C328" s="163">
        <f t="shared" si="86"/>
        <v>1940</v>
      </c>
      <c r="D328" s="363">
        <v>1650.0000000000002</v>
      </c>
      <c r="E328" s="469"/>
      <c r="F328" s="469"/>
      <c r="G328" s="921"/>
    </row>
    <row r="329" spans="1:7">
      <c r="A329" s="362" t="s">
        <v>2035</v>
      </c>
      <c r="B329" s="357">
        <f t="shared" si="87"/>
        <v>11</v>
      </c>
      <c r="C329" s="163">
        <f t="shared" si="86"/>
        <v>1290</v>
      </c>
      <c r="D329" s="363">
        <v>1100</v>
      </c>
      <c r="E329" s="469"/>
      <c r="F329" s="469"/>
      <c r="G329" s="921"/>
    </row>
    <row r="330" spans="1:7">
      <c r="A330" s="362" t="s">
        <v>2036</v>
      </c>
      <c r="B330" s="357">
        <f t="shared" si="87"/>
        <v>12</v>
      </c>
      <c r="C330" s="163">
        <f t="shared" si="86"/>
        <v>2050</v>
      </c>
      <c r="D330" s="363">
        <v>1750</v>
      </c>
      <c r="E330" s="469"/>
      <c r="F330" s="469"/>
      <c r="G330" s="921"/>
    </row>
    <row r="331" spans="1:7">
      <c r="A331" s="362" t="s">
        <v>2037</v>
      </c>
      <c r="B331" s="357">
        <f t="shared" si="87"/>
        <v>13</v>
      </c>
      <c r="C331" s="163">
        <f t="shared" si="86"/>
        <v>1120</v>
      </c>
      <c r="D331" s="363">
        <v>950</v>
      </c>
      <c r="E331" s="469"/>
      <c r="F331" s="469"/>
      <c r="G331" s="921"/>
    </row>
    <row r="332" spans="1:7">
      <c r="A332" s="362" t="s">
        <v>2038</v>
      </c>
      <c r="B332" s="357">
        <f t="shared" si="87"/>
        <v>14</v>
      </c>
      <c r="C332" s="163">
        <f t="shared" si="86"/>
        <v>2050</v>
      </c>
      <c r="D332" s="363">
        <v>1750</v>
      </c>
      <c r="E332" s="469"/>
      <c r="F332" s="469"/>
      <c r="G332" s="921"/>
    </row>
    <row r="333" spans="1:7">
      <c r="A333" s="362" t="s">
        <v>2039</v>
      </c>
      <c r="B333" s="357">
        <f t="shared" si="87"/>
        <v>15</v>
      </c>
      <c r="C333" s="163">
        <f t="shared" si="86"/>
        <v>1230</v>
      </c>
      <c r="D333" s="363">
        <v>1050</v>
      </c>
      <c r="E333" s="469"/>
      <c r="F333" s="469"/>
      <c r="G333" s="921"/>
    </row>
    <row r="334" spans="1:7">
      <c r="A334" s="362" t="s">
        <v>2040</v>
      </c>
      <c r="B334" s="357">
        <f t="shared" si="87"/>
        <v>16</v>
      </c>
      <c r="C334" s="163">
        <f t="shared" si="86"/>
        <v>1410</v>
      </c>
      <c r="D334" s="363">
        <v>1200</v>
      </c>
      <c r="E334" s="469"/>
      <c r="F334" s="469"/>
      <c r="G334" s="921"/>
    </row>
    <row r="335" spans="1:7">
      <c r="A335" s="362" t="s">
        <v>2041</v>
      </c>
      <c r="B335" s="357">
        <f t="shared" si="87"/>
        <v>17</v>
      </c>
      <c r="C335" s="163">
        <f t="shared" si="86"/>
        <v>1880</v>
      </c>
      <c r="D335" s="363">
        <v>1600</v>
      </c>
      <c r="E335" s="469"/>
      <c r="F335" s="469"/>
      <c r="G335" s="921"/>
    </row>
    <row r="336" spans="1:7">
      <c r="A336" s="362" t="s">
        <v>2042</v>
      </c>
      <c r="B336" s="357">
        <f t="shared" si="87"/>
        <v>18</v>
      </c>
      <c r="C336" s="163">
        <f t="shared" si="86"/>
        <v>2750</v>
      </c>
      <c r="D336" s="363">
        <v>2350</v>
      </c>
      <c r="E336" s="469"/>
      <c r="F336" s="469"/>
      <c r="G336" s="921"/>
    </row>
    <row r="337" spans="1:7">
      <c r="A337" s="362" t="s">
        <v>2043</v>
      </c>
      <c r="B337" s="357">
        <f t="shared" si="87"/>
        <v>19</v>
      </c>
      <c r="C337" s="163">
        <f t="shared" si="86"/>
        <v>2460</v>
      </c>
      <c r="D337" s="363">
        <v>2100</v>
      </c>
      <c r="E337" s="469"/>
      <c r="F337" s="469"/>
      <c r="G337" s="921"/>
    </row>
    <row r="338" spans="1:7">
      <c r="A338" s="362" t="s">
        <v>2044</v>
      </c>
      <c r="B338" s="357">
        <f t="shared" si="87"/>
        <v>20</v>
      </c>
      <c r="C338" s="163">
        <f t="shared" si="86"/>
        <v>1410</v>
      </c>
      <c r="D338" s="363">
        <v>1200</v>
      </c>
      <c r="E338" s="469"/>
      <c r="F338" s="469"/>
      <c r="G338" s="921"/>
    </row>
    <row r="339" spans="1:7">
      <c r="A339" s="362" t="s">
        <v>2045</v>
      </c>
      <c r="B339" s="357">
        <f t="shared" si="87"/>
        <v>21</v>
      </c>
      <c r="C339" s="163">
        <f t="shared" si="86"/>
        <v>1290</v>
      </c>
      <c r="D339" s="363">
        <v>1100</v>
      </c>
      <c r="E339" s="469"/>
      <c r="F339" s="469"/>
      <c r="G339" s="921"/>
    </row>
    <row r="340" spans="1:7" ht="16.2" thickBot="1">
      <c r="A340" s="364" t="s">
        <v>2046</v>
      </c>
      <c r="B340" s="365">
        <f t="shared" si="87"/>
        <v>22</v>
      </c>
      <c r="C340" s="366">
        <f t="shared" si="86"/>
        <v>1640</v>
      </c>
      <c r="D340" s="420">
        <v>1400</v>
      </c>
      <c r="E340" s="772"/>
      <c r="F340" s="172"/>
      <c r="G340" s="921"/>
    </row>
    <row r="341" spans="1:7">
      <c r="A341" s="167" t="s">
        <v>2047</v>
      </c>
      <c r="B341" s="834" t="s">
        <v>1839</v>
      </c>
      <c r="C341" s="553" t="s">
        <v>1592</v>
      </c>
      <c r="D341" s="470" t="s">
        <v>2048</v>
      </c>
      <c r="E341" s="201"/>
      <c r="F341" s="172"/>
      <c r="G341" s="921"/>
    </row>
    <row r="342" spans="1:7">
      <c r="A342" s="187" t="s">
        <v>2049</v>
      </c>
      <c r="B342" s="163">
        <f t="shared" ref="B342:B353" si="88">ROUNDUP(($D342+($D342*L$2)),-1)</f>
        <v>1700</v>
      </c>
      <c r="C342" s="163">
        <f t="shared" ref="C342:C353" si="89">ROUNDUP(($D342+($D342*L$1)),-1)</f>
        <v>1500</v>
      </c>
      <c r="D342" s="159">
        <f>(Pilas!I3)</f>
        <v>1450</v>
      </c>
      <c r="E342" s="201"/>
      <c r="F342" s="172"/>
      <c r="G342" s="921"/>
    </row>
    <row r="343" spans="1:7">
      <c r="A343" s="187" t="s">
        <v>2050</v>
      </c>
      <c r="B343" s="163">
        <f t="shared" si="88"/>
        <v>1700</v>
      </c>
      <c r="C343" s="163">
        <f t="shared" si="89"/>
        <v>1500</v>
      </c>
      <c r="D343" s="159">
        <f>(Pilas!I4)</f>
        <v>1450</v>
      </c>
      <c r="E343" s="201"/>
      <c r="F343" s="172"/>
      <c r="G343" s="921"/>
    </row>
    <row r="344" spans="1:7">
      <c r="A344" s="187" t="s">
        <v>2051</v>
      </c>
      <c r="B344" s="163">
        <f t="shared" si="88"/>
        <v>7020</v>
      </c>
      <c r="C344" s="163">
        <f t="shared" si="89"/>
        <v>6180</v>
      </c>
      <c r="D344" s="159">
        <f>(Pilas!I5)</f>
        <v>6000</v>
      </c>
      <c r="E344" s="201"/>
      <c r="F344" s="172"/>
      <c r="G344" s="921"/>
    </row>
    <row r="345" spans="1:7">
      <c r="A345" s="187" t="s">
        <v>2052</v>
      </c>
      <c r="B345" s="163">
        <f t="shared" si="88"/>
        <v>7020</v>
      </c>
      <c r="C345" s="163">
        <f t="shared" si="89"/>
        <v>6180</v>
      </c>
      <c r="D345" s="159">
        <f>(Pilas!I6)</f>
        <v>6000</v>
      </c>
      <c r="E345" s="201"/>
      <c r="F345" s="172"/>
      <c r="G345" s="921"/>
    </row>
    <row r="346" spans="1:7">
      <c r="A346" s="187" t="s">
        <v>850</v>
      </c>
      <c r="B346" s="163">
        <f t="shared" si="88"/>
        <v>3510</v>
      </c>
      <c r="C346" s="163">
        <f t="shared" si="89"/>
        <v>3090</v>
      </c>
      <c r="D346" s="159">
        <f>(Pilas!I7)</f>
        <v>3000</v>
      </c>
      <c r="E346" s="201"/>
      <c r="F346" s="172"/>
      <c r="G346" s="921"/>
    </row>
    <row r="347" spans="1:7">
      <c r="A347" s="187" t="s">
        <v>852</v>
      </c>
      <c r="B347" s="163">
        <f t="shared" si="88"/>
        <v>4220</v>
      </c>
      <c r="C347" s="163">
        <f t="shared" si="89"/>
        <v>3710</v>
      </c>
      <c r="D347" s="159">
        <f>(Pilas!I8)</f>
        <v>3600</v>
      </c>
      <c r="E347" s="201"/>
      <c r="F347" s="172"/>
      <c r="G347" s="921"/>
    </row>
    <row r="348" spans="1:7">
      <c r="A348" s="187" t="s">
        <v>953</v>
      </c>
      <c r="B348" s="163">
        <f t="shared" si="88"/>
        <v>1700</v>
      </c>
      <c r="C348" s="163">
        <f t="shared" si="89"/>
        <v>1500</v>
      </c>
      <c r="D348" s="159">
        <f>(Pilas!I9)</f>
        <v>1450</v>
      </c>
      <c r="E348" s="201"/>
      <c r="F348" s="172"/>
      <c r="G348" s="921"/>
    </row>
    <row r="349" spans="1:7">
      <c r="A349" s="187" t="s">
        <v>856</v>
      </c>
      <c r="B349" s="163">
        <f t="shared" si="88"/>
        <v>1880</v>
      </c>
      <c r="C349" s="163">
        <f t="shared" si="89"/>
        <v>1650</v>
      </c>
      <c r="D349" s="159">
        <f>(Pilas!I10)</f>
        <v>1600</v>
      </c>
      <c r="E349" s="201"/>
      <c r="F349" s="172"/>
      <c r="G349" s="921"/>
    </row>
    <row r="350" spans="1:7">
      <c r="A350" s="187" t="s">
        <v>858</v>
      </c>
      <c r="B350" s="163">
        <f t="shared" si="88"/>
        <v>1880</v>
      </c>
      <c r="C350" s="163">
        <f t="shared" si="89"/>
        <v>1650</v>
      </c>
      <c r="D350" s="159">
        <f>(Pilas!I11)</f>
        <v>1600</v>
      </c>
      <c r="E350" s="201"/>
      <c r="F350" s="172"/>
      <c r="G350" s="921"/>
    </row>
    <row r="351" spans="1:7">
      <c r="A351" s="187" t="s">
        <v>860</v>
      </c>
      <c r="B351" s="163">
        <f t="shared" si="88"/>
        <v>5090</v>
      </c>
      <c r="C351" s="163">
        <f t="shared" si="89"/>
        <v>4490</v>
      </c>
      <c r="D351" s="159">
        <f>(Pilas!I12)</f>
        <v>4350</v>
      </c>
      <c r="E351" s="201"/>
      <c r="F351" s="172"/>
      <c r="G351" s="921"/>
    </row>
    <row r="352" spans="1:7">
      <c r="A352" s="187" t="s">
        <v>2053</v>
      </c>
      <c r="B352" s="163">
        <f t="shared" si="88"/>
        <v>6500</v>
      </c>
      <c r="C352" s="163">
        <f t="shared" si="89"/>
        <v>5720</v>
      </c>
      <c r="D352" s="159">
        <f>(Pilas!I13)</f>
        <v>5550</v>
      </c>
      <c r="E352" s="201"/>
      <c r="F352" s="172"/>
      <c r="G352" s="921"/>
    </row>
    <row r="353" spans="1:7">
      <c r="A353" s="187" t="s">
        <v>864</v>
      </c>
      <c r="B353" s="163">
        <f t="shared" si="88"/>
        <v>5390</v>
      </c>
      <c r="C353" s="163">
        <f t="shared" si="89"/>
        <v>4740</v>
      </c>
      <c r="D353" s="159">
        <f>(Pilas!I14)</f>
        <v>4600</v>
      </c>
      <c r="E353" s="921"/>
      <c r="F353" s="172"/>
      <c r="G353" s="921"/>
    </row>
    <row r="354" spans="1:7">
      <c r="A354" s="789"/>
      <c r="B354" s="171"/>
      <c r="C354" s="171"/>
      <c r="D354" s="171"/>
      <c r="E354" s="201"/>
      <c r="F354" s="921"/>
    </row>
    <row r="355" spans="1:7" ht="16.2" thickBot="1">
      <c r="A355" s="789"/>
      <c r="B355" s="171"/>
      <c r="C355" s="171"/>
      <c r="D355" s="171"/>
      <c r="E355" s="201"/>
      <c r="F355" s="921"/>
    </row>
    <row r="356" spans="1:7">
      <c r="A356" s="737">
        <v>45854</v>
      </c>
      <c r="B356" s="921"/>
      <c r="C356" s="921"/>
      <c r="D356" s="172" t="s">
        <v>2054</v>
      </c>
      <c r="E356" s="921"/>
      <c r="F356" s="1"/>
    </row>
    <row r="357" spans="1:7">
      <c r="A357" s="165" t="s">
        <v>2055</v>
      </c>
      <c r="B357" s="851" t="s">
        <v>1839</v>
      </c>
      <c r="C357" s="508" t="s">
        <v>1981</v>
      </c>
      <c r="D357" s="48" t="s">
        <v>1941</v>
      </c>
      <c r="E357" s="201"/>
      <c r="F357" s="172"/>
      <c r="G357" s="921"/>
    </row>
    <row r="358" spans="1:7">
      <c r="A358" s="165" t="s">
        <v>2056</v>
      </c>
      <c r="B358" s="468"/>
      <c r="C358" s="508"/>
      <c r="D358" s="48"/>
      <c r="E358" s="201"/>
      <c r="F358" s="172"/>
      <c r="G358" s="921"/>
    </row>
    <row r="359" spans="1:7">
      <c r="A359" s="188" t="s">
        <v>2057</v>
      </c>
      <c r="B359" s="163">
        <f t="shared" ref="B359:B368" si="90">ROUNDUP(($D359+($D359*L$2)),-1)</f>
        <v>3510</v>
      </c>
      <c r="C359" s="163">
        <f t="shared" ref="C359:C368" si="91">ROUNDUP(D359+(D359*L$1),-1)</f>
        <v>3090</v>
      </c>
      <c r="D359" s="159">
        <f>('Terminales - Liquimoly - Bari'!O4)</f>
        <v>3000</v>
      </c>
      <c r="E359" s="201"/>
      <c r="F359" s="172"/>
      <c r="G359" s="921"/>
    </row>
    <row r="360" spans="1:7">
      <c r="A360" s="188" t="s">
        <v>2058</v>
      </c>
      <c r="B360" s="163">
        <f t="shared" si="90"/>
        <v>4330</v>
      </c>
      <c r="C360" s="163">
        <f t="shared" si="91"/>
        <v>3820</v>
      </c>
      <c r="D360" s="159">
        <f>('Terminales - Liquimoly - Bari'!O5)</f>
        <v>3700</v>
      </c>
      <c r="E360" s="201"/>
      <c r="F360" s="172"/>
      <c r="G360" s="921"/>
    </row>
    <row r="361" spans="1:7">
      <c r="A361" s="188" t="s">
        <v>2059</v>
      </c>
      <c r="B361" s="163">
        <f t="shared" si="90"/>
        <v>7790</v>
      </c>
      <c r="C361" s="163">
        <f t="shared" si="91"/>
        <v>6850</v>
      </c>
      <c r="D361" s="159">
        <f>('Terminales - Liquimoly - Bari'!O6)</f>
        <v>6650</v>
      </c>
      <c r="E361" s="201"/>
      <c r="F361" s="172"/>
      <c r="G361" s="921"/>
    </row>
    <row r="362" spans="1:7">
      <c r="A362" s="188" t="s">
        <v>2060</v>
      </c>
      <c r="B362" s="163">
        <f t="shared" si="90"/>
        <v>4330</v>
      </c>
      <c r="C362" s="163">
        <f t="shared" si="91"/>
        <v>3820</v>
      </c>
      <c r="D362" s="159">
        <f>('Terminales - Liquimoly - Bari'!O7)</f>
        <v>3700</v>
      </c>
      <c r="E362" s="201"/>
      <c r="F362" s="172"/>
      <c r="G362" s="921"/>
    </row>
    <row r="363" spans="1:7">
      <c r="A363" s="188" t="s">
        <v>982</v>
      </c>
      <c r="B363" s="163">
        <f t="shared" si="90"/>
        <v>12170</v>
      </c>
      <c r="C363" s="163">
        <f t="shared" si="91"/>
        <v>10720</v>
      </c>
      <c r="D363" s="159">
        <f>('Terminales - Liquimoly - Bari'!O9)</f>
        <v>10400</v>
      </c>
      <c r="E363" s="201"/>
      <c r="F363" s="172"/>
      <c r="G363" s="921"/>
    </row>
    <row r="364" spans="1:7">
      <c r="A364" s="188" t="s">
        <v>980</v>
      </c>
      <c r="B364" s="163">
        <f t="shared" si="90"/>
        <v>3630</v>
      </c>
      <c r="C364" s="163">
        <f t="shared" si="91"/>
        <v>3200</v>
      </c>
      <c r="D364" s="159">
        <f>('Terminales - Liquimoly - Bari'!O8)</f>
        <v>3100</v>
      </c>
      <c r="E364" s="201"/>
      <c r="F364" s="172"/>
      <c r="G364" s="921"/>
    </row>
    <row r="365" spans="1:7">
      <c r="A365" s="188" t="s">
        <v>2061</v>
      </c>
      <c r="B365" s="163">
        <f t="shared" si="90"/>
        <v>44460</v>
      </c>
      <c r="C365" s="163">
        <f t="shared" si="91"/>
        <v>39140</v>
      </c>
      <c r="D365" s="159">
        <f>('Terminales - Liquimoly - Bari'!O10)</f>
        <v>38000</v>
      </c>
      <c r="E365" s="201"/>
      <c r="F365" s="172"/>
      <c r="G365" s="921"/>
    </row>
    <row r="366" spans="1:7">
      <c r="A366" s="188" t="s">
        <v>2062</v>
      </c>
      <c r="B366" s="163">
        <f t="shared" si="90"/>
        <v>8900</v>
      </c>
      <c r="C366" s="163">
        <f t="shared" si="91"/>
        <v>7830</v>
      </c>
      <c r="D366" s="159">
        <f>('Terminales - Liquimoly - Bari'!O13)</f>
        <v>7600</v>
      </c>
      <c r="E366" s="201"/>
      <c r="F366" s="172"/>
      <c r="G366" s="921"/>
    </row>
    <row r="367" spans="1:7">
      <c r="A367" s="188" t="s">
        <v>2063</v>
      </c>
      <c r="B367" s="163">
        <f t="shared" si="90"/>
        <v>15570</v>
      </c>
      <c r="C367" s="163">
        <f t="shared" si="91"/>
        <v>13700</v>
      </c>
      <c r="D367" s="159">
        <f>('Terminales - Liquimoly - Bari'!O14)</f>
        <v>13300</v>
      </c>
      <c r="E367" s="201"/>
      <c r="F367" s="172"/>
      <c r="G367" s="921"/>
    </row>
    <row r="368" spans="1:7">
      <c r="A368" s="188" t="s">
        <v>2064</v>
      </c>
      <c r="B368" s="163">
        <f t="shared" si="90"/>
        <v>18260</v>
      </c>
      <c r="C368" s="163">
        <f t="shared" si="91"/>
        <v>16070</v>
      </c>
      <c r="D368" s="159">
        <f>('Terminales - Liquimoly - Bari'!O15)</f>
        <v>15600</v>
      </c>
      <c r="E368" s="201"/>
      <c r="F368" s="172"/>
      <c r="G368" s="921"/>
    </row>
    <row r="369" spans="1:7">
      <c r="A369" s="165" t="s">
        <v>2065</v>
      </c>
      <c r="B369" s="851" t="s">
        <v>1839</v>
      </c>
      <c r="C369" s="508" t="s">
        <v>1981</v>
      </c>
      <c r="D369" s="48" t="s">
        <v>1941</v>
      </c>
      <c r="E369" s="201"/>
      <c r="F369" s="172"/>
      <c r="G369" s="921"/>
    </row>
    <row r="370" spans="1:7">
      <c r="A370" s="188" t="s">
        <v>2066</v>
      </c>
      <c r="B370" s="163">
        <f t="shared" ref="B370:B377" si="92">ROUNDUP(($D370+($D370*L$2)),-1)</f>
        <v>215640</v>
      </c>
      <c r="C370" s="163">
        <f t="shared" ref="C370:C377" si="93">ROUNDUP(D370+(D370*L$1),-1)</f>
        <v>189830</v>
      </c>
      <c r="D370" s="159">
        <f>(Lusqtoff!U5)</f>
        <v>184300</v>
      </c>
      <c r="E370" s="201"/>
      <c r="F370" s="172"/>
      <c r="G370" s="921"/>
    </row>
    <row r="371" spans="1:7">
      <c r="A371" s="188" t="s">
        <v>403</v>
      </c>
      <c r="B371" s="163">
        <f t="shared" si="92"/>
        <v>240440</v>
      </c>
      <c r="C371" s="163">
        <f t="shared" si="93"/>
        <v>211670</v>
      </c>
      <c r="D371" s="159">
        <f>(Lusqtoff!U25)</f>
        <v>205500</v>
      </c>
      <c r="E371" s="201"/>
      <c r="F371" s="172"/>
      <c r="G371" s="921"/>
    </row>
    <row r="372" spans="1:7">
      <c r="A372" s="188" t="s">
        <v>405</v>
      </c>
      <c r="B372" s="163">
        <f t="shared" si="92"/>
        <v>289460</v>
      </c>
      <c r="C372" s="163">
        <f t="shared" si="93"/>
        <v>254830</v>
      </c>
      <c r="D372" s="159">
        <f>(Lusqtoff!U26)</f>
        <v>247400</v>
      </c>
      <c r="E372" s="201"/>
      <c r="F372" s="172"/>
      <c r="G372" s="921"/>
    </row>
    <row r="373" spans="1:7">
      <c r="A373" s="188" t="s">
        <v>407</v>
      </c>
      <c r="B373" s="163">
        <f t="shared" si="92"/>
        <v>153160</v>
      </c>
      <c r="C373" s="163">
        <f t="shared" si="93"/>
        <v>134830</v>
      </c>
      <c r="D373" s="159">
        <f>(Lusqtoff!U27)</f>
        <v>130900</v>
      </c>
      <c r="E373" s="201"/>
      <c r="F373" s="172"/>
      <c r="G373" s="921"/>
    </row>
    <row r="374" spans="1:7">
      <c r="A374" s="188" t="s">
        <v>409</v>
      </c>
      <c r="B374" s="163">
        <f t="shared" si="92"/>
        <v>199610</v>
      </c>
      <c r="C374" s="163">
        <f t="shared" si="93"/>
        <v>175720</v>
      </c>
      <c r="D374" s="159">
        <f>(Lusqtoff!U28)</f>
        <v>170600</v>
      </c>
      <c r="E374" s="201"/>
      <c r="F374" s="172"/>
      <c r="G374" s="921"/>
    </row>
    <row r="375" spans="1:7">
      <c r="A375" s="188" t="s">
        <v>411</v>
      </c>
      <c r="B375" s="163">
        <f t="shared" si="92"/>
        <v>312160</v>
      </c>
      <c r="C375" s="163">
        <f t="shared" si="93"/>
        <v>274810</v>
      </c>
      <c r="D375" s="159">
        <f>(Lusqtoff!U29)</f>
        <v>266800</v>
      </c>
      <c r="E375" s="201"/>
      <c r="F375" s="172"/>
      <c r="G375" s="921"/>
    </row>
    <row r="376" spans="1:7">
      <c r="A376" s="188" t="s">
        <v>413</v>
      </c>
      <c r="B376" s="572">
        <f t="shared" si="92"/>
        <v>345390</v>
      </c>
      <c r="C376" s="163">
        <f t="shared" si="93"/>
        <v>304060</v>
      </c>
      <c r="D376" s="159">
        <f>(Lusqtoff!U30)</f>
        <v>295200</v>
      </c>
      <c r="E376" s="201"/>
      <c r="F376" s="172"/>
      <c r="G376" s="921"/>
    </row>
    <row r="377" spans="1:7">
      <c r="A377" s="164" t="s">
        <v>501</v>
      </c>
      <c r="B377" s="572">
        <f t="shared" si="92"/>
        <v>158660</v>
      </c>
      <c r="C377" s="163">
        <f t="shared" si="93"/>
        <v>139670</v>
      </c>
      <c r="D377" s="173">
        <f>(Lusqtoff!U75)</f>
        <v>135600</v>
      </c>
      <c r="E377" s="583"/>
      <c r="F377" s="172"/>
      <c r="G377" s="921"/>
    </row>
    <row r="378" spans="1:7">
      <c r="A378" s="165" t="s">
        <v>2067</v>
      </c>
      <c r="B378" s="851" t="s">
        <v>1839</v>
      </c>
      <c r="C378" s="508" t="s">
        <v>1981</v>
      </c>
      <c r="D378" s="48" t="s">
        <v>1941</v>
      </c>
      <c r="E378" s="201"/>
      <c r="F378" s="172"/>
      <c r="G378" s="921"/>
    </row>
    <row r="379" spans="1:7">
      <c r="A379" s="164" t="s">
        <v>417</v>
      </c>
      <c r="B379" s="163">
        <f t="shared" ref="B379:B384" si="94">ROUNDUP(($D379+($D379*L$2)),-1)</f>
        <v>42360</v>
      </c>
      <c r="C379" s="163">
        <f t="shared" ref="C379:C384" si="95">ROUNDUP(D379+(D379*L$1),-1)</f>
        <v>37290</v>
      </c>
      <c r="D379" s="173">
        <f>(Lusqtoff!U32)</f>
        <v>36200</v>
      </c>
      <c r="E379" s="583"/>
      <c r="F379" s="172"/>
      <c r="G379" s="921"/>
    </row>
    <row r="380" spans="1:7">
      <c r="A380" s="188" t="s">
        <v>978</v>
      </c>
      <c r="B380" s="163">
        <f t="shared" si="94"/>
        <v>61080</v>
      </c>
      <c r="C380" s="163">
        <f t="shared" si="95"/>
        <v>53770</v>
      </c>
      <c r="D380" s="159">
        <f>(Lusqtoff!U33)</f>
        <v>52200</v>
      </c>
      <c r="E380" s="201"/>
      <c r="F380" s="172"/>
      <c r="G380" s="921"/>
    </row>
    <row r="381" spans="1:7">
      <c r="A381" s="188" t="s">
        <v>1183</v>
      </c>
      <c r="B381" s="163">
        <f t="shared" si="94"/>
        <v>73830</v>
      </c>
      <c r="C381" s="163">
        <f t="shared" si="95"/>
        <v>65000</v>
      </c>
      <c r="D381" s="159">
        <f>(Lusqtoff!U34)</f>
        <v>63100</v>
      </c>
      <c r="E381" s="201"/>
      <c r="F381" s="172"/>
      <c r="G381" s="921"/>
    </row>
    <row r="382" spans="1:7">
      <c r="A382" s="164" t="s">
        <v>2068</v>
      </c>
      <c r="B382" s="163">
        <f t="shared" si="94"/>
        <v>28550</v>
      </c>
      <c r="C382" s="163">
        <f t="shared" si="95"/>
        <v>25140</v>
      </c>
      <c r="D382" s="173">
        <f>(Lusqtoff!U35)</f>
        <v>24400</v>
      </c>
      <c r="E382" s="583"/>
      <c r="F382" s="172"/>
      <c r="G382" s="921"/>
    </row>
    <row r="383" spans="1:7">
      <c r="A383" s="164" t="s">
        <v>509</v>
      </c>
      <c r="B383" s="163">
        <f t="shared" si="94"/>
        <v>28550</v>
      </c>
      <c r="C383" s="163">
        <f t="shared" si="95"/>
        <v>25140</v>
      </c>
      <c r="D383" s="173">
        <f>(Lusqtoff!U79)</f>
        <v>24400</v>
      </c>
      <c r="E383" s="583"/>
      <c r="F383" s="172"/>
      <c r="G383" s="921"/>
    </row>
    <row r="384" spans="1:7">
      <c r="A384" s="162" t="s">
        <v>495</v>
      </c>
      <c r="B384" s="163">
        <f t="shared" si="94"/>
        <v>7020</v>
      </c>
      <c r="C384" s="163">
        <f t="shared" si="95"/>
        <v>6180</v>
      </c>
      <c r="D384" s="159">
        <f>(Lusqtoff!U72)</f>
        <v>6000</v>
      </c>
      <c r="E384" s="583"/>
      <c r="F384" s="172"/>
      <c r="G384" s="921"/>
    </row>
    <row r="385" spans="1:7">
      <c r="A385" s="165" t="s">
        <v>2069</v>
      </c>
      <c r="B385" s="851" t="s">
        <v>1839</v>
      </c>
      <c r="C385" s="508" t="s">
        <v>1981</v>
      </c>
      <c r="D385" s="48" t="s">
        <v>1941</v>
      </c>
      <c r="E385" s="583"/>
      <c r="F385" s="172"/>
      <c r="G385" s="921"/>
    </row>
    <row r="386" spans="1:7">
      <c r="A386" s="188" t="s">
        <v>2070</v>
      </c>
      <c r="B386" s="163">
        <f>ROUNDUP(($D386+($D386*L$2)),-1)</f>
        <v>28550</v>
      </c>
      <c r="C386" s="163">
        <f>ROUNDUP(D386+(D386*L$1),-1)</f>
        <v>25140</v>
      </c>
      <c r="D386" s="159">
        <f>(Lusqtoff!U40)</f>
        <v>24400</v>
      </c>
      <c r="E386" s="201"/>
      <c r="F386" s="172"/>
      <c r="G386" s="921"/>
    </row>
    <row r="387" spans="1:7">
      <c r="A387" s="162" t="s">
        <v>2071</v>
      </c>
      <c r="B387" s="163">
        <f>ROUNDUP(($D387+($D387*L$2)),-1)</f>
        <v>40140</v>
      </c>
      <c r="C387" s="163">
        <f>ROUNDUP(D387+(D387*L$1),-1)</f>
        <v>35330</v>
      </c>
      <c r="D387" s="159">
        <f>(Lusqtoff!U39)</f>
        <v>34300</v>
      </c>
      <c r="E387" s="201"/>
      <c r="F387" s="172"/>
      <c r="G387" s="921"/>
    </row>
    <row r="388" spans="1:7">
      <c r="A388" s="164" t="s">
        <v>2072</v>
      </c>
      <c r="B388" s="163">
        <f>ROUNDUP(($D388+($D388*L$2)),-1)</f>
        <v>50310</v>
      </c>
      <c r="C388" s="163">
        <f>ROUNDUP(D388+(D388*L$1),-1)</f>
        <v>44290</v>
      </c>
      <c r="D388" s="173">
        <f>(Lusqtoff!U41)</f>
        <v>43000</v>
      </c>
      <c r="E388" s="583"/>
      <c r="F388" s="172"/>
      <c r="G388" s="921"/>
    </row>
    <row r="389" spans="1:7">
      <c r="A389" s="164" t="s">
        <v>2073</v>
      </c>
      <c r="B389" s="163">
        <f>ROUNDUP(($D389+($D389*L$2)),-1)</f>
        <v>33580</v>
      </c>
      <c r="C389" s="163">
        <f>ROUNDUP(D389+(D389*L$1),-1)</f>
        <v>29570</v>
      </c>
      <c r="D389" s="173">
        <f>(Lusqtoff!U37)</f>
        <v>28700</v>
      </c>
      <c r="E389" s="583"/>
      <c r="F389" s="172"/>
      <c r="G389" s="921"/>
    </row>
    <row r="390" spans="1:7">
      <c r="A390" s="162" t="s">
        <v>2074</v>
      </c>
      <c r="B390" s="163">
        <f>ROUNDUP(($D390+($D390*L$2)),-1)</f>
        <v>40140</v>
      </c>
      <c r="C390" s="163">
        <f>ROUNDUP(D390+(D390*L$1),-1)</f>
        <v>35330</v>
      </c>
      <c r="D390" s="159">
        <f>(Lusqtoff!U38)</f>
        <v>34300</v>
      </c>
      <c r="E390" s="201"/>
      <c r="F390" s="172"/>
      <c r="G390" s="921"/>
    </row>
    <row r="391" spans="1:7">
      <c r="A391" s="165" t="s">
        <v>2075</v>
      </c>
      <c r="B391" s="851" t="s">
        <v>1839</v>
      </c>
      <c r="C391" s="508" t="s">
        <v>1981</v>
      </c>
      <c r="D391" s="48" t="s">
        <v>1941</v>
      </c>
      <c r="E391" s="583"/>
      <c r="F391" s="172"/>
      <c r="G391" s="921"/>
    </row>
    <row r="392" spans="1:7">
      <c r="A392" s="188" t="s">
        <v>445</v>
      </c>
      <c r="B392" s="163">
        <f t="shared" ref="B392:B397" si="96">ROUNDUP(($D392+($D392*L$2)),-1)</f>
        <v>203120</v>
      </c>
      <c r="C392" s="163">
        <f t="shared" ref="C392:C397" si="97">ROUNDUP(D392+(D392*L$1),-1)</f>
        <v>178810</v>
      </c>
      <c r="D392" s="159">
        <f>(Lusqtoff!U46)</f>
        <v>173600</v>
      </c>
      <c r="E392" s="201"/>
      <c r="F392" s="172"/>
      <c r="G392" s="921"/>
    </row>
    <row r="393" spans="1:7">
      <c r="A393" s="164" t="s">
        <v>450</v>
      </c>
      <c r="B393" s="163">
        <f t="shared" si="96"/>
        <v>263840</v>
      </c>
      <c r="C393" s="163">
        <f t="shared" si="97"/>
        <v>232270</v>
      </c>
      <c r="D393" s="173">
        <f>(Lusqtoff!U49)</f>
        <v>225500</v>
      </c>
      <c r="E393" s="583"/>
      <c r="F393" s="172"/>
      <c r="G393" s="921"/>
    </row>
    <row r="394" spans="1:7">
      <c r="A394" s="164" t="s">
        <v>2076</v>
      </c>
      <c r="B394" s="163">
        <f t="shared" si="96"/>
        <v>203120</v>
      </c>
      <c r="C394" s="163">
        <f t="shared" si="97"/>
        <v>178810</v>
      </c>
      <c r="D394" s="173">
        <f>(Lusqtoff!U48)</f>
        <v>173600</v>
      </c>
      <c r="E394" s="921"/>
      <c r="F394" s="172"/>
      <c r="G394" s="921"/>
    </row>
    <row r="395" spans="1:7">
      <c r="A395" s="188" t="s">
        <v>2077</v>
      </c>
      <c r="B395" s="163">
        <f t="shared" si="96"/>
        <v>235990</v>
      </c>
      <c r="C395" s="163">
        <f t="shared" si="97"/>
        <v>207760</v>
      </c>
      <c r="D395" s="159">
        <f>(Lusqtoff!U47)</f>
        <v>201700</v>
      </c>
      <c r="E395" s="201"/>
      <c r="F395" s="172"/>
      <c r="G395" s="921"/>
    </row>
    <row r="396" spans="1:7">
      <c r="A396" s="188" t="s">
        <v>461</v>
      </c>
      <c r="B396" s="163">
        <f t="shared" si="96"/>
        <v>73360</v>
      </c>
      <c r="C396" s="163">
        <f t="shared" si="97"/>
        <v>64590</v>
      </c>
      <c r="D396" s="159">
        <f>(Lusqtoff!U55)</f>
        <v>62700</v>
      </c>
      <c r="E396" s="201"/>
      <c r="F396" s="172"/>
      <c r="G396" s="921"/>
    </row>
    <row r="397" spans="1:7">
      <c r="A397" s="188" t="s">
        <v>1555</v>
      </c>
      <c r="B397" s="163">
        <f t="shared" si="96"/>
        <v>192700</v>
      </c>
      <c r="C397" s="163">
        <f t="shared" si="97"/>
        <v>169650</v>
      </c>
      <c r="D397" s="159">
        <f>(Lusqtoff!U52)</f>
        <v>164700</v>
      </c>
      <c r="E397" s="201"/>
      <c r="F397" s="172"/>
      <c r="G397" s="921"/>
    </row>
    <row r="398" spans="1:7">
      <c r="A398" s="165" t="s">
        <v>2078</v>
      </c>
      <c r="B398" s="851" t="s">
        <v>1839</v>
      </c>
      <c r="C398" s="508" t="s">
        <v>1981</v>
      </c>
      <c r="D398" s="48" t="s">
        <v>1941</v>
      </c>
      <c r="E398" s="201"/>
      <c r="F398" s="172"/>
      <c r="G398" s="921"/>
    </row>
    <row r="399" spans="1:7">
      <c r="A399" s="164" t="s">
        <v>381</v>
      </c>
      <c r="B399" s="163">
        <f t="shared" ref="B399:B405" si="98">ROUNDUP(($D399+($D399*L$2)),-1)</f>
        <v>265590</v>
      </c>
      <c r="C399" s="163">
        <f t="shared" ref="C399:C405" si="99">ROUNDUP(D399+(D399*L$1),-1)</f>
        <v>233810</v>
      </c>
      <c r="D399" s="159">
        <f>(Lusqtoff!U10)</f>
        <v>227000</v>
      </c>
      <c r="E399" s="201"/>
      <c r="F399" s="172"/>
      <c r="G399" s="921"/>
    </row>
    <row r="400" spans="1:7">
      <c r="A400" s="164" t="s">
        <v>380</v>
      </c>
      <c r="B400" s="163">
        <f t="shared" si="98"/>
        <v>766590</v>
      </c>
      <c r="C400" s="163">
        <f t="shared" si="99"/>
        <v>674860</v>
      </c>
      <c r="D400" s="159">
        <f>(Lusqtoff!U9)</f>
        <v>655200</v>
      </c>
      <c r="E400" s="201"/>
      <c r="F400" s="172"/>
      <c r="G400" s="921"/>
    </row>
    <row r="401" spans="1:7">
      <c r="A401" s="164" t="s">
        <v>379</v>
      </c>
      <c r="B401" s="163">
        <f t="shared" si="98"/>
        <v>1483920</v>
      </c>
      <c r="C401" s="163">
        <f t="shared" si="99"/>
        <v>1306350</v>
      </c>
      <c r="D401" s="159">
        <f>(Lusqtoff!U8)</f>
        <v>1268300</v>
      </c>
      <c r="E401" s="201"/>
      <c r="F401" s="172"/>
      <c r="G401" s="921"/>
    </row>
    <row r="402" spans="1:7">
      <c r="A402" s="162" t="s">
        <v>2079</v>
      </c>
      <c r="B402" s="163">
        <f t="shared" si="98"/>
        <v>665850</v>
      </c>
      <c r="C402" s="163">
        <f t="shared" si="99"/>
        <v>586180</v>
      </c>
      <c r="D402" s="159">
        <f>(Lusqtoff!U58)</f>
        <v>569100</v>
      </c>
      <c r="E402" s="201"/>
      <c r="F402" s="172"/>
      <c r="G402" s="921"/>
    </row>
    <row r="403" spans="1:7">
      <c r="A403" s="188" t="s">
        <v>2080</v>
      </c>
      <c r="B403" s="163">
        <f t="shared" si="98"/>
        <v>79560</v>
      </c>
      <c r="C403" s="163">
        <f t="shared" si="99"/>
        <v>70040</v>
      </c>
      <c r="D403" s="159">
        <f>(Lusqtoff!U20)</f>
        <v>68000</v>
      </c>
      <c r="E403" s="201"/>
      <c r="F403" s="172"/>
      <c r="G403" s="921"/>
    </row>
    <row r="404" spans="1:7">
      <c r="A404" s="164" t="s">
        <v>2081</v>
      </c>
      <c r="B404" s="163">
        <f t="shared" si="98"/>
        <v>79560</v>
      </c>
      <c r="C404" s="163">
        <f t="shared" si="99"/>
        <v>70040</v>
      </c>
      <c r="D404" s="173">
        <f>(Lusqtoff!U21)</f>
        <v>68000</v>
      </c>
      <c r="E404" s="583"/>
      <c r="F404" s="172"/>
      <c r="G404" s="921"/>
    </row>
    <row r="405" spans="1:7">
      <c r="A405" s="162" t="s">
        <v>2082</v>
      </c>
      <c r="B405" s="163">
        <f t="shared" si="98"/>
        <v>328770</v>
      </c>
      <c r="C405" s="163">
        <f t="shared" si="99"/>
        <v>289430</v>
      </c>
      <c r="D405" s="159">
        <f>(Lusqtoff!U59)</f>
        <v>281000</v>
      </c>
      <c r="E405" s="201"/>
      <c r="F405" s="172"/>
      <c r="G405" s="921"/>
    </row>
    <row r="406" spans="1:7">
      <c r="A406" s="165" t="s">
        <v>2083</v>
      </c>
      <c r="B406" s="851" t="s">
        <v>1839</v>
      </c>
      <c r="C406" s="508" t="s">
        <v>1981</v>
      </c>
      <c r="D406" s="48" t="s">
        <v>1941</v>
      </c>
      <c r="E406" s="921"/>
      <c r="F406" s="172"/>
      <c r="G406" s="921"/>
    </row>
    <row r="407" spans="1:7">
      <c r="A407" s="188" t="s">
        <v>2084</v>
      </c>
      <c r="B407" s="163">
        <f>ROUNDUP(($D407+($D407*L$2)),-1)</f>
        <v>55230</v>
      </c>
      <c r="C407" s="163">
        <f>ROUNDUP(D407+(D407*L$1),-1)</f>
        <v>48620</v>
      </c>
      <c r="D407" s="159">
        <f>(Lusqtoff!U22)</f>
        <v>47200</v>
      </c>
      <c r="E407" s="201"/>
      <c r="F407" s="172"/>
      <c r="G407" s="921"/>
    </row>
    <row r="408" spans="1:7">
      <c r="A408" s="164" t="s">
        <v>2085</v>
      </c>
      <c r="B408" s="163">
        <f>ROUNDUP(($D408+($D408*L$2)),-1)</f>
        <v>136430</v>
      </c>
      <c r="C408" s="163">
        <f>ROUNDUP(D408+(D408*L$1),-1)</f>
        <v>120100</v>
      </c>
      <c r="D408" s="173">
        <f>(Lusqtoff!U23)</f>
        <v>116600</v>
      </c>
      <c r="E408" s="583"/>
      <c r="F408" s="172"/>
      <c r="G408" s="921"/>
    </row>
    <row r="409" spans="1:7">
      <c r="A409" s="164" t="s">
        <v>401</v>
      </c>
      <c r="B409" s="572">
        <f>ROUNDUP(($D409+($D409*L$2)),-1)</f>
        <v>114430</v>
      </c>
      <c r="C409" s="163">
        <f>ROUNDUP(D409+(D409*L$1),-1)</f>
        <v>100740</v>
      </c>
      <c r="D409" s="173">
        <f>(Lusqtoff!U24)</f>
        <v>97800</v>
      </c>
      <c r="E409" s="583"/>
      <c r="F409" s="172"/>
      <c r="G409" s="921"/>
    </row>
    <row r="410" spans="1:7">
      <c r="A410" s="165" t="s">
        <v>2086</v>
      </c>
      <c r="B410" s="851" t="s">
        <v>1839</v>
      </c>
      <c r="C410" s="508" t="s">
        <v>1981</v>
      </c>
      <c r="D410" s="48" t="s">
        <v>1941</v>
      </c>
      <c r="E410" s="201"/>
      <c r="F410" s="172"/>
      <c r="G410" s="921"/>
    </row>
    <row r="411" spans="1:7">
      <c r="A411" s="188" t="s">
        <v>457</v>
      </c>
      <c r="B411" s="163">
        <f t="shared" ref="B411:B442" si="100">ROUNDUP(($D411+($D411*L$2)),-1)</f>
        <v>198440</v>
      </c>
      <c r="C411" s="163">
        <f>ROUNDUP(D411+(D411*L$1),-1)</f>
        <v>174690</v>
      </c>
      <c r="D411" s="159">
        <f>(Lusqtoff!U53)</f>
        <v>169600</v>
      </c>
      <c r="E411" s="201"/>
      <c r="F411" s="172"/>
      <c r="G411" s="921"/>
    </row>
    <row r="412" spans="1:7">
      <c r="A412" s="164" t="s">
        <v>459</v>
      </c>
      <c r="B412" s="163">
        <f t="shared" si="100"/>
        <v>96410</v>
      </c>
      <c r="C412" s="163">
        <f t="shared" ref="C412:C442" si="101">ROUNDUP(D412+(D412*L$1),-1)</f>
        <v>84880</v>
      </c>
      <c r="D412" s="159">
        <f>(Lusqtoff!U54)</f>
        <v>82400</v>
      </c>
      <c r="E412" s="201"/>
      <c r="F412" s="172"/>
      <c r="G412" s="921"/>
    </row>
    <row r="413" spans="1:7">
      <c r="A413" s="164" t="s">
        <v>392</v>
      </c>
      <c r="B413" s="163">
        <f t="shared" si="100"/>
        <v>111920</v>
      </c>
      <c r="C413" s="163">
        <f t="shared" si="101"/>
        <v>98520</v>
      </c>
      <c r="D413" s="173">
        <f>(Lusqtoff!U17)</f>
        <v>95650</v>
      </c>
      <c r="E413" s="583"/>
      <c r="F413" s="172"/>
      <c r="G413" s="921"/>
    </row>
    <row r="414" spans="1:7">
      <c r="A414" s="164" t="s">
        <v>1092</v>
      </c>
      <c r="B414" s="163">
        <f t="shared" si="100"/>
        <v>35570</v>
      </c>
      <c r="C414" s="163">
        <f t="shared" si="101"/>
        <v>31320</v>
      </c>
      <c r="D414" s="159">
        <f>(Lusqtoff!U7)</f>
        <v>30400</v>
      </c>
      <c r="E414" s="201"/>
      <c r="F414" s="172"/>
      <c r="G414" s="921"/>
    </row>
    <row r="415" spans="1:7">
      <c r="A415" s="188" t="s">
        <v>437</v>
      </c>
      <c r="B415" s="163">
        <f t="shared" si="100"/>
        <v>48210</v>
      </c>
      <c r="C415" s="163">
        <f t="shared" si="101"/>
        <v>42440</v>
      </c>
      <c r="D415" s="159">
        <f>(Lusqtoff!U42)</f>
        <v>41200</v>
      </c>
      <c r="E415" s="201"/>
      <c r="F415" s="172"/>
      <c r="G415" s="921"/>
    </row>
    <row r="416" spans="1:7">
      <c r="A416" s="164" t="s">
        <v>2087</v>
      </c>
      <c r="B416" s="163">
        <f t="shared" si="100"/>
        <v>212180</v>
      </c>
      <c r="C416" s="163">
        <f t="shared" si="101"/>
        <v>186800</v>
      </c>
      <c r="D416" s="159">
        <f>(Lusqtoff!U6)</f>
        <v>181350</v>
      </c>
      <c r="E416" s="201"/>
      <c r="F416" s="172"/>
      <c r="G416" s="921"/>
    </row>
    <row r="417" spans="1:7">
      <c r="A417" s="188" t="s">
        <v>383</v>
      </c>
      <c r="B417" s="163">
        <f t="shared" si="100"/>
        <v>19250</v>
      </c>
      <c r="C417" s="163">
        <f t="shared" si="101"/>
        <v>16950</v>
      </c>
      <c r="D417" s="159">
        <f>(Lusqtoff!U11)</f>
        <v>16450</v>
      </c>
      <c r="E417" s="201"/>
      <c r="F417" s="172"/>
      <c r="G417" s="921"/>
    </row>
    <row r="418" spans="1:7">
      <c r="A418" s="188" t="s">
        <v>2088</v>
      </c>
      <c r="B418" s="163">
        <f t="shared" si="100"/>
        <v>76990</v>
      </c>
      <c r="C418" s="163">
        <f t="shared" si="101"/>
        <v>67780</v>
      </c>
      <c r="D418" s="159">
        <f>(Lusqtoff!U12)</f>
        <v>65800</v>
      </c>
      <c r="E418" s="201"/>
      <c r="F418" s="172"/>
      <c r="G418" s="921"/>
    </row>
    <row r="419" spans="1:7">
      <c r="A419" s="188" t="s">
        <v>2089</v>
      </c>
      <c r="B419" s="163">
        <f t="shared" si="100"/>
        <v>369370</v>
      </c>
      <c r="C419" s="163">
        <f t="shared" si="101"/>
        <v>325180</v>
      </c>
      <c r="D419" s="159">
        <f>(Lusqtoff!U43)</f>
        <v>315700</v>
      </c>
      <c r="E419" s="201"/>
      <c r="F419" s="172"/>
      <c r="G419" s="921"/>
    </row>
    <row r="420" spans="1:7">
      <c r="A420" s="162" t="s">
        <v>2090</v>
      </c>
      <c r="B420" s="163">
        <f t="shared" si="100"/>
        <v>539080</v>
      </c>
      <c r="C420" s="163">
        <f t="shared" si="101"/>
        <v>474580</v>
      </c>
      <c r="D420" s="159">
        <f>(Lusqtoff!U44)</f>
        <v>460750</v>
      </c>
      <c r="E420" s="201"/>
      <c r="F420" s="172"/>
      <c r="G420" s="921"/>
    </row>
    <row r="421" spans="1:7">
      <c r="A421" s="164" t="s">
        <v>2091</v>
      </c>
      <c r="B421" s="163">
        <f t="shared" si="100"/>
        <v>92430</v>
      </c>
      <c r="C421" s="163">
        <f t="shared" si="101"/>
        <v>81370</v>
      </c>
      <c r="D421" s="173">
        <f>(Lusqtoff!U65)</f>
        <v>79000</v>
      </c>
      <c r="E421" s="583"/>
      <c r="F421" s="172"/>
      <c r="G421" s="921"/>
    </row>
    <row r="422" spans="1:7">
      <c r="A422" s="164" t="s">
        <v>1207</v>
      </c>
      <c r="B422" s="163">
        <f t="shared" si="100"/>
        <v>161580</v>
      </c>
      <c r="C422" s="163">
        <f t="shared" si="101"/>
        <v>142250</v>
      </c>
      <c r="D422" s="173">
        <f>(Lusqtoff!U45)</f>
        <v>138100</v>
      </c>
      <c r="E422" s="583"/>
      <c r="F422" s="172"/>
      <c r="G422" s="921"/>
    </row>
    <row r="423" spans="1:7">
      <c r="A423" s="164" t="s">
        <v>471</v>
      </c>
      <c r="B423" s="163">
        <f t="shared" si="100"/>
        <v>545340</v>
      </c>
      <c r="C423" s="163">
        <f t="shared" si="101"/>
        <v>480090</v>
      </c>
      <c r="D423" s="173">
        <f>(Lusqtoff!U60)</f>
        <v>466100</v>
      </c>
      <c r="E423" s="583"/>
      <c r="F423" s="172"/>
      <c r="G423" s="921"/>
    </row>
    <row r="424" spans="1:7">
      <c r="A424" s="164" t="s">
        <v>479</v>
      </c>
      <c r="B424" s="163">
        <f t="shared" si="100"/>
        <v>49500</v>
      </c>
      <c r="C424" s="163">
        <f t="shared" si="101"/>
        <v>43570</v>
      </c>
      <c r="D424" s="159">
        <f>(Lusqtoff!U64)</f>
        <v>42300</v>
      </c>
      <c r="E424" s="201"/>
      <c r="F424" s="172"/>
      <c r="G424" s="921"/>
    </row>
    <row r="425" spans="1:7">
      <c r="A425" s="164" t="s">
        <v>1208</v>
      </c>
      <c r="B425" s="163">
        <f t="shared" si="100"/>
        <v>133620</v>
      </c>
      <c r="C425" s="163">
        <f t="shared" si="101"/>
        <v>117630</v>
      </c>
      <c r="D425" s="173">
        <f>(Lusqtoff!U31)</f>
        <v>114200</v>
      </c>
      <c r="E425" s="583"/>
      <c r="F425" s="172"/>
      <c r="G425" s="921"/>
    </row>
    <row r="426" spans="1:7">
      <c r="A426" s="164" t="s">
        <v>2092</v>
      </c>
      <c r="B426" s="163">
        <f t="shared" si="100"/>
        <v>50310</v>
      </c>
      <c r="C426" s="163">
        <f t="shared" si="101"/>
        <v>44290</v>
      </c>
      <c r="D426" s="159">
        <f>(Lusqtoff!U13)</f>
        <v>43000</v>
      </c>
      <c r="E426" s="201"/>
      <c r="F426" s="172"/>
      <c r="G426" s="921"/>
    </row>
    <row r="427" spans="1:7">
      <c r="A427" s="164" t="s">
        <v>1831</v>
      </c>
      <c r="B427" s="163">
        <f t="shared" si="100"/>
        <v>60670</v>
      </c>
      <c r="C427" s="163">
        <f t="shared" si="101"/>
        <v>53410</v>
      </c>
      <c r="D427" s="173">
        <f>(Lusqtoff!U14)</f>
        <v>51850</v>
      </c>
      <c r="E427" s="583"/>
      <c r="F427" s="172"/>
      <c r="G427" s="921"/>
    </row>
    <row r="428" spans="1:7">
      <c r="A428" s="164" t="s">
        <v>2093</v>
      </c>
      <c r="B428" s="163">
        <f t="shared" si="100"/>
        <v>31070</v>
      </c>
      <c r="C428" s="163">
        <f t="shared" si="101"/>
        <v>27350</v>
      </c>
      <c r="D428" s="173">
        <f>(Lusqtoff!U18)</f>
        <v>26550</v>
      </c>
      <c r="E428" s="583"/>
      <c r="F428" s="172"/>
      <c r="G428" s="921"/>
    </row>
    <row r="429" spans="1:7">
      <c r="A429" s="164" t="s">
        <v>2094</v>
      </c>
      <c r="B429" s="163">
        <f t="shared" si="100"/>
        <v>52070</v>
      </c>
      <c r="C429" s="163">
        <f t="shared" si="101"/>
        <v>45840</v>
      </c>
      <c r="D429" s="173">
        <f>(Lusqtoff!U19)</f>
        <v>44500</v>
      </c>
      <c r="E429" s="583"/>
      <c r="F429" s="172"/>
      <c r="G429" s="921"/>
    </row>
    <row r="430" spans="1:7">
      <c r="A430" s="164" t="s">
        <v>2095</v>
      </c>
      <c r="B430" s="163">
        <f t="shared" si="100"/>
        <v>92200</v>
      </c>
      <c r="C430" s="163">
        <f t="shared" si="101"/>
        <v>81170</v>
      </c>
      <c r="D430" s="173">
        <f>(Lusqtoff!U62)</f>
        <v>78800</v>
      </c>
      <c r="E430" s="583"/>
      <c r="F430" s="172"/>
      <c r="G430" s="921"/>
    </row>
    <row r="431" spans="1:7">
      <c r="A431" s="164" t="s">
        <v>2096</v>
      </c>
      <c r="B431" s="163">
        <f t="shared" si="100"/>
        <v>78160</v>
      </c>
      <c r="C431" s="163">
        <f t="shared" si="101"/>
        <v>68810</v>
      </c>
      <c r="D431" s="173">
        <f>(Lusqtoff!U63)</f>
        <v>66800</v>
      </c>
      <c r="E431" s="583"/>
      <c r="F431" s="172"/>
      <c r="G431" s="921"/>
    </row>
    <row r="432" spans="1:7">
      <c r="A432" s="188" t="s">
        <v>1557</v>
      </c>
      <c r="B432" s="163">
        <f t="shared" si="100"/>
        <v>23050</v>
      </c>
      <c r="C432" s="163">
        <f t="shared" si="101"/>
        <v>20300</v>
      </c>
      <c r="D432" s="159">
        <f>(Lusqtoff!U16)</f>
        <v>19700</v>
      </c>
      <c r="E432" s="201"/>
      <c r="F432" s="172"/>
      <c r="G432" s="921"/>
    </row>
    <row r="433" spans="1:7">
      <c r="A433" s="162" t="s">
        <v>493</v>
      </c>
      <c r="B433" s="163">
        <f t="shared" si="100"/>
        <v>7610</v>
      </c>
      <c r="C433" s="163">
        <f t="shared" si="101"/>
        <v>6700</v>
      </c>
      <c r="D433" s="159">
        <f>(Lusqtoff!U71)</f>
        <v>6500</v>
      </c>
      <c r="E433" s="201"/>
      <c r="F433" s="172"/>
      <c r="G433" s="921"/>
    </row>
    <row r="434" spans="1:7">
      <c r="A434" s="164" t="s">
        <v>367</v>
      </c>
      <c r="B434" s="163">
        <f t="shared" si="100"/>
        <v>14040</v>
      </c>
      <c r="C434" s="163">
        <f t="shared" si="101"/>
        <v>12360</v>
      </c>
      <c r="D434" s="173">
        <f>(Moto!AH34)</f>
        <v>12000</v>
      </c>
      <c r="E434" s="583"/>
      <c r="F434" s="172"/>
      <c r="G434" s="921"/>
    </row>
    <row r="435" spans="1:7">
      <c r="A435" s="164" t="s">
        <v>368</v>
      </c>
      <c r="B435" s="163">
        <f t="shared" si="100"/>
        <v>17550</v>
      </c>
      <c r="C435" s="163">
        <f t="shared" si="101"/>
        <v>15450</v>
      </c>
      <c r="D435" s="173">
        <f>(Moto!AH35)</f>
        <v>15000</v>
      </c>
      <c r="E435" s="583"/>
      <c r="F435" s="172"/>
      <c r="G435" s="921"/>
    </row>
    <row r="436" spans="1:7">
      <c r="A436" s="164" t="s">
        <v>190</v>
      </c>
      <c r="B436" s="163">
        <f t="shared" si="100"/>
        <v>65290</v>
      </c>
      <c r="C436" s="163">
        <f t="shared" si="101"/>
        <v>57480</v>
      </c>
      <c r="D436" s="159">
        <f>('Willard - Elpra'!Z29)</f>
        <v>55800</v>
      </c>
      <c r="E436" s="201"/>
      <c r="F436" s="172"/>
      <c r="G436" s="921"/>
    </row>
    <row r="437" spans="1:7">
      <c r="A437" s="164" t="s">
        <v>483</v>
      </c>
      <c r="B437" s="163">
        <f t="shared" si="100"/>
        <v>95590</v>
      </c>
      <c r="C437" s="163">
        <f t="shared" si="101"/>
        <v>84160</v>
      </c>
      <c r="D437" s="173">
        <f>(Lusqtoff!U66)</f>
        <v>81700</v>
      </c>
      <c r="E437" s="583"/>
      <c r="F437" s="172"/>
      <c r="G437" s="921"/>
    </row>
    <row r="438" spans="1:7">
      <c r="A438" s="164" t="s">
        <v>497</v>
      </c>
      <c r="B438" s="163">
        <f t="shared" si="100"/>
        <v>53940</v>
      </c>
      <c r="C438" s="163">
        <f t="shared" si="101"/>
        <v>47490</v>
      </c>
      <c r="D438" s="173">
        <f>(Lusqtoff!U73)</f>
        <v>46100</v>
      </c>
      <c r="E438" s="583"/>
      <c r="F438" s="172"/>
      <c r="G438" s="921"/>
    </row>
    <row r="439" spans="1:7">
      <c r="A439" s="164" t="s">
        <v>499</v>
      </c>
      <c r="B439" s="572">
        <f t="shared" si="100"/>
        <v>5620</v>
      </c>
      <c r="C439" s="163">
        <f t="shared" si="101"/>
        <v>4950</v>
      </c>
      <c r="D439" s="173">
        <f>(Lusqtoff!U74)</f>
        <v>4800</v>
      </c>
      <c r="E439" s="583"/>
      <c r="F439" s="172"/>
      <c r="G439" s="921"/>
    </row>
    <row r="440" spans="1:7">
      <c r="A440" s="164" t="s">
        <v>503</v>
      </c>
      <c r="B440" s="572">
        <f t="shared" si="100"/>
        <v>51600</v>
      </c>
      <c r="C440" s="163">
        <f t="shared" si="101"/>
        <v>45430</v>
      </c>
      <c r="D440" s="173">
        <f>(Lusqtoff!U76)</f>
        <v>44100</v>
      </c>
      <c r="E440" s="583"/>
      <c r="F440" s="172"/>
      <c r="G440" s="921"/>
    </row>
    <row r="441" spans="1:7">
      <c r="A441" s="164" t="s">
        <v>505</v>
      </c>
      <c r="B441" s="572">
        <f t="shared" si="100"/>
        <v>96880</v>
      </c>
      <c r="C441" s="163">
        <f t="shared" si="101"/>
        <v>85290</v>
      </c>
      <c r="D441" s="173">
        <f>(Lusqtoff!U77)</f>
        <v>82800</v>
      </c>
      <c r="E441" s="583"/>
      <c r="F441" s="172"/>
      <c r="G441" s="921"/>
    </row>
    <row r="442" spans="1:7">
      <c r="A442" s="164" t="s">
        <v>507</v>
      </c>
      <c r="B442" s="572">
        <f t="shared" si="100"/>
        <v>173160</v>
      </c>
      <c r="C442" s="163">
        <f t="shared" si="101"/>
        <v>152440</v>
      </c>
      <c r="D442" s="173">
        <f>(Lusqtoff!U78)</f>
        <v>148000</v>
      </c>
      <c r="E442" s="583"/>
      <c r="F442" s="172"/>
      <c r="G442" s="921"/>
    </row>
    <row r="443" spans="1:7">
      <c r="A443" s="736" t="s">
        <v>2097</v>
      </c>
      <c r="B443" s="851" t="s">
        <v>1839</v>
      </c>
      <c r="C443" s="508" t="s">
        <v>1981</v>
      </c>
      <c r="D443" s="48" t="s">
        <v>1941</v>
      </c>
      <c r="E443" s="765"/>
      <c r="F443" s="172"/>
      <c r="G443" s="921"/>
    </row>
    <row r="444" spans="1:7">
      <c r="A444" s="164" t="s">
        <v>1212</v>
      </c>
      <c r="B444" s="163">
        <f t="shared" ref="B444:B473" si="102">ROUNDUP(($D444+($D444*L$2)),-1)</f>
        <v>15210</v>
      </c>
      <c r="C444" s="163">
        <f t="shared" ref="C444:C473" si="103">ROUNDUP(D444+(D444*L$1),-1)</f>
        <v>13390</v>
      </c>
      <c r="D444" s="735">
        <f>('INTEC (listas)'!D400)</f>
        <v>13000</v>
      </c>
      <c r="E444" s="765"/>
      <c r="F444" s="172"/>
      <c r="G444" s="921"/>
    </row>
    <row r="445" spans="1:7">
      <c r="A445" s="164" t="s">
        <v>1214</v>
      </c>
      <c r="B445" s="163">
        <f t="shared" si="102"/>
        <v>15210</v>
      </c>
      <c r="C445" s="163">
        <f t="shared" si="103"/>
        <v>13390</v>
      </c>
      <c r="D445" s="735">
        <f>('INTEC (listas)'!D401)</f>
        <v>13000</v>
      </c>
      <c r="E445" s="765"/>
      <c r="F445" s="172"/>
      <c r="G445" s="921"/>
    </row>
    <row r="446" spans="1:7">
      <c r="A446" s="164" t="s">
        <v>1216</v>
      </c>
      <c r="B446" s="163">
        <f t="shared" si="102"/>
        <v>15210</v>
      </c>
      <c r="C446" s="163">
        <f t="shared" si="103"/>
        <v>13390</v>
      </c>
      <c r="D446" s="735">
        <f>('INTEC (listas)'!D402)</f>
        <v>13000</v>
      </c>
      <c r="E446" s="765"/>
      <c r="F446" s="172"/>
      <c r="G446" s="921"/>
    </row>
    <row r="447" spans="1:7">
      <c r="A447" s="164" t="s">
        <v>1218</v>
      </c>
      <c r="B447" s="163">
        <f t="shared" si="102"/>
        <v>15210</v>
      </c>
      <c r="C447" s="163">
        <f t="shared" si="103"/>
        <v>13390</v>
      </c>
      <c r="D447" s="735">
        <f>('INTEC (listas)'!D403)</f>
        <v>13000</v>
      </c>
      <c r="E447" s="765"/>
      <c r="F447" s="172"/>
      <c r="G447" s="921"/>
    </row>
    <row r="448" spans="1:7">
      <c r="A448" s="164" t="s">
        <v>1220</v>
      </c>
      <c r="B448" s="163">
        <f t="shared" si="102"/>
        <v>15210</v>
      </c>
      <c r="C448" s="163">
        <f t="shared" si="103"/>
        <v>13390</v>
      </c>
      <c r="D448" s="735">
        <f>('INTEC (listas)'!D404)</f>
        <v>13000</v>
      </c>
      <c r="E448" s="765"/>
      <c r="F448" s="172"/>
      <c r="G448" s="921"/>
    </row>
    <row r="449" spans="1:7">
      <c r="A449" s="164" t="s">
        <v>1222</v>
      </c>
      <c r="B449" s="163">
        <f t="shared" si="102"/>
        <v>15210</v>
      </c>
      <c r="C449" s="163">
        <f t="shared" si="103"/>
        <v>13390</v>
      </c>
      <c r="D449" s="735">
        <f>('INTEC (listas)'!D405)</f>
        <v>13000</v>
      </c>
      <c r="E449" s="765"/>
      <c r="F449" s="172"/>
      <c r="G449" s="921"/>
    </row>
    <row r="450" spans="1:7">
      <c r="A450" s="164" t="s">
        <v>1224</v>
      </c>
      <c r="B450" s="163">
        <f t="shared" si="102"/>
        <v>15210</v>
      </c>
      <c r="C450" s="163">
        <f t="shared" si="103"/>
        <v>13390</v>
      </c>
      <c r="D450" s="735">
        <f>('INTEC (listas)'!D406)</f>
        <v>13000</v>
      </c>
      <c r="E450" s="765"/>
      <c r="F450" s="172"/>
      <c r="G450" s="921"/>
    </row>
    <row r="451" spans="1:7">
      <c r="A451" s="164" t="s">
        <v>1226</v>
      </c>
      <c r="B451" s="163">
        <f t="shared" si="102"/>
        <v>15210</v>
      </c>
      <c r="C451" s="163">
        <f t="shared" si="103"/>
        <v>13390</v>
      </c>
      <c r="D451" s="735">
        <f>('INTEC (listas)'!D407)</f>
        <v>13000</v>
      </c>
      <c r="E451" s="765"/>
      <c r="F451" s="172"/>
      <c r="G451" s="921"/>
    </row>
    <row r="452" spans="1:7">
      <c r="A452" s="164" t="s">
        <v>1228</v>
      </c>
      <c r="B452" s="163">
        <f t="shared" si="102"/>
        <v>15210</v>
      </c>
      <c r="C452" s="163">
        <f t="shared" si="103"/>
        <v>13390</v>
      </c>
      <c r="D452" s="735">
        <f>('INTEC (listas)'!D408)</f>
        <v>13000</v>
      </c>
      <c r="E452" s="765"/>
      <c r="F452" s="172"/>
      <c r="G452" s="921"/>
    </row>
    <row r="453" spans="1:7">
      <c r="A453" s="164" t="s">
        <v>1230</v>
      </c>
      <c r="B453" s="163">
        <f t="shared" si="102"/>
        <v>15210</v>
      </c>
      <c r="C453" s="163">
        <f t="shared" si="103"/>
        <v>13390</v>
      </c>
      <c r="D453" s="735">
        <f>('INTEC (listas)'!D409)</f>
        <v>13000</v>
      </c>
      <c r="E453" s="765"/>
      <c r="F453" s="172"/>
      <c r="G453" s="921"/>
    </row>
    <row r="454" spans="1:7">
      <c r="A454" s="164" t="s">
        <v>1232</v>
      </c>
      <c r="B454" s="163">
        <f t="shared" si="102"/>
        <v>15210</v>
      </c>
      <c r="C454" s="163">
        <f t="shared" si="103"/>
        <v>13390</v>
      </c>
      <c r="D454" s="735">
        <f>('INTEC (listas)'!D410)</f>
        <v>13000</v>
      </c>
      <c r="E454" s="765"/>
      <c r="F454" s="172"/>
      <c r="G454" s="921"/>
    </row>
    <row r="455" spans="1:7">
      <c r="A455" s="164" t="s">
        <v>1234</v>
      </c>
      <c r="B455" s="163">
        <f t="shared" si="102"/>
        <v>15210</v>
      </c>
      <c r="C455" s="163">
        <f t="shared" si="103"/>
        <v>13390</v>
      </c>
      <c r="D455" s="735">
        <f>('INTEC (listas)'!D411)</f>
        <v>13000</v>
      </c>
      <c r="E455" s="765"/>
      <c r="F455" s="172"/>
      <c r="G455" s="921"/>
    </row>
    <row r="456" spans="1:7">
      <c r="A456" s="164" t="s">
        <v>1236</v>
      </c>
      <c r="B456" s="163">
        <f t="shared" si="102"/>
        <v>15210</v>
      </c>
      <c r="C456" s="163">
        <f t="shared" si="103"/>
        <v>13390</v>
      </c>
      <c r="D456" s="735">
        <f>('INTEC (listas)'!D412)</f>
        <v>13000</v>
      </c>
      <c r="E456" s="765"/>
      <c r="F456" s="172"/>
      <c r="G456" s="921"/>
    </row>
    <row r="457" spans="1:7">
      <c r="A457" s="164" t="s">
        <v>1238</v>
      </c>
      <c r="B457" s="163">
        <f t="shared" si="102"/>
        <v>15210</v>
      </c>
      <c r="C457" s="163">
        <f t="shared" si="103"/>
        <v>13390</v>
      </c>
      <c r="D457" s="735">
        <f>('INTEC (listas)'!D413)</f>
        <v>13000</v>
      </c>
      <c r="E457" s="765"/>
      <c r="F457" s="172"/>
      <c r="G457" s="921"/>
    </row>
    <row r="458" spans="1:7">
      <c r="A458" s="164" t="s">
        <v>1240</v>
      </c>
      <c r="B458" s="163">
        <f t="shared" si="102"/>
        <v>11120</v>
      </c>
      <c r="C458" s="163">
        <f t="shared" si="103"/>
        <v>9790</v>
      </c>
      <c r="D458" s="735">
        <f>('INTEC (listas)'!D414)</f>
        <v>9500</v>
      </c>
      <c r="E458" s="765"/>
      <c r="F458" s="172"/>
      <c r="G458" s="921"/>
    </row>
    <row r="459" spans="1:7">
      <c r="A459" s="164" t="s">
        <v>1242</v>
      </c>
      <c r="B459" s="163">
        <f t="shared" si="102"/>
        <v>11120</v>
      </c>
      <c r="C459" s="163">
        <f t="shared" si="103"/>
        <v>9790</v>
      </c>
      <c r="D459" s="735">
        <f>('INTEC (listas)'!D415)</f>
        <v>9500</v>
      </c>
      <c r="E459" s="765"/>
      <c r="F459" s="172"/>
      <c r="G459" s="921"/>
    </row>
    <row r="460" spans="1:7">
      <c r="A460" s="164" t="s">
        <v>1244</v>
      </c>
      <c r="B460" s="163">
        <f t="shared" si="102"/>
        <v>11120</v>
      </c>
      <c r="C460" s="163">
        <f t="shared" si="103"/>
        <v>9790</v>
      </c>
      <c r="D460" s="735">
        <f>('INTEC (listas)'!D416)</f>
        <v>9500</v>
      </c>
      <c r="E460" s="765"/>
      <c r="F460" s="172"/>
      <c r="G460" s="921"/>
    </row>
    <row r="461" spans="1:7">
      <c r="A461" s="164" t="s">
        <v>1246</v>
      </c>
      <c r="B461" s="163">
        <f t="shared" si="102"/>
        <v>11120</v>
      </c>
      <c r="C461" s="163">
        <f t="shared" si="103"/>
        <v>9790</v>
      </c>
      <c r="D461" s="735">
        <f>('INTEC (listas)'!D417)</f>
        <v>9500</v>
      </c>
      <c r="E461" s="765"/>
      <c r="F461" s="172"/>
      <c r="G461" s="921"/>
    </row>
    <row r="462" spans="1:7">
      <c r="A462" s="164" t="s">
        <v>1248</v>
      </c>
      <c r="B462" s="163">
        <f t="shared" si="102"/>
        <v>11120</v>
      </c>
      <c r="C462" s="163">
        <f t="shared" si="103"/>
        <v>9790</v>
      </c>
      <c r="D462" s="735">
        <f>('INTEC (listas)'!D418)</f>
        <v>9500</v>
      </c>
      <c r="E462" s="765"/>
      <c r="F462" s="172"/>
      <c r="G462" s="921"/>
    </row>
    <row r="463" spans="1:7">
      <c r="A463" s="164" t="s">
        <v>1250</v>
      </c>
      <c r="B463" s="163">
        <f t="shared" si="102"/>
        <v>11120</v>
      </c>
      <c r="C463" s="163">
        <f t="shared" si="103"/>
        <v>9790</v>
      </c>
      <c r="D463" s="735">
        <f>('INTEC (listas)'!D419)</f>
        <v>9500</v>
      </c>
      <c r="E463" s="765"/>
      <c r="F463" s="172"/>
      <c r="G463" s="921"/>
    </row>
    <row r="464" spans="1:7">
      <c r="A464" s="164" t="s">
        <v>1252</v>
      </c>
      <c r="B464" s="163">
        <f t="shared" si="102"/>
        <v>11120</v>
      </c>
      <c r="C464" s="163">
        <f t="shared" si="103"/>
        <v>9790</v>
      </c>
      <c r="D464" s="735">
        <f>('INTEC (listas)'!D420)</f>
        <v>9500</v>
      </c>
      <c r="E464" s="765"/>
      <c r="F464" s="172"/>
      <c r="G464" s="921"/>
    </row>
    <row r="465" spans="1:7">
      <c r="A465" s="164" t="s">
        <v>1254</v>
      </c>
      <c r="B465" s="163">
        <f t="shared" si="102"/>
        <v>11120</v>
      </c>
      <c r="C465" s="163">
        <f t="shared" si="103"/>
        <v>9790</v>
      </c>
      <c r="D465" s="735">
        <f>('INTEC (listas)'!D421)</f>
        <v>9500</v>
      </c>
      <c r="E465" s="765"/>
      <c r="F465" s="172"/>
      <c r="G465" s="921"/>
    </row>
    <row r="466" spans="1:7">
      <c r="A466" s="164" t="s">
        <v>1256</v>
      </c>
      <c r="B466" s="163">
        <f t="shared" si="102"/>
        <v>51370</v>
      </c>
      <c r="C466" s="163">
        <f t="shared" si="103"/>
        <v>45220</v>
      </c>
      <c r="D466" s="735">
        <f>('INTEC (listas)'!D422)</f>
        <v>43900</v>
      </c>
      <c r="E466" s="765"/>
      <c r="F466" s="172"/>
      <c r="G466" s="921"/>
    </row>
    <row r="467" spans="1:7">
      <c r="A467" s="164" t="s">
        <v>1258</v>
      </c>
      <c r="B467" s="163">
        <f t="shared" si="102"/>
        <v>60790</v>
      </c>
      <c r="C467" s="163">
        <f t="shared" si="103"/>
        <v>53510</v>
      </c>
      <c r="D467" s="735">
        <f>('INTEC (listas)'!D423)</f>
        <v>51950</v>
      </c>
      <c r="E467" s="765"/>
      <c r="F467" s="172"/>
      <c r="G467" s="921"/>
    </row>
    <row r="468" spans="1:7">
      <c r="A468" s="164" t="s">
        <v>1260</v>
      </c>
      <c r="B468" s="163">
        <f t="shared" si="102"/>
        <v>50610</v>
      </c>
      <c r="C468" s="163">
        <f t="shared" si="103"/>
        <v>44550</v>
      </c>
      <c r="D468" s="735">
        <f>('INTEC (listas)'!D424)</f>
        <v>43250</v>
      </c>
      <c r="E468" s="765"/>
      <c r="F468" s="172"/>
      <c r="G468" s="921"/>
    </row>
    <row r="469" spans="1:7">
      <c r="A469" s="164" t="s">
        <v>1262</v>
      </c>
      <c r="B469" s="163">
        <f t="shared" si="102"/>
        <v>59030</v>
      </c>
      <c r="C469" s="163">
        <f t="shared" si="103"/>
        <v>51970</v>
      </c>
      <c r="D469" s="735">
        <f>('INTEC (listas)'!D425)</f>
        <v>50450</v>
      </c>
      <c r="E469" s="765"/>
      <c r="F469" s="172"/>
      <c r="G469" s="921"/>
    </row>
    <row r="470" spans="1:7">
      <c r="A470" s="164" t="s">
        <v>1264</v>
      </c>
      <c r="B470" s="163">
        <f t="shared" si="102"/>
        <v>44060</v>
      </c>
      <c r="C470" s="163">
        <f t="shared" si="103"/>
        <v>38780</v>
      </c>
      <c r="D470" s="735">
        <f>('INTEC (listas)'!D426)</f>
        <v>37650</v>
      </c>
      <c r="E470" s="765"/>
      <c r="F470" s="172"/>
      <c r="G470" s="921"/>
    </row>
    <row r="471" spans="1:7">
      <c r="A471" s="164" t="s">
        <v>1266</v>
      </c>
      <c r="B471" s="163">
        <f t="shared" si="102"/>
        <v>51370</v>
      </c>
      <c r="C471" s="163">
        <f t="shared" si="103"/>
        <v>45220</v>
      </c>
      <c r="D471" s="735">
        <f>('INTEC (listas)'!D427)</f>
        <v>43900</v>
      </c>
      <c r="E471" s="765"/>
      <c r="F471" s="172"/>
      <c r="G471" s="921"/>
    </row>
    <row r="472" spans="1:7">
      <c r="A472" s="164" t="s">
        <v>1268</v>
      </c>
      <c r="B472" s="163">
        <f t="shared" si="102"/>
        <v>92670</v>
      </c>
      <c r="C472" s="163">
        <f t="shared" si="103"/>
        <v>81580</v>
      </c>
      <c r="D472" s="735">
        <f>('INTEC (listas)'!D428)</f>
        <v>79200</v>
      </c>
      <c r="E472" s="765"/>
      <c r="F472" s="172"/>
      <c r="G472" s="921"/>
    </row>
    <row r="473" spans="1:7">
      <c r="A473" s="164" t="s">
        <v>1270</v>
      </c>
      <c r="B473" s="572">
        <f t="shared" si="102"/>
        <v>46510</v>
      </c>
      <c r="C473" s="163">
        <f t="shared" si="103"/>
        <v>40950</v>
      </c>
      <c r="D473" s="735">
        <f>('INTEC (listas)'!D429)</f>
        <v>39750</v>
      </c>
      <c r="E473" s="921"/>
      <c r="F473" s="172"/>
      <c r="G473" s="921"/>
    </row>
    <row r="474" spans="1:7">
      <c r="A474" s="736" t="s">
        <v>2098</v>
      </c>
      <c r="B474" s="851" t="s">
        <v>1839</v>
      </c>
      <c r="C474" s="508" t="s">
        <v>1981</v>
      </c>
      <c r="D474" s="48" t="s">
        <v>1941</v>
      </c>
      <c r="E474" s="921"/>
      <c r="F474" s="172"/>
      <c r="G474" s="921"/>
    </row>
    <row r="475" spans="1:7">
      <c r="A475" s="164" t="s">
        <v>1273</v>
      </c>
      <c r="B475" s="163">
        <f>ROUNDUP(($D475+($D475*L$2)),-1)</f>
        <v>43290</v>
      </c>
      <c r="C475" s="163">
        <f>ROUNDUP(D475+(D475*L$1),-1)</f>
        <v>38110</v>
      </c>
      <c r="D475" s="173">
        <f>('Tempel - Melisam'!R21)</f>
        <v>37000</v>
      </c>
      <c r="E475" s="921"/>
      <c r="F475" s="172"/>
      <c r="G475" s="921"/>
    </row>
    <row r="476" spans="1:7">
      <c r="A476" s="164" t="s">
        <v>1275</v>
      </c>
      <c r="B476" s="163">
        <f>ROUNDUP(($D476+($D476*L$2)),-1)</f>
        <v>43290</v>
      </c>
      <c r="C476" s="163">
        <f>ROUNDUP(D476+(D476*L$1),-1)</f>
        <v>38110</v>
      </c>
      <c r="D476" s="173">
        <f>('Tempel - Melisam'!R22)</f>
        <v>37000</v>
      </c>
      <c r="E476" s="921"/>
      <c r="F476" s="172"/>
      <c r="G476" s="921"/>
    </row>
  </sheetData>
  <mergeCells count="7">
    <mergeCell ref="B1:D1"/>
    <mergeCell ref="B63:D63"/>
    <mergeCell ref="B215:D215"/>
    <mergeCell ref="B171:E171"/>
    <mergeCell ref="B5:D5"/>
    <mergeCell ref="B67:D67"/>
    <mergeCell ref="B111:D111"/>
  </mergeCells>
  <phoneticPr fontId="50" type="noConversion"/>
  <printOptions horizontalCentered="1" verticalCentered="1"/>
  <pageMargins left="0.25" right="0.25" top="0.75" bottom="0.75" header="0.3" footer="0.3"/>
  <pageSetup paperSize="9" scale="76" fitToHeight="0" orientation="portrait" r:id="rId1"/>
  <rowBreaks count="7" manualBreakCount="7">
    <brk id="60" max="5" man="1"/>
    <brk id="107" max="5" man="1"/>
    <brk id="166" max="5" man="1"/>
    <brk id="210" max="5" man="1"/>
    <brk id="259" max="5" man="1"/>
    <brk id="296" max="5" man="1"/>
    <brk id="354" max="5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5BB-80F4-4000-B8BF-9F79EE9A1B70}">
  <sheetPr>
    <pageSetUpPr fitToPage="1"/>
  </sheetPr>
  <dimension ref="A1:M457"/>
  <sheetViews>
    <sheetView topLeftCell="A10" zoomScaleNormal="100" workbookViewId="0">
      <selection activeCell="D327" sqref="D327"/>
    </sheetView>
  </sheetViews>
  <sheetFormatPr baseColWidth="10" defaultColWidth="11.44140625" defaultRowHeight="14.4"/>
  <cols>
    <col min="1" max="1" width="47.33203125" customWidth="1"/>
    <col min="2" max="2" width="14.5546875" bestFit="1" customWidth="1"/>
    <col min="3" max="4" width="15.6640625" customWidth="1"/>
    <col min="5" max="5" width="15.5546875" customWidth="1"/>
    <col min="6" max="6" width="15.88671875" bestFit="1" customWidth="1"/>
    <col min="7" max="7" width="12.88671875" customWidth="1"/>
    <col min="9" max="9" width="31.6640625" bestFit="1" customWidth="1"/>
  </cols>
  <sheetData>
    <row r="1" spans="1:13" ht="16.2" thickBot="1">
      <c r="A1" s="105" t="s">
        <v>1833</v>
      </c>
      <c r="B1" s="1009" t="s">
        <v>1834</v>
      </c>
      <c r="C1" s="1010"/>
      <c r="D1" s="1011"/>
      <c r="E1" s="201" t="s">
        <v>1835</v>
      </c>
      <c r="F1" s="201"/>
      <c r="G1" s="201"/>
      <c r="H1" s="921"/>
      <c r="I1" s="921"/>
      <c r="J1" s="921"/>
      <c r="K1" s="921"/>
      <c r="L1" s="367" t="s">
        <v>1592</v>
      </c>
      <c r="M1" s="368">
        <v>0.03</v>
      </c>
    </row>
    <row r="2" spans="1:13" ht="16.2" thickBot="1">
      <c r="A2" s="105" t="s">
        <v>1836</v>
      </c>
      <c r="B2" s="367" t="s">
        <v>25</v>
      </c>
      <c r="C2" s="453"/>
      <c r="D2" s="454">
        <v>10000</v>
      </c>
      <c r="E2" s="201"/>
      <c r="F2" s="201"/>
      <c r="G2" s="201"/>
      <c r="H2" s="921"/>
      <c r="I2" s="438" t="s">
        <v>2020</v>
      </c>
      <c r="J2" s="466">
        <v>8000</v>
      </c>
      <c r="K2" s="921"/>
      <c r="L2" s="367" t="s">
        <v>1598</v>
      </c>
      <c r="M2" s="368">
        <v>0.17</v>
      </c>
    </row>
    <row r="3" spans="1:13" ht="16.2" thickBot="1">
      <c r="A3" s="178" t="s">
        <v>24</v>
      </c>
      <c r="B3" s="501" t="s">
        <v>27</v>
      </c>
      <c r="C3" s="183"/>
      <c r="D3" s="184">
        <v>14000</v>
      </c>
      <c r="E3" s="921"/>
      <c r="F3" s="921"/>
      <c r="G3" s="172"/>
      <c r="H3" s="921"/>
      <c r="I3" s="921"/>
      <c r="J3" s="921"/>
      <c r="K3" s="921"/>
      <c r="L3" s="921"/>
      <c r="M3" s="921"/>
    </row>
    <row r="4" spans="1:13" ht="16.2" thickBot="1">
      <c r="A4" s="88"/>
      <c r="B4" s="637" t="s">
        <v>29</v>
      </c>
      <c r="C4" s="638"/>
      <c r="D4" s="639">
        <v>19000</v>
      </c>
      <c r="E4" s="160"/>
      <c r="F4" s="160"/>
      <c r="G4" s="172"/>
      <c r="H4" s="921"/>
      <c r="I4" s="921"/>
      <c r="J4" s="921"/>
      <c r="K4" s="921"/>
      <c r="L4" s="921"/>
      <c r="M4" s="921"/>
    </row>
    <row r="5" spans="1:13" ht="16.2" thickBot="1">
      <c r="A5" s="737">
        <v>45768</v>
      </c>
      <c r="B5" s="1012" t="s">
        <v>1837</v>
      </c>
      <c r="C5" s="1013"/>
      <c r="D5" s="1013"/>
      <c r="E5" s="839"/>
      <c r="F5" s="972"/>
      <c r="G5" s="172"/>
      <c r="H5" s="921"/>
      <c r="I5" s="921"/>
      <c r="J5" s="921"/>
      <c r="K5" s="921"/>
      <c r="L5" s="921"/>
      <c r="M5" s="921"/>
    </row>
    <row r="6" spans="1:13" ht="15.6">
      <c r="A6" s="738" t="s">
        <v>1838</v>
      </c>
      <c r="B6" s="832" t="s">
        <v>1839</v>
      </c>
      <c r="C6" s="751" t="s">
        <v>1840</v>
      </c>
      <c r="D6" s="751" t="s">
        <v>1841</v>
      </c>
      <c r="E6" s="758" t="s">
        <v>1842</v>
      </c>
      <c r="F6" s="769" t="s">
        <v>1843</v>
      </c>
      <c r="G6" s="921"/>
      <c r="H6" s="921"/>
      <c r="I6" s="921"/>
      <c r="J6" s="921"/>
      <c r="K6" s="921"/>
      <c r="L6" s="921"/>
      <c r="M6" s="921"/>
    </row>
    <row r="7" spans="1:13" ht="15.6">
      <c r="A7" s="739" t="s">
        <v>1844</v>
      </c>
      <c r="B7" s="163">
        <f>(Publico!B7+Domicilio!J$2)</f>
        <v>125710</v>
      </c>
      <c r="C7" s="759">
        <f>(B7/6)</f>
        <v>20951.666666666668</v>
      </c>
      <c r="D7" s="740">
        <f>(B7/3)</f>
        <v>41903.333333333336</v>
      </c>
      <c r="E7" s="163">
        <f>(Publico!E7+Domicilio!J$2)</f>
        <v>111620</v>
      </c>
      <c r="F7" s="466">
        <f>(Publico!F7+Domicilio!J$2)</f>
        <v>108600</v>
      </c>
      <c r="G7" s="921"/>
      <c r="H7" s="921"/>
      <c r="I7" s="921"/>
      <c r="J7" s="921"/>
      <c r="K7" s="921"/>
      <c r="L7" s="921"/>
      <c r="M7" s="921"/>
    </row>
    <row r="8" spans="1:13" ht="15.6">
      <c r="A8" s="741" t="s">
        <v>1845</v>
      </c>
      <c r="B8" s="163">
        <f>(Publico!B8+Domicilio!J$2)</f>
        <v>154868</v>
      </c>
      <c r="C8" s="759">
        <f t="shared" ref="C8:C9" si="0">(B8/6)</f>
        <v>25811.333333333332</v>
      </c>
      <c r="D8" s="740">
        <f t="shared" ref="D8:D9" si="1">(B8/3)</f>
        <v>51622.666666666664</v>
      </c>
      <c r="E8" s="163">
        <f>(Publico!E8+Domicilio!J$2)</f>
        <v>139840</v>
      </c>
      <c r="F8" s="466">
        <f>(Publico!F8+Domicilio!J$2)</f>
        <v>136000</v>
      </c>
      <c r="G8" s="921"/>
      <c r="H8" s="921"/>
      <c r="I8" s="921"/>
      <c r="J8" s="921"/>
      <c r="K8" s="921"/>
      <c r="L8" s="921"/>
      <c r="M8" s="921"/>
    </row>
    <row r="9" spans="1:13" ht="15.6">
      <c r="A9" s="742" t="s">
        <v>2099</v>
      </c>
      <c r="B9" s="163">
        <f>(Publico!B9+Domicilio!J$2)</f>
        <v>160100</v>
      </c>
      <c r="C9" s="759">
        <f t="shared" si="0"/>
        <v>26683.333333333332</v>
      </c>
      <c r="D9" s="740">
        <f t="shared" si="1"/>
        <v>53366.666666666664</v>
      </c>
      <c r="E9" s="163">
        <f>(Publico!E9+Domicilio!J$2)</f>
        <v>141900</v>
      </c>
      <c r="F9" s="466">
        <f>(Publico!F9+Domicilio!J$2)</f>
        <v>138000</v>
      </c>
      <c r="G9" s="921"/>
      <c r="H9" s="921"/>
      <c r="I9" s="921"/>
      <c r="J9" s="921"/>
      <c r="K9" s="921"/>
      <c r="L9" s="921"/>
      <c r="M9" s="921"/>
    </row>
    <row r="10" spans="1:13" ht="15.6">
      <c r="A10" s="738" t="s">
        <v>1847</v>
      </c>
      <c r="B10" s="832" t="s">
        <v>1839</v>
      </c>
      <c r="C10" s="751" t="s">
        <v>1840</v>
      </c>
      <c r="D10" s="751" t="s">
        <v>1841</v>
      </c>
      <c r="E10" s="758" t="s">
        <v>1842</v>
      </c>
      <c r="F10" s="761" t="s">
        <v>1843</v>
      </c>
      <c r="G10" s="921"/>
      <c r="H10" s="921"/>
      <c r="I10" s="921"/>
      <c r="J10" s="921"/>
      <c r="K10" s="921"/>
      <c r="L10" s="921"/>
      <c r="M10" s="921"/>
    </row>
    <row r="11" spans="1:13" ht="15.6">
      <c r="A11" s="739" t="s">
        <v>1848</v>
      </c>
      <c r="B11" s="163">
        <f>(Publico!B11+Domicilio!J$2)</f>
        <v>149460</v>
      </c>
      <c r="C11" s="759">
        <f t="shared" ref="C11:C14" si="2">(B11/6)</f>
        <v>24910</v>
      </c>
      <c r="D11" s="740">
        <f t="shared" ref="D11:D14" si="3">(B11/3)</f>
        <v>49820</v>
      </c>
      <c r="E11" s="163">
        <f>(Publico!E11+Domicilio!J$2)</f>
        <v>132530</v>
      </c>
      <c r="F11" s="466">
        <f>(Publico!F11+Domicilio!J$2)</f>
        <v>128900</v>
      </c>
      <c r="G11" s="921"/>
      <c r="H11" s="921"/>
      <c r="I11" s="921"/>
      <c r="J11" s="921"/>
      <c r="K11" s="921"/>
      <c r="L11" s="921"/>
      <c r="M11" s="921"/>
    </row>
    <row r="12" spans="1:13" ht="15.6">
      <c r="A12" s="742" t="s">
        <v>2100</v>
      </c>
      <c r="B12" s="163">
        <f>(Publico!B12+Domicilio!J$2)</f>
        <v>169948</v>
      </c>
      <c r="C12" s="759">
        <f t="shared" si="2"/>
        <v>28324.666666666668</v>
      </c>
      <c r="D12" s="740">
        <f t="shared" si="3"/>
        <v>56649.333333333336</v>
      </c>
      <c r="E12" s="163">
        <f>(Publico!E12+Domicilio!J$2)</f>
        <v>153230</v>
      </c>
      <c r="F12" s="466">
        <f>(Publico!F12+Domicilio!J$2)</f>
        <v>149000</v>
      </c>
      <c r="G12" s="921"/>
      <c r="H12" s="921"/>
      <c r="I12" s="921"/>
      <c r="J12" s="921"/>
      <c r="K12" s="921"/>
      <c r="L12" s="921"/>
      <c r="M12" s="921"/>
    </row>
    <row r="13" spans="1:13" ht="15.6">
      <c r="A13" s="741" t="s">
        <v>2101</v>
      </c>
      <c r="B13" s="163">
        <f>(Publico!B13+Domicilio!J$2)</f>
        <v>181810</v>
      </c>
      <c r="C13" s="759">
        <f t="shared" si="2"/>
        <v>30301.666666666668</v>
      </c>
      <c r="D13" s="740">
        <f t="shared" si="3"/>
        <v>60603.333333333336</v>
      </c>
      <c r="E13" s="163">
        <f>(Publico!E13+Domicilio!J$2)</f>
        <v>161010</v>
      </c>
      <c r="F13" s="466">
        <f>(Publico!F13+Domicilio!J$2)</f>
        <v>156550</v>
      </c>
      <c r="G13" s="921"/>
      <c r="H13" s="921"/>
      <c r="I13" s="921"/>
      <c r="J13" s="921"/>
      <c r="K13" s="921"/>
      <c r="L13" s="921"/>
      <c r="M13" s="921"/>
    </row>
    <row r="14" spans="1:13" ht="15.6">
      <c r="A14" s="741" t="s">
        <v>2102</v>
      </c>
      <c r="B14" s="163">
        <f>(Publico!B14+Domicilio!J$2)</f>
        <v>174140</v>
      </c>
      <c r="C14" s="759">
        <f t="shared" si="2"/>
        <v>29023.333333333332</v>
      </c>
      <c r="D14" s="740">
        <f t="shared" si="3"/>
        <v>58046.666666666664</v>
      </c>
      <c r="E14" s="163">
        <f>(Publico!E14+Domicilio!J$2)</f>
        <v>154260</v>
      </c>
      <c r="F14" s="466">
        <f>(Publico!F14+Domicilio!J$2)</f>
        <v>150000</v>
      </c>
      <c r="G14" s="921"/>
      <c r="H14" s="921"/>
      <c r="I14" s="921"/>
      <c r="J14" s="921"/>
      <c r="K14" s="921"/>
      <c r="L14" s="921"/>
      <c r="M14" s="921"/>
    </row>
    <row r="15" spans="1:13" ht="15.6">
      <c r="A15" s="738" t="s">
        <v>1852</v>
      </c>
      <c r="B15" s="832" t="s">
        <v>1839</v>
      </c>
      <c r="C15" s="751" t="s">
        <v>1840</v>
      </c>
      <c r="D15" s="751" t="s">
        <v>1841</v>
      </c>
      <c r="E15" s="758" t="s">
        <v>1842</v>
      </c>
      <c r="F15" s="761" t="s">
        <v>1843</v>
      </c>
      <c r="G15" s="921"/>
      <c r="H15" s="921"/>
      <c r="I15" s="921"/>
      <c r="J15" s="921"/>
      <c r="K15" s="921"/>
      <c r="L15" s="921"/>
      <c r="M15" s="921"/>
    </row>
    <row r="16" spans="1:13" ht="15.6">
      <c r="A16" s="752" t="s">
        <v>1853</v>
      </c>
      <c r="B16" s="163">
        <f>(Publico!B16+Domicilio!J$2)</f>
        <v>123830</v>
      </c>
      <c r="C16" s="759">
        <f t="shared" ref="C16:C22" si="4">(B16/6)</f>
        <v>20638.333333333332</v>
      </c>
      <c r="D16" s="740">
        <f t="shared" ref="D16:D22" si="5">(B16/3)</f>
        <v>41276.666666666664</v>
      </c>
      <c r="E16" s="163">
        <f>(Publico!E16+Domicilio!J$2)</f>
        <v>109970</v>
      </c>
      <c r="F16" s="466">
        <f>(Publico!F16+Domicilio!J$2)</f>
        <v>107000</v>
      </c>
      <c r="G16" s="921"/>
      <c r="H16" s="921"/>
      <c r="I16" s="921"/>
      <c r="J16" s="921"/>
      <c r="K16" s="921"/>
      <c r="L16" s="921"/>
      <c r="M16" s="921"/>
    </row>
    <row r="17" spans="1:6" ht="15.6">
      <c r="A17" s="739" t="s">
        <v>1854</v>
      </c>
      <c r="B17" s="163">
        <f>(Publico!B17+Domicilio!J$2)</f>
        <v>141210</v>
      </c>
      <c r="C17" s="759">
        <f t="shared" si="4"/>
        <v>23535</v>
      </c>
      <c r="D17" s="740">
        <f t="shared" si="5"/>
        <v>47070</v>
      </c>
      <c r="E17" s="163">
        <f>(Publico!E17+Domicilio!J$2)</f>
        <v>125270</v>
      </c>
      <c r="F17" s="466">
        <f>(Publico!F17+Domicilio!J$2)</f>
        <v>121850</v>
      </c>
    </row>
    <row r="18" spans="1:6" ht="15.6">
      <c r="A18" s="742" t="s">
        <v>1855</v>
      </c>
      <c r="B18" s="163">
        <f>(Publico!B18+Domicilio!J$2)</f>
        <v>153730</v>
      </c>
      <c r="C18" s="759">
        <f t="shared" si="4"/>
        <v>25621.666666666668</v>
      </c>
      <c r="D18" s="740">
        <f t="shared" si="5"/>
        <v>51243.333333333336</v>
      </c>
      <c r="E18" s="163">
        <f>(Publico!E18+Domicilio!J$2)</f>
        <v>136290</v>
      </c>
      <c r="F18" s="466">
        <f>(Publico!F18+Domicilio!J$2)</f>
        <v>132550</v>
      </c>
    </row>
    <row r="19" spans="1:6" ht="15.6">
      <c r="A19" s="742" t="s">
        <v>2103</v>
      </c>
      <c r="B19" s="163">
        <f>(Publico!B19+Domicilio!J$2)</f>
        <v>164148</v>
      </c>
      <c r="C19" s="759">
        <f t="shared" si="4"/>
        <v>27358</v>
      </c>
      <c r="D19" s="740">
        <f t="shared" si="5"/>
        <v>54716</v>
      </c>
      <c r="E19" s="163">
        <f>(Publico!E19+Domicilio!J$2)</f>
        <v>148080</v>
      </c>
      <c r="F19" s="466">
        <f>(Publico!F19+Domicilio!J$2)</f>
        <v>144000</v>
      </c>
    </row>
    <row r="20" spans="1:6" ht="15.6">
      <c r="A20" s="742" t="s">
        <v>2104</v>
      </c>
      <c r="B20" s="163">
        <f>(Publico!B20+Domicilio!J$2)</f>
        <v>183868</v>
      </c>
      <c r="C20" s="759">
        <f t="shared" si="4"/>
        <v>30644.666666666668</v>
      </c>
      <c r="D20" s="740">
        <f t="shared" si="5"/>
        <v>61289.333333333336</v>
      </c>
      <c r="E20" s="163">
        <f>(Publico!E20+Domicilio!J$2)</f>
        <v>165590</v>
      </c>
      <c r="F20" s="466">
        <f>(Publico!F20+Domicilio!J$2)</f>
        <v>161000</v>
      </c>
    </row>
    <row r="21" spans="1:6" ht="15.6">
      <c r="A21" s="742" t="s">
        <v>1858</v>
      </c>
      <c r="B21" s="163">
        <f>(Publico!B21+Domicilio!J$2)</f>
        <v>177480</v>
      </c>
      <c r="C21" s="759">
        <f t="shared" si="4"/>
        <v>29580</v>
      </c>
      <c r="D21" s="740">
        <f t="shared" si="5"/>
        <v>59160</v>
      </c>
      <c r="E21" s="163">
        <f>(Publico!E21+Domicilio!J$2)</f>
        <v>157200</v>
      </c>
      <c r="F21" s="466">
        <f>(Publico!F21+Domicilio!J$2)</f>
        <v>152850</v>
      </c>
    </row>
    <row r="22" spans="1:6" ht="15.6">
      <c r="A22" s="742" t="s">
        <v>2105</v>
      </c>
      <c r="B22" s="163">
        <f>(Publico!B22+Domicilio!J$2)</f>
        <v>187010</v>
      </c>
      <c r="C22" s="759">
        <f t="shared" si="4"/>
        <v>31168.333333333332</v>
      </c>
      <c r="D22" s="740">
        <f t="shared" si="5"/>
        <v>62336.666666666664</v>
      </c>
      <c r="E22" s="163">
        <f>(Publico!E22+Domicilio!J$2)</f>
        <v>165590</v>
      </c>
      <c r="F22" s="466">
        <f>(Publico!F22+Domicilio!J$2)</f>
        <v>161000</v>
      </c>
    </row>
    <row r="23" spans="1:6" ht="15.6">
      <c r="A23" s="738" t="s">
        <v>1860</v>
      </c>
      <c r="B23" s="832" t="s">
        <v>1839</v>
      </c>
      <c r="C23" s="751" t="s">
        <v>1840</v>
      </c>
      <c r="D23" s="751" t="s">
        <v>1841</v>
      </c>
      <c r="E23" s="758" t="s">
        <v>1842</v>
      </c>
      <c r="F23" s="761" t="s">
        <v>1843</v>
      </c>
    </row>
    <row r="24" spans="1:6" ht="15.6">
      <c r="A24" s="742" t="s">
        <v>1861</v>
      </c>
      <c r="B24" s="163">
        <f>(Publico!B24+Domicilio!J$2)</f>
        <v>159580</v>
      </c>
      <c r="C24" s="759">
        <f t="shared" ref="C24:C28" si="6">(B24/6)</f>
        <v>26596.666666666668</v>
      </c>
      <c r="D24" s="740">
        <f t="shared" ref="D24:D28" si="7">(B24/3)</f>
        <v>53193.333333333336</v>
      </c>
      <c r="E24" s="163">
        <f>(Publico!E24+Domicilio!J$2)</f>
        <v>141440</v>
      </c>
      <c r="F24" s="466">
        <f>(Publico!F24+Domicilio!J$2)</f>
        <v>137550</v>
      </c>
    </row>
    <row r="25" spans="1:6" ht="15.6">
      <c r="A25" s="742" t="s">
        <v>2106</v>
      </c>
      <c r="B25" s="163">
        <f>(Publico!B25+Domicilio!J$2)</f>
        <v>190828</v>
      </c>
      <c r="C25" s="759">
        <f t="shared" si="6"/>
        <v>31804.666666666668</v>
      </c>
      <c r="D25" s="740">
        <f t="shared" si="7"/>
        <v>63609.333333333336</v>
      </c>
      <c r="E25" s="163">
        <f>(Publico!E25+Domicilio!J$2)</f>
        <v>171770</v>
      </c>
      <c r="F25" s="466">
        <f>(Publico!F25+Domicilio!J$2)</f>
        <v>167000</v>
      </c>
    </row>
    <row r="26" spans="1:6" ht="15.6">
      <c r="A26" s="742" t="s">
        <v>1863</v>
      </c>
      <c r="B26" s="163">
        <f>(Publico!B26+Domicilio!J$2)</f>
        <v>212580</v>
      </c>
      <c r="C26" s="759">
        <f t="shared" si="6"/>
        <v>35430</v>
      </c>
      <c r="D26" s="740">
        <f t="shared" si="7"/>
        <v>70860</v>
      </c>
      <c r="E26" s="163">
        <f>(Publico!E26+Domicilio!J$2)</f>
        <v>188100</v>
      </c>
      <c r="F26" s="466">
        <f>(Publico!F26+Domicilio!J$2)</f>
        <v>182850</v>
      </c>
    </row>
    <row r="27" spans="1:6" ht="15.6">
      <c r="A27" s="742" t="s">
        <v>2107</v>
      </c>
      <c r="B27" s="163">
        <f>(Publico!B27+Domicilio!J$2)</f>
        <v>196370</v>
      </c>
      <c r="C27" s="759">
        <f t="shared" si="6"/>
        <v>32728.333333333332</v>
      </c>
      <c r="D27" s="740">
        <f t="shared" si="7"/>
        <v>65456.666666666664</v>
      </c>
      <c r="E27" s="163">
        <f>(Publico!E27+Domicilio!J$2)</f>
        <v>173830</v>
      </c>
      <c r="F27" s="466">
        <f>(Publico!F27+Domicilio!J$2)</f>
        <v>169000</v>
      </c>
    </row>
    <row r="28" spans="1:6" ht="15.6">
      <c r="A28" s="742" t="s">
        <v>2108</v>
      </c>
      <c r="B28" s="163">
        <f>(Publico!B28+Domicilio!J$2)</f>
        <v>226790</v>
      </c>
      <c r="C28" s="759">
        <f t="shared" si="6"/>
        <v>37798.333333333336</v>
      </c>
      <c r="D28" s="740">
        <f t="shared" si="7"/>
        <v>75596.666666666672</v>
      </c>
      <c r="E28" s="163">
        <f>(Publico!E28+Domicilio!J$2)</f>
        <v>200610</v>
      </c>
      <c r="F28" s="466">
        <f>(Publico!F28+Domicilio!J$2)</f>
        <v>195000</v>
      </c>
    </row>
    <row r="29" spans="1:6" ht="15.6">
      <c r="A29" s="738" t="s">
        <v>1866</v>
      </c>
      <c r="B29" s="832" t="s">
        <v>1839</v>
      </c>
      <c r="C29" s="751" t="s">
        <v>1840</v>
      </c>
      <c r="D29" s="751" t="s">
        <v>1841</v>
      </c>
      <c r="E29" s="758" t="s">
        <v>1842</v>
      </c>
      <c r="F29" s="761" t="s">
        <v>1843</v>
      </c>
    </row>
    <row r="30" spans="1:6" ht="15.6">
      <c r="A30" s="752" t="s">
        <v>1867</v>
      </c>
      <c r="B30" s="163">
        <f>(Publico!B30+Domicilio!J$2)</f>
        <v>147230</v>
      </c>
      <c r="C30" s="759">
        <f t="shared" ref="C30:C41" si="8">(B30/6)</f>
        <v>24538.333333333332</v>
      </c>
      <c r="D30" s="740">
        <f t="shared" ref="D30:D41" si="9">(B30/3)</f>
        <v>49076.666666666664</v>
      </c>
      <c r="E30" s="163">
        <f>(Publico!E30+Domicilio!J$2)</f>
        <v>130570</v>
      </c>
      <c r="F30" s="466">
        <f>(Publico!F30+Domicilio!J$2)</f>
        <v>127000</v>
      </c>
    </row>
    <row r="31" spans="1:6" ht="15.6">
      <c r="A31" s="739" t="s">
        <v>1868</v>
      </c>
      <c r="B31" s="163">
        <f>(Publico!B31+Domicilio!J$2)</f>
        <v>166250</v>
      </c>
      <c r="C31" s="759">
        <f t="shared" si="8"/>
        <v>27708.333333333332</v>
      </c>
      <c r="D31" s="740">
        <f t="shared" si="9"/>
        <v>55416.666666666664</v>
      </c>
      <c r="E31" s="163">
        <f>(Publico!E31+Domicilio!J$2)</f>
        <v>147310</v>
      </c>
      <c r="F31" s="466">
        <f>(Publico!F31+Domicilio!J$2)</f>
        <v>143250</v>
      </c>
    </row>
    <row r="32" spans="1:6" ht="15.6">
      <c r="A32" s="742" t="s">
        <v>1869</v>
      </c>
      <c r="B32" s="163">
        <f>(Publico!B32+Domicilio!J$2)</f>
        <v>169700</v>
      </c>
      <c r="C32" s="759">
        <f t="shared" si="8"/>
        <v>28283.333333333332</v>
      </c>
      <c r="D32" s="740">
        <f t="shared" si="9"/>
        <v>56566.666666666664</v>
      </c>
      <c r="E32" s="163">
        <f>(Publico!E32+Domicilio!J$2)</f>
        <v>150350</v>
      </c>
      <c r="F32" s="466">
        <f>(Publico!F32+Domicilio!J$2)</f>
        <v>146200</v>
      </c>
    </row>
    <row r="33" spans="1:6" ht="15.6">
      <c r="A33" s="742" t="s">
        <v>2109</v>
      </c>
      <c r="B33" s="163">
        <f>(Publico!B33+Domicilio!J$2)</f>
        <v>203588</v>
      </c>
      <c r="C33" s="759">
        <f t="shared" si="8"/>
        <v>33931.333333333336</v>
      </c>
      <c r="D33" s="740">
        <f t="shared" si="9"/>
        <v>67862.666666666672</v>
      </c>
      <c r="E33" s="163">
        <f>(Publico!E33+Domicilio!J$2)</f>
        <v>183100</v>
      </c>
      <c r="F33" s="466">
        <f>(Publico!F33+Domicilio!J$2)</f>
        <v>178000</v>
      </c>
    </row>
    <row r="34" spans="1:6" ht="15.6">
      <c r="A34" s="742" t="s">
        <v>1871</v>
      </c>
      <c r="B34" s="163">
        <f>(Publico!B34+Domicilio!J$2)</f>
        <v>213570</v>
      </c>
      <c r="C34" s="759">
        <f t="shared" si="8"/>
        <v>35595</v>
      </c>
      <c r="D34" s="740">
        <f t="shared" si="9"/>
        <v>71190</v>
      </c>
      <c r="E34" s="163">
        <f>(Publico!E34+Domicilio!J$2)</f>
        <v>188980</v>
      </c>
      <c r="F34" s="466">
        <f>(Publico!F34+Domicilio!J$2)</f>
        <v>183700</v>
      </c>
    </row>
    <row r="35" spans="1:6" ht="15.6">
      <c r="A35" s="742" t="s">
        <v>2110</v>
      </c>
      <c r="B35" s="163">
        <f>(Publico!B35+Domicilio!J$2)</f>
        <v>216348</v>
      </c>
      <c r="C35" s="759">
        <f t="shared" si="8"/>
        <v>36058</v>
      </c>
      <c r="D35" s="740">
        <f t="shared" si="9"/>
        <v>72116</v>
      </c>
      <c r="E35" s="163">
        <f>(Publico!E35+Domicilio!J$2)</f>
        <v>194430</v>
      </c>
      <c r="F35" s="466">
        <f>(Publico!F35+Domicilio!J$2)</f>
        <v>189000</v>
      </c>
    </row>
    <row r="36" spans="1:6" ht="15.6">
      <c r="A36" s="742" t="s">
        <v>2111</v>
      </c>
      <c r="B36" s="163">
        <f>(Publico!B36+Domicilio!J$2)</f>
        <v>218490</v>
      </c>
      <c r="C36" s="759">
        <f t="shared" si="8"/>
        <v>36415</v>
      </c>
      <c r="D36" s="740">
        <f t="shared" si="9"/>
        <v>72830</v>
      </c>
      <c r="E36" s="163">
        <f>(Publico!E36+Domicilio!J$2)</f>
        <v>193300</v>
      </c>
      <c r="F36" s="466">
        <f>(Publico!F36+Domicilio!J$2)</f>
        <v>187900</v>
      </c>
    </row>
    <row r="37" spans="1:6" ht="15.6">
      <c r="A37" s="742" t="s">
        <v>1874</v>
      </c>
      <c r="B37" s="163">
        <f>(Publico!B37+Domicilio!J$2)</f>
        <v>203750</v>
      </c>
      <c r="C37" s="759">
        <f t="shared" si="8"/>
        <v>33958.333333333336</v>
      </c>
      <c r="D37" s="740">
        <f t="shared" si="9"/>
        <v>67916.666666666672</v>
      </c>
      <c r="E37" s="163">
        <f>(Publico!E37+Domicilio!J$2)</f>
        <v>180320</v>
      </c>
      <c r="F37" s="466">
        <f>(Publico!F37+Domicilio!J$2)</f>
        <v>175300</v>
      </c>
    </row>
    <row r="38" spans="1:6" ht="15.6">
      <c r="A38" s="742" t="s">
        <v>2112</v>
      </c>
      <c r="B38" s="163">
        <f>(Publico!B38+Domicilio!J$2)</f>
        <v>223308</v>
      </c>
      <c r="C38" s="759">
        <f t="shared" si="8"/>
        <v>37218</v>
      </c>
      <c r="D38" s="740">
        <f t="shared" si="9"/>
        <v>74436</v>
      </c>
      <c r="E38" s="163">
        <f>(Publico!E38+Domicilio!J$2)</f>
        <v>200610</v>
      </c>
      <c r="F38" s="466">
        <f>(Publico!F38+Domicilio!J$2)</f>
        <v>195000</v>
      </c>
    </row>
    <row r="39" spans="1:6" ht="15.6">
      <c r="A39" s="742" t="s">
        <v>1876</v>
      </c>
      <c r="B39" s="163">
        <f>(Publico!B39+Domicilio!J$2)</f>
        <v>261720</v>
      </c>
      <c r="C39" s="759">
        <f t="shared" si="8"/>
        <v>43620</v>
      </c>
      <c r="D39" s="740">
        <f t="shared" si="9"/>
        <v>87240</v>
      </c>
      <c r="E39" s="163">
        <f>(Publico!E39+Domicilio!J$2)</f>
        <v>231360</v>
      </c>
      <c r="F39" s="466">
        <f>(Publico!F39+Domicilio!J$2)</f>
        <v>224850</v>
      </c>
    </row>
    <row r="40" spans="1:6" ht="15.6">
      <c r="A40" s="742" t="s">
        <v>2113</v>
      </c>
      <c r="B40" s="163">
        <f>(Publico!B40+Domicilio!J$2)</f>
        <v>238490</v>
      </c>
      <c r="C40" s="759">
        <f t="shared" si="8"/>
        <v>39748.333333333336</v>
      </c>
      <c r="D40" s="740">
        <f t="shared" si="9"/>
        <v>79496.666666666672</v>
      </c>
      <c r="E40" s="163">
        <f>(Publico!E40+Domicilio!J$2)</f>
        <v>210910</v>
      </c>
      <c r="F40" s="466">
        <f>(Publico!F40+Domicilio!J$2)</f>
        <v>205000</v>
      </c>
    </row>
    <row r="41" spans="1:6" ht="15.6">
      <c r="A41" s="742" t="s">
        <v>2114</v>
      </c>
      <c r="B41" s="163">
        <f>(Publico!B41+Domicilio!J$2)</f>
        <v>249988</v>
      </c>
      <c r="C41" s="759">
        <f t="shared" si="8"/>
        <v>41664.666666666664</v>
      </c>
      <c r="D41" s="740">
        <f t="shared" si="9"/>
        <v>83329.333333333328</v>
      </c>
      <c r="E41" s="163">
        <f>(Publico!E41+Domicilio!J$2)</f>
        <v>224300</v>
      </c>
      <c r="F41" s="466">
        <f>(Publico!F41+Domicilio!J$2)</f>
        <v>218000</v>
      </c>
    </row>
    <row r="42" spans="1:6" ht="15.6">
      <c r="A42" s="738" t="s">
        <v>1879</v>
      </c>
      <c r="B42" s="832" t="s">
        <v>1839</v>
      </c>
      <c r="C42" s="751" t="s">
        <v>1840</v>
      </c>
      <c r="D42" s="751" t="s">
        <v>1841</v>
      </c>
      <c r="E42" s="758" t="s">
        <v>1842</v>
      </c>
      <c r="F42" s="761" t="s">
        <v>1843</v>
      </c>
    </row>
    <row r="43" spans="1:6" ht="15.6">
      <c r="A43" s="742" t="s">
        <v>1880</v>
      </c>
      <c r="B43" s="163">
        <f>(Publico!B43+Domicilio!J$2)</f>
        <v>272310</v>
      </c>
      <c r="C43" s="759">
        <f t="shared" ref="C43:C46" si="10">(B43/6)</f>
        <v>45385</v>
      </c>
      <c r="D43" s="740">
        <f t="shared" ref="D43:D46" si="11">(B43/3)</f>
        <v>90770</v>
      </c>
      <c r="E43" s="163">
        <f>(Publico!E43+Domicilio!J$2)</f>
        <v>240680</v>
      </c>
      <c r="F43" s="466">
        <f>(Publico!F43+Domicilio!J$2)</f>
        <v>233900</v>
      </c>
    </row>
    <row r="44" spans="1:6" ht="15.6">
      <c r="A44" s="739" t="s">
        <v>2115</v>
      </c>
      <c r="B44" s="163">
        <f>(Publico!B44+Domicilio!J$2)</f>
        <v>338668</v>
      </c>
      <c r="C44" s="759">
        <f t="shared" si="10"/>
        <v>56444.666666666664</v>
      </c>
      <c r="D44" s="740">
        <f t="shared" si="11"/>
        <v>112889.33333333333</v>
      </c>
      <c r="E44" s="163">
        <f>(Publico!E44+Domicilio!J$2)</f>
        <v>303610</v>
      </c>
      <c r="F44" s="466">
        <f>(Publico!F44+Domicilio!J$2)</f>
        <v>295000</v>
      </c>
    </row>
    <row r="45" spans="1:6" ht="15.6">
      <c r="A45" s="742" t="s">
        <v>2116</v>
      </c>
      <c r="B45" s="163">
        <f>(Publico!B45+Domicilio!J$2)</f>
        <v>344960</v>
      </c>
      <c r="C45" s="759">
        <f t="shared" si="10"/>
        <v>57493.333333333336</v>
      </c>
      <c r="D45" s="740">
        <f t="shared" si="11"/>
        <v>114986.66666666667</v>
      </c>
      <c r="E45" s="163">
        <f>(Publico!E45+Domicilio!J$2)</f>
        <v>304640</v>
      </c>
      <c r="F45" s="466">
        <f>(Publico!F45+Domicilio!J$2)</f>
        <v>296000</v>
      </c>
    </row>
    <row r="46" spans="1:6" ht="15.6">
      <c r="A46" s="742" t="s">
        <v>1883</v>
      </c>
      <c r="B46" s="163">
        <f>(Publico!B46+Domicilio!J$2)</f>
        <v>358540</v>
      </c>
      <c r="C46" s="759">
        <f t="shared" si="10"/>
        <v>59756.666666666664</v>
      </c>
      <c r="D46" s="740">
        <f t="shared" si="11"/>
        <v>119513.33333333333</v>
      </c>
      <c r="E46" s="163">
        <f>(Publico!E46+Domicilio!J$2)</f>
        <v>316590</v>
      </c>
      <c r="F46" s="466">
        <f>(Publico!F46+Domicilio!J$2)</f>
        <v>307600</v>
      </c>
    </row>
    <row r="47" spans="1:6" ht="15.6">
      <c r="A47" s="738" t="s">
        <v>1884</v>
      </c>
      <c r="B47" s="832" t="s">
        <v>1839</v>
      </c>
      <c r="C47" s="751" t="s">
        <v>1840</v>
      </c>
      <c r="D47" s="751" t="s">
        <v>1841</v>
      </c>
      <c r="E47" s="758" t="s">
        <v>1842</v>
      </c>
      <c r="F47" s="761" t="s">
        <v>1843</v>
      </c>
    </row>
    <row r="48" spans="1:6" ht="15.6">
      <c r="A48" s="862" t="s">
        <v>2117</v>
      </c>
      <c r="B48" s="163">
        <f>(Publico!B48+Domicilio!J$2)</f>
        <v>265400</v>
      </c>
      <c r="C48" s="759">
        <f t="shared" ref="C48:C50" si="12">(B48/6)</f>
        <v>44233.333333333336</v>
      </c>
      <c r="D48" s="740">
        <f t="shared" ref="D48:D50" si="13">(B48/3)</f>
        <v>88466.666666666672</v>
      </c>
      <c r="E48" s="163">
        <f>(Publico!E48+Domicilio!J$2)</f>
        <v>234600</v>
      </c>
      <c r="F48" s="466">
        <f>(Publico!F48+Domicilio!J$2)</f>
        <v>228000</v>
      </c>
    </row>
    <row r="49" spans="1:7" ht="15.6">
      <c r="A49" s="739" t="s">
        <v>2118</v>
      </c>
      <c r="B49" s="163">
        <f>(Publico!B49+Domicilio!J$2)</f>
        <v>294588</v>
      </c>
      <c r="C49" s="759">
        <f t="shared" si="12"/>
        <v>49098</v>
      </c>
      <c r="D49" s="740">
        <f t="shared" si="13"/>
        <v>98196</v>
      </c>
      <c r="E49" s="163">
        <f>(Publico!E49+Domicilio!J$2)</f>
        <v>264470</v>
      </c>
      <c r="F49" s="466">
        <f>(Publico!F49+Domicilio!J$2)</f>
        <v>257000</v>
      </c>
      <c r="G49" s="921"/>
    </row>
    <row r="50" spans="1:7" ht="15.6">
      <c r="A50" s="753" t="s">
        <v>2119</v>
      </c>
      <c r="B50" s="163">
        <f>(Publico!B50+Domicilio!J$2)</f>
        <v>305180</v>
      </c>
      <c r="C50" s="759">
        <f t="shared" si="12"/>
        <v>50863.333333333336</v>
      </c>
      <c r="D50" s="740">
        <f t="shared" si="13"/>
        <v>101726.66666666667</v>
      </c>
      <c r="E50" s="163">
        <f>(Publico!E50+Domicilio!J$2)</f>
        <v>269620</v>
      </c>
      <c r="F50" s="466">
        <f>(Publico!F50+Domicilio!J$2)</f>
        <v>262000</v>
      </c>
      <c r="G50" s="921"/>
    </row>
    <row r="51" spans="1:7" ht="15.6">
      <c r="A51" s="743" t="s">
        <v>1888</v>
      </c>
      <c r="B51" s="832" t="s">
        <v>1839</v>
      </c>
      <c r="C51" s="751" t="s">
        <v>1840</v>
      </c>
      <c r="D51" s="751" t="s">
        <v>1841</v>
      </c>
      <c r="E51" s="758" t="s">
        <v>1842</v>
      </c>
      <c r="F51" s="761" t="s">
        <v>1843</v>
      </c>
      <c r="G51" s="921"/>
    </row>
    <row r="52" spans="1:7" ht="15.6">
      <c r="A52" s="742" t="s">
        <v>2120</v>
      </c>
      <c r="B52" s="163">
        <f>(Publico!B52+Domicilio!J$2)</f>
        <v>287630</v>
      </c>
      <c r="C52" s="759">
        <f t="shared" ref="C52:C59" si="14">(B52/6)</f>
        <v>47938.333333333336</v>
      </c>
      <c r="D52" s="740">
        <f t="shared" ref="D52:D59" si="15">(B52/3)</f>
        <v>95876.666666666672</v>
      </c>
      <c r="E52" s="163">
        <f>(Publico!E52+Domicilio!J$2)</f>
        <v>254170</v>
      </c>
      <c r="F52" s="466">
        <f>(Publico!F52+Domicilio!J$2)</f>
        <v>247000</v>
      </c>
      <c r="G52" s="921"/>
    </row>
    <row r="53" spans="1:7" ht="15.6">
      <c r="A53" s="744" t="s">
        <v>2121</v>
      </c>
      <c r="B53" s="163">
        <f>(Publico!B53+Domicilio!J$2)</f>
        <v>283628</v>
      </c>
      <c r="C53" s="759">
        <f t="shared" si="14"/>
        <v>47271.333333333336</v>
      </c>
      <c r="D53" s="740">
        <f t="shared" si="15"/>
        <v>94542.666666666672</v>
      </c>
      <c r="E53" s="163">
        <f>(Publico!E53+Domicilio!J$2)</f>
        <v>254170</v>
      </c>
      <c r="F53" s="466">
        <f>(Publico!F53+Domicilio!J$2)</f>
        <v>247000</v>
      </c>
      <c r="G53" s="921"/>
    </row>
    <row r="54" spans="1:7" ht="15.6">
      <c r="A54" s="744" t="s">
        <v>1891</v>
      </c>
      <c r="B54" s="163">
        <f>(Publico!B54+Domicilio!J$2)</f>
        <v>291140</v>
      </c>
      <c r="C54" s="759">
        <f t="shared" si="14"/>
        <v>48523.333333333336</v>
      </c>
      <c r="D54" s="740">
        <f t="shared" si="15"/>
        <v>97046.666666666672</v>
      </c>
      <c r="E54" s="163">
        <f>(Publico!E54+Domicilio!J$2)</f>
        <v>257260</v>
      </c>
      <c r="F54" s="466">
        <f>(Publico!F54+Domicilio!J$2)</f>
        <v>250000</v>
      </c>
      <c r="G54" s="921"/>
    </row>
    <row r="55" spans="1:7" ht="15.6">
      <c r="A55" s="742" t="s">
        <v>2122</v>
      </c>
      <c r="B55" s="163">
        <f>(Publico!B55+Domicilio!J$2)</f>
        <v>347300</v>
      </c>
      <c r="C55" s="759">
        <f t="shared" si="14"/>
        <v>57883.333333333336</v>
      </c>
      <c r="D55" s="740">
        <f t="shared" si="15"/>
        <v>115766.66666666667</v>
      </c>
      <c r="E55" s="163">
        <f>(Publico!E55+Domicilio!J$2)</f>
        <v>306700</v>
      </c>
      <c r="F55" s="466">
        <f>(Publico!F55+Domicilio!J$2)</f>
        <v>298000</v>
      </c>
      <c r="G55" s="921"/>
    </row>
    <row r="56" spans="1:7" ht="15.6">
      <c r="A56" s="742" t="s">
        <v>2123</v>
      </c>
      <c r="B56" s="163">
        <f>(Publico!B56+Domicilio!J$2)</f>
        <v>355548</v>
      </c>
      <c r="C56" s="759">
        <f t="shared" si="14"/>
        <v>59258</v>
      </c>
      <c r="D56" s="740">
        <f t="shared" si="15"/>
        <v>118516</v>
      </c>
      <c r="E56" s="163">
        <f>(Publico!E56+Domicilio!J$2)</f>
        <v>318030</v>
      </c>
      <c r="F56" s="466">
        <f>(Publico!F56+Domicilio!J$2)</f>
        <v>309000</v>
      </c>
      <c r="G56" s="921"/>
    </row>
    <row r="57" spans="1:7" ht="15.6">
      <c r="A57" s="742" t="s">
        <v>1894</v>
      </c>
      <c r="B57" s="163">
        <f>(Publico!B57+Domicilio!J$2)</f>
        <v>347300</v>
      </c>
      <c r="C57" s="759">
        <f t="shared" si="14"/>
        <v>57883.333333333336</v>
      </c>
      <c r="D57" s="740">
        <f t="shared" si="15"/>
        <v>115766.66666666667</v>
      </c>
      <c r="E57" s="163">
        <f>(Publico!E57+Domicilio!J$2)</f>
        <v>306700</v>
      </c>
      <c r="F57" s="466">
        <f>(Publico!F57+Domicilio!J$2)</f>
        <v>298000</v>
      </c>
      <c r="G57" s="921"/>
    </row>
    <row r="58" spans="1:7" ht="15.6">
      <c r="A58" s="742" t="s">
        <v>2124</v>
      </c>
      <c r="B58" s="163">
        <f>(Publico!B58+Domicilio!J$2)</f>
        <v>443708</v>
      </c>
      <c r="C58" s="759">
        <f t="shared" si="14"/>
        <v>73951.333333333328</v>
      </c>
      <c r="D58" s="740">
        <f t="shared" si="15"/>
        <v>147902.66666666666</v>
      </c>
      <c r="E58" s="163">
        <f>(Publico!E58+Domicilio!J$2)</f>
        <v>396310</v>
      </c>
      <c r="F58" s="466">
        <f>(Publico!F58+Domicilio!J$2)</f>
        <v>385000</v>
      </c>
      <c r="G58" s="921"/>
    </row>
    <row r="59" spans="1:7" ht="16.2" thickBot="1">
      <c r="A59" s="745" t="s">
        <v>2125</v>
      </c>
      <c r="B59" s="366">
        <f>(Publico!B59+Domicilio!J$2)</f>
        <v>550428</v>
      </c>
      <c r="C59" s="760">
        <f t="shared" si="14"/>
        <v>91738</v>
      </c>
      <c r="D59" s="746">
        <f t="shared" si="15"/>
        <v>183476</v>
      </c>
      <c r="E59" s="366">
        <f>(Publico!E59+Domicilio!J$2)</f>
        <v>491070</v>
      </c>
      <c r="F59" s="762">
        <f>(Publico!F59+Domicilio!J$2)</f>
        <v>477000</v>
      </c>
      <c r="G59" s="171"/>
    </row>
    <row r="60" spans="1:7" ht="15.6">
      <c r="A60" s="170"/>
      <c r="B60" s="171"/>
      <c r="C60" s="171"/>
      <c r="D60" s="171"/>
      <c r="E60" s="171"/>
      <c r="F60" s="171"/>
      <c r="G60" s="171"/>
    </row>
    <row r="61" spans="1:7" ht="15.6">
      <c r="A61" s="170"/>
      <c r="B61" s="171"/>
      <c r="C61" s="171"/>
      <c r="D61" s="171"/>
      <c r="E61" s="171"/>
      <c r="F61" s="171"/>
      <c r="G61" s="171"/>
    </row>
    <row r="62" spans="1:7" ht="15.6">
      <c r="A62" s="170"/>
      <c r="B62" s="171"/>
      <c r="C62" s="171"/>
      <c r="D62" s="171"/>
      <c r="E62" s="171"/>
      <c r="F62" s="171"/>
      <c r="G62" s="171"/>
    </row>
    <row r="63" spans="1:7" ht="15.6">
      <c r="A63" s="170"/>
      <c r="B63" s="171"/>
      <c r="C63" s="171"/>
      <c r="D63" s="171"/>
      <c r="E63" s="171"/>
      <c r="F63" s="171"/>
      <c r="G63" s="171"/>
    </row>
    <row r="64" spans="1:7" ht="15.6">
      <c r="A64" s="170"/>
      <c r="B64" s="171"/>
      <c r="C64" s="171"/>
      <c r="D64" s="171"/>
      <c r="E64" s="171"/>
      <c r="F64" s="171"/>
      <c r="G64" s="171"/>
    </row>
    <row r="65" spans="1:7" ht="15.6">
      <c r="A65" s="170"/>
      <c r="B65" s="171"/>
      <c r="C65" s="171"/>
      <c r="D65" s="171"/>
      <c r="E65" s="171"/>
      <c r="F65" s="171"/>
      <c r="G65" s="171"/>
    </row>
    <row r="66" spans="1:7" ht="15.6">
      <c r="A66" s="170"/>
      <c r="B66" s="171"/>
      <c r="C66" s="171"/>
      <c r="D66" s="171"/>
      <c r="E66" s="171"/>
      <c r="F66" s="171"/>
      <c r="G66" s="171"/>
    </row>
    <row r="67" spans="1:7" ht="15.6">
      <c r="A67" s="170"/>
      <c r="B67" s="171"/>
      <c r="C67" s="171"/>
      <c r="D67" s="171"/>
      <c r="E67" s="171"/>
      <c r="F67" s="171"/>
      <c r="G67" s="171"/>
    </row>
    <row r="68" spans="1:7" ht="15.6">
      <c r="A68" s="170"/>
      <c r="B68" s="171"/>
      <c r="C68" s="171"/>
      <c r="D68" s="171"/>
      <c r="E68" s="171"/>
      <c r="F68" s="171"/>
      <c r="G68" s="171"/>
    </row>
    <row r="69" spans="1:7" ht="15.6">
      <c r="A69" s="170"/>
      <c r="B69" s="171"/>
      <c r="C69" s="171"/>
      <c r="D69" s="171"/>
      <c r="E69" s="171"/>
      <c r="F69" s="171"/>
      <c r="G69" s="171"/>
    </row>
    <row r="70" spans="1:7" ht="15.6">
      <c r="A70" s="170"/>
      <c r="B70" s="171"/>
      <c r="C70" s="171"/>
      <c r="D70" s="171"/>
      <c r="E70" s="171"/>
      <c r="F70" s="171"/>
      <c r="G70" s="171"/>
    </row>
    <row r="71" spans="1:7" ht="15.6">
      <c r="A71" s="170"/>
      <c r="B71" s="171"/>
      <c r="C71" s="171"/>
      <c r="D71" s="171"/>
      <c r="E71" s="171"/>
      <c r="F71" s="171"/>
      <c r="G71" s="171"/>
    </row>
    <row r="72" spans="1:7" ht="15.6">
      <c r="A72" s="170"/>
      <c r="B72" s="171"/>
      <c r="C72" s="171"/>
      <c r="D72" s="171"/>
      <c r="E72" s="171"/>
      <c r="F72" s="171"/>
      <c r="G72" s="171"/>
    </row>
    <row r="73" spans="1:7" ht="15.6">
      <c r="A73" s="170"/>
      <c r="B73" s="171"/>
      <c r="C73" s="171"/>
      <c r="D73" s="171"/>
      <c r="E73" s="171"/>
      <c r="F73" s="171"/>
      <c r="G73" s="171"/>
    </row>
    <row r="74" spans="1:7" ht="15.6">
      <c r="A74" s="170"/>
      <c r="B74" s="171"/>
      <c r="C74" s="171"/>
      <c r="D74" s="171"/>
      <c r="E74" s="171"/>
      <c r="F74" s="171"/>
      <c r="G74" s="171"/>
    </row>
    <row r="75" spans="1:7" ht="15.6">
      <c r="A75" s="170"/>
      <c r="B75" s="171"/>
      <c r="C75" s="171"/>
      <c r="D75" s="171"/>
      <c r="E75" s="171"/>
      <c r="F75" s="171"/>
      <c r="G75" s="171"/>
    </row>
    <row r="76" spans="1:7" ht="15.6">
      <c r="A76" s="170"/>
      <c r="B76" s="171"/>
      <c r="C76" s="171"/>
      <c r="D76" s="171"/>
      <c r="E76" s="171"/>
      <c r="F76" s="171"/>
      <c r="G76" s="171"/>
    </row>
    <row r="77" spans="1:7" ht="15.6">
      <c r="A77" s="170"/>
      <c r="B77" s="171"/>
      <c r="C77" s="171"/>
      <c r="D77" s="171"/>
      <c r="E77" s="171"/>
      <c r="F77" s="171"/>
      <c r="G77" s="171"/>
    </row>
    <row r="78" spans="1:7" ht="15.6">
      <c r="A78" s="170"/>
      <c r="B78" s="171"/>
      <c r="C78" s="171"/>
      <c r="D78" s="171"/>
      <c r="E78" s="171"/>
      <c r="F78" s="171"/>
      <c r="G78" s="171"/>
    </row>
    <row r="79" spans="1:7" ht="15.6">
      <c r="A79" s="170"/>
      <c r="B79" s="171"/>
      <c r="C79" s="171"/>
      <c r="D79" s="171"/>
      <c r="E79" s="171"/>
      <c r="F79" s="171"/>
      <c r="G79" s="171"/>
    </row>
    <row r="80" spans="1:7" ht="15.6">
      <c r="A80" s="170"/>
      <c r="B80" s="171"/>
      <c r="C80" s="171"/>
      <c r="D80" s="171"/>
      <c r="E80" s="171"/>
      <c r="F80" s="171"/>
      <c r="G80" s="171"/>
    </row>
    <row r="81" spans="1:7" ht="15.6">
      <c r="A81" s="170"/>
      <c r="B81" s="171"/>
      <c r="C81" s="171"/>
      <c r="D81" s="171"/>
      <c r="E81" s="171"/>
      <c r="F81" s="171"/>
      <c r="G81" s="171"/>
    </row>
    <row r="82" spans="1:7" ht="15.6">
      <c r="A82" s="170"/>
      <c r="B82" s="171"/>
      <c r="C82" s="171"/>
      <c r="D82" s="171"/>
      <c r="E82" s="171"/>
      <c r="F82" s="171"/>
      <c r="G82" s="171"/>
    </row>
    <row r="83" spans="1:7" ht="16.2" thickBot="1">
      <c r="A83" s="105" t="s">
        <v>1833</v>
      </c>
      <c r="B83" s="171"/>
      <c r="C83" s="171"/>
      <c r="D83" s="171"/>
      <c r="E83" s="171"/>
      <c r="F83" s="171"/>
      <c r="G83" s="171"/>
    </row>
    <row r="84" spans="1:7" ht="16.2" thickBot="1">
      <c r="A84" s="105" t="s">
        <v>1836</v>
      </c>
      <c r="B84" s="1009" t="s">
        <v>1834</v>
      </c>
      <c r="C84" s="1010"/>
      <c r="D84" s="1011"/>
      <c r="E84" s="201" t="s">
        <v>1897</v>
      </c>
      <c r="F84" s="201"/>
      <c r="G84" s="171"/>
    </row>
    <row r="85" spans="1:7" ht="16.2" thickBot="1">
      <c r="A85" s="178" t="s">
        <v>24</v>
      </c>
      <c r="B85" s="367" t="s">
        <v>25</v>
      </c>
      <c r="C85" s="453"/>
      <c r="D85" s="454">
        <v>10000</v>
      </c>
      <c r="E85" s="921"/>
      <c r="F85" s="921"/>
      <c r="G85" s="172"/>
    </row>
    <row r="86" spans="1:7" ht="16.2" thickBot="1">
      <c r="A86" s="185"/>
      <c r="B86" s="501" t="s">
        <v>27</v>
      </c>
      <c r="C86" s="183"/>
      <c r="D86" s="184">
        <v>14000</v>
      </c>
      <c r="E86" s="160"/>
      <c r="F86" s="160"/>
      <c r="G86" s="172"/>
    </row>
    <row r="87" spans="1:7" ht="16.2" thickBot="1">
      <c r="A87" s="88"/>
      <c r="B87" s="176" t="s">
        <v>29</v>
      </c>
      <c r="C87" s="333"/>
      <c r="D87" s="177">
        <v>19000</v>
      </c>
      <c r="E87" s="853"/>
      <c r="F87" s="854"/>
      <c r="G87" s="172"/>
    </row>
    <row r="88" spans="1:7" ht="16.2" thickBot="1">
      <c r="A88" s="737">
        <v>45768</v>
      </c>
      <c r="B88" s="1012" t="s">
        <v>1837</v>
      </c>
      <c r="C88" s="1013"/>
      <c r="D88" s="1013"/>
      <c r="E88" s="839"/>
      <c r="F88" s="972"/>
      <c r="G88" s="172"/>
    </row>
    <row r="89" spans="1:7" ht="15.6">
      <c r="A89" s="738" t="s">
        <v>1898</v>
      </c>
      <c r="B89" s="832" t="s">
        <v>1839</v>
      </c>
      <c r="C89" s="751" t="s">
        <v>1840</v>
      </c>
      <c r="D89" s="751" t="s">
        <v>1841</v>
      </c>
      <c r="E89" s="758" t="s">
        <v>1842</v>
      </c>
      <c r="F89" s="769" t="s">
        <v>1843</v>
      </c>
      <c r="G89" s="921"/>
    </row>
    <row r="90" spans="1:7" ht="15.6">
      <c r="A90" s="742" t="s">
        <v>1899</v>
      </c>
      <c r="B90" s="163">
        <f>(Publico!B69+Domicilio!J$2)</f>
        <v>162210</v>
      </c>
      <c r="C90" s="759">
        <f t="shared" ref="C90:C100" si="16">(B90/6)</f>
        <v>27035</v>
      </c>
      <c r="D90" s="740">
        <f t="shared" ref="D90:D100" si="17">(B90/3)</f>
        <v>54070</v>
      </c>
      <c r="E90" s="163">
        <f>(Publico!E69+Domicilio!J$2)</f>
        <v>143760</v>
      </c>
      <c r="F90" s="466">
        <f>(Publico!F69+Domicilio!J$2)</f>
        <v>139800</v>
      </c>
      <c r="G90" s="921"/>
    </row>
    <row r="91" spans="1:7" ht="15.6">
      <c r="A91" s="742" t="s">
        <v>2126</v>
      </c>
      <c r="B91" s="163">
        <f>(Publico!B70+Domicilio!J$2)</f>
        <v>158348</v>
      </c>
      <c r="C91" s="759">
        <f t="shared" si="16"/>
        <v>26391.333333333332</v>
      </c>
      <c r="D91" s="740">
        <f t="shared" si="17"/>
        <v>52782.666666666664</v>
      </c>
      <c r="E91" s="163">
        <f>(Publico!E70+Domicilio!J$2)</f>
        <v>142930</v>
      </c>
      <c r="F91" s="466">
        <f>(Publico!F70+Domicilio!J$2)</f>
        <v>139000</v>
      </c>
      <c r="G91" s="921"/>
    </row>
    <row r="92" spans="1:7" ht="15.6">
      <c r="A92" s="742" t="s">
        <v>2127</v>
      </c>
      <c r="B92" s="163">
        <f>(Publico!B71+Domicilio!J$2)</f>
        <v>162440</v>
      </c>
      <c r="C92" s="759">
        <f t="shared" si="16"/>
        <v>27073.333333333332</v>
      </c>
      <c r="D92" s="740">
        <f t="shared" si="17"/>
        <v>54146.666666666664</v>
      </c>
      <c r="E92" s="163">
        <f>(Publico!E71+Domicilio!J$2)</f>
        <v>143960</v>
      </c>
      <c r="F92" s="466">
        <f>(Publico!F71+Domicilio!J$2)</f>
        <v>140000</v>
      </c>
      <c r="G92" s="921"/>
    </row>
    <row r="93" spans="1:7" ht="15.6">
      <c r="A93" s="742" t="s">
        <v>1902</v>
      </c>
      <c r="B93" s="163">
        <f>(Publico!B72+Domicilio!J$2)</f>
        <v>186660</v>
      </c>
      <c r="C93" s="759">
        <f t="shared" si="16"/>
        <v>31110</v>
      </c>
      <c r="D93" s="740">
        <f t="shared" si="17"/>
        <v>62220</v>
      </c>
      <c r="E93" s="163">
        <f>(Publico!E72+Domicilio!J$2)</f>
        <v>165290</v>
      </c>
      <c r="F93" s="466">
        <f>(Publico!F72+Domicilio!J$2)</f>
        <v>160700</v>
      </c>
      <c r="G93" s="921"/>
    </row>
    <row r="94" spans="1:7" ht="15.6">
      <c r="A94" s="742" t="s">
        <v>2128</v>
      </c>
      <c r="B94" s="163">
        <f>(Publico!B73+Domicilio!J$2)</f>
        <v>176908</v>
      </c>
      <c r="C94" s="759">
        <f t="shared" si="16"/>
        <v>29484.666666666668</v>
      </c>
      <c r="D94" s="740">
        <f t="shared" si="17"/>
        <v>58969.333333333336</v>
      </c>
      <c r="E94" s="163">
        <f>(Publico!E73+Domicilio!J$2)</f>
        <v>159410</v>
      </c>
      <c r="F94" s="466">
        <f>(Publico!F73+Domicilio!J$2)</f>
        <v>155000</v>
      </c>
      <c r="G94" s="921"/>
    </row>
    <row r="95" spans="1:7" ht="15.6">
      <c r="A95" s="742" t="s">
        <v>2129</v>
      </c>
      <c r="B95" s="163">
        <f>(Publico!B74+Domicilio!J$2)</f>
        <v>172970</v>
      </c>
      <c r="C95" s="759">
        <f t="shared" si="16"/>
        <v>28828.333333333332</v>
      </c>
      <c r="D95" s="740">
        <f t="shared" si="17"/>
        <v>57656.666666666664</v>
      </c>
      <c r="E95" s="163">
        <f>(Publico!E74+Domicilio!J$2)</f>
        <v>153230</v>
      </c>
      <c r="F95" s="466">
        <f>(Publico!F74+Domicilio!J$2)</f>
        <v>149000</v>
      </c>
      <c r="G95" s="921"/>
    </row>
    <row r="96" spans="1:7" ht="15.6">
      <c r="A96" s="742" t="s">
        <v>2130</v>
      </c>
      <c r="B96" s="163">
        <f>(Publico!B75+Domicilio!J$2)</f>
        <v>243548</v>
      </c>
      <c r="C96" s="759">
        <f t="shared" si="16"/>
        <v>40591.333333333336</v>
      </c>
      <c r="D96" s="740">
        <f t="shared" si="17"/>
        <v>81182.666666666672</v>
      </c>
      <c r="E96" s="163">
        <f>(Publico!E75+Domicilio!J$2)</f>
        <v>219150</v>
      </c>
      <c r="F96" s="466">
        <f>(Publico!F75+Domicilio!J$2)</f>
        <v>213000</v>
      </c>
      <c r="G96" s="921"/>
    </row>
    <row r="97" spans="1:6" ht="15.6">
      <c r="A97" s="742" t="s">
        <v>2131</v>
      </c>
      <c r="B97" s="163">
        <f>(Publico!B76+Domicilio!J$2)</f>
        <v>237320</v>
      </c>
      <c r="C97" s="759">
        <f t="shared" si="16"/>
        <v>39553.333333333336</v>
      </c>
      <c r="D97" s="740">
        <f t="shared" si="17"/>
        <v>79106.666666666672</v>
      </c>
      <c r="E97" s="163">
        <f>(Publico!E76+Domicilio!J$2)</f>
        <v>209880</v>
      </c>
      <c r="F97" s="466">
        <f>(Publico!F76+Domicilio!J$2)</f>
        <v>204000</v>
      </c>
    </row>
    <row r="98" spans="1:6" ht="15.6">
      <c r="A98" s="753" t="s">
        <v>2132</v>
      </c>
      <c r="B98" s="163">
        <f>(Publico!B77+Domicilio!J$2)</f>
        <v>291108</v>
      </c>
      <c r="C98" s="759">
        <f t="shared" si="16"/>
        <v>48518</v>
      </c>
      <c r="D98" s="740">
        <f t="shared" si="17"/>
        <v>97036</v>
      </c>
      <c r="E98" s="163">
        <f>(Publico!E77+Domicilio!J$2)</f>
        <v>261380</v>
      </c>
      <c r="F98" s="466">
        <f>(Publico!F77+Domicilio!J$2)</f>
        <v>254000</v>
      </c>
    </row>
    <row r="99" spans="1:6" ht="15.6">
      <c r="A99" s="742" t="s">
        <v>2133</v>
      </c>
      <c r="B99" s="163">
        <f>(Publico!B78+Domicilio!J$2)</f>
        <v>302840</v>
      </c>
      <c r="C99" s="759">
        <f t="shared" si="16"/>
        <v>50473.333333333336</v>
      </c>
      <c r="D99" s="740">
        <f t="shared" si="17"/>
        <v>100946.66666666667</v>
      </c>
      <c r="E99" s="163">
        <f>(Publico!E78+Domicilio!J$2)</f>
        <v>267560</v>
      </c>
      <c r="F99" s="466">
        <f>(Publico!F78+Domicilio!J$2)</f>
        <v>260000</v>
      </c>
    </row>
    <row r="100" spans="1:6" ht="15.6">
      <c r="A100" s="753" t="s">
        <v>2134</v>
      </c>
      <c r="B100" s="163">
        <f>(Publico!B79+Domicilio!J$2)</f>
        <v>295820</v>
      </c>
      <c r="C100" s="759">
        <f t="shared" si="16"/>
        <v>49303.333333333336</v>
      </c>
      <c r="D100" s="740">
        <f t="shared" si="17"/>
        <v>98606.666666666672</v>
      </c>
      <c r="E100" s="163">
        <f>(Publico!E79+Domicilio!J$2)</f>
        <v>261380</v>
      </c>
      <c r="F100" s="466">
        <f>(Publico!F79+Domicilio!J$2)</f>
        <v>254000</v>
      </c>
    </row>
    <row r="101" spans="1:6" ht="15.6">
      <c r="A101" s="738" t="s">
        <v>1910</v>
      </c>
      <c r="B101" s="832" t="s">
        <v>1839</v>
      </c>
      <c r="C101" s="751" t="s">
        <v>1840</v>
      </c>
      <c r="D101" s="751" t="s">
        <v>1841</v>
      </c>
      <c r="E101" s="758" t="s">
        <v>1842</v>
      </c>
      <c r="F101" s="761" t="s">
        <v>1843</v>
      </c>
    </row>
    <row r="102" spans="1:6" ht="15.6">
      <c r="A102" s="752" t="s">
        <v>2135</v>
      </c>
      <c r="B102" s="163">
        <f>(Publico!B81+Domicilio!J$2)</f>
        <v>403988</v>
      </c>
      <c r="C102" s="759">
        <f t="shared" ref="C102:C103" si="18">(B102/6)</f>
        <v>67331.333333333328</v>
      </c>
      <c r="D102" s="740">
        <f t="shared" ref="D102:D103" si="19">(B102/3)</f>
        <v>134662.66666666666</v>
      </c>
      <c r="E102" s="163">
        <f>(Publico!E81+Domicilio!J$2)</f>
        <v>362320</v>
      </c>
      <c r="F102" s="466">
        <f>(Publico!F81+Domicilio!J$2)</f>
        <v>352000</v>
      </c>
    </row>
    <row r="103" spans="1:6" ht="15.6">
      <c r="A103" s="752" t="s">
        <v>2136</v>
      </c>
      <c r="B103" s="163">
        <f>(Publico!B82+Domicilio!J$2)</f>
        <v>418670</v>
      </c>
      <c r="C103" s="759">
        <f t="shared" si="18"/>
        <v>69778.333333333328</v>
      </c>
      <c r="D103" s="740">
        <f t="shared" si="19"/>
        <v>139556.66666666666</v>
      </c>
      <c r="E103" s="163">
        <f>(Publico!E82+Domicilio!J$2)</f>
        <v>369530</v>
      </c>
      <c r="F103" s="466">
        <f>(Publico!F82+Domicilio!J$2)</f>
        <v>359000</v>
      </c>
    </row>
    <row r="104" spans="1:6" ht="15.6">
      <c r="A104" s="738" t="s">
        <v>1913</v>
      </c>
      <c r="B104" s="832" t="s">
        <v>1839</v>
      </c>
      <c r="C104" s="751" t="s">
        <v>1840</v>
      </c>
      <c r="D104" s="751" t="s">
        <v>1841</v>
      </c>
      <c r="E104" s="758" t="s">
        <v>1842</v>
      </c>
      <c r="F104" s="761" t="s">
        <v>1843</v>
      </c>
    </row>
    <row r="105" spans="1:6" ht="15.6">
      <c r="A105" s="752" t="s">
        <v>1914</v>
      </c>
      <c r="B105" s="163">
        <f>(Publico!B84+Domicilio!J$2)</f>
        <v>376730</v>
      </c>
      <c r="C105" s="759">
        <f t="shared" ref="C105:C109" si="20">(B105/6)</f>
        <v>62788.333333333336</v>
      </c>
      <c r="D105" s="740">
        <f t="shared" ref="D105:D109" si="21">(B105/3)</f>
        <v>125576.66666666667</v>
      </c>
      <c r="E105" s="163">
        <f>(Publico!E84+Domicilio!J$2)</f>
        <v>332610</v>
      </c>
      <c r="F105" s="466">
        <f>(Publico!F84+Domicilio!J$2)</f>
        <v>323150</v>
      </c>
    </row>
    <row r="106" spans="1:6" ht="15.6">
      <c r="A106" s="752" t="s">
        <v>1915</v>
      </c>
      <c r="B106" s="163">
        <f>(Publico!B85+Domicilio!J$2)</f>
        <v>487180</v>
      </c>
      <c r="C106" s="759">
        <f t="shared" si="20"/>
        <v>81196.666666666672</v>
      </c>
      <c r="D106" s="740">
        <f t="shared" si="21"/>
        <v>162393.33333333334</v>
      </c>
      <c r="E106" s="163">
        <f>(Publico!E85+Domicilio!J$2)</f>
        <v>429840</v>
      </c>
      <c r="F106" s="466">
        <f>(Publico!F85+Domicilio!J$2)</f>
        <v>417550</v>
      </c>
    </row>
    <row r="107" spans="1:6" ht="15.6">
      <c r="A107" s="752" t="s">
        <v>2137</v>
      </c>
      <c r="B107" s="163">
        <f>(Publico!B86+Domicilio!J$2)</f>
        <v>465420</v>
      </c>
      <c r="C107" s="759">
        <f t="shared" si="20"/>
        <v>77570</v>
      </c>
      <c r="D107" s="740">
        <f t="shared" si="21"/>
        <v>155140</v>
      </c>
      <c r="E107" s="163">
        <f>(Publico!E86+Domicilio!J$2)</f>
        <v>410680</v>
      </c>
      <c r="F107" s="466">
        <f>(Publico!F86+Domicilio!J$2)</f>
        <v>398950</v>
      </c>
    </row>
    <row r="108" spans="1:6" ht="15.6">
      <c r="A108" s="752" t="s">
        <v>2138</v>
      </c>
      <c r="B108" s="163">
        <f>(Publico!B87+Domicilio!J$2)</f>
        <v>503748</v>
      </c>
      <c r="C108" s="759">
        <f t="shared" si="20"/>
        <v>83958</v>
      </c>
      <c r="D108" s="740">
        <f t="shared" si="21"/>
        <v>167916</v>
      </c>
      <c r="E108" s="163">
        <f>(Publico!E87+Domicilio!J$2)</f>
        <v>450900</v>
      </c>
      <c r="F108" s="466">
        <f>(Publico!F87+Domicilio!J$2)</f>
        <v>438000</v>
      </c>
    </row>
    <row r="109" spans="1:6" ht="15.6">
      <c r="A109" s="752" t="s">
        <v>2139</v>
      </c>
      <c r="B109" s="163">
        <f>(Publico!B88+Domicilio!J$2)</f>
        <v>477170</v>
      </c>
      <c r="C109" s="759">
        <f t="shared" si="20"/>
        <v>79528.333333333328</v>
      </c>
      <c r="D109" s="740">
        <f t="shared" si="21"/>
        <v>159056.66666666666</v>
      </c>
      <c r="E109" s="163">
        <f>(Publico!E88+Domicilio!J$2)</f>
        <v>421030</v>
      </c>
      <c r="F109" s="466">
        <f>(Publico!F88+Domicilio!J$2)</f>
        <v>409000</v>
      </c>
    </row>
    <row r="110" spans="1:6" ht="15.6">
      <c r="A110" s="738" t="s">
        <v>1919</v>
      </c>
      <c r="B110" s="832" t="s">
        <v>1839</v>
      </c>
      <c r="C110" s="751" t="s">
        <v>1840</v>
      </c>
      <c r="D110" s="751" t="s">
        <v>1841</v>
      </c>
      <c r="E110" s="758" t="s">
        <v>1842</v>
      </c>
      <c r="F110" s="761" t="s">
        <v>1843</v>
      </c>
    </row>
    <row r="111" spans="1:6" ht="15.6">
      <c r="A111" s="752" t="s">
        <v>2140</v>
      </c>
      <c r="B111" s="163">
        <f>(Publico!B90+Domicilio!J$2)</f>
        <v>563640</v>
      </c>
      <c r="C111" s="759">
        <f t="shared" ref="C111:C113" si="22">(B111/6)</f>
        <v>93940</v>
      </c>
      <c r="D111" s="740">
        <f t="shared" ref="D111:D113" si="23">(B111/3)</f>
        <v>187880</v>
      </c>
      <c r="E111" s="163">
        <f>(Publico!E90+Domicilio!J$2)</f>
        <v>497150</v>
      </c>
      <c r="F111" s="466">
        <f>(Publico!F90+Domicilio!J$2)</f>
        <v>482900</v>
      </c>
    </row>
    <row r="112" spans="1:6" ht="15.6">
      <c r="A112" s="752" t="s">
        <v>2141</v>
      </c>
      <c r="B112" s="163">
        <f>(Publico!B91+Domicilio!J$2)</f>
        <v>574170</v>
      </c>
      <c r="C112" s="759">
        <f t="shared" si="22"/>
        <v>95695</v>
      </c>
      <c r="D112" s="740">
        <f t="shared" si="23"/>
        <v>191390</v>
      </c>
      <c r="E112" s="163">
        <f>(Publico!E91+Domicilio!J$2)</f>
        <v>506420</v>
      </c>
      <c r="F112" s="466">
        <f>(Publico!F91+Domicilio!J$2)</f>
        <v>491900</v>
      </c>
    </row>
    <row r="113" spans="1:6" ht="15.6">
      <c r="A113" s="752" t="s">
        <v>2142</v>
      </c>
      <c r="B113" s="163">
        <f>(Publico!B92+Domicilio!J$2)</f>
        <v>793070</v>
      </c>
      <c r="C113" s="759">
        <f t="shared" si="22"/>
        <v>132178.33333333334</v>
      </c>
      <c r="D113" s="740">
        <f t="shared" si="23"/>
        <v>264356.66666666669</v>
      </c>
      <c r="E113" s="163">
        <f>(Publico!E92+Domicilio!J$2)</f>
        <v>699130</v>
      </c>
      <c r="F113" s="466">
        <f>(Publico!F92+Domicilio!J$2)</f>
        <v>679000</v>
      </c>
    </row>
    <row r="114" spans="1:6" ht="15.6">
      <c r="A114" s="738" t="s">
        <v>1923</v>
      </c>
      <c r="B114" s="832" t="s">
        <v>1839</v>
      </c>
      <c r="C114" s="751" t="s">
        <v>1840</v>
      </c>
      <c r="D114" s="751" t="s">
        <v>1841</v>
      </c>
      <c r="E114" s="758" t="s">
        <v>1842</v>
      </c>
      <c r="F114" s="761" t="s">
        <v>1843</v>
      </c>
    </row>
    <row r="115" spans="1:6" ht="15.6">
      <c r="A115" s="752" t="s">
        <v>1924</v>
      </c>
      <c r="B115" s="163">
        <f>(Publico!B94+Domicilio!J$2)</f>
        <v>572470</v>
      </c>
      <c r="C115" s="759">
        <f t="shared" ref="C115" si="24">(B115/6)</f>
        <v>95411.666666666672</v>
      </c>
      <c r="D115" s="740">
        <f t="shared" ref="D115" si="25">(B115/3)</f>
        <v>190823.33333333334</v>
      </c>
      <c r="E115" s="163">
        <f>(Publico!E94+Domicilio!J$2)</f>
        <v>504930</v>
      </c>
      <c r="F115" s="466">
        <f>(Publico!F94+Domicilio!J$2)</f>
        <v>490450</v>
      </c>
    </row>
    <row r="116" spans="1:6" ht="15.6">
      <c r="A116" s="738" t="s">
        <v>1925</v>
      </c>
      <c r="B116" s="832" t="s">
        <v>1839</v>
      </c>
      <c r="C116" s="751" t="s">
        <v>1840</v>
      </c>
      <c r="D116" s="751" t="s">
        <v>1841</v>
      </c>
      <c r="E116" s="758" t="s">
        <v>1842</v>
      </c>
      <c r="F116" s="761" t="s">
        <v>1843</v>
      </c>
    </row>
    <row r="117" spans="1:6" ht="15.6">
      <c r="A117" s="752" t="s">
        <v>1926</v>
      </c>
      <c r="B117" s="163">
        <f>(Publico!B96+Domicilio!J$2)</f>
        <v>435580</v>
      </c>
      <c r="C117" s="759">
        <f t="shared" ref="C117" si="26">(B117/6)</f>
        <v>72596.666666666672</v>
      </c>
      <c r="D117" s="740">
        <f t="shared" ref="D117" si="27">(B117/3)</f>
        <v>145193.33333333334</v>
      </c>
      <c r="E117" s="163">
        <f>(Publico!E96+Domicilio!J$2)</f>
        <v>384420</v>
      </c>
      <c r="F117" s="466">
        <f>(Publico!F96+Domicilio!J$2)</f>
        <v>373450</v>
      </c>
    </row>
    <row r="118" spans="1:6" ht="15.6">
      <c r="A118" s="738" t="s">
        <v>1927</v>
      </c>
      <c r="B118" s="832" t="s">
        <v>1839</v>
      </c>
      <c r="C118" s="751" t="s">
        <v>1840</v>
      </c>
      <c r="D118" s="751" t="s">
        <v>1841</v>
      </c>
      <c r="E118" s="758" t="s">
        <v>1842</v>
      </c>
      <c r="F118" s="761" t="s">
        <v>1843</v>
      </c>
    </row>
    <row r="119" spans="1:6" ht="15.6">
      <c r="A119" s="752" t="s">
        <v>1928</v>
      </c>
      <c r="B119" s="163">
        <f>(Publico!B98+Domicilio!J$2)</f>
        <v>539540</v>
      </c>
      <c r="C119" s="759">
        <f t="shared" ref="C119:C126" si="28">(B119/6)</f>
        <v>89923.333333333328</v>
      </c>
      <c r="D119" s="740">
        <f t="shared" ref="D119:D126" si="29">(B119/3)</f>
        <v>179846.66666666666</v>
      </c>
      <c r="E119" s="163">
        <f>(Publico!E98+Domicilio!J$2)</f>
        <v>475930</v>
      </c>
      <c r="F119" s="466">
        <f>(Publico!F98+Domicilio!J$2)</f>
        <v>462300</v>
      </c>
    </row>
    <row r="120" spans="1:6" ht="15.6">
      <c r="A120" s="752" t="s">
        <v>1929</v>
      </c>
      <c r="B120" s="163">
        <f>(Publico!B99+Domicilio!J$2)</f>
        <v>314540</v>
      </c>
      <c r="C120" s="759">
        <f t="shared" si="28"/>
        <v>52423.333333333336</v>
      </c>
      <c r="D120" s="740">
        <f t="shared" si="29"/>
        <v>104846.66666666667</v>
      </c>
      <c r="E120" s="163">
        <f>(Publico!E99+Domicilio!J$2)</f>
        <v>277860</v>
      </c>
      <c r="F120" s="466">
        <f>(Publico!F99+Domicilio!J$2)</f>
        <v>270000</v>
      </c>
    </row>
    <row r="121" spans="1:6" ht="15.6">
      <c r="A121" s="752" t="s">
        <v>1930</v>
      </c>
      <c r="B121" s="163">
        <f>(Publico!B100+Domicilio!J$2)</f>
        <v>480680</v>
      </c>
      <c r="C121" s="759">
        <f t="shared" si="28"/>
        <v>80113.333333333328</v>
      </c>
      <c r="D121" s="740">
        <f t="shared" si="29"/>
        <v>160226.66666666666</v>
      </c>
      <c r="E121" s="163">
        <f>(Publico!E100+Domicilio!J$2)</f>
        <v>424120</v>
      </c>
      <c r="F121" s="466">
        <f>(Publico!F100+Domicilio!J$2)</f>
        <v>412000</v>
      </c>
    </row>
    <row r="122" spans="1:6" ht="15.6">
      <c r="A122" s="752" t="s">
        <v>1931</v>
      </c>
      <c r="B122" s="163">
        <f>(Publico!B101+Domicilio!J$2)</f>
        <v>656770</v>
      </c>
      <c r="C122" s="759">
        <f t="shared" si="28"/>
        <v>109461.66666666667</v>
      </c>
      <c r="D122" s="740">
        <f t="shared" si="29"/>
        <v>218923.33333333334</v>
      </c>
      <c r="E122" s="163">
        <f>(Publico!E101+Domicilio!J$2)</f>
        <v>579140</v>
      </c>
      <c r="F122" s="466">
        <f>(Publico!F101+Domicilio!J$2)</f>
        <v>562500</v>
      </c>
    </row>
    <row r="123" spans="1:6" ht="15.6">
      <c r="A123" s="752" t="s">
        <v>1932</v>
      </c>
      <c r="B123" s="163">
        <f>(Publico!B102+Domicilio!J$2)</f>
        <v>843380</v>
      </c>
      <c r="C123" s="759">
        <f t="shared" si="28"/>
        <v>140563.33333333334</v>
      </c>
      <c r="D123" s="740">
        <f t="shared" si="29"/>
        <v>281126.66666666669</v>
      </c>
      <c r="E123" s="163">
        <f>(Publico!E102+Domicilio!J$2)</f>
        <v>743420</v>
      </c>
      <c r="F123" s="466">
        <f>(Publico!F102+Domicilio!J$2)</f>
        <v>722000</v>
      </c>
    </row>
    <row r="124" spans="1:6" ht="15.6">
      <c r="A124" s="752" t="s">
        <v>1933</v>
      </c>
      <c r="B124" s="163">
        <f>(Publico!B103+Domicilio!J$2)</f>
        <v>683680</v>
      </c>
      <c r="C124" s="759">
        <f t="shared" si="28"/>
        <v>113946.66666666667</v>
      </c>
      <c r="D124" s="740">
        <f t="shared" si="29"/>
        <v>227893.33333333334</v>
      </c>
      <c r="E124" s="163">
        <f>(Publico!E103+Domicilio!J$2)</f>
        <v>602830</v>
      </c>
      <c r="F124" s="466">
        <f>(Publico!F103+Domicilio!J$2)</f>
        <v>585500</v>
      </c>
    </row>
    <row r="125" spans="1:6" ht="15.6">
      <c r="A125" s="752" t="s">
        <v>1934</v>
      </c>
      <c r="B125" s="163">
        <f>(Publico!B104+Domicilio!J$2)</f>
        <v>797170</v>
      </c>
      <c r="C125" s="759">
        <f t="shared" si="28"/>
        <v>132861.66666666666</v>
      </c>
      <c r="D125" s="740">
        <f t="shared" si="29"/>
        <v>265723.33333333331</v>
      </c>
      <c r="E125" s="163">
        <f>(Publico!E104+Domicilio!J$2)</f>
        <v>702740</v>
      </c>
      <c r="F125" s="466">
        <f>(Publico!F104+Domicilio!J$2)</f>
        <v>682500</v>
      </c>
    </row>
    <row r="126" spans="1:6" ht="16.2" thickBot="1">
      <c r="A126" s="754" t="s">
        <v>1935</v>
      </c>
      <c r="B126" s="366">
        <f>(Publico!B105+Domicilio!J$2)</f>
        <v>958630</v>
      </c>
      <c r="C126" s="760">
        <f t="shared" si="28"/>
        <v>159771.66666666666</v>
      </c>
      <c r="D126" s="746">
        <f t="shared" si="29"/>
        <v>319543.33333333331</v>
      </c>
      <c r="E126" s="366">
        <f>(Publico!E105+Domicilio!J$2)</f>
        <v>844880</v>
      </c>
      <c r="F126" s="762">
        <f>(Publico!F105+Domicilio!J$2)</f>
        <v>820500</v>
      </c>
    </row>
    <row r="127" spans="1:6" ht="15.6">
      <c r="A127" s="921"/>
      <c r="B127" s="921"/>
      <c r="C127" s="921"/>
      <c r="D127" s="921"/>
      <c r="E127" s="921"/>
      <c r="F127" s="172"/>
    </row>
    <row r="128" spans="1:6" ht="15.6">
      <c r="A128" s="921"/>
      <c r="B128" s="921"/>
      <c r="C128" s="921"/>
      <c r="D128" s="921"/>
      <c r="E128" s="921"/>
      <c r="F128" s="172"/>
    </row>
    <row r="129" spans="1:7" ht="15.6">
      <c r="A129" s="921"/>
      <c r="B129" s="921"/>
      <c r="C129" s="921"/>
      <c r="D129" s="921"/>
      <c r="E129" s="921"/>
      <c r="F129" s="172"/>
      <c r="G129" s="921"/>
    </row>
    <row r="130" spans="1:7" ht="15.6">
      <c r="A130" s="921"/>
      <c r="B130" s="921"/>
      <c r="C130" s="921"/>
      <c r="D130" s="921"/>
      <c r="E130" s="921"/>
      <c r="F130" s="921"/>
      <c r="G130" s="172"/>
    </row>
    <row r="131" spans="1:7" ht="15.6">
      <c r="A131" s="921"/>
      <c r="B131" s="921"/>
      <c r="C131" s="921"/>
      <c r="D131" s="921"/>
      <c r="E131" s="921"/>
      <c r="F131" s="921"/>
      <c r="G131" s="172"/>
    </row>
    <row r="132" spans="1:7" ht="15.6">
      <c r="A132" s="921"/>
      <c r="B132" s="921"/>
      <c r="C132" s="921"/>
      <c r="D132" s="921"/>
      <c r="E132" s="921"/>
      <c r="F132" s="921"/>
      <c r="G132" s="172"/>
    </row>
    <row r="133" spans="1:7" ht="15.6">
      <c r="A133" s="921"/>
      <c r="B133" s="921"/>
      <c r="C133" s="921"/>
      <c r="D133" s="921"/>
      <c r="E133" s="921"/>
      <c r="F133" s="921"/>
      <c r="G133" s="172"/>
    </row>
    <row r="134" spans="1:7" ht="15.6">
      <c r="A134" s="921"/>
      <c r="B134" s="921"/>
      <c r="C134" s="921"/>
      <c r="D134" s="921"/>
      <c r="E134" s="921"/>
      <c r="F134" s="921"/>
      <c r="G134" s="172"/>
    </row>
    <row r="135" spans="1:7" ht="15.6">
      <c r="A135" s="921"/>
      <c r="B135" s="921"/>
      <c r="C135" s="921"/>
      <c r="D135" s="921"/>
      <c r="E135" s="921"/>
      <c r="F135" s="921"/>
      <c r="G135" s="172"/>
    </row>
    <row r="136" spans="1:7" ht="15.6">
      <c r="A136" s="921"/>
      <c r="B136" s="921"/>
      <c r="C136" s="921"/>
      <c r="D136" s="921"/>
      <c r="E136" s="921"/>
      <c r="F136" s="921"/>
      <c r="G136" s="172"/>
    </row>
    <row r="137" spans="1:7" ht="15.6">
      <c r="A137" s="921"/>
      <c r="B137" s="921"/>
      <c r="C137" s="921"/>
      <c r="D137" s="921"/>
      <c r="E137" s="921"/>
      <c r="F137" s="921"/>
      <c r="G137" s="172"/>
    </row>
    <row r="138" spans="1:7" ht="15.6">
      <c r="A138" s="921"/>
      <c r="B138" s="921"/>
      <c r="C138" s="921"/>
      <c r="D138" s="921"/>
      <c r="E138" s="921"/>
      <c r="F138" s="921"/>
      <c r="G138" s="172"/>
    </row>
    <row r="139" spans="1:7" ht="15.6">
      <c r="A139" s="921"/>
      <c r="B139" s="921"/>
      <c r="C139" s="921"/>
      <c r="D139" s="921"/>
      <c r="E139" s="921"/>
      <c r="F139" s="921"/>
      <c r="G139" s="172"/>
    </row>
    <row r="140" spans="1:7" ht="15.6">
      <c r="A140" s="921"/>
      <c r="B140" s="921"/>
      <c r="C140" s="921"/>
      <c r="D140" s="921"/>
      <c r="E140" s="921"/>
      <c r="F140" s="921"/>
      <c r="G140" s="172"/>
    </row>
    <row r="141" spans="1:7" ht="15.6">
      <c r="A141" s="921"/>
      <c r="B141" s="921"/>
      <c r="C141" s="921"/>
      <c r="D141" s="921"/>
      <c r="E141" s="921"/>
      <c r="F141" s="921"/>
      <c r="G141" s="172"/>
    </row>
    <row r="142" spans="1:7" ht="15.6">
      <c r="A142" s="921"/>
      <c r="B142" s="921"/>
      <c r="C142" s="921"/>
      <c r="D142" s="921"/>
      <c r="E142" s="921"/>
      <c r="F142" s="921"/>
      <c r="G142" s="172"/>
    </row>
    <row r="143" spans="1:7" ht="15.6">
      <c r="A143" s="921"/>
      <c r="B143" s="921"/>
      <c r="C143" s="921"/>
      <c r="D143" s="921"/>
      <c r="E143" s="921"/>
      <c r="F143" s="921"/>
      <c r="G143" s="172"/>
    </row>
    <row r="144" spans="1:7" ht="15.6">
      <c r="A144" s="105" t="s">
        <v>1833</v>
      </c>
      <c r="B144" s="921"/>
      <c r="C144" s="921"/>
      <c r="D144" s="182"/>
      <c r="E144" s="172" t="s">
        <v>1936</v>
      </c>
      <c r="F144" s="172"/>
      <c r="G144" s="172"/>
    </row>
    <row r="145" spans="1:7" ht="16.2" thickBot="1">
      <c r="A145" s="105" t="s">
        <v>1836</v>
      </c>
      <c r="B145" s="921"/>
      <c r="C145" s="921"/>
      <c r="D145" s="767" t="s">
        <v>1937</v>
      </c>
      <c r="E145" s="768"/>
      <c r="F145" s="768"/>
      <c r="G145" s="757"/>
    </row>
    <row r="146" spans="1:7" ht="16.2" thickBot="1">
      <c r="A146" s="737">
        <v>45768</v>
      </c>
      <c r="B146" s="1012" t="s">
        <v>1837</v>
      </c>
      <c r="C146" s="1013"/>
      <c r="D146" s="1013"/>
      <c r="E146" s="839"/>
      <c r="F146" s="972"/>
      <c r="G146" s="172"/>
    </row>
    <row r="147" spans="1:7" ht="15.6">
      <c r="A147" s="833" t="s">
        <v>1838</v>
      </c>
      <c r="B147" s="834" t="s">
        <v>1839</v>
      </c>
      <c r="C147" s="835" t="s">
        <v>1840</v>
      </c>
      <c r="D147" s="835" t="s">
        <v>1841</v>
      </c>
      <c r="E147" s="836" t="s">
        <v>1842</v>
      </c>
      <c r="F147" s="837" t="s">
        <v>1843</v>
      </c>
      <c r="G147" s="921"/>
    </row>
    <row r="148" spans="1:7" ht="15.6">
      <c r="A148" s="739" t="s">
        <v>1844</v>
      </c>
      <c r="B148" s="163">
        <f>(B7-D$2)</f>
        <v>115710</v>
      </c>
      <c r="C148" s="759">
        <f t="shared" ref="C148:C150" si="30">(B148/6)</f>
        <v>19285</v>
      </c>
      <c r="D148" s="740">
        <f t="shared" ref="D148:D150" si="31">(B148/3)</f>
        <v>38570</v>
      </c>
      <c r="E148" s="163">
        <f>(E7-D$2)</f>
        <v>101620</v>
      </c>
      <c r="F148" s="466">
        <f>('Acubat-Lubeck'!AL7)+J$2</f>
        <v>98600</v>
      </c>
      <c r="G148" s="921"/>
    </row>
    <row r="149" spans="1:7" ht="15.6">
      <c r="A149" s="741" t="s">
        <v>1845</v>
      </c>
      <c r="B149" s="163">
        <f t="shared" ref="B149:B150" si="32">(B8-D$2)</f>
        <v>144868</v>
      </c>
      <c r="C149" s="759">
        <f t="shared" si="30"/>
        <v>24144.666666666668</v>
      </c>
      <c r="D149" s="740">
        <f t="shared" si="31"/>
        <v>48289.333333333336</v>
      </c>
      <c r="E149" s="163">
        <f>(E8-D$2)</f>
        <v>129840</v>
      </c>
      <c r="F149" s="466">
        <f>(Moura!X5)+J2</f>
        <v>126000</v>
      </c>
      <c r="G149" s="921"/>
    </row>
    <row r="150" spans="1:7" ht="15.6">
      <c r="A150" s="742" t="s">
        <v>2099</v>
      </c>
      <c r="B150" s="163">
        <f t="shared" si="32"/>
        <v>150100</v>
      </c>
      <c r="C150" s="759">
        <f t="shared" si="30"/>
        <v>25016.666666666668</v>
      </c>
      <c r="D150" s="740">
        <f t="shared" si="31"/>
        <v>50033.333333333336</v>
      </c>
      <c r="E150" s="163">
        <f>(E9-D$2)</f>
        <v>131900</v>
      </c>
      <c r="F150" s="466">
        <f>(Varta!W11)+J2</f>
        <v>128000</v>
      </c>
      <c r="G150" s="921"/>
    </row>
    <row r="151" spans="1:7" ht="15.6">
      <c r="A151" s="738" t="s">
        <v>1847</v>
      </c>
      <c r="B151" s="832" t="s">
        <v>1839</v>
      </c>
      <c r="C151" s="751" t="s">
        <v>1840</v>
      </c>
      <c r="D151" s="751" t="s">
        <v>1841</v>
      </c>
      <c r="E151" s="758" t="s">
        <v>1842</v>
      </c>
      <c r="F151" s="761" t="s">
        <v>1843</v>
      </c>
      <c r="G151" s="921"/>
    </row>
    <row r="152" spans="1:7" ht="15.6">
      <c r="A152" s="739" t="s">
        <v>1848</v>
      </c>
      <c r="B152" s="163">
        <f t="shared" ref="B152:B155" si="33">(B11-D$2)</f>
        <v>139460</v>
      </c>
      <c r="C152" s="759">
        <f t="shared" ref="C152:C155" si="34">(B152/6)</f>
        <v>23243.333333333332</v>
      </c>
      <c r="D152" s="740">
        <f t="shared" ref="D152:D155" si="35">(B152/3)</f>
        <v>46486.666666666664</v>
      </c>
      <c r="E152" s="163">
        <f>(E11-D$2)</f>
        <v>122530</v>
      </c>
      <c r="F152" s="466">
        <f>('Acubat-Lubeck'!AL8)+J2</f>
        <v>118900</v>
      </c>
      <c r="G152" s="921"/>
    </row>
    <row r="153" spans="1:7" ht="15.6">
      <c r="A153" s="742" t="s">
        <v>2100</v>
      </c>
      <c r="B153" s="163">
        <f t="shared" si="33"/>
        <v>159948</v>
      </c>
      <c r="C153" s="759">
        <f t="shared" si="34"/>
        <v>26658</v>
      </c>
      <c r="D153" s="740">
        <f t="shared" si="35"/>
        <v>53316</v>
      </c>
      <c r="E153" s="163">
        <f>(E12-D$2)</f>
        <v>143230</v>
      </c>
      <c r="F153" s="466">
        <f>(Moura!X6)+J2</f>
        <v>139000</v>
      </c>
      <c r="G153" s="921"/>
    </row>
    <row r="154" spans="1:7" ht="15.6">
      <c r="A154" s="741" t="s">
        <v>2101</v>
      </c>
      <c r="B154" s="163">
        <f t="shared" si="33"/>
        <v>171810</v>
      </c>
      <c r="C154" s="759">
        <f t="shared" si="34"/>
        <v>28635</v>
      </c>
      <c r="D154" s="740">
        <f t="shared" si="35"/>
        <v>57270</v>
      </c>
      <c r="E154" s="163">
        <f>(E13-D$2)</f>
        <v>151010</v>
      </c>
      <c r="F154" s="466">
        <f>('Willard - Elpra'!AA6)+J2</f>
        <v>146550</v>
      </c>
      <c r="G154" s="921"/>
    </row>
    <row r="155" spans="1:7" ht="15.6">
      <c r="A155" s="741" t="s">
        <v>2102</v>
      </c>
      <c r="B155" s="163">
        <f t="shared" si="33"/>
        <v>164140</v>
      </c>
      <c r="C155" s="759">
        <f t="shared" si="34"/>
        <v>27356.666666666668</v>
      </c>
      <c r="D155" s="740">
        <f t="shared" si="35"/>
        <v>54713.333333333336</v>
      </c>
      <c r="E155" s="163">
        <f>(E14-D$2)</f>
        <v>144260</v>
      </c>
      <c r="F155" s="466">
        <f>(Varta!W13)+J2</f>
        <v>140000</v>
      </c>
      <c r="G155" s="921"/>
    </row>
    <row r="156" spans="1:7" ht="15.6">
      <c r="A156" s="738" t="s">
        <v>1852</v>
      </c>
      <c r="B156" s="832" t="s">
        <v>1839</v>
      </c>
      <c r="C156" s="751" t="s">
        <v>1840</v>
      </c>
      <c r="D156" s="751" t="s">
        <v>1841</v>
      </c>
      <c r="E156" s="758" t="s">
        <v>1842</v>
      </c>
      <c r="F156" s="761" t="s">
        <v>1843</v>
      </c>
      <c r="G156" s="921"/>
    </row>
    <row r="157" spans="1:7" ht="15.6">
      <c r="A157" s="752" t="s">
        <v>1853</v>
      </c>
      <c r="B157" s="163">
        <f t="shared" ref="B157:B163" si="36">(B16-D$2)</f>
        <v>113830</v>
      </c>
      <c r="C157" s="759">
        <f t="shared" ref="C157:C163" si="37">(B157/6)</f>
        <v>18971.666666666668</v>
      </c>
      <c r="D157" s="740">
        <f t="shared" ref="D157:D163" si="38">(B157/3)</f>
        <v>37943.333333333336</v>
      </c>
      <c r="E157" s="163">
        <f t="shared" ref="E157:E163" si="39">(E16-D$2)</f>
        <v>99970</v>
      </c>
      <c r="F157" s="466">
        <f>('Acubat-Lubeck'!AL22)+J2</f>
        <v>97000</v>
      </c>
      <c r="G157" s="921"/>
    </row>
    <row r="158" spans="1:7" ht="15.6">
      <c r="A158" s="739" t="s">
        <v>1854</v>
      </c>
      <c r="B158" s="163">
        <f t="shared" si="36"/>
        <v>131210</v>
      </c>
      <c r="C158" s="759">
        <f t="shared" si="37"/>
        <v>21868.333333333332</v>
      </c>
      <c r="D158" s="740">
        <f t="shared" si="38"/>
        <v>43736.666666666664</v>
      </c>
      <c r="E158" s="163">
        <f t="shared" si="39"/>
        <v>115270</v>
      </c>
      <c r="F158" s="466">
        <f>('Acubat-Lubeck'!AL9)+J2</f>
        <v>111850</v>
      </c>
      <c r="G158" s="921"/>
    </row>
    <row r="159" spans="1:7" ht="15.6">
      <c r="A159" s="742" t="s">
        <v>1855</v>
      </c>
      <c r="B159" s="163">
        <f t="shared" si="36"/>
        <v>143730</v>
      </c>
      <c r="C159" s="759">
        <f t="shared" si="37"/>
        <v>23955</v>
      </c>
      <c r="D159" s="740">
        <f t="shared" si="38"/>
        <v>47910</v>
      </c>
      <c r="E159" s="163">
        <f t="shared" si="39"/>
        <v>126290</v>
      </c>
      <c r="F159" s="466">
        <f>('Acubat-Lubeck'!AL10)+J2</f>
        <v>122550</v>
      </c>
      <c r="G159" s="921"/>
    </row>
    <row r="160" spans="1:7" ht="15.6">
      <c r="A160" s="742" t="s">
        <v>2103</v>
      </c>
      <c r="B160" s="163">
        <f t="shared" si="36"/>
        <v>154148</v>
      </c>
      <c r="C160" s="759">
        <f t="shared" si="37"/>
        <v>25691.333333333332</v>
      </c>
      <c r="D160" s="740">
        <f t="shared" si="38"/>
        <v>51382.666666666664</v>
      </c>
      <c r="E160" s="163">
        <f t="shared" si="39"/>
        <v>138080</v>
      </c>
      <c r="F160" s="466">
        <f>(Moura!X7)+J2</f>
        <v>134000</v>
      </c>
      <c r="G160" s="921"/>
    </row>
    <row r="161" spans="1:6" ht="15.6">
      <c r="A161" s="742" t="s">
        <v>2104</v>
      </c>
      <c r="B161" s="163">
        <f t="shared" si="36"/>
        <v>173868</v>
      </c>
      <c r="C161" s="759">
        <f t="shared" si="37"/>
        <v>28978</v>
      </c>
      <c r="D161" s="740">
        <f t="shared" si="38"/>
        <v>57956</v>
      </c>
      <c r="E161" s="163">
        <f t="shared" si="39"/>
        <v>155590</v>
      </c>
      <c r="F161" s="466">
        <f>(Moura!X8)+J2</f>
        <v>151000</v>
      </c>
    </row>
    <row r="162" spans="1:6" ht="15.6">
      <c r="A162" s="742" t="s">
        <v>1858</v>
      </c>
      <c r="B162" s="163">
        <f t="shared" si="36"/>
        <v>167480</v>
      </c>
      <c r="C162" s="759">
        <f t="shared" si="37"/>
        <v>27913.333333333332</v>
      </c>
      <c r="D162" s="740">
        <f t="shared" si="38"/>
        <v>55826.666666666664</v>
      </c>
      <c r="E162" s="163">
        <f t="shared" si="39"/>
        <v>147200</v>
      </c>
      <c r="F162" s="466">
        <f>('Willard - Elpra'!AA8)+J2</f>
        <v>142850</v>
      </c>
    </row>
    <row r="163" spans="1:6" ht="15.6">
      <c r="A163" s="742" t="s">
        <v>2105</v>
      </c>
      <c r="B163" s="163">
        <f t="shared" si="36"/>
        <v>177010</v>
      </c>
      <c r="C163" s="759">
        <f t="shared" si="37"/>
        <v>29501.666666666668</v>
      </c>
      <c r="D163" s="740">
        <f t="shared" si="38"/>
        <v>59003.333333333336</v>
      </c>
      <c r="E163" s="163">
        <f t="shared" si="39"/>
        <v>155590</v>
      </c>
      <c r="F163" s="466">
        <f>(Varta!W15)+J2</f>
        <v>151000</v>
      </c>
    </row>
    <row r="164" spans="1:6" ht="15.6">
      <c r="A164" s="738" t="s">
        <v>1860</v>
      </c>
      <c r="B164" s="832" t="s">
        <v>1839</v>
      </c>
      <c r="C164" s="751" t="s">
        <v>1840</v>
      </c>
      <c r="D164" s="751" t="s">
        <v>1841</v>
      </c>
      <c r="E164" s="758" t="s">
        <v>1842</v>
      </c>
      <c r="F164" s="761" t="s">
        <v>1843</v>
      </c>
    </row>
    <row r="165" spans="1:6" ht="15.6">
      <c r="A165" s="742" t="s">
        <v>1861</v>
      </c>
      <c r="B165" s="163">
        <f t="shared" ref="B165:B168" si="40">(B24-D$2)</f>
        <v>149580</v>
      </c>
      <c r="C165" s="759">
        <f t="shared" ref="C165:C169" si="41">(B165/6)</f>
        <v>24930</v>
      </c>
      <c r="D165" s="740">
        <f t="shared" ref="D165:D169" si="42">(B165/3)</f>
        <v>49860</v>
      </c>
      <c r="E165" s="163">
        <f>(E24-D$2)</f>
        <v>131440</v>
      </c>
      <c r="F165" s="466">
        <f>('Acubat-Lubeck'!AL11)+J2</f>
        <v>127550</v>
      </c>
    </row>
    <row r="166" spans="1:6" ht="15.6">
      <c r="A166" s="742" t="s">
        <v>2106</v>
      </c>
      <c r="B166" s="163">
        <f t="shared" si="40"/>
        <v>180828</v>
      </c>
      <c r="C166" s="759">
        <f t="shared" si="41"/>
        <v>30138</v>
      </c>
      <c r="D166" s="740">
        <f t="shared" si="42"/>
        <v>60276</v>
      </c>
      <c r="E166" s="163">
        <f>(E25-D$2)</f>
        <v>161770</v>
      </c>
      <c r="F166" s="466">
        <f>(Moura!X10)+J2</f>
        <v>157000</v>
      </c>
    </row>
    <row r="167" spans="1:6" ht="15.6">
      <c r="A167" s="742" t="s">
        <v>1863</v>
      </c>
      <c r="B167" s="163">
        <f t="shared" si="40"/>
        <v>202580</v>
      </c>
      <c r="C167" s="759">
        <f t="shared" si="41"/>
        <v>33763.333333333336</v>
      </c>
      <c r="D167" s="740">
        <f t="shared" si="42"/>
        <v>67526.666666666672</v>
      </c>
      <c r="E167" s="163">
        <f>(E26-D$2)</f>
        <v>178100</v>
      </c>
      <c r="F167" s="466">
        <f>('Willard - Elpra'!AA9)+J2</f>
        <v>172850</v>
      </c>
    </row>
    <row r="168" spans="1:6" ht="15.6">
      <c r="A168" s="742" t="s">
        <v>2107</v>
      </c>
      <c r="B168" s="163">
        <f t="shared" si="40"/>
        <v>186370</v>
      </c>
      <c r="C168" s="759">
        <f t="shared" si="41"/>
        <v>31061.666666666668</v>
      </c>
      <c r="D168" s="740">
        <f t="shared" si="42"/>
        <v>62123.333333333336</v>
      </c>
      <c r="E168" s="163">
        <f>(E27-D$2)</f>
        <v>163830</v>
      </c>
      <c r="F168" s="466">
        <f>(Varta!W14)+J2</f>
        <v>159000</v>
      </c>
    </row>
    <row r="169" spans="1:6" ht="15.6">
      <c r="A169" s="742" t="s">
        <v>2108</v>
      </c>
      <c r="B169" s="163">
        <f>(B28-D$2)</f>
        <v>216790</v>
      </c>
      <c r="C169" s="759">
        <f t="shared" si="41"/>
        <v>36131.666666666664</v>
      </c>
      <c r="D169" s="740">
        <f t="shared" si="42"/>
        <v>72263.333333333328</v>
      </c>
      <c r="E169" s="163">
        <f>(E28-D$2)</f>
        <v>190610</v>
      </c>
      <c r="F169" s="466">
        <f>(Varta!W4)+J2</f>
        <v>185000</v>
      </c>
    </row>
    <row r="170" spans="1:6" ht="15.6">
      <c r="A170" s="738" t="s">
        <v>1866</v>
      </c>
      <c r="B170" s="832" t="s">
        <v>1839</v>
      </c>
      <c r="C170" s="751" t="s">
        <v>1840</v>
      </c>
      <c r="D170" s="751" t="s">
        <v>1841</v>
      </c>
      <c r="E170" s="758" t="s">
        <v>1842</v>
      </c>
      <c r="F170" s="761" t="s">
        <v>1843</v>
      </c>
    </row>
    <row r="171" spans="1:6" ht="15.6">
      <c r="A171" s="752" t="s">
        <v>1867</v>
      </c>
      <c r="B171" s="163">
        <f t="shared" ref="B171:B182" si="43">(B30-D$2)</f>
        <v>137230</v>
      </c>
      <c r="C171" s="759">
        <f t="shared" ref="C171:C182" si="44">(B171/6)</f>
        <v>22871.666666666668</v>
      </c>
      <c r="D171" s="740">
        <f t="shared" ref="D171:D182" si="45">(B171/3)</f>
        <v>45743.333333333336</v>
      </c>
      <c r="E171" s="163">
        <f t="shared" ref="E171:E182" si="46">(E30-D$2)</f>
        <v>120570</v>
      </c>
      <c r="F171" s="466">
        <f>('Acubat-Lubeck'!AL23)+J2</f>
        <v>117000</v>
      </c>
    </row>
    <row r="172" spans="1:6" ht="15.6">
      <c r="A172" s="739" t="s">
        <v>1868</v>
      </c>
      <c r="B172" s="163">
        <f t="shared" si="43"/>
        <v>156250</v>
      </c>
      <c r="C172" s="759">
        <f t="shared" si="44"/>
        <v>26041.666666666668</v>
      </c>
      <c r="D172" s="740">
        <f t="shared" si="45"/>
        <v>52083.333333333336</v>
      </c>
      <c r="E172" s="163">
        <f t="shared" si="46"/>
        <v>137310</v>
      </c>
      <c r="F172" s="466">
        <f>('Acubat-Lubeck'!AL12)+J2</f>
        <v>133250</v>
      </c>
    </row>
    <row r="173" spans="1:6" ht="15.6">
      <c r="A173" s="742" t="s">
        <v>1869</v>
      </c>
      <c r="B173" s="163">
        <f t="shared" si="43"/>
        <v>159700</v>
      </c>
      <c r="C173" s="759">
        <f t="shared" si="44"/>
        <v>26616.666666666668</v>
      </c>
      <c r="D173" s="740">
        <f t="shared" si="45"/>
        <v>53233.333333333336</v>
      </c>
      <c r="E173" s="163">
        <f t="shared" si="46"/>
        <v>140350</v>
      </c>
      <c r="F173" s="466">
        <f>('Acubat-Lubeck'!AL13)+J2</f>
        <v>136200</v>
      </c>
    </row>
    <row r="174" spans="1:6" ht="15.6">
      <c r="A174" s="742" t="s">
        <v>2109</v>
      </c>
      <c r="B174" s="163">
        <f t="shared" si="43"/>
        <v>193588</v>
      </c>
      <c r="C174" s="759">
        <f t="shared" si="44"/>
        <v>32264.666666666668</v>
      </c>
      <c r="D174" s="740">
        <f t="shared" si="45"/>
        <v>64529.333333333336</v>
      </c>
      <c r="E174" s="163">
        <f t="shared" si="46"/>
        <v>173100</v>
      </c>
      <c r="F174" s="466">
        <f>(Moura!X12)+J2</f>
        <v>168000</v>
      </c>
    </row>
    <row r="175" spans="1:6" ht="15.6">
      <c r="A175" s="742" t="s">
        <v>1871</v>
      </c>
      <c r="B175" s="163">
        <f t="shared" si="43"/>
        <v>203570</v>
      </c>
      <c r="C175" s="759">
        <f t="shared" si="44"/>
        <v>33928.333333333336</v>
      </c>
      <c r="D175" s="740">
        <f t="shared" si="45"/>
        <v>67856.666666666672</v>
      </c>
      <c r="E175" s="163">
        <f t="shared" si="46"/>
        <v>178980</v>
      </c>
      <c r="F175" s="466">
        <f>('Willard - Elpra'!AA10)+J2</f>
        <v>173700</v>
      </c>
    </row>
    <row r="176" spans="1:6" ht="15.6">
      <c r="A176" s="742" t="s">
        <v>2110</v>
      </c>
      <c r="B176" s="163">
        <f t="shared" si="43"/>
        <v>206348</v>
      </c>
      <c r="C176" s="759">
        <f t="shared" si="44"/>
        <v>34391.333333333336</v>
      </c>
      <c r="D176" s="740">
        <f t="shared" si="45"/>
        <v>68782.666666666672</v>
      </c>
      <c r="E176" s="163">
        <f t="shared" si="46"/>
        <v>184430</v>
      </c>
      <c r="F176" s="466">
        <f>(Moura!X13)+J2</f>
        <v>179000</v>
      </c>
    </row>
    <row r="177" spans="1:6" ht="15.6">
      <c r="A177" s="742" t="s">
        <v>2111</v>
      </c>
      <c r="B177" s="163">
        <f t="shared" si="43"/>
        <v>208490</v>
      </c>
      <c r="C177" s="759">
        <f t="shared" si="44"/>
        <v>34748.333333333336</v>
      </c>
      <c r="D177" s="740">
        <f t="shared" si="45"/>
        <v>69496.666666666672</v>
      </c>
      <c r="E177" s="163">
        <f t="shared" si="46"/>
        <v>183300</v>
      </c>
      <c r="F177" s="466">
        <f>(Varta!W16)+J2</f>
        <v>177900</v>
      </c>
    </row>
    <row r="178" spans="1:6" ht="15.6">
      <c r="A178" s="742" t="s">
        <v>1874</v>
      </c>
      <c r="B178" s="163">
        <f t="shared" si="43"/>
        <v>193750</v>
      </c>
      <c r="C178" s="759">
        <f t="shared" si="44"/>
        <v>32291.666666666668</v>
      </c>
      <c r="D178" s="740">
        <f t="shared" si="45"/>
        <v>64583.333333333336</v>
      </c>
      <c r="E178" s="163">
        <f t="shared" si="46"/>
        <v>170320</v>
      </c>
      <c r="F178" s="466">
        <f>('Acubat-Lubeck'!AL14)+J2</f>
        <v>165300</v>
      </c>
    </row>
    <row r="179" spans="1:6" ht="15.6">
      <c r="A179" s="742" t="s">
        <v>2112</v>
      </c>
      <c r="B179" s="163">
        <f t="shared" si="43"/>
        <v>213308</v>
      </c>
      <c r="C179" s="759">
        <f t="shared" si="44"/>
        <v>35551.333333333336</v>
      </c>
      <c r="D179" s="740">
        <f t="shared" si="45"/>
        <v>71102.666666666672</v>
      </c>
      <c r="E179" s="163">
        <f t="shared" si="46"/>
        <v>190610</v>
      </c>
      <c r="F179" s="466">
        <f>(Moura!X15)+J2</f>
        <v>185000</v>
      </c>
    </row>
    <row r="180" spans="1:6" ht="15.6">
      <c r="A180" s="742" t="s">
        <v>1876</v>
      </c>
      <c r="B180" s="163">
        <f t="shared" si="43"/>
        <v>251720</v>
      </c>
      <c r="C180" s="759">
        <f t="shared" si="44"/>
        <v>41953.333333333336</v>
      </c>
      <c r="D180" s="740">
        <f t="shared" si="45"/>
        <v>83906.666666666672</v>
      </c>
      <c r="E180" s="163">
        <f t="shared" si="46"/>
        <v>221360</v>
      </c>
      <c r="F180" s="466">
        <f>('Willard - Elpra'!AA11)+J2</f>
        <v>214850</v>
      </c>
    </row>
    <row r="181" spans="1:6" ht="15.6">
      <c r="A181" s="742" t="s">
        <v>2113</v>
      </c>
      <c r="B181" s="163">
        <f t="shared" si="43"/>
        <v>228490</v>
      </c>
      <c r="C181" s="759">
        <f t="shared" si="44"/>
        <v>38081.666666666664</v>
      </c>
      <c r="D181" s="740">
        <f t="shared" si="45"/>
        <v>76163.333333333328</v>
      </c>
      <c r="E181" s="163">
        <f t="shared" si="46"/>
        <v>200910</v>
      </c>
      <c r="F181" s="466">
        <f>(Varta!W7)+J2</f>
        <v>195000</v>
      </c>
    </row>
    <row r="182" spans="1:6" ht="15.6">
      <c r="A182" s="742" t="s">
        <v>2114</v>
      </c>
      <c r="B182" s="163">
        <f t="shared" si="43"/>
        <v>239988</v>
      </c>
      <c r="C182" s="759">
        <f t="shared" si="44"/>
        <v>39998</v>
      </c>
      <c r="D182" s="740">
        <f t="shared" si="45"/>
        <v>79996</v>
      </c>
      <c r="E182" s="163">
        <f t="shared" si="46"/>
        <v>214300</v>
      </c>
      <c r="F182" s="466">
        <f>(Moura!X21)+J2</f>
        <v>208000</v>
      </c>
    </row>
    <row r="183" spans="1:6" ht="15.6">
      <c r="A183" s="738" t="s">
        <v>1879</v>
      </c>
      <c r="B183" s="832" t="s">
        <v>1839</v>
      </c>
      <c r="C183" s="751" t="s">
        <v>1840</v>
      </c>
      <c r="D183" s="751" t="s">
        <v>1841</v>
      </c>
      <c r="E183" s="758" t="s">
        <v>1842</v>
      </c>
      <c r="F183" s="761" t="s">
        <v>1843</v>
      </c>
    </row>
    <row r="184" spans="1:6" ht="15.6">
      <c r="A184" s="742" t="s">
        <v>1880</v>
      </c>
      <c r="B184" s="163">
        <f>(B43-D$3)</f>
        <v>258310</v>
      </c>
      <c r="C184" s="759">
        <f t="shared" ref="C184:C187" si="47">(B184/6)</f>
        <v>43051.666666666664</v>
      </c>
      <c r="D184" s="740">
        <f t="shared" ref="D184:D187" si="48">(B184/3)</f>
        <v>86103.333333333328</v>
      </c>
      <c r="E184" s="163">
        <f>(E43-D$3)</f>
        <v>226680</v>
      </c>
      <c r="F184" s="466">
        <f>('Acubat-Lubeck'!AL16)+J2</f>
        <v>219900</v>
      </c>
    </row>
    <row r="185" spans="1:6" ht="15.6">
      <c r="A185" s="739" t="s">
        <v>2115</v>
      </c>
      <c r="B185" s="163">
        <f>(B44-D$3)</f>
        <v>324668</v>
      </c>
      <c r="C185" s="759">
        <f t="shared" si="47"/>
        <v>54111.333333333336</v>
      </c>
      <c r="D185" s="740">
        <f t="shared" si="48"/>
        <v>108222.66666666667</v>
      </c>
      <c r="E185" s="163">
        <f>(E44-D$3)</f>
        <v>289610</v>
      </c>
      <c r="F185" s="466">
        <f>(Moura!X25)+J2</f>
        <v>281000</v>
      </c>
    </row>
    <row r="186" spans="1:6" ht="15.6">
      <c r="A186" s="742" t="s">
        <v>2116</v>
      </c>
      <c r="B186" s="163">
        <f>(B45-D$3)</f>
        <v>330960</v>
      </c>
      <c r="C186" s="759">
        <f t="shared" si="47"/>
        <v>55160</v>
      </c>
      <c r="D186" s="740">
        <f t="shared" si="48"/>
        <v>110320</v>
      </c>
      <c r="E186" s="163">
        <f>(E45-D$3)</f>
        <v>290640</v>
      </c>
      <c r="F186" s="466">
        <f>(Varta!W20)+J2</f>
        <v>282000</v>
      </c>
    </row>
    <row r="187" spans="1:6" ht="15.6">
      <c r="A187" s="742" t="s">
        <v>1883</v>
      </c>
      <c r="B187" s="163">
        <f>(B46-D$3)</f>
        <v>344540</v>
      </c>
      <c r="C187" s="759">
        <f t="shared" si="47"/>
        <v>57423.333333333336</v>
      </c>
      <c r="D187" s="740">
        <f t="shared" si="48"/>
        <v>114846.66666666667</v>
      </c>
      <c r="E187" s="163">
        <f>(E46-D$3)</f>
        <v>302590</v>
      </c>
      <c r="F187" s="466">
        <f>('Willard - Elpra'!AA12)+J2</f>
        <v>293600</v>
      </c>
    </row>
    <row r="188" spans="1:6" ht="15.6">
      <c r="A188" s="738" t="s">
        <v>1884</v>
      </c>
      <c r="B188" s="832" t="s">
        <v>1839</v>
      </c>
      <c r="C188" s="751" t="s">
        <v>1840</v>
      </c>
      <c r="D188" s="751" t="s">
        <v>1841</v>
      </c>
      <c r="E188" s="758" t="s">
        <v>1842</v>
      </c>
      <c r="F188" s="761" t="s">
        <v>1843</v>
      </c>
    </row>
    <row r="189" spans="1:6" ht="15.6">
      <c r="A189" s="862" t="s">
        <v>2117</v>
      </c>
      <c r="B189" s="163">
        <f>(B48-D$3)</f>
        <v>251400</v>
      </c>
      <c r="C189" s="759">
        <f t="shared" ref="C189:C191" si="49">(B189/6)</f>
        <v>41900</v>
      </c>
      <c r="D189" s="740">
        <f t="shared" ref="D189:D191" si="50">(B189/3)</f>
        <v>83800</v>
      </c>
      <c r="E189" s="163">
        <f>(E48-D$3)</f>
        <v>220600</v>
      </c>
      <c r="F189" s="466">
        <f>('Acubat-Lubeck'!AL15)+J2</f>
        <v>214000</v>
      </c>
    </row>
    <row r="190" spans="1:6" ht="15.6">
      <c r="A190" s="739" t="s">
        <v>2118</v>
      </c>
      <c r="B190" s="163">
        <f>(B49-D$3)</f>
        <v>280588</v>
      </c>
      <c r="C190" s="759">
        <f t="shared" si="49"/>
        <v>46764.666666666664</v>
      </c>
      <c r="D190" s="740">
        <f t="shared" si="50"/>
        <v>93529.333333333328</v>
      </c>
      <c r="E190" s="163">
        <f>(E49-D$3)</f>
        <v>250470</v>
      </c>
      <c r="F190" s="466">
        <f>(Moura!X24)+J2</f>
        <v>243000</v>
      </c>
    </row>
    <row r="191" spans="1:6" ht="15.6">
      <c r="A191" s="753" t="s">
        <v>2119</v>
      </c>
      <c r="B191" s="163">
        <f>(B50-D$3)</f>
        <v>291180</v>
      </c>
      <c r="C191" s="759">
        <f t="shared" si="49"/>
        <v>48530</v>
      </c>
      <c r="D191" s="740">
        <f t="shared" si="50"/>
        <v>97060</v>
      </c>
      <c r="E191" s="163">
        <f>(E50-D$3)</f>
        <v>255620</v>
      </c>
      <c r="F191" s="466">
        <f>(Varta!W8)+J2</f>
        <v>248000</v>
      </c>
    </row>
    <row r="192" spans="1:6" ht="15.6">
      <c r="A192" s="743" t="s">
        <v>1888</v>
      </c>
      <c r="B192" s="840" t="s">
        <v>1839</v>
      </c>
      <c r="C192" s="841" t="s">
        <v>1840</v>
      </c>
      <c r="D192" s="841" t="s">
        <v>1841</v>
      </c>
      <c r="E192" s="842" t="s">
        <v>1842</v>
      </c>
      <c r="F192" s="843" t="s">
        <v>1843</v>
      </c>
    </row>
    <row r="193" spans="1:7" ht="15.6">
      <c r="A193" s="742" t="s">
        <v>2120</v>
      </c>
      <c r="B193" s="163">
        <f t="shared" ref="B193:B200" si="51">(B52-D$2)</f>
        <v>277630</v>
      </c>
      <c r="C193" s="163">
        <f t="shared" ref="C193:C198" si="52">(B193/6)</f>
        <v>46271.666666666664</v>
      </c>
      <c r="D193" s="163">
        <f t="shared" ref="D193:D200" si="53">(B193/3)</f>
        <v>92543.333333333328</v>
      </c>
      <c r="E193" s="163">
        <f t="shared" ref="E193:E200" si="54">(E52-D$2)</f>
        <v>244170</v>
      </c>
      <c r="F193" s="466">
        <f>(Varta!W30)+J2</f>
        <v>237000</v>
      </c>
      <c r="G193" s="921"/>
    </row>
    <row r="194" spans="1:7" ht="15.6">
      <c r="A194" s="744" t="s">
        <v>2121</v>
      </c>
      <c r="B194" s="163">
        <f t="shared" si="51"/>
        <v>273628</v>
      </c>
      <c r="C194" s="163">
        <f t="shared" si="52"/>
        <v>45604.666666666664</v>
      </c>
      <c r="D194" s="163">
        <f t="shared" si="53"/>
        <v>91209.333333333328</v>
      </c>
      <c r="E194" s="163">
        <f t="shared" si="54"/>
        <v>244170</v>
      </c>
      <c r="F194" s="466" t="e">
        <f>(Moura!#REF!)+J2</f>
        <v>#REF!</v>
      </c>
      <c r="G194" s="921"/>
    </row>
    <row r="195" spans="1:7" ht="15.6">
      <c r="A195" s="744" t="s">
        <v>1891</v>
      </c>
      <c r="B195" s="163">
        <f t="shared" si="51"/>
        <v>281140</v>
      </c>
      <c r="C195" s="163">
        <f t="shared" si="52"/>
        <v>46856.666666666664</v>
      </c>
      <c r="D195" s="163">
        <f t="shared" si="53"/>
        <v>93713.333333333328</v>
      </c>
      <c r="E195" s="163">
        <f t="shared" si="54"/>
        <v>247260</v>
      </c>
      <c r="F195" s="466">
        <f>('Willard - Elpra'!AA18)+J2</f>
        <v>240000</v>
      </c>
      <c r="G195" s="921"/>
    </row>
    <row r="196" spans="1:7" ht="15.6">
      <c r="A196" s="742" t="s">
        <v>2122</v>
      </c>
      <c r="B196" s="163">
        <f t="shared" si="51"/>
        <v>337300</v>
      </c>
      <c r="C196" s="163">
        <f t="shared" si="52"/>
        <v>56216.666666666664</v>
      </c>
      <c r="D196" s="163">
        <f t="shared" si="53"/>
        <v>112433.33333333333</v>
      </c>
      <c r="E196" s="163">
        <f t="shared" si="54"/>
        <v>296700</v>
      </c>
      <c r="F196" s="466">
        <f>(Varta!W31+J2)</f>
        <v>288000</v>
      </c>
      <c r="G196" s="921"/>
    </row>
    <row r="197" spans="1:7" ht="15.6">
      <c r="A197" s="742" t="s">
        <v>2123</v>
      </c>
      <c r="B197" s="163">
        <f t="shared" si="51"/>
        <v>345548</v>
      </c>
      <c r="C197" s="163">
        <f t="shared" si="52"/>
        <v>57591.333333333336</v>
      </c>
      <c r="D197" s="163">
        <f t="shared" si="53"/>
        <v>115182.66666666667</v>
      </c>
      <c r="E197" s="163">
        <f t="shared" si="54"/>
        <v>308030</v>
      </c>
      <c r="F197" s="466">
        <f>(Moura!X32)+J2</f>
        <v>299000</v>
      </c>
      <c r="G197" s="921"/>
    </row>
    <row r="198" spans="1:7" ht="15.6">
      <c r="A198" s="742" t="s">
        <v>1894</v>
      </c>
      <c r="B198" s="163">
        <f t="shared" si="51"/>
        <v>337300</v>
      </c>
      <c r="C198" s="163">
        <f t="shared" si="52"/>
        <v>56216.666666666664</v>
      </c>
      <c r="D198" s="163">
        <f t="shared" si="53"/>
        <v>112433.33333333333</v>
      </c>
      <c r="E198" s="163">
        <f t="shared" si="54"/>
        <v>296700</v>
      </c>
      <c r="F198" s="466">
        <f>('Willard - Elpra'!AA19+J2)</f>
        <v>288000</v>
      </c>
      <c r="G198" s="921"/>
    </row>
    <row r="199" spans="1:7" ht="15.6">
      <c r="A199" s="742" t="s">
        <v>2124</v>
      </c>
      <c r="B199" s="163">
        <f t="shared" si="51"/>
        <v>433708</v>
      </c>
      <c r="C199" s="163">
        <f>(B199/6)</f>
        <v>72284.666666666672</v>
      </c>
      <c r="D199" s="163">
        <f t="shared" si="53"/>
        <v>144569.33333333334</v>
      </c>
      <c r="E199" s="163">
        <f t="shared" si="54"/>
        <v>386310</v>
      </c>
      <c r="F199" s="466">
        <f>(Moura!X33)+J2</f>
        <v>375000</v>
      </c>
      <c r="G199" s="921"/>
    </row>
    <row r="200" spans="1:7" ht="16.2" thickBot="1">
      <c r="A200" s="745" t="s">
        <v>2125</v>
      </c>
      <c r="B200" s="366">
        <f t="shared" si="51"/>
        <v>540428</v>
      </c>
      <c r="C200" s="366">
        <f>(B200/6)</f>
        <v>90071.333333333328</v>
      </c>
      <c r="D200" s="366">
        <f t="shared" si="53"/>
        <v>180142.66666666666</v>
      </c>
      <c r="E200" s="366">
        <f t="shared" si="54"/>
        <v>481070</v>
      </c>
      <c r="F200" s="746">
        <f>(Moura!X34+J2)</f>
        <v>467000</v>
      </c>
      <c r="G200" s="171"/>
    </row>
    <row r="201" spans="1:7" ht="15.6">
      <c r="A201" s="170"/>
      <c r="B201" s="171"/>
      <c r="C201" s="171"/>
      <c r="D201" s="171"/>
      <c r="E201" s="171"/>
      <c r="F201" s="171"/>
      <c r="G201" s="171"/>
    </row>
    <row r="202" spans="1:7" ht="15.6">
      <c r="A202" s="170"/>
      <c r="B202" s="171"/>
      <c r="C202" s="171"/>
      <c r="D202" s="171"/>
      <c r="E202" s="171"/>
      <c r="F202" s="171"/>
      <c r="G202" s="171"/>
    </row>
    <row r="203" spans="1:7" ht="15.6">
      <c r="A203" s="170"/>
      <c r="B203" s="171"/>
      <c r="C203" s="171"/>
      <c r="D203" s="171"/>
      <c r="E203" s="171"/>
      <c r="F203" s="171"/>
      <c r="G203" s="171"/>
    </row>
    <row r="204" spans="1:7" ht="15.6">
      <c r="A204" s="170"/>
      <c r="B204" s="171"/>
      <c r="C204" s="171"/>
      <c r="D204" s="171"/>
      <c r="E204" s="171"/>
      <c r="F204" s="171"/>
      <c r="G204" s="171"/>
    </row>
    <row r="205" spans="1:7" ht="15.6">
      <c r="A205" s="170"/>
      <c r="B205" s="171"/>
      <c r="C205" s="171"/>
      <c r="D205" s="171"/>
      <c r="E205" s="171"/>
      <c r="F205" s="171"/>
      <c r="G205" s="171"/>
    </row>
    <row r="206" spans="1:7" ht="15.6">
      <c r="A206" s="170"/>
      <c r="B206" s="171"/>
      <c r="C206" s="171"/>
      <c r="D206" s="171"/>
      <c r="E206" s="171"/>
      <c r="F206" s="171"/>
      <c r="G206" s="171"/>
    </row>
    <row r="207" spans="1:7" ht="15.6">
      <c r="A207" s="170"/>
      <c r="B207" s="171"/>
      <c r="C207" s="171"/>
      <c r="D207" s="171"/>
      <c r="E207" s="171"/>
      <c r="F207" s="171"/>
      <c r="G207" s="171"/>
    </row>
    <row r="208" spans="1:7" ht="15.6">
      <c r="A208" s="170"/>
      <c r="B208" s="171"/>
      <c r="C208" s="171"/>
      <c r="D208" s="171"/>
      <c r="E208" s="171"/>
      <c r="F208" s="171"/>
      <c r="G208" s="171"/>
    </row>
    <row r="209" spans="1:7" ht="15.6">
      <c r="A209" s="170"/>
      <c r="B209" s="171"/>
      <c r="C209" s="171"/>
      <c r="D209" s="171"/>
      <c r="E209" s="171"/>
      <c r="F209" s="171"/>
      <c r="G209" s="171"/>
    </row>
    <row r="210" spans="1:7" ht="15.6">
      <c r="A210" s="170"/>
      <c r="B210" s="171"/>
      <c r="C210" s="171"/>
      <c r="D210" s="171"/>
      <c r="E210" s="171"/>
      <c r="F210" s="171"/>
      <c r="G210" s="171"/>
    </row>
    <row r="211" spans="1:7" ht="15.6">
      <c r="A211" s="170"/>
      <c r="B211" s="171"/>
      <c r="C211" s="171"/>
      <c r="D211" s="171"/>
      <c r="E211" s="171"/>
      <c r="F211" s="171"/>
      <c r="G211" s="171"/>
    </row>
    <row r="212" spans="1:7" ht="15.6">
      <c r="A212" s="170"/>
      <c r="B212" s="171"/>
      <c r="C212" s="171"/>
      <c r="D212" s="171"/>
      <c r="E212" s="171"/>
      <c r="F212" s="171"/>
      <c r="G212" s="171"/>
    </row>
    <row r="213" spans="1:7" ht="15.6">
      <c r="A213" s="170"/>
      <c r="B213" s="171"/>
      <c r="C213" s="171"/>
      <c r="D213" s="171"/>
      <c r="E213" s="171"/>
      <c r="F213" s="171"/>
      <c r="G213" s="171"/>
    </row>
    <row r="214" spans="1:7" ht="15.6">
      <c r="A214" s="170"/>
      <c r="B214" s="171"/>
      <c r="C214" s="171"/>
      <c r="D214" s="171"/>
      <c r="E214" s="171"/>
      <c r="F214" s="171"/>
      <c r="G214" s="171"/>
    </row>
    <row r="215" spans="1:7" ht="15.6">
      <c r="A215" s="170"/>
      <c r="B215" s="171"/>
      <c r="C215" s="171"/>
      <c r="D215" s="171"/>
      <c r="E215" s="171"/>
      <c r="F215" s="171"/>
      <c r="G215" s="171"/>
    </row>
    <row r="216" spans="1:7" ht="15.6">
      <c r="A216" s="170"/>
      <c r="B216" s="171"/>
      <c r="C216" s="171"/>
      <c r="D216" s="171"/>
      <c r="E216" s="171"/>
      <c r="F216" s="171"/>
      <c r="G216" s="171"/>
    </row>
    <row r="217" spans="1:7" ht="15.6">
      <c r="A217" s="170"/>
      <c r="B217" s="171"/>
      <c r="C217" s="171"/>
      <c r="D217" s="171"/>
      <c r="E217" s="171"/>
      <c r="F217" s="171"/>
      <c r="G217" s="171"/>
    </row>
    <row r="218" spans="1:7" ht="15.6">
      <c r="A218" s="170"/>
      <c r="B218" s="171"/>
      <c r="C218" s="171"/>
      <c r="D218" s="171"/>
      <c r="E218" s="172" t="s">
        <v>1938</v>
      </c>
      <c r="F218" s="172"/>
      <c r="G218" s="171"/>
    </row>
    <row r="219" spans="1:7" ht="15.6">
      <c r="A219" s="105" t="s">
        <v>1833</v>
      </c>
      <c r="B219" s="160"/>
      <c r="C219" s="160"/>
      <c r="D219" s="767" t="s">
        <v>1937</v>
      </c>
      <c r="E219" s="770"/>
      <c r="F219" s="770"/>
      <c r="G219" s="172"/>
    </row>
    <row r="220" spans="1:7" ht="16.2" thickBot="1">
      <c r="A220" s="105" t="s">
        <v>1836</v>
      </c>
      <c r="B220" s="160"/>
      <c r="C220" s="160"/>
      <c r="D220" s="921"/>
      <c r="E220" s="186"/>
      <c r="F220" s="186"/>
      <c r="G220" s="755"/>
    </row>
    <row r="221" spans="1:7" ht="16.2" thickBot="1">
      <c r="A221" s="737">
        <v>45768</v>
      </c>
      <c r="B221" s="1012" t="s">
        <v>1837</v>
      </c>
      <c r="C221" s="1013"/>
      <c r="D221" s="1013"/>
      <c r="E221" s="839"/>
      <c r="F221" s="766"/>
      <c r="G221" s="172"/>
    </row>
    <row r="222" spans="1:7" ht="15.6">
      <c r="A222" s="833" t="s">
        <v>1898</v>
      </c>
      <c r="B222" s="834" t="s">
        <v>1839</v>
      </c>
      <c r="C222" s="835" t="s">
        <v>1840</v>
      </c>
      <c r="D222" s="835" t="s">
        <v>1841</v>
      </c>
      <c r="E222" s="836" t="s">
        <v>1842</v>
      </c>
      <c r="F222" s="837" t="s">
        <v>1843</v>
      </c>
      <c r="G222" s="921"/>
    </row>
    <row r="223" spans="1:7" ht="15.6">
      <c r="A223" s="742" t="s">
        <v>1899</v>
      </c>
      <c r="B223" s="163">
        <f>(B90-D$85)</f>
        <v>152210</v>
      </c>
      <c r="C223" s="759">
        <f t="shared" ref="C223:C233" si="55">(B223/6)</f>
        <v>25368.333333333332</v>
      </c>
      <c r="D223" s="740">
        <f t="shared" ref="D223:D233" si="56">(B223/3)</f>
        <v>50736.666666666664</v>
      </c>
      <c r="E223" s="163">
        <f t="shared" ref="E223:E228" si="57">(E90-D$2)</f>
        <v>133760</v>
      </c>
      <c r="F223" s="466">
        <f>('Willard - Elpra'!AA4)+J2</f>
        <v>129800</v>
      </c>
      <c r="G223" s="921"/>
    </row>
    <row r="224" spans="1:7" ht="15.6">
      <c r="A224" s="742" t="s">
        <v>2126</v>
      </c>
      <c r="B224" s="163">
        <f t="shared" ref="B224:B228" si="58">(B91-D$85)</f>
        <v>148348</v>
      </c>
      <c r="C224" s="759">
        <f t="shared" si="55"/>
        <v>24724.666666666668</v>
      </c>
      <c r="D224" s="740">
        <f t="shared" si="56"/>
        <v>49449.333333333336</v>
      </c>
      <c r="E224" s="163">
        <f t="shared" si="57"/>
        <v>132930</v>
      </c>
      <c r="F224" s="466">
        <f>(Moura!X17)+J2</f>
        <v>129000</v>
      </c>
      <c r="G224" s="921"/>
    </row>
    <row r="225" spans="1:6" ht="15.6">
      <c r="A225" s="742" t="s">
        <v>2127</v>
      </c>
      <c r="B225" s="163">
        <f t="shared" si="58"/>
        <v>152440</v>
      </c>
      <c r="C225" s="759">
        <f t="shared" si="55"/>
        <v>25406.666666666668</v>
      </c>
      <c r="D225" s="740">
        <f t="shared" si="56"/>
        <v>50813.333333333336</v>
      </c>
      <c r="E225" s="163">
        <f t="shared" si="57"/>
        <v>133960</v>
      </c>
      <c r="F225" s="466">
        <f>(Varta!W9)+J2</f>
        <v>130000</v>
      </c>
    </row>
    <row r="226" spans="1:6" ht="15.6">
      <c r="A226" s="742" t="s">
        <v>1902</v>
      </c>
      <c r="B226" s="163">
        <f t="shared" si="58"/>
        <v>176660</v>
      </c>
      <c r="C226" s="759">
        <f t="shared" si="55"/>
        <v>29443.333333333332</v>
      </c>
      <c r="D226" s="740">
        <f t="shared" si="56"/>
        <v>58886.666666666664</v>
      </c>
      <c r="E226" s="163">
        <f t="shared" si="57"/>
        <v>155290</v>
      </c>
      <c r="F226" s="466">
        <f>('Willard - Elpra'!AA5)+J2</f>
        <v>150700</v>
      </c>
    </row>
    <row r="227" spans="1:6" ht="15.6">
      <c r="A227" s="742" t="s">
        <v>2128</v>
      </c>
      <c r="B227" s="163">
        <f t="shared" si="58"/>
        <v>166908</v>
      </c>
      <c r="C227" s="759">
        <f t="shared" si="55"/>
        <v>27818</v>
      </c>
      <c r="D227" s="740">
        <f t="shared" si="56"/>
        <v>55636</v>
      </c>
      <c r="E227" s="163">
        <f t="shared" si="57"/>
        <v>149410</v>
      </c>
      <c r="F227" s="466">
        <f>(Moura!X18)+J2</f>
        <v>145000</v>
      </c>
    </row>
    <row r="228" spans="1:6" ht="15.6">
      <c r="A228" s="742" t="s">
        <v>2129</v>
      </c>
      <c r="B228" s="163">
        <f t="shared" si="58"/>
        <v>162970</v>
      </c>
      <c r="C228" s="759">
        <f t="shared" si="55"/>
        <v>27161.666666666668</v>
      </c>
      <c r="D228" s="740">
        <f t="shared" si="56"/>
        <v>54323.333333333336</v>
      </c>
      <c r="E228" s="163">
        <f t="shared" si="57"/>
        <v>143230</v>
      </c>
      <c r="F228" s="466">
        <f>(Varta!W12)+J2</f>
        <v>139000</v>
      </c>
    </row>
    <row r="229" spans="1:6" ht="15.6">
      <c r="A229" s="742" t="s">
        <v>2130</v>
      </c>
      <c r="B229" s="163">
        <f>(B96-D$86)</f>
        <v>229548</v>
      </c>
      <c r="C229" s="759">
        <f t="shared" si="55"/>
        <v>38258</v>
      </c>
      <c r="D229" s="740">
        <f t="shared" si="56"/>
        <v>76516</v>
      </c>
      <c r="E229" s="163">
        <f>(E96-D$3)</f>
        <v>205150</v>
      </c>
      <c r="F229" s="466">
        <f>(Moura!X19)+J2</f>
        <v>199000</v>
      </c>
    </row>
    <row r="230" spans="1:6" ht="15.6">
      <c r="A230" s="742" t="s">
        <v>2131</v>
      </c>
      <c r="B230" s="163">
        <f t="shared" ref="B230:B233" si="59">(B97-D$86)</f>
        <v>223320</v>
      </c>
      <c r="C230" s="759">
        <f t="shared" si="55"/>
        <v>37220</v>
      </c>
      <c r="D230" s="740">
        <f t="shared" si="56"/>
        <v>74440</v>
      </c>
      <c r="E230" s="163">
        <f>(E97-D$3)</f>
        <v>195880</v>
      </c>
      <c r="F230" s="466">
        <f>(Varta!W17)+J2</f>
        <v>190000</v>
      </c>
    </row>
    <row r="231" spans="1:6" ht="15.6">
      <c r="A231" s="753" t="s">
        <v>2132</v>
      </c>
      <c r="B231" s="163">
        <f t="shared" si="59"/>
        <v>277108</v>
      </c>
      <c r="C231" s="759">
        <f t="shared" si="55"/>
        <v>46184.666666666664</v>
      </c>
      <c r="D231" s="740">
        <f t="shared" si="56"/>
        <v>92369.333333333328</v>
      </c>
      <c r="E231" s="163">
        <f>(E98-D$3)</f>
        <v>247380</v>
      </c>
      <c r="F231" s="466">
        <f>(Moura!X22)+J2</f>
        <v>240000</v>
      </c>
    </row>
    <row r="232" spans="1:6" ht="15.6">
      <c r="A232" s="742" t="s">
        <v>2133</v>
      </c>
      <c r="B232" s="163">
        <f t="shared" si="59"/>
        <v>288840</v>
      </c>
      <c r="C232" s="759">
        <f t="shared" si="55"/>
        <v>48140</v>
      </c>
      <c r="D232" s="740">
        <f t="shared" si="56"/>
        <v>96280</v>
      </c>
      <c r="E232" s="163">
        <f>(E99-D$3)</f>
        <v>253560</v>
      </c>
      <c r="F232" s="466">
        <f>(Varta!W18)+J2</f>
        <v>246000</v>
      </c>
    </row>
    <row r="233" spans="1:6" ht="15.6">
      <c r="A233" s="753" t="s">
        <v>2134</v>
      </c>
      <c r="B233" s="163">
        <f t="shared" si="59"/>
        <v>281820</v>
      </c>
      <c r="C233" s="759">
        <f t="shared" si="55"/>
        <v>46970</v>
      </c>
      <c r="D233" s="740">
        <f t="shared" si="56"/>
        <v>93940</v>
      </c>
      <c r="E233" s="163">
        <f>(E100-D$3)</f>
        <v>247380</v>
      </c>
      <c r="F233" s="466">
        <f>(Moura!X23)+J2</f>
        <v>240000</v>
      </c>
    </row>
    <row r="234" spans="1:6" ht="15.6">
      <c r="A234" s="738" t="s">
        <v>1910</v>
      </c>
      <c r="B234" s="832" t="s">
        <v>1839</v>
      </c>
      <c r="C234" s="751" t="s">
        <v>1840</v>
      </c>
      <c r="D234" s="751" t="s">
        <v>1841</v>
      </c>
      <c r="E234" s="758" t="s">
        <v>1842</v>
      </c>
      <c r="F234" s="761" t="s">
        <v>1843</v>
      </c>
    </row>
    <row r="235" spans="1:6" ht="15.6">
      <c r="A235" s="752" t="s">
        <v>2135</v>
      </c>
      <c r="B235" s="163">
        <f>(B102-D$87)</f>
        <v>384988</v>
      </c>
      <c r="C235" s="759">
        <f t="shared" ref="C235:C236" si="60">(B235/6)</f>
        <v>64164.666666666664</v>
      </c>
      <c r="D235" s="740">
        <f t="shared" ref="D235:D236" si="61">(B235/3)</f>
        <v>128329.33333333333</v>
      </c>
      <c r="E235" s="163">
        <f>(E102-D$4)</f>
        <v>343320</v>
      </c>
      <c r="F235" s="466">
        <f>(Moura!X26)+J2</f>
        <v>333000</v>
      </c>
    </row>
    <row r="236" spans="1:6" ht="15.6">
      <c r="A236" s="752" t="s">
        <v>2136</v>
      </c>
      <c r="B236" s="163">
        <f>(B103-D$87)</f>
        <v>399670</v>
      </c>
      <c r="C236" s="759">
        <f t="shared" si="60"/>
        <v>66611.666666666672</v>
      </c>
      <c r="D236" s="740">
        <f t="shared" si="61"/>
        <v>133223.33333333334</v>
      </c>
      <c r="E236" s="163">
        <f>(E103-D$4)</f>
        <v>350530</v>
      </c>
      <c r="F236" s="466">
        <f>(Varta!W21)+J2</f>
        <v>340000</v>
      </c>
    </row>
    <row r="237" spans="1:6" ht="15.6">
      <c r="A237" s="738" t="s">
        <v>1913</v>
      </c>
      <c r="B237" s="832" t="s">
        <v>1839</v>
      </c>
      <c r="C237" s="751" t="s">
        <v>1840</v>
      </c>
      <c r="D237" s="751" t="s">
        <v>1841</v>
      </c>
      <c r="E237" s="758" t="s">
        <v>1842</v>
      </c>
      <c r="F237" s="761" t="s">
        <v>1843</v>
      </c>
    </row>
    <row r="238" spans="1:6" ht="15.6">
      <c r="A238" s="752" t="s">
        <v>1914</v>
      </c>
      <c r="B238" s="163">
        <f>(B105-D$87)</f>
        <v>357730</v>
      </c>
      <c r="C238" s="759">
        <f t="shared" ref="C238:C242" si="62">(B238/6)</f>
        <v>59621.666666666664</v>
      </c>
      <c r="D238" s="740">
        <f t="shared" ref="D238:D242" si="63">(B238/3)</f>
        <v>119243.33333333333</v>
      </c>
      <c r="E238" s="163">
        <f>(E105-D$4)</f>
        <v>313610</v>
      </c>
      <c r="F238" s="466">
        <f>('Acubat-Lubeck'!AL17)+J2</f>
        <v>304150</v>
      </c>
    </row>
    <row r="239" spans="1:6" ht="15.6">
      <c r="A239" s="752" t="s">
        <v>1915</v>
      </c>
      <c r="B239" s="163">
        <f t="shared" ref="B239:B242" si="64">(B106-D$87)</f>
        <v>468180</v>
      </c>
      <c r="C239" s="759">
        <f t="shared" si="62"/>
        <v>78030</v>
      </c>
      <c r="D239" s="740">
        <f t="shared" si="63"/>
        <v>156060</v>
      </c>
      <c r="E239" s="163">
        <f>(E106-D$4)</f>
        <v>410840</v>
      </c>
      <c r="F239" s="466">
        <f>('Willard - Elpra'!AA16)+J2</f>
        <v>398550</v>
      </c>
    </row>
    <row r="240" spans="1:6" ht="15.6">
      <c r="A240" s="752" t="s">
        <v>2137</v>
      </c>
      <c r="B240" s="163">
        <f t="shared" si="64"/>
        <v>446420</v>
      </c>
      <c r="C240" s="759">
        <f t="shared" si="62"/>
        <v>74403.333333333328</v>
      </c>
      <c r="D240" s="740">
        <f t="shared" si="63"/>
        <v>148806.66666666666</v>
      </c>
      <c r="E240" s="163">
        <f>(E107-D$4)</f>
        <v>391680</v>
      </c>
      <c r="F240" s="466">
        <f>(Varta!W23)+J2</f>
        <v>379950</v>
      </c>
    </row>
    <row r="241" spans="1:6" ht="15.6">
      <c r="A241" s="752" t="s">
        <v>2138</v>
      </c>
      <c r="B241" s="163">
        <f t="shared" si="64"/>
        <v>484748</v>
      </c>
      <c r="C241" s="759">
        <f t="shared" si="62"/>
        <v>80791.333333333328</v>
      </c>
      <c r="D241" s="740">
        <f t="shared" si="63"/>
        <v>161582.66666666666</v>
      </c>
      <c r="E241" s="163">
        <f>(E108-D$4)</f>
        <v>431900</v>
      </c>
      <c r="F241" s="466">
        <f>(Moura!X28)+J2</f>
        <v>419000</v>
      </c>
    </row>
    <row r="242" spans="1:6" ht="15.6">
      <c r="A242" s="752" t="s">
        <v>2139</v>
      </c>
      <c r="B242" s="163">
        <f t="shared" si="64"/>
        <v>458170</v>
      </c>
      <c r="C242" s="759">
        <f t="shared" si="62"/>
        <v>76361.666666666672</v>
      </c>
      <c r="D242" s="740">
        <f t="shared" si="63"/>
        <v>152723.33333333334</v>
      </c>
      <c r="E242" s="163">
        <f>(E109-D$4)</f>
        <v>402030</v>
      </c>
      <c r="F242" s="466">
        <f>(Varta!W24)+J2</f>
        <v>390000</v>
      </c>
    </row>
    <row r="243" spans="1:6" ht="15.6">
      <c r="A243" s="738" t="s">
        <v>1919</v>
      </c>
      <c r="B243" s="832" t="s">
        <v>1839</v>
      </c>
      <c r="C243" s="751" t="s">
        <v>1840</v>
      </c>
      <c r="D243" s="751" t="s">
        <v>1841</v>
      </c>
      <c r="E243" s="758" t="s">
        <v>1842</v>
      </c>
      <c r="F243" s="761" t="s">
        <v>1843</v>
      </c>
    </row>
    <row r="244" spans="1:6" ht="15.6">
      <c r="A244" s="752" t="s">
        <v>2140</v>
      </c>
      <c r="B244" s="163">
        <f>(B111-D$87)</f>
        <v>544640</v>
      </c>
      <c r="C244" s="759">
        <f t="shared" ref="C244:C246" si="65">(B244/6)</f>
        <v>90773.333333333328</v>
      </c>
      <c r="D244" s="740">
        <f t="shared" ref="D244:D246" si="66">(B244/3)</f>
        <v>181546.66666666666</v>
      </c>
      <c r="E244" s="163">
        <f>(E111-D$4)</f>
        <v>478150</v>
      </c>
      <c r="F244" s="466">
        <f>(Varta!W26)+J2</f>
        <v>463900</v>
      </c>
    </row>
    <row r="245" spans="1:6" ht="15.6">
      <c r="A245" s="752" t="s">
        <v>2141</v>
      </c>
      <c r="B245" s="163">
        <f t="shared" ref="B245:B246" si="67">(B112-D$87)</f>
        <v>555170</v>
      </c>
      <c r="C245" s="759">
        <f t="shared" si="65"/>
        <v>92528.333333333328</v>
      </c>
      <c r="D245" s="740">
        <f t="shared" si="66"/>
        <v>185056.66666666666</v>
      </c>
      <c r="E245" s="163">
        <f>(E112-D$4)</f>
        <v>487420</v>
      </c>
      <c r="F245" s="466">
        <f>(Varta!W27)+J2</f>
        <v>472900</v>
      </c>
    </row>
    <row r="246" spans="1:6" ht="15.6">
      <c r="A246" s="752" t="s">
        <v>2142</v>
      </c>
      <c r="B246" s="163">
        <f t="shared" si="67"/>
        <v>774070</v>
      </c>
      <c r="C246" s="759">
        <f t="shared" si="65"/>
        <v>129011.66666666667</v>
      </c>
      <c r="D246" s="740">
        <f t="shared" si="66"/>
        <v>258023.33333333334</v>
      </c>
      <c r="E246" s="163">
        <f>(E113-D$4)</f>
        <v>680130</v>
      </c>
      <c r="F246" s="466">
        <f>(Varta!W28)+J2</f>
        <v>660000</v>
      </c>
    </row>
    <row r="247" spans="1:6" ht="15.6">
      <c r="A247" s="738" t="s">
        <v>1923</v>
      </c>
      <c r="B247" s="832" t="s">
        <v>1839</v>
      </c>
      <c r="C247" s="751" t="s">
        <v>1840</v>
      </c>
      <c r="D247" s="751" t="s">
        <v>1841</v>
      </c>
      <c r="E247" s="758" t="s">
        <v>1842</v>
      </c>
      <c r="F247" s="761" t="s">
        <v>1843</v>
      </c>
    </row>
    <row r="248" spans="1:6" ht="15.6">
      <c r="A248" s="752" t="s">
        <v>1924</v>
      </c>
      <c r="B248" s="163">
        <f>(B115-D$87)</f>
        <v>553470</v>
      </c>
      <c r="C248" s="759">
        <f t="shared" ref="C248" si="68">(B248/6)</f>
        <v>92245</v>
      </c>
      <c r="D248" s="740">
        <f t="shared" ref="D248" si="69">(B248/3)</f>
        <v>184490</v>
      </c>
      <c r="E248" s="163">
        <f>(E115-D$4)</f>
        <v>485930</v>
      </c>
      <c r="F248" s="466">
        <f>('Willard - Elpra'!AA17)+J2</f>
        <v>476450</v>
      </c>
    </row>
    <row r="249" spans="1:6" ht="15.6">
      <c r="A249" s="738" t="s">
        <v>1925</v>
      </c>
      <c r="B249" s="832" t="s">
        <v>1839</v>
      </c>
      <c r="C249" s="751" t="s">
        <v>1840</v>
      </c>
      <c r="D249" s="751" t="s">
        <v>1841</v>
      </c>
      <c r="E249" s="758" t="s">
        <v>1842</v>
      </c>
      <c r="F249" s="761" t="s">
        <v>1843</v>
      </c>
    </row>
    <row r="250" spans="1:6" ht="15.6">
      <c r="A250" s="752" t="s">
        <v>1926</v>
      </c>
      <c r="B250" s="163">
        <f>(B117-D$86)</f>
        <v>421580</v>
      </c>
      <c r="C250" s="759">
        <f t="shared" ref="C250" si="70">(B250/6)</f>
        <v>70263.333333333328</v>
      </c>
      <c r="D250" s="740">
        <f t="shared" ref="D250" si="71">(B250/3)</f>
        <v>140526.66666666666</v>
      </c>
      <c r="E250" s="163">
        <f>(E117-D$3)</f>
        <v>370420</v>
      </c>
      <c r="F250" s="466">
        <f>('Willard - Elpra'!L22)+J2</f>
        <v>359450</v>
      </c>
    </row>
    <row r="251" spans="1:6" ht="15.6">
      <c r="A251" s="738" t="s">
        <v>1927</v>
      </c>
      <c r="B251" s="832" t="s">
        <v>1839</v>
      </c>
      <c r="C251" s="751" t="s">
        <v>1840</v>
      </c>
      <c r="D251" s="751" t="s">
        <v>1841</v>
      </c>
      <c r="E251" s="758" t="s">
        <v>1842</v>
      </c>
      <c r="F251" s="761" t="s">
        <v>1843</v>
      </c>
    </row>
    <row r="252" spans="1:6" ht="15.6">
      <c r="A252" s="752" t="s">
        <v>1928</v>
      </c>
      <c r="B252" s="163">
        <f>(B119-D$86)</f>
        <v>525540</v>
      </c>
      <c r="C252" s="759">
        <f t="shared" ref="C252:C259" si="72">(B252/6)</f>
        <v>87590</v>
      </c>
      <c r="D252" s="740">
        <f t="shared" ref="D252:D259" si="73">(B252/3)</f>
        <v>175180</v>
      </c>
      <c r="E252" s="163">
        <f>(E119-D$3)</f>
        <v>461930</v>
      </c>
      <c r="F252" s="466">
        <f>('Willard - Elpra'!L23)+J2</f>
        <v>448300</v>
      </c>
    </row>
    <row r="253" spans="1:6" ht="15.6">
      <c r="A253" s="752" t="s">
        <v>1929</v>
      </c>
      <c r="B253" s="163">
        <f t="shared" ref="B253" si="74">(B120-D$85)</f>
        <v>304540</v>
      </c>
      <c r="C253" s="759">
        <f t="shared" si="72"/>
        <v>50756.666666666664</v>
      </c>
      <c r="D253" s="740">
        <f t="shared" si="73"/>
        <v>101513.33333333333</v>
      </c>
      <c r="E253" s="163">
        <f>(E120-D$2)</f>
        <v>267860</v>
      </c>
      <c r="F253" s="466">
        <f>(Varta!W32)+J2</f>
        <v>260000</v>
      </c>
    </row>
    <row r="254" spans="1:6" ht="15.6">
      <c r="A254" s="752" t="s">
        <v>1930</v>
      </c>
      <c r="B254" s="163">
        <f>(B121-D$86)</f>
        <v>466680</v>
      </c>
      <c r="C254" s="759">
        <f t="shared" si="72"/>
        <v>77780</v>
      </c>
      <c r="D254" s="740">
        <f t="shared" si="73"/>
        <v>155560</v>
      </c>
      <c r="E254" s="163">
        <f>(E121-D$3)</f>
        <v>410120</v>
      </c>
      <c r="F254" s="466">
        <v>378000</v>
      </c>
    </row>
    <row r="255" spans="1:6" ht="15.6">
      <c r="A255" s="752" t="s">
        <v>1931</v>
      </c>
      <c r="B255" s="163">
        <f>(B122-D$86)</f>
        <v>642770</v>
      </c>
      <c r="C255" s="759">
        <f t="shared" si="72"/>
        <v>107128.33333333333</v>
      </c>
      <c r="D255" s="740">
        <f t="shared" si="73"/>
        <v>214256.66666666666</v>
      </c>
      <c r="E255" s="163">
        <f>(E122-D$3)</f>
        <v>565140</v>
      </c>
      <c r="F255" s="466">
        <f>('Battery Trading'!R5)+J2</f>
        <v>548500</v>
      </c>
    </row>
    <row r="256" spans="1:6" ht="15.6">
      <c r="A256" s="752" t="s">
        <v>1932</v>
      </c>
      <c r="B256" s="163">
        <f>(B123-D$86)</f>
        <v>829380</v>
      </c>
      <c r="C256" s="759">
        <f t="shared" si="72"/>
        <v>138230</v>
      </c>
      <c r="D256" s="740">
        <f t="shared" si="73"/>
        <v>276460</v>
      </c>
      <c r="E256" s="163">
        <f>(E123-D$3)</f>
        <v>729420</v>
      </c>
      <c r="F256" s="466">
        <f>(Moura!X48)+J2</f>
        <v>708000</v>
      </c>
    </row>
    <row r="257" spans="1:6" ht="15.6">
      <c r="A257" s="752" t="s">
        <v>1933</v>
      </c>
      <c r="B257" s="163">
        <f>(B124-D$86)</f>
        <v>669680</v>
      </c>
      <c r="C257" s="759">
        <f t="shared" si="72"/>
        <v>111613.33333333333</v>
      </c>
      <c r="D257" s="740">
        <f t="shared" si="73"/>
        <v>223226.66666666666</v>
      </c>
      <c r="E257" s="163">
        <f>(E124-D$3)</f>
        <v>588830</v>
      </c>
      <c r="F257" s="466">
        <f>(Newmax!O3)+J2</f>
        <v>498000</v>
      </c>
    </row>
    <row r="258" spans="1:6" ht="15.6">
      <c r="A258" s="752" t="s">
        <v>1934</v>
      </c>
      <c r="B258" s="163">
        <f>(B125-D$87)</f>
        <v>778170</v>
      </c>
      <c r="C258" s="759">
        <f t="shared" si="72"/>
        <v>129695</v>
      </c>
      <c r="D258" s="740">
        <f t="shared" si="73"/>
        <v>259390</v>
      </c>
      <c r="E258" s="163">
        <f>(E125-D$4)</f>
        <v>683740</v>
      </c>
      <c r="F258" s="466">
        <f>(Newmax!O4)+J2</f>
        <v>578000</v>
      </c>
    </row>
    <row r="259" spans="1:6" ht="16.2" thickBot="1">
      <c r="A259" s="754" t="s">
        <v>1935</v>
      </c>
      <c r="B259" s="366">
        <f>(B126-D$87)</f>
        <v>939630</v>
      </c>
      <c r="C259" s="760">
        <f t="shared" si="72"/>
        <v>156605</v>
      </c>
      <c r="D259" s="746">
        <f t="shared" si="73"/>
        <v>313210</v>
      </c>
      <c r="E259" s="366">
        <f>(E126-D$4)</f>
        <v>825880</v>
      </c>
      <c r="F259" s="762">
        <f>(Newmax!O5)+J2</f>
        <v>698000</v>
      </c>
    </row>
    <row r="441" spans="7:7" ht="15.6">
      <c r="G441" s="288"/>
    </row>
    <row r="442" spans="7:7" ht="15.6">
      <c r="G442" s="288"/>
    </row>
    <row r="443" spans="7:7" ht="15.6">
      <c r="G443" s="288"/>
    </row>
    <row r="444" spans="7:7" ht="15.6">
      <c r="G444" s="288"/>
    </row>
    <row r="445" spans="7:7" ht="15.6">
      <c r="G445" s="288"/>
    </row>
    <row r="446" spans="7:7" ht="15.6">
      <c r="G446" s="288"/>
    </row>
    <row r="447" spans="7:7" ht="15.6">
      <c r="G447" s="288"/>
    </row>
    <row r="448" spans="7:7" ht="15.6">
      <c r="G448" s="288"/>
    </row>
    <row r="449" spans="7:7" ht="15.6">
      <c r="G449" s="288"/>
    </row>
    <row r="450" spans="7:7" ht="15.6">
      <c r="G450" s="288"/>
    </row>
    <row r="451" spans="7:7" ht="15.6">
      <c r="G451" s="288"/>
    </row>
    <row r="452" spans="7:7" ht="15.6">
      <c r="G452" s="288"/>
    </row>
    <row r="453" spans="7:7" ht="15.6">
      <c r="G453" s="288"/>
    </row>
    <row r="454" spans="7:7" ht="15.6">
      <c r="G454" s="288"/>
    </row>
    <row r="455" spans="7:7" ht="15.6">
      <c r="G455" s="171"/>
    </row>
    <row r="457" spans="7:7" ht="15.6">
      <c r="G457" s="160"/>
    </row>
  </sheetData>
  <mergeCells count="6">
    <mergeCell ref="B221:D221"/>
    <mergeCell ref="B1:D1"/>
    <mergeCell ref="B84:D84"/>
    <mergeCell ref="B5:D5"/>
    <mergeCell ref="B88:D88"/>
    <mergeCell ref="B146:D146"/>
  </mergeCells>
  <pageMargins left="0.7" right="0.7" top="0.75" bottom="0.75" header="0.3" footer="0.3"/>
  <pageSetup paperSize="9" fitToHeight="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AA108"/>
  <sheetViews>
    <sheetView topLeftCell="B29" workbookViewId="0">
      <selection activeCell="J98" sqref="J98"/>
    </sheetView>
  </sheetViews>
  <sheetFormatPr baseColWidth="10" defaultColWidth="11.44140625" defaultRowHeight="14.4"/>
  <cols>
    <col min="2" max="2" width="33.88671875" customWidth="1"/>
    <col min="4" max="4" width="11.44140625" style="920"/>
    <col min="5" max="5" width="12.6640625" style="920" bestFit="1" customWidth="1"/>
    <col min="6" max="6" width="12.88671875" bestFit="1" customWidth="1"/>
    <col min="7" max="7" width="2.6640625" style="921" customWidth="1"/>
    <col min="8" max="9" width="12.88671875" style="921" customWidth="1"/>
    <col min="10" max="10" width="16.5546875" style="921" customWidth="1"/>
    <col min="11" max="11" width="12.6640625" style="1" bestFit="1" customWidth="1"/>
    <col min="12" max="13" width="13" bestFit="1" customWidth="1"/>
    <col min="14" max="14" width="13" style="921" customWidth="1"/>
    <col min="15" max="15" width="9.44140625" bestFit="1" customWidth="1"/>
    <col min="16" max="16" width="13" bestFit="1" customWidth="1"/>
    <col min="17" max="17" width="13" customWidth="1"/>
    <col min="18" max="18" width="13" bestFit="1" customWidth="1"/>
    <col min="21" max="21" width="13" customWidth="1"/>
  </cols>
  <sheetData>
    <row r="1" spans="1:22" ht="21.6" thickBot="1">
      <c r="A1" s="14" t="s">
        <v>2143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40"/>
      <c r="P1" s="1"/>
      <c r="Q1" s="1"/>
      <c r="R1" s="921"/>
      <c r="S1" s="921"/>
      <c r="T1" s="921"/>
      <c r="U1" s="1"/>
      <c r="V1" s="921"/>
    </row>
    <row r="2" spans="1:22">
      <c r="A2" s="3"/>
      <c r="B2" s="3"/>
      <c r="C2" s="147">
        <v>45292</v>
      </c>
      <c r="D2" s="147"/>
      <c r="E2" s="147"/>
      <c r="F2" s="353">
        <v>1200</v>
      </c>
      <c r="G2" s="353"/>
      <c r="H2" s="353"/>
      <c r="I2" s="353"/>
      <c r="J2" s="353"/>
      <c r="L2" s="9">
        <v>0.6</v>
      </c>
      <c r="M2" s="1"/>
      <c r="N2" s="1"/>
      <c r="O2" s="1"/>
      <c r="P2" s="216">
        <v>45385</v>
      </c>
      <c r="Q2" s="414"/>
      <c r="R2" s="921"/>
      <c r="S2" s="40"/>
      <c r="T2" s="921"/>
      <c r="U2" s="414"/>
      <c r="V2" s="921"/>
    </row>
    <row r="3" spans="1:22">
      <c r="A3" s="381" t="s">
        <v>2144</v>
      </c>
      <c r="B3" s="382"/>
      <c r="C3" s="383"/>
      <c r="D3" s="383"/>
      <c r="E3" s="383"/>
      <c r="F3" s="384"/>
      <c r="G3" s="247"/>
      <c r="H3" s="247"/>
      <c r="I3" s="247"/>
      <c r="J3" s="247"/>
      <c r="L3" s="242"/>
      <c r="M3" s="242"/>
      <c r="N3" s="934"/>
      <c r="O3" s="1"/>
      <c r="P3" s="117">
        <v>39900</v>
      </c>
      <c r="Q3" s="440">
        <f t="shared" ref="Q3:Q11" si="0">CEILING(P3,50)</f>
        <v>39900</v>
      </c>
      <c r="R3" s="372"/>
      <c r="S3" s="372"/>
      <c r="T3" s="385"/>
      <c r="U3" s="440">
        <f>(Q3)</f>
        <v>39900</v>
      </c>
      <c r="V3" s="40"/>
    </row>
    <row r="4" spans="1:22">
      <c r="A4" s="381" t="s">
        <v>2145</v>
      </c>
      <c r="B4" s="382"/>
      <c r="C4" s="383"/>
      <c r="D4" s="383"/>
      <c r="E4" s="383"/>
      <c r="F4" s="384"/>
      <c r="G4" s="247"/>
      <c r="H4" s="247"/>
      <c r="I4" s="247"/>
      <c r="J4" s="247"/>
      <c r="L4" s="242"/>
      <c r="M4" s="242"/>
      <c r="N4" s="934"/>
      <c r="O4" s="1"/>
      <c r="P4" s="117">
        <v>39900</v>
      </c>
      <c r="Q4" s="440">
        <f t="shared" si="0"/>
        <v>39900</v>
      </c>
      <c r="R4" s="372"/>
      <c r="S4" s="372"/>
      <c r="T4" s="385"/>
      <c r="U4" s="440">
        <f t="shared" ref="U4:U11" si="1">(Q4)</f>
        <v>39900</v>
      </c>
      <c r="V4" s="40"/>
    </row>
    <row r="5" spans="1:22">
      <c r="A5" s="377" t="s">
        <v>2146</v>
      </c>
      <c r="B5" s="378">
        <v>5</v>
      </c>
      <c r="C5" s="380">
        <v>23</v>
      </c>
      <c r="D5" s="380"/>
      <c r="E5" s="380"/>
      <c r="F5" s="376">
        <f t="shared" ref="F5:F10" si="2">(C5*F$2)</f>
        <v>27600</v>
      </c>
      <c r="G5" s="932"/>
      <c r="H5" s="932"/>
      <c r="I5" s="932"/>
      <c r="J5" s="932"/>
      <c r="K5" s="241"/>
      <c r="L5" s="243">
        <f>(F5*1.6)</f>
        <v>44160</v>
      </c>
      <c r="M5" s="244">
        <f>(L5*1.21)</f>
        <v>53433.599999999999</v>
      </c>
      <c r="N5" s="935"/>
      <c r="O5" s="1"/>
      <c r="P5" s="117">
        <v>42000</v>
      </c>
      <c r="Q5" s="440">
        <f t="shared" si="0"/>
        <v>42000</v>
      </c>
      <c r="R5" s="370">
        <f>(Q5/1.21)</f>
        <v>34710.74380165289</v>
      </c>
      <c r="S5" s="371">
        <f>(R5-F5)/F5</f>
        <v>0.25763564498742358</v>
      </c>
      <c r="T5" s="191">
        <f>(R5-F5)/R5</f>
        <v>0.20485714285714282</v>
      </c>
      <c r="U5" s="440">
        <f t="shared" si="1"/>
        <v>42000</v>
      </c>
      <c r="V5" s="921"/>
    </row>
    <row r="6" spans="1:22">
      <c r="A6" s="377" t="s">
        <v>2147</v>
      </c>
      <c r="B6" s="378">
        <v>7</v>
      </c>
      <c r="C6" s="380">
        <v>28</v>
      </c>
      <c r="D6" s="380"/>
      <c r="E6" s="380"/>
      <c r="F6" s="376">
        <f t="shared" si="2"/>
        <v>33600</v>
      </c>
      <c r="G6" s="932"/>
      <c r="H6" s="932"/>
      <c r="I6" s="932"/>
      <c r="J6" s="932"/>
      <c r="K6" s="241"/>
      <c r="L6" s="243">
        <f>(F6*1.6)</f>
        <v>53760</v>
      </c>
      <c r="M6" s="244">
        <f t="shared" ref="M6:M20" si="3">(L6*1.21)</f>
        <v>65049.599999999999</v>
      </c>
      <c r="N6" s="935"/>
      <c r="O6" s="1"/>
      <c r="P6" s="117">
        <v>49350</v>
      </c>
      <c r="Q6" s="440">
        <f t="shared" si="0"/>
        <v>49350</v>
      </c>
      <c r="R6" s="370">
        <f t="shared" ref="R6:R61" si="4">(Q6/1.21)</f>
        <v>40785.123966942148</v>
      </c>
      <c r="S6" s="371">
        <f>(R6-F6)/F6</f>
        <v>0.21384297520661155</v>
      </c>
      <c r="T6" s="191">
        <f>(R6-F6)/R6</f>
        <v>0.17617021276595743</v>
      </c>
      <c r="U6" s="440">
        <f t="shared" si="1"/>
        <v>49350</v>
      </c>
      <c r="V6" s="921"/>
    </row>
    <row r="7" spans="1:22">
      <c r="A7" s="377" t="s">
        <v>2148</v>
      </c>
      <c r="B7" s="379">
        <v>8.5</v>
      </c>
      <c r="C7" s="380">
        <v>36</v>
      </c>
      <c r="D7" s="380"/>
      <c r="E7" s="380"/>
      <c r="F7" s="376">
        <f t="shared" si="2"/>
        <v>43200</v>
      </c>
      <c r="G7" s="932"/>
      <c r="H7" s="932"/>
      <c r="I7" s="932"/>
      <c r="J7" s="932"/>
      <c r="K7" s="241"/>
      <c r="L7" s="243"/>
      <c r="M7" s="244"/>
      <c r="N7" s="935"/>
      <c r="O7" s="1"/>
      <c r="P7" s="117">
        <v>0</v>
      </c>
      <c r="Q7" s="440">
        <f t="shared" si="0"/>
        <v>0</v>
      </c>
      <c r="R7" s="370">
        <f t="shared" si="4"/>
        <v>0</v>
      </c>
      <c r="S7" s="371"/>
      <c r="T7" s="191"/>
      <c r="U7" s="440">
        <f t="shared" si="1"/>
        <v>0</v>
      </c>
      <c r="V7" s="921"/>
    </row>
    <row r="8" spans="1:22">
      <c r="A8" s="377" t="s">
        <v>2149</v>
      </c>
      <c r="B8" s="378">
        <v>12</v>
      </c>
      <c r="C8" s="380">
        <v>90</v>
      </c>
      <c r="D8" s="380"/>
      <c r="E8" s="380"/>
      <c r="F8" s="376">
        <f t="shared" si="2"/>
        <v>108000</v>
      </c>
      <c r="G8" s="932"/>
      <c r="H8" s="932"/>
      <c r="I8" s="932"/>
      <c r="J8" s="932"/>
      <c r="K8" s="241"/>
      <c r="L8" s="243">
        <f>(F8*1.6)</f>
        <v>172800</v>
      </c>
      <c r="M8" s="244">
        <f t="shared" si="3"/>
        <v>209088</v>
      </c>
      <c r="N8" s="935"/>
      <c r="O8" s="1"/>
      <c r="P8" s="117">
        <v>141750</v>
      </c>
      <c r="Q8" s="440">
        <f t="shared" si="0"/>
        <v>141750</v>
      </c>
      <c r="R8" s="370">
        <f t="shared" si="4"/>
        <v>117148.76033057852</v>
      </c>
      <c r="S8" s="371">
        <f>(R8-F8)/F8</f>
        <v>8.471074380165293E-2</v>
      </c>
      <c r="T8" s="191">
        <f t="shared" ref="T8:T11" si="5">(R8-F8)/R8</f>
        <v>7.809523809523812E-2</v>
      </c>
      <c r="U8" s="440">
        <f t="shared" si="1"/>
        <v>141750</v>
      </c>
      <c r="V8" s="921"/>
    </row>
    <row r="9" spans="1:22">
      <c r="A9" s="377" t="s">
        <v>2150</v>
      </c>
      <c r="B9" s="378">
        <v>18</v>
      </c>
      <c r="C9" s="411">
        <v>63</v>
      </c>
      <c r="D9" s="411"/>
      <c r="E9" s="411"/>
      <c r="F9" s="376">
        <f t="shared" si="2"/>
        <v>75600</v>
      </c>
      <c r="G9" s="932"/>
      <c r="H9" s="932"/>
      <c r="I9" s="932"/>
      <c r="J9" s="932"/>
      <c r="K9" s="241"/>
      <c r="L9" s="243">
        <f>(F9*1.6)</f>
        <v>120960</v>
      </c>
      <c r="M9" s="244">
        <f t="shared" si="3"/>
        <v>146361.60000000001</v>
      </c>
      <c r="N9" s="935"/>
      <c r="O9" s="1"/>
      <c r="P9" s="117">
        <v>115500</v>
      </c>
      <c r="Q9" s="440">
        <f t="shared" si="0"/>
        <v>115500</v>
      </c>
      <c r="R9" s="370">
        <f t="shared" si="4"/>
        <v>95454.545454545456</v>
      </c>
      <c r="S9" s="371">
        <f>(R9-F9)/F9</f>
        <v>0.26262626262626265</v>
      </c>
      <c r="T9" s="191">
        <f t="shared" si="5"/>
        <v>0.20800000000000002</v>
      </c>
      <c r="U9" s="440">
        <f t="shared" si="1"/>
        <v>115500</v>
      </c>
      <c r="V9" s="921"/>
    </row>
    <row r="10" spans="1:22">
      <c r="A10" s="377" t="s">
        <v>2151</v>
      </c>
      <c r="B10" s="378">
        <v>24</v>
      </c>
      <c r="C10" s="380">
        <v>100</v>
      </c>
      <c r="D10" s="380"/>
      <c r="E10" s="380"/>
      <c r="F10" s="376">
        <f t="shared" si="2"/>
        <v>120000</v>
      </c>
      <c r="G10" s="932"/>
      <c r="H10" s="932"/>
      <c r="I10" s="932"/>
      <c r="J10" s="932"/>
      <c r="K10" s="241"/>
      <c r="L10" s="243">
        <f>(F10*1.6)</f>
        <v>192000</v>
      </c>
      <c r="M10" s="244">
        <f t="shared" si="3"/>
        <v>232320</v>
      </c>
      <c r="N10" s="935"/>
      <c r="O10" s="1"/>
      <c r="P10" s="117">
        <v>194250</v>
      </c>
      <c r="Q10" s="440">
        <f t="shared" si="0"/>
        <v>194250</v>
      </c>
      <c r="R10" s="370">
        <f>(Q10/1.21)</f>
        <v>160537.19008264464</v>
      </c>
      <c r="S10" s="371">
        <f>(R10-F10)/F10</f>
        <v>0.33780991735537197</v>
      </c>
      <c r="T10" s="191">
        <f t="shared" si="5"/>
        <v>0.25250965250965257</v>
      </c>
      <c r="U10" s="440">
        <f t="shared" si="1"/>
        <v>194250</v>
      </c>
      <c r="V10" s="921"/>
    </row>
    <row r="11" spans="1:22">
      <c r="A11" s="377" t="s">
        <v>2152</v>
      </c>
      <c r="B11" s="378">
        <v>38</v>
      </c>
      <c r="C11" s="380">
        <v>170</v>
      </c>
      <c r="D11" s="380"/>
      <c r="E11" s="380"/>
      <c r="F11" s="376">
        <v>185175</v>
      </c>
      <c r="G11" s="932"/>
      <c r="H11" s="932"/>
      <c r="I11" s="932"/>
      <c r="J11" s="932"/>
      <c r="K11" s="241"/>
      <c r="L11" s="243">
        <f>(F11*1.6)</f>
        <v>296280</v>
      </c>
      <c r="M11" s="244">
        <f t="shared" si="3"/>
        <v>358498.8</v>
      </c>
      <c r="N11" s="935"/>
      <c r="O11" s="1"/>
      <c r="P11" s="117">
        <v>304500</v>
      </c>
      <c r="Q11" s="440">
        <f t="shared" si="0"/>
        <v>304500</v>
      </c>
      <c r="R11" s="370">
        <f t="shared" si="4"/>
        <v>251652.89256198349</v>
      </c>
      <c r="S11" s="371">
        <f>(R11-F11)/F11</f>
        <v>0.35900036485477788</v>
      </c>
      <c r="T11" s="191">
        <f t="shared" si="5"/>
        <v>0.26416502463054192</v>
      </c>
      <c r="U11" s="440">
        <f t="shared" si="1"/>
        <v>304500</v>
      </c>
      <c r="V11" s="921"/>
    </row>
    <row r="12" spans="1:22">
      <c r="A12" s="377" t="s">
        <v>2153</v>
      </c>
      <c r="B12" s="378">
        <v>65</v>
      </c>
      <c r="C12" s="380">
        <v>278</v>
      </c>
      <c r="D12" s="380"/>
      <c r="E12" s="380"/>
      <c r="F12" s="376">
        <f>(C12*F$2)</f>
        <v>333600</v>
      </c>
      <c r="G12" s="932"/>
      <c r="H12" s="932"/>
      <c r="I12" s="932"/>
      <c r="J12" s="932"/>
      <c r="L12" s="242"/>
      <c r="M12" s="242"/>
      <c r="N12" s="934"/>
      <c r="O12" s="921"/>
      <c r="P12" s="345"/>
      <c r="Q12" s="440"/>
      <c r="R12" s="370">
        <f t="shared" si="4"/>
        <v>0</v>
      </c>
      <c r="S12" s="372"/>
      <c r="T12" s="242"/>
      <c r="U12" s="440"/>
      <c r="V12" s="921"/>
    </row>
    <row r="13" spans="1:22">
      <c r="A13" s="377" t="s">
        <v>2154</v>
      </c>
      <c r="B13" s="378">
        <v>90</v>
      </c>
      <c r="C13" s="380">
        <v>567</v>
      </c>
      <c r="D13" s="380"/>
      <c r="E13" s="380"/>
      <c r="F13" s="376">
        <f>(C13*F$2)</f>
        <v>680400</v>
      </c>
      <c r="G13" s="932"/>
      <c r="H13" s="932"/>
      <c r="I13" s="932"/>
      <c r="J13" s="932"/>
      <c r="L13" s="242"/>
      <c r="M13" s="242"/>
      <c r="N13" s="934"/>
      <c r="O13" s="921"/>
      <c r="P13" s="345"/>
      <c r="Q13" s="440"/>
      <c r="R13" s="370">
        <f t="shared" si="4"/>
        <v>0</v>
      </c>
      <c r="S13" s="372"/>
      <c r="T13" s="242"/>
      <c r="U13" s="440"/>
      <c r="V13" s="921"/>
    </row>
    <row r="14" spans="1:22">
      <c r="A14" s="377" t="s">
        <v>2155</v>
      </c>
      <c r="B14" s="378">
        <v>100</v>
      </c>
      <c r="C14" s="380">
        <v>638</v>
      </c>
      <c r="D14" s="380"/>
      <c r="E14" s="380"/>
      <c r="F14" s="376">
        <f>(C14*F$2)</f>
        <v>765600</v>
      </c>
      <c r="G14" s="932"/>
      <c r="H14" s="932"/>
      <c r="I14" s="932"/>
      <c r="J14" s="932"/>
      <c r="L14" s="242"/>
      <c r="M14" s="242"/>
      <c r="N14" s="934"/>
      <c r="O14" s="921"/>
      <c r="P14" s="345"/>
      <c r="Q14" s="440"/>
      <c r="R14" s="370">
        <f t="shared" si="4"/>
        <v>0</v>
      </c>
      <c r="S14" s="372"/>
      <c r="T14" s="242"/>
      <c r="U14" s="440"/>
      <c r="V14" s="921"/>
    </row>
    <row r="15" spans="1:22" ht="21.6" thickBot="1">
      <c r="A15" s="14" t="s">
        <v>2156</v>
      </c>
      <c r="B15" s="1"/>
      <c r="C15" s="1"/>
      <c r="D15" s="1"/>
      <c r="E15" s="1"/>
      <c r="F15" s="1"/>
      <c r="G15" s="1"/>
      <c r="H15" s="1"/>
      <c r="I15" s="1"/>
      <c r="J15" s="1"/>
      <c r="L15" s="241"/>
      <c r="M15" s="1"/>
      <c r="N15" s="1"/>
      <c r="O15" s="1"/>
      <c r="P15" s="135"/>
      <c r="Q15" s="440"/>
      <c r="R15" s="370">
        <f t="shared" si="4"/>
        <v>0</v>
      </c>
      <c r="S15" s="921"/>
      <c r="T15" s="921"/>
      <c r="U15" s="440"/>
      <c r="V15" s="921"/>
    </row>
    <row r="16" spans="1:22">
      <c r="A16" s="3"/>
      <c r="B16" s="3"/>
      <c r="C16" s="147">
        <v>45292</v>
      </c>
      <c r="D16" s="147"/>
      <c r="E16" s="147"/>
      <c r="F16" s="1"/>
      <c r="G16" s="1"/>
      <c r="H16" s="1"/>
      <c r="I16" s="1"/>
      <c r="J16" s="1"/>
      <c r="L16" s="241"/>
      <c r="M16" s="1"/>
      <c r="N16" s="1"/>
      <c r="O16" s="1"/>
      <c r="P16" s="216">
        <v>45385</v>
      </c>
      <c r="Q16" s="440"/>
      <c r="R16" s="370">
        <f t="shared" si="4"/>
        <v>0</v>
      </c>
      <c r="S16" s="198"/>
      <c r="T16" s="197"/>
      <c r="U16" s="440"/>
      <c r="V16" s="921"/>
    </row>
    <row r="17" spans="1:21">
      <c r="A17" s="393" t="s">
        <v>2157</v>
      </c>
      <c r="B17" s="394">
        <v>5</v>
      </c>
      <c r="C17" s="395">
        <v>19</v>
      </c>
      <c r="D17" s="395"/>
      <c r="E17" s="395"/>
      <c r="F17" s="354">
        <f t="shared" ref="F17:F22" si="6">(C17*F$2)</f>
        <v>22800</v>
      </c>
      <c r="G17" s="933"/>
      <c r="H17" s="933"/>
      <c r="I17" s="933"/>
      <c r="J17" s="933"/>
      <c r="K17" s="241"/>
      <c r="L17" s="401">
        <f>(F17*1.6)</f>
        <v>36480</v>
      </c>
      <c r="M17" s="402">
        <f t="shared" si="3"/>
        <v>44140.799999999996</v>
      </c>
      <c r="N17" s="936"/>
      <c r="O17" s="1"/>
      <c r="P17" s="345"/>
      <c r="Q17" s="440">
        <f t="shared" ref="Q17:Q34" si="7">CEILING(P17,50)</f>
        <v>0</v>
      </c>
      <c r="R17" s="370">
        <f t="shared" si="4"/>
        <v>0</v>
      </c>
      <c r="S17" s="372"/>
      <c r="T17" s="242"/>
      <c r="U17" s="440">
        <f t="shared" ref="U17:V41" si="8">CEILING(T17,50)</f>
        <v>0</v>
      </c>
    </row>
    <row r="18" spans="1:21">
      <c r="A18" s="396" t="s">
        <v>2158</v>
      </c>
      <c r="B18" s="397">
        <v>7</v>
      </c>
      <c r="C18" s="398">
        <v>25</v>
      </c>
      <c r="D18" s="398"/>
      <c r="E18" s="398"/>
      <c r="F18" s="354">
        <f t="shared" si="6"/>
        <v>30000</v>
      </c>
      <c r="G18" s="933"/>
      <c r="H18" s="933"/>
      <c r="I18" s="933"/>
      <c r="J18" s="933"/>
      <c r="K18" s="241"/>
      <c r="L18" s="401">
        <f>(F18*1.6)</f>
        <v>48000</v>
      </c>
      <c r="M18" s="402">
        <f t="shared" si="3"/>
        <v>58080</v>
      </c>
      <c r="N18" s="936"/>
      <c r="O18" s="1"/>
      <c r="P18" s="117">
        <v>22260</v>
      </c>
      <c r="Q18" s="440">
        <f t="shared" si="7"/>
        <v>22300</v>
      </c>
      <c r="R18" s="370">
        <f t="shared" si="4"/>
        <v>18429.752066115703</v>
      </c>
      <c r="S18" s="199">
        <f>(R18-F18)/F18</f>
        <v>-0.38567493112947654</v>
      </c>
      <c r="T18" s="191">
        <f>(R18-F18)/R18</f>
        <v>-0.62780269058295957</v>
      </c>
      <c r="U18" s="440">
        <f>(Q18)</f>
        <v>22300</v>
      </c>
    </row>
    <row r="19" spans="1:21">
      <c r="A19" s="393" t="s">
        <v>2159</v>
      </c>
      <c r="B19" s="394">
        <v>8</v>
      </c>
      <c r="C19" s="395">
        <v>30</v>
      </c>
      <c r="D19" s="395"/>
      <c r="E19" s="395"/>
      <c r="F19" s="354">
        <f t="shared" si="6"/>
        <v>36000</v>
      </c>
      <c r="G19" s="933"/>
      <c r="H19" s="933"/>
      <c r="I19" s="933"/>
      <c r="J19" s="933"/>
      <c r="K19" s="241"/>
      <c r="L19" s="401">
        <f>(F19*1.6)</f>
        <v>57600</v>
      </c>
      <c r="M19" s="402">
        <f t="shared" si="3"/>
        <v>69696</v>
      </c>
      <c r="N19" s="936"/>
      <c r="O19" s="1"/>
      <c r="P19" s="117">
        <v>0</v>
      </c>
      <c r="Q19" s="440">
        <f t="shared" si="7"/>
        <v>0</v>
      </c>
      <c r="R19" s="370">
        <f t="shared" si="4"/>
        <v>0</v>
      </c>
      <c r="S19" s="199">
        <f t="shared" ref="S19:S23" si="9">(R19-F19)/F19</f>
        <v>-1</v>
      </c>
      <c r="T19" s="191" t="e">
        <f t="shared" ref="T19:T22" si="10">(R19-F19)/R19</f>
        <v>#DIV/0!</v>
      </c>
      <c r="U19" s="440">
        <f t="shared" ref="U19:U22" si="11">(Q19)</f>
        <v>0</v>
      </c>
    </row>
    <row r="20" spans="1:21">
      <c r="A20" s="396" t="s">
        <v>2160</v>
      </c>
      <c r="B20" s="399">
        <v>12</v>
      </c>
      <c r="C20" s="398">
        <v>45</v>
      </c>
      <c r="D20" s="398"/>
      <c r="E20" s="398"/>
      <c r="F20" s="354">
        <f t="shared" si="6"/>
        <v>54000</v>
      </c>
      <c r="G20" s="933"/>
      <c r="H20" s="933"/>
      <c r="I20" s="933"/>
      <c r="J20" s="933"/>
      <c r="K20" s="241"/>
      <c r="L20" s="401">
        <f>(F20*1.6)</f>
        <v>86400</v>
      </c>
      <c r="M20" s="402">
        <f t="shared" si="3"/>
        <v>104544</v>
      </c>
      <c r="N20" s="936"/>
      <c r="O20" s="1"/>
      <c r="P20" s="117">
        <v>50100</v>
      </c>
      <c r="Q20" s="440">
        <f t="shared" si="7"/>
        <v>50100</v>
      </c>
      <c r="R20" s="370">
        <f t="shared" si="4"/>
        <v>41404.958677685951</v>
      </c>
      <c r="S20" s="199">
        <f t="shared" si="9"/>
        <v>-0.23324150596877868</v>
      </c>
      <c r="T20" s="191">
        <f t="shared" si="10"/>
        <v>-0.30419161676646705</v>
      </c>
      <c r="U20" s="440">
        <f t="shared" si="11"/>
        <v>50100</v>
      </c>
    </row>
    <row r="21" spans="1:21">
      <c r="A21" s="393" t="s">
        <v>2161</v>
      </c>
      <c r="B21" s="400">
        <v>17</v>
      </c>
      <c r="C21" s="395">
        <v>58</v>
      </c>
      <c r="D21" s="395"/>
      <c r="E21" s="395"/>
      <c r="F21" s="354">
        <f t="shared" si="6"/>
        <v>69600</v>
      </c>
      <c r="G21" s="933"/>
      <c r="H21" s="933"/>
      <c r="I21" s="933"/>
      <c r="J21" s="933"/>
      <c r="L21" s="242"/>
      <c r="M21" s="242"/>
      <c r="N21" s="934"/>
      <c r="O21" s="921"/>
      <c r="P21" s="117">
        <v>81660</v>
      </c>
      <c r="Q21" s="440">
        <f t="shared" si="7"/>
        <v>81700</v>
      </c>
      <c r="R21" s="370">
        <f t="shared" si="4"/>
        <v>67520.661157024791</v>
      </c>
      <c r="S21" s="199">
        <f t="shared" si="9"/>
        <v>-2.9875558088724261E-2</v>
      </c>
      <c r="T21" s="191">
        <f t="shared" si="10"/>
        <v>-3.0795593635250949E-2</v>
      </c>
      <c r="U21" s="440">
        <f t="shared" si="11"/>
        <v>81700</v>
      </c>
    </row>
    <row r="22" spans="1:21">
      <c r="A22" s="396" t="s">
        <v>2162</v>
      </c>
      <c r="B22" s="399">
        <v>24</v>
      </c>
      <c r="C22" s="398">
        <v>98</v>
      </c>
      <c r="D22" s="398"/>
      <c r="E22" s="398"/>
      <c r="F22" s="354">
        <f t="shared" si="6"/>
        <v>117600</v>
      </c>
      <c r="G22" s="933"/>
      <c r="H22" s="933"/>
      <c r="I22" s="933"/>
      <c r="J22" s="933"/>
      <c r="L22" s="242"/>
      <c r="M22" s="242"/>
      <c r="N22" s="934"/>
      <c r="O22" s="921"/>
      <c r="P22" s="117">
        <v>109800</v>
      </c>
      <c r="Q22" s="440">
        <f t="shared" si="7"/>
        <v>109800</v>
      </c>
      <c r="R22" s="370">
        <f t="shared" si="4"/>
        <v>90743.801652892565</v>
      </c>
      <c r="S22" s="199">
        <f t="shared" si="9"/>
        <v>-0.22836903356383872</v>
      </c>
      <c r="T22" s="191">
        <f t="shared" si="10"/>
        <v>-0.2959562841530054</v>
      </c>
      <c r="U22" s="440">
        <f t="shared" si="11"/>
        <v>109800</v>
      </c>
    </row>
    <row r="23" spans="1:21">
      <c r="A23" s="393" t="s">
        <v>2163</v>
      </c>
      <c r="B23" s="400">
        <v>33</v>
      </c>
      <c r="C23" s="395">
        <v>129</v>
      </c>
      <c r="D23" s="395"/>
      <c r="E23" s="395"/>
      <c r="F23" s="354"/>
      <c r="G23" s="933"/>
      <c r="H23" s="933"/>
      <c r="I23" s="933"/>
      <c r="J23" s="933"/>
      <c r="L23" s="242"/>
      <c r="M23" s="242"/>
      <c r="N23" s="934"/>
      <c r="O23" s="921"/>
      <c r="P23" s="117">
        <v>0</v>
      </c>
      <c r="Q23" s="440">
        <f t="shared" si="7"/>
        <v>0</v>
      </c>
      <c r="R23" s="370">
        <f t="shared" si="4"/>
        <v>0</v>
      </c>
      <c r="S23" s="199" t="e">
        <f t="shared" si="9"/>
        <v>#DIV/0!</v>
      </c>
      <c r="T23" s="191"/>
      <c r="U23" s="440">
        <f t="shared" si="8"/>
        <v>0</v>
      </c>
    </row>
    <row r="24" spans="1:21">
      <c r="A24" s="396" t="s">
        <v>2164</v>
      </c>
      <c r="B24" s="399">
        <v>40</v>
      </c>
      <c r="C24" s="398">
        <v>148</v>
      </c>
      <c r="D24" s="398"/>
      <c r="E24" s="398"/>
      <c r="F24" s="354"/>
      <c r="G24" s="933"/>
      <c r="H24" s="933"/>
      <c r="I24" s="933"/>
      <c r="J24" s="933"/>
      <c r="L24" s="242"/>
      <c r="M24" s="242"/>
      <c r="N24" s="934"/>
      <c r="O24" s="921"/>
      <c r="P24" s="117">
        <v>0</v>
      </c>
      <c r="Q24" s="440">
        <f t="shared" si="7"/>
        <v>0</v>
      </c>
      <c r="R24" s="370">
        <f t="shared" si="4"/>
        <v>0</v>
      </c>
      <c r="S24" s="190"/>
      <c r="T24" s="191"/>
      <c r="U24" s="440">
        <f t="shared" si="8"/>
        <v>0</v>
      </c>
    </row>
    <row r="25" spans="1:21">
      <c r="A25" s="393" t="s">
        <v>2165</v>
      </c>
      <c r="B25" s="400">
        <v>55</v>
      </c>
      <c r="C25" s="395">
        <v>232</v>
      </c>
      <c r="D25" s="395"/>
      <c r="E25" s="395"/>
      <c r="F25" s="354"/>
      <c r="G25" s="933"/>
      <c r="H25" s="933"/>
      <c r="I25" s="933"/>
      <c r="J25" s="933"/>
      <c r="L25" s="242"/>
      <c r="M25" s="242"/>
      <c r="N25" s="934"/>
      <c r="O25" s="921"/>
      <c r="P25" s="117">
        <v>0</v>
      </c>
      <c r="Q25" s="440">
        <f t="shared" si="7"/>
        <v>0</v>
      </c>
      <c r="R25" s="370">
        <f t="shared" si="4"/>
        <v>0</v>
      </c>
      <c r="S25" s="190"/>
      <c r="T25" s="191"/>
      <c r="U25" s="440">
        <f t="shared" si="8"/>
        <v>0</v>
      </c>
    </row>
    <row r="26" spans="1:21">
      <c r="A26" s="396" t="s">
        <v>2166</v>
      </c>
      <c r="B26" s="399">
        <v>65</v>
      </c>
      <c r="C26" s="398">
        <v>257</v>
      </c>
      <c r="D26" s="398"/>
      <c r="E26" s="398"/>
      <c r="F26" s="354"/>
      <c r="G26" s="933"/>
      <c r="H26" s="933"/>
      <c r="I26" s="933"/>
      <c r="J26" s="933"/>
      <c r="L26" s="242"/>
      <c r="M26" s="242"/>
      <c r="N26" s="934"/>
      <c r="O26" s="921"/>
      <c r="P26" s="117">
        <v>0</v>
      </c>
      <c r="Q26" s="440">
        <f t="shared" si="7"/>
        <v>0</v>
      </c>
      <c r="R26" s="370">
        <f t="shared" si="4"/>
        <v>0</v>
      </c>
      <c r="S26" s="190"/>
      <c r="T26" s="191"/>
      <c r="U26" s="440">
        <f t="shared" si="8"/>
        <v>0</v>
      </c>
    </row>
    <row r="27" spans="1:21">
      <c r="A27" s="393" t="s">
        <v>2167</v>
      </c>
      <c r="B27" s="400">
        <v>75</v>
      </c>
      <c r="C27" s="395">
        <v>300</v>
      </c>
      <c r="D27" s="395"/>
      <c r="E27" s="395"/>
      <c r="F27" s="354"/>
      <c r="G27" s="933"/>
      <c r="H27" s="933"/>
      <c r="I27" s="933"/>
      <c r="J27" s="933"/>
      <c r="L27" s="242"/>
      <c r="M27" s="242"/>
      <c r="N27" s="934"/>
      <c r="O27" s="921"/>
      <c r="P27" s="117">
        <v>0</v>
      </c>
      <c r="Q27" s="440">
        <f t="shared" si="7"/>
        <v>0</v>
      </c>
      <c r="R27" s="370">
        <f t="shared" si="4"/>
        <v>0</v>
      </c>
      <c r="S27" s="190"/>
      <c r="T27" s="191"/>
      <c r="U27" s="440">
        <f t="shared" si="8"/>
        <v>0</v>
      </c>
    </row>
    <row r="28" spans="1:21">
      <c r="A28" s="396" t="s">
        <v>2168</v>
      </c>
      <c r="B28" s="399">
        <v>90</v>
      </c>
      <c r="C28" s="398">
        <v>361</v>
      </c>
      <c r="D28" s="398"/>
      <c r="E28" s="398"/>
      <c r="F28" s="354"/>
      <c r="G28" s="933"/>
      <c r="H28" s="933"/>
      <c r="I28" s="933"/>
      <c r="J28" s="933"/>
      <c r="L28" s="242"/>
      <c r="M28" s="242"/>
      <c r="N28" s="934"/>
      <c r="O28" s="921"/>
      <c r="P28" s="117">
        <v>0</v>
      </c>
      <c r="Q28" s="440">
        <f t="shared" si="7"/>
        <v>0</v>
      </c>
      <c r="R28" s="370">
        <f t="shared" si="4"/>
        <v>0</v>
      </c>
      <c r="S28" s="190"/>
      <c r="T28" s="191"/>
      <c r="U28" s="440">
        <f t="shared" si="8"/>
        <v>0</v>
      </c>
    </row>
    <row r="29" spans="1:21">
      <c r="A29" s="393" t="s">
        <v>2169</v>
      </c>
      <c r="B29" s="400">
        <v>100</v>
      </c>
      <c r="C29" s="395">
        <v>365</v>
      </c>
      <c r="D29" s="395"/>
      <c r="E29" s="395"/>
      <c r="F29" s="354"/>
      <c r="G29" s="933"/>
      <c r="H29" s="933"/>
      <c r="I29" s="933"/>
      <c r="J29" s="933"/>
      <c r="L29" s="242"/>
      <c r="M29" s="242"/>
      <c r="N29" s="934"/>
      <c r="O29" s="921"/>
      <c r="P29" s="117">
        <v>0</v>
      </c>
      <c r="Q29" s="440">
        <f t="shared" si="7"/>
        <v>0</v>
      </c>
      <c r="R29" s="370">
        <f t="shared" si="4"/>
        <v>0</v>
      </c>
      <c r="S29" s="190"/>
      <c r="T29" s="191"/>
      <c r="U29" s="440">
        <f t="shared" si="8"/>
        <v>0</v>
      </c>
    </row>
    <row r="30" spans="1:21">
      <c r="A30" s="396" t="s">
        <v>2170</v>
      </c>
      <c r="B30" s="399">
        <v>120</v>
      </c>
      <c r="C30" s="398">
        <v>395</v>
      </c>
      <c r="D30" s="398"/>
      <c r="E30" s="398"/>
      <c r="F30" s="354"/>
      <c r="G30" s="933"/>
      <c r="H30" s="933"/>
      <c r="I30" s="933"/>
      <c r="J30" s="933"/>
      <c r="L30" s="242"/>
      <c r="M30" s="242"/>
      <c r="N30" s="934"/>
      <c r="O30" s="921"/>
      <c r="P30" s="117">
        <v>0</v>
      </c>
      <c r="Q30" s="440">
        <f t="shared" si="7"/>
        <v>0</v>
      </c>
      <c r="R30" s="370">
        <f t="shared" si="4"/>
        <v>0</v>
      </c>
      <c r="S30" s="190"/>
      <c r="T30" s="191"/>
      <c r="U30" s="440">
        <f t="shared" si="8"/>
        <v>0</v>
      </c>
    </row>
    <row r="31" spans="1:21">
      <c r="A31" s="393" t="s">
        <v>2171</v>
      </c>
      <c r="B31" s="400">
        <v>150</v>
      </c>
      <c r="C31" s="395">
        <v>582</v>
      </c>
      <c r="D31" s="395"/>
      <c r="E31" s="395"/>
      <c r="F31" s="354"/>
      <c r="G31" s="933"/>
      <c r="H31" s="933"/>
      <c r="I31" s="933"/>
      <c r="J31" s="933"/>
      <c r="L31" s="242"/>
      <c r="M31" s="242"/>
      <c r="N31" s="934"/>
      <c r="O31" s="921"/>
      <c r="P31" s="117">
        <v>0</v>
      </c>
      <c r="Q31" s="440">
        <f t="shared" si="7"/>
        <v>0</v>
      </c>
      <c r="R31" s="370">
        <f t="shared" si="4"/>
        <v>0</v>
      </c>
      <c r="S31" s="190"/>
      <c r="T31" s="191"/>
      <c r="U31" s="440">
        <f t="shared" si="8"/>
        <v>0</v>
      </c>
    </row>
    <row r="32" spans="1:21">
      <c r="A32" s="396" t="s">
        <v>2172</v>
      </c>
      <c r="B32" s="399">
        <v>200</v>
      </c>
      <c r="C32" s="398">
        <v>733</v>
      </c>
      <c r="D32" s="398"/>
      <c r="E32" s="398"/>
      <c r="F32" s="354"/>
      <c r="G32" s="933"/>
      <c r="H32" s="933"/>
      <c r="I32" s="933"/>
      <c r="J32" s="933"/>
      <c r="L32" s="242"/>
      <c r="M32" s="242"/>
      <c r="N32" s="934"/>
      <c r="O32" s="921"/>
      <c r="P32" s="117">
        <v>0</v>
      </c>
      <c r="Q32" s="440">
        <f t="shared" si="7"/>
        <v>0</v>
      </c>
      <c r="R32" s="370">
        <f t="shared" si="4"/>
        <v>0</v>
      </c>
      <c r="S32" s="190"/>
      <c r="T32" s="191"/>
      <c r="U32" s="440">
        <f t="shared" si="8"/>
        <v>0</v>
      </c>
    </row>
    <row r="33" spans="1:27">
      <c r="A33" s="390"/>
      <c r="B33" s="391"/>
      <c r="C33" s="392"/>
      <c r="D33" s="392"/>
      <c r="E33" s="392"/>
      <c r="F33" s="921"/>
      <c r="L33" s="921"/>
      <c r="M33" s="921"/>
      <c r="O33" s="921"/>
      <c r="P33" s="146"/>
      <c r="Q33" s="440"/>
      <c r="R33" s="370"/>
      <c r="S33" s="921"/>
      <c r="T33" s="921"/>
      <c r="U33" s="440">
        <f t="shared" si="8"/>
        <v>0</v>
      </c>
      <c r="V33" s="921"/>
      <c r="W33" s="921"/>
      <c r="X33" s="386"/>
      <c r="Y33" s="387"/>
      <c r="Z33" s="388"/>
      <c r="AA33" s="389"/>
    </row>
    <row r="34" spans="1:27" ht="15" thickBot="1">
      <c r="A34" s="105" t="s">
        <v>2173</v>
      </c>
      <c r="B34" s="350"/>
      <c r="C34" s="147">
        <v>45842</v>
      </c>
      <c r="D34" s="147"/>
      <c r="E34" s="147" t="s">
        <v>44</v>
      </c>
      <c r="F34" s="921" t="s">
        <v>2174</v>
      </c>
      <c r="L34" s="921" t="s">
        <v>10</v>
      </c>
      <c r="M34" s="921" t="s">
        <v>2175</v>
      </c>
      <c r="N34" s="661" t="s">
        <v>21</v>
      </c>
      <c r="O34" s="661" t="s">
        <v>22</v>
      </c>
      <c r="P34" s="921"/>
      <c r="Q34" s="440">
        <f t="shared" si="7"/>
        <v>0</v>
      </c>
      <c r="R34" s="370">
        <f t="shared" si="4"/>
        <v>0</v>
      </c>
      <c r="S34" s="921"/>
      <c r="T34" s="921"/>
      <c r="U34" s="440">
        <f t="shared" si="8"/>
        <v>0</v>
      </c>
      <c r="V34" s="921"/>
      <c r="W34" s="921"/>
      <c r="X34" s="921"/>
      <c r="Y34" s="921"/>
      <c r="Z34" s="921"/>
      <c r="AA34" s="921"/>
    </row>
    <row r="35" spans="1:27">
      <c r="A35" s="412" t="s">
        <v>0</v>
      </c>
      <c r="B35" s="412" t="s">
        <v>2176</v>
      </c>
      <c r="C35" s="881"/>
      <c r="D35" s="881"/>
      <c r="E35" s="944">
        <v>0.12</v>
      </c>
      <c r="F35" s="274">
        <v>0.04</v>
      </c>
      <c r="G35" s="919"/>
      <c r="H35" s="919"/>
      <c r="I35" s="919"/>
      <c r="J35" s="919"/>
      <c r="K35" s="919"/>
      <c r="L35" s="919">
        <v>0.05</v>
      </c>
      <c r="M35" s="919"/>
      <c r="N35" s="373"/>
      <c r="O35" s="661"/>
      <c r="P35" s="937">
        <v>1</v>
      </c>
      <c r="Q35" s="216">
        <v>45854</v>
      </c>
      <c r="R35" s="440"/>
      <c r="S35" s="370"/>
      <c r="T35" s="113"/>
      <c r="U35" s="113"/>
      <c r="V35" s="440">
        <f t="shared" si="8"/>
        <v>0</v>
      </c>
      <c r="W35" s="921"/>
      <c r="X35" s="921"/>
      <c r="Y35" s="921"/>
      <c r="Z35" s="921"/>
      <c r="AA35" s="921"/>
    </row>
    <row r="36" spans="1:27" ht="15.6">
      <c r="A36" s="923">
        <v>7000</v>
      </c>
      <c r="B36" s="924" t="s">
        <v>2177</v>
      </c>
      <c r="C36" s="925">
        <v>33867</v>
      </c>
      <c r="D36" s="421"/>
      <c r="E36" s="113"/>
      <c r="F36" s="113"/>
      <c r="G36" s="922"/>
      <c r="H36" s="922"/>
      <c r="I36" s="922"/>
      <c r="J36" s="922"/>
      <c r="K36" s="922"/>
      <c r="L36" s="922"/>
      <c r="M36" s="922"/>
      <c r="N36" s="661"/>
      <c r="O36" s="661"/>
      <c r="P36" s="938"/>
      <c r="Q36" s="440">
        <f t="shared" ref="Q36:Q72" si="12">CEILING(P36,50)</f>
        <v>0</v>
      </c>
      <c r="R36" s="370">
        <f t="shared" si="4"/>
        <v>0</v>
      </c>
      <c r="S36" s="113"/>
      <c r="T36" s="113"/>
      <c r="U36" s="440">
        <f t="shared" si="8"/>
        <v>0</v>
      </c>
      <c r="V36" s="921"/>
      <c r="W36" s="921"/>
      <c r="X36" s="921"/>
      <c r="Y36" s="921"/>
      <c r="Z36" s="921"/>
      <c r="AA36" s="921"/>
    </row>
    <row r="37" spans="1:27" ht="15.6">
      <c r="A37" s="923">
        <v>7002</v>
      </c>
      <c r="B37" s="924" t="s">
        <v>2178</v>
      </c>
      <c r="C37" s="925">
        <v>21293</v>
      </c>
      <c r="D37" s="421"/>
      <c r="E37" s="113"/>
      <c r="F37" s="113"/>
      <c r="G37" s="922"/>
      <c r="H37" s="922"/>
      <c r="I37" s="922"/>
      <c r="J37" s="922"/>
      <c r="K37" s="922"/>
      <c r="L37" s="922"/>
      <c r="M37" s="922"/>
      <c r="N37" s="661"/>
      <c r="O37" s="661"/>
      <c r="P37" s="938"/>
      <c r="Q37" s="440">
        <f t="shared" si="12"/>
        <v>0</v>
      </c>
      <c r="R37" s="370">
        <f t="shared" si="4"/>
        <v>0</v>
      </c>
      <c r="S37" s="113"/>
      <c r="T37" s="113"/>
      <c r="U37" s="440">
        <f t="shared" si="8"/>
        <v>0</v>
      </c>
      <c r="V37" s="921"/>
      <c r="W37" s="921"/>
      <c r="X37" s="921"/>
      <c r="Y37" s="921"/>
      <c r="Z37" s="921"/>
      <c r="AA37" s="921"/>
    </row>
    <row r="38" spans="1:27" ht="15.6">
      <c r="A38" s="923">
        <v>7003</v>
      </c>
      <c r="B38" s="924" t="s">
        <v>2179</v>
      </c>
      <c r="C38" s="925">
        <v>29900</v>
      </c>
      <c r="D38" s="421"/>
      <c r="E38" s="113"/>
      <c r="F38" s="113"/>
      <c r="G38" s="922"/>
      <c r="H38" s="922"/>
      <c r="I38" s="922"/>
      <c r="J38" s="922"/>
      <c r="K38" s="922"/>
      <c r="L38" s="922"/>
      <c r="M38" s="922"/>
      <c r="N38" s="661"/>
      <c r="O38" s="661"/>
      <c r="P38" s="938"/>
      <c r="Q38" s="440">
        <f t="shared" si="12"/>
        <v>0</v>
      </c>
      <c r="R38" s="370">
        <f t="shared" si="4"/>
        <v>0</v>
      </c>
      <c r="S38" s="113"/>
      <c r="T38" s="113"/>
      <c r="U38" s="440">
        <f t="shared" si="8"/>
        <v>0</v>
      </c>
      <c r="V38" s="921"/>
      <c r="W38" s="921"/>
      <c r="X38" s="921"/>
      <c r="Y38" s="921"/>
      <c r="Z38" s="921"/>
      <c r="AA38" s="921"/>
    </row>
    <row r="39" spans="1:27" ht="15.6">
      <c r="A39" s="923">
        <v>7005</v>
      </c>
      <c r="B39" s="924" t="s">
        <v>2180</v>
      </c>
      <c r="C39" s="925">
        <v>45168</v>
      </c>
      <c r="D39" s="421"/>
      <c r="E39" s="113"/>
      <c r="F39" s="113"/>
      <c r="G39" s="922"/>
      <c r="H39" s="922"/>
      <c r="I39" s="922"/>
      <c r="J39" s="922"/>
      <c r="K39" s="922"/>
      <c r="L39" s="922"/>
      <c r="M39" s="922"/>
      <c r="N39" s="661"/>
      <c r="O39" s="661"/>
      <c r="P39" s="938"/>
      <c r="Q39" s="440">
        <f t="shared" si="12"/>
        <v>0</v>
      </c>
      <c r="R39" s="370">
        <f t="shared" si="4"/>
        <v>0</v>
      </c>
      <c r="S39" s="113"/>
      <c r="T39" s="113"/>
      <c r="U39" s="440">
        <f t="shared" si="8"/>
        <v>0</v>
      </c>
      <c r="V39" s="921"/>
      <c r="W39" s="921"/>
      <c r="X39" s="921"/>
      <c r="Y39" s="921"/>
      <c r="Z39" s="921"/>
      <c r="AA39" s="921"/>
    </row>
    <row r="40" spans="1:27" ht="15.6">
      <c r="A40" s="923">
        <v>7009</v>
      </c>
      <c r="B40" s="924" t="s">
        <v>2181</v>
      </c>
      <c r="C40" s="925">
        <v>50812</v>
      </c>
      <c r="D40" s="421"/>
      <c r="E40" s="113"/>
      <c r="F40" s="113"/>
      <c r="G40" s="922"/>
      <c r="H40" s="922"/>
      <c r="I40" s="922"/>
      <c r="J40" s="922"/>
      <c r="K40" s="922"/>
      <c r="L40" s="922"/>
      <c r="M40" s="922"/>
      <c r="N40" s="661"/>
      <c r="O40" s="661"/>
      <c r="P40" s="938"/>
      <c r="Q40" s="440">
        <f t="shared" si="12"/>
        <v>0</v>
      </c>
      <c r="R40" s="370">
        <f t="shared" si="4"/>
        <v>0</v>
      </c>
      <c r="S40" s="113"/>
      <c r="T40" s="113"/>
      <c r="U40" s="440">
        <f t="shared" si="8"/>
        <v>0</v>
      </c>
      <c r="V40" s="921"/>
      <c r="W40" s="921"/>
      <c r="X40" s="921"/>
      <c r="Y40" s="921"/>
      <c r="Z40" s="921"/>
      <c r="AA40" s="921"/>
    </row>
    <row r="41" spans="1:27" ht="15.6">
      <c r="A41" s="923">
        <v>7010</v>
      </c>
      <c r="B41" s="924" t="s">
        <v>2182</v>
      </c>
      <c r="C41" s="925">
        <v>55711</v>
      </c>
      <c r="D41" s="421"/>
      <c r="E41" s="113"/>
      <c r="F41" s="113"/>
      <c r="G41" s="922"/>
      <c r="H41" s="922"/>
      <c r="I41" s="922"/>
      <c r="J41" s="922"/>
      <c r="K41" s="922"/>
      <c r="L41" s="922"/>
      <c r="M41" s="922"/>
      <c r="N41" s="661"/>
      <c r="O41" s="661"/>
      <c r="P41" s="938"/>
      <c r="Q41" s="440">
        <f t="shared" si="12"/>
        <v>0</v>
      </c>
      <c r="R41" s="370">
        <f t="shared" si="4"/>
        <v>0</v>
      </c>
      <c r="S41" s="113"/>
      <c r="T41" s="113"/>
      <c r="U41" s="440">
        <f t="shared" si="8"/>
        <v>0</v>
      </c>
      <c r="V41" s="921"/>
      <c r="W41" s="921"/>
      <c r="X41" s="921"/>
      <c r="Y41" s="921"/>
      <c r="Z41" s="921"/>
      <c r="AA41" s="921"/>
    </row>
    <row r="42" spans="1:27" ht="15.6">
      <c r="A42" s="928">
        <v>7012</v>
      </c>
      <c r="B42" s="898" t="s">
        <v>2183</v>
      </c>
      <c r="C42" s="929">
        <v>39463</v>
      </c>
      <c r="D42" s="930"/>
      <c r="E42" s="374">
        <f>(C42-(C42*E$35))</f>
        <v>34727.440000000002</v>
      </c>
      <c r="F42" s="374">
        <f>(E42-(E42*F$35))</f>
        <v>33338.342400000001</v>
      </c>
      <c r="G42" s="918"/>
      <c r="H42" s="918">
        <v>47507.137920000001</v>
      </c>
      <c r="I42" s="918">
        <f>(H42*1.21)</f>
        <v>57483.636883200001</v>
      </c>
      <c r="J42" s="918">
        <f>(H42-(H42*Varta!H$3))</f>
        <v>45131.781024000004</v>
      </c>
      <c r="K42" s="918">
        <f>(J42-(J42*Varta!I$3))</f>
        <v>43777.827593280002</v>
      </c>
      <c r="L42" s="918">
        <f>(K42*L$35)</f>
        <v>2188.8913796640004</v>
      </c>
      <c r="M42" s="918">
        <f>(K42-L42)</f>
        <v>41588.936213616005</v>
      </c>
      <c r="N42" s="152">
        <f>(K42-F42)/F42</f>
        <v>0.31313750000000001</v>
      </c>
      <c r="O42" s="152">
        <f>(M42-F42)/F42</f>
        <v>0.24748062500000012</v>
      </c>
      <c r="P42" s="939">
        <f>(F42+(F42*P$35))</f>
        <v>66676.684800000003</v>
      </c>
      <c r="Q42" s="440">
        <f t="shared" si="12"/>
        <v>66700</v>
      </c>
      <c r="R42" s="370">
        <f t="shared" si="4"/>
        <v>55123.966942148763</v>
      </c>
      <c r="S42" s="375">
        <f t="shared" ref="S42:S73" si="13">(R42-F42)/F42</f>
        <v>0.65347053793978549</v>
      </c>
      <c r="T42" s="375">
        <f t="shared" ref="T42:T73" si="14">(R42-F42)/R42</f>
        <v>0.39521147970014991</v>
      </c>
      <c r="U42" s="440">
        <f>(Q42)</f>
        <v>66700</v>
      </c>
      <c r="V42" s="921"/>
      <c r="W42" s="921"/>
      <c r="X42" s="921"/>
      <c r="Y42" s="921"/>
      <c r="Z42" s="921"/>
      <c r="AA42" s="921"/>
    </row>
    <row r="43" spans="1:27" ht="15.6">
      <c r="A43" s="923">
        <v>7013</v>
      </c>
      <c r="B43" s="924" t="s">
        <v>2184</v>
      </c>
      <c r="C43" s="925">
        <v>62542</v>
      </c>
      <c r="D43" s="421"/>
      <c r="E43" s="374">
        <f t="shared" ref="E43:E104" si="15">(C43-(C43*E$35))</f>
        <v>55036.959999999999</v>
      </c>
      <c r="F43" s="374">
        <f t="shared" ref="F43:F104" si="16">(E43-(E43*F$35))</f>
        <v>52835.481599999999</v>
      </c>
      <c r="G43" s="918"/>
      <c r="H43" s="918">
        <v>75290.561279999994</v>
      </c>
      <c r="I43" s="918">
        <f t="shared" ref="I43:I104" si="17">(H43*1.21)</f>
        <v>91101.579148799996</v>
      </c>
      <c r="J43" s="918">
        <f>(H43-(H43*Varta!H$3))</f>
        <v>71526.033215999996</v>
      </c>
      <c r="K43" s="918">
        <f>(J43-(J43*Varta!I$3))</f>
        <v>69380.25221952</v>
      </c>
      <c r="L43" s="918">
        <f t="shared" ref="L43:L104" si="18">(K43*L$35)</f>
        <v>3469.0126109760004</v>
      </c>
      <c r="M43" s="918">
        <f t="shared" ref="M43:M104" si="19">(K43-L43)</f>
        <v>65911.239608543998</v>
      </c>
      <c r="N43" s="152">
        <f t="shared" ref="N43:N104" si="20">(K43-F43)/F43</f>
        <v>0.31313750000000001</v>
      </c>
      <c r="O43" s="152">
        <f t="shared" ref="O43:O104" si="21">(M43-F43)/F43</f>
        <v>0.24748062499999998</v>
      </c>
      <c r="P43" s="939">
        <f>(F43+(F43*P$35))</f>
        <v>105670.9632</v>
      </c>
      <c r="Q43" s="440">
        <f t="shared" si="12"/>
        <v>105700</v>
      </c>
      <c r="R43" s="370">
        <f t="shared" si="4"/>
        <v>87355.371900826445</v>
      </c>
      <c r="S43" s="375">
        <f t="shared" si="13"/>
        <v>0.6533467521345816</v>
      </c>
      <c r="T43" s="375">
        <f t="shared" si="14"/>
        <v>0.3951661992809839</v>
      </c>
      <c r="U43" s="440">
        <f t="shared" ref="U43:U96" si="22">(Q43)</f>
        <v>105700</v>
      </c>
      <c r="V43" s="921"/>
      <c r="W43" s="921"/>
      <c r="X43" s="921"/>
      <c r="Y43" s="921"/>
      <c r="Z43" s="921"/>
      <c r="AA43" s="921"/>
    </row>
    <row r="44" spans="1:27" ht="15.6">
      <c r="A44" s="923">
        <v>7014</v>
      </c>
      <c r="B44" s="924" t="s">
        <v>2185</v>
      </c>
      <c r="C44" s="925">
        <v>58332</v>
      </c>
      <c r="D44" s="421"/>
      <c r="E44" s="374">
        <f t="shared" si="15"/>
        <v>51332.160000000003</v>
      </c>
      <c r="F44" s="374">
        <f t="shared" si="16"/>
        <v>49278.873600000006</v>
      </c>
      <c r="G44" s="918"/>
      <c r="H44" s="918">
        <v>70222.394880000007</v>
      </c>
      <c r="I44" s="918">
        <f t="shared" si="17"/>
        <v>84969.097804800011</v>
      </c>
      <c r="J44" s="918">
        <f>(H44-(H44*Varta!H$3))</f>
        <v>66711.275136000011</v>
      </c>
      <c r="K44" s="918">
        <f>(J44-(J44*Varta!I$3))</f>
        <v>64709.93688192001</v>
      </c>
      <c r="L44" s="918">
        <f t="shared" si="18"/>
        <v>3235.4968440960006</v>
      </c>
      <c r="M44" s="918">
        <f t="shared" si="19"/>
        <v>61474.44003782401</v>
      </c>
      <c r="N44" s="152">
        <f t="shared" si="20"/>
        <v>0.31313750000000001</v>
      </c>
      <c r="O44" s="152">
        <f t="shared" si="21"/>
        <v>0.24748062500000004</v>
      </c>
      <c r="P44" s="939">
        <f t="shared" ref="P44:P106" si="23">(F44+(F44*P$35))</f>
        <v>98557.747200000013</v>
      </c>
      <c r="Q44" s="440">
        <f t="shared" si="12"/>
        <v>98600</v>
      </c>
      <c r="R44" s="370">
        <f t="shared" si="4"/>
        <v>81487.603305785131</v>
      </c>
      <c r="S44" s="375">
        <f t="shared" si="13"/>
        <v>0.65360117536828444</v>
      </c>
      <c r="T44" s="375">
        <f t="shared" si="14"/>
        <v>0.3952592590669371</v>
      </c>
      <c r="U44" s="440">
        <f t="shared" si="22"/>
        <v>98600</v>
      </c>
      <c r="V44" s="921"/>
      <c r="W44" s="921"/>
      <c r="X44" s="921"/>
      <c r="Y44" s="921"/>
      <c r="Z44" s="921"/>
      <c r="AA44" s="921"/>
    </row>
    <row r="45" spans="1:27" ht="15.6">
      <c r="A45" s="928">
        <v>7015</v>
      </c>
      <c r="B45" s="898" t="s">
        <v>2186</v>
      </c>
      <c r="C45" s="929">
        <v>51188</v>
      </c>
      <c r="D45" s="930"/>
      <c r="E45" s="374">
        <f t="shared" si="15"/>
        <v>45045.440000000002</v>
      </c>
      <c r="F45" s="374">
        <f t="shared" si="16"/>
        <v>43243.6224</v>
      </c>
      <c r="G45" s="918"/>
      <c r="H45" s="918">
        <v>61622.161919999999</v>
      </c>
      <c r="I45" s="918">
        <f t="shared" si="17"/>
        <v>74562.815923199989</v>
      </c>
      <c r="J45" s="918">
        <f>(H45-(H45*Varta!H$3))</f>
        <v>58541.053824000002</v>
      </c>
      <c r="K45" s="918">
        <f>(J45-(J45*Varta!I$3))</f>
        <v>56784.822209279999</v>
      </c>
      <c r="L45" s="918">
        <f t="shared" si="18"/>
        <v>2839.241110464</v>
      </c>
      <c r="M45" s="918">
        <f t="shared" si="19"/>
        <v>53945.581098816001</v>
      </c>
      <c r="N45" s="152">
        <f t="shared" si="20"/>
        <v>0.31313749999999996</v>
      </c>
      <c r="O45" s="152">
        <f t="shared" si="21"/>
        <v>0.24748062500000001</v>
      </c>
      <c r="P45" s="939">
        <f t="shared" si="23"/>
        <v>86487.2448</v>
      </c>
      <c r="Q45" s="440">
        <f t="shared" si="12"/>
        <v>86500</v>
      </c>
      <c r="R45" s="370">
        <f t="shared" si="4"/>
        <v>71487.603305785131</v>
      </c>
      <c r="S45" s="375">
        <f t="shared" si="13"/>
        <v>0.65313633174692443</v>
      </c>
      <c r="T45" s="375">
        <f t="shared" si="14"/>
        <v>0.39508921267052027</v>
      </c>
      <c r="U45" s="440">
        <f t="shared" si="22"/>
        <v>86500</v>
      </c>
      <c r="V45" s="921"/>
      <c r="W45" s="921"/>
      <c r="X45" s="921"/>
      <c r="Y45" s="921"/>
      <c r="Z45" s="921"/>
      <c r="AA45" s="921"/>
    </row>
    <row r="46" spans="1:27" ht="15.6">
      <c r="A46" s="928">
        <v>7016</v>
      </c>
      <c r="B46" s="898" t="s">
        <v>2187</v>
      </c>
      <c r="C46" s="929">
        <v>68441</v>
      </c>
      <c r="D46" s="930"/>
      <c r="E46" s="374">
        <f t="shared" si="15"/>
        <v>60228.08</v>
      </c>
      <c r="F46" s="374">
        <f t="shared" si="16"/>
        <v>57818.9568</v>
      </c>
      <c r="G46" s="918"/>
      <c r="H46" s="918">
        <v>82392.01344000001</v>
      </c>
      <c r="I46" s="918">
        <f t="shared" si="17"/>
        <v>99694.336262400015</v>
      </c>
      <c r="J46" s="918">
        <f>(H46-(H46*Varta!H$3))</f>
        <v>78272.412768000009</v>
      </c>
      <c r="K46" s="918">
        <f>(J46-(J46*Varta!I$3))</f>
        <v>75924.240384960009</v>
      </c>
      <c r="L46" s="918">
        <f t="shared" si="18"/>
        <v>3796.2120192480006</v>
      </c>
      <c r="M46" s="918">
        <f t="shared" si="19"/>
        <v>72128.028365712002</v>
      </c>
      <c r="N46" s="152">
        <f t="shared" si="20"/>
        <v>0.31313750000000012</v>
      </c>
      <c r="O46" s="152">
        <f t="shared" si="21"/>
        <v>0.24748062500000004</v>
      </c>
      <c r="P46" s="939">
        <f t="shared" si="23"/>
        <v>115637.9136</v>
      </c>
      <c r="Q46" s="440">
        <f t="shared" si="12"/>
        <v>115650</v>
      </c>
      <c r="R46" s="370">
        <f t="shared" si="4"/>
        <v>95578.512396694219</v>
      </c>
      <c r="S46" s="375">
        <f t="shared" si="13"/>
        <v>0.65306532124588967</v>
      </c>
      <c r="T46" s="375">
        <f t="shared" si="14"/>
        <v>0.39506322760051882</v>
      </c>
      <c r="U46" s="440">
        <f t="shared" si="22"/>
        <v>115650</v>
      </c>
      <c r="V46" s="921"/>
      <c r="W46" s="921"/>
      <c r="X46" s="921"/>
      <c r="Y46" s="921"/>
      <c r="Z46" s="921"/>
      <c r="AA46" s="921"/>
    </row>
    <row r="47" spans="1:27" ht="15.6">
      <c r="A47" s="923">
        <v>7017</v>
      </c>
      <c r="B47" s="924" t="s">
        <v>2188</v>
      </c>
      <c r="C47" s="925">
        <v>72907</v>
      </c>
      <c r="D47" s="421"/>
      <c r="E47" s="374">
        <f t="shared" si="15"/>
        <v>64158.16</v>
      </c>
      <c r="F47" s="374">
        <f t="shared" si="16"/>
        <v>61591.833600000005</v>
      </c>
      <c r="G47" s="918"/>
      <c r="H47" s="918">
        <v>87768.362880000015</v>
      </c>
      <c r="I47" s="918">
        <f t="shared" si="17"/>
        <v>106199.71908480002</v>
      </c>
      <c r="J47" s="918">
        <f>(H47-(H47*Varta!H$3))</f>
        <v>83379.944736000019</v>
      </c>
      <c r="K47" s="918">
        <f>(J47-(J47*Varta!I$3))</f>
        <v>80878.546393920013</v>
      </c>
      <c r="L47" s="918">
        <f t="shared" si="18"/>
        <v>4043.9273196960007</v>
      </c>
      <c r="M47" s="918">
        <f t="shared" si="19"/>
        <v>76834.619074224014</v>
      </c>
      <c r="N47" s="152">
        <f t="shared" si="20"/>
        <v>0.31313750000000007</v>
      </c>
      <c r="O47" s="152">
        <f t="shared" si="21"/>
        <v>0.24748062500000012</v>
      </c>
      <c r="P47" s="939">
        <f t="shared" si="23"/>
        <v>123183.66720000001</v>
      </c>
      <c r="Q47" s="440">
        <f t="shared" si="12"/>
        <v>123200</v>
      </c>
      <c r="R47" s="370">
        <f t="shared" si="4"/>
        <v>101818.18181818182</v>
      </c>
      <c r="S47" s="375">
        <f t="shared" si="13"/>
        <v>0.65311171736543028</v>
      </c>
      <c r="T47" s="375">
        <f t="shared" si="14"/>
        <v>0.3950802057142857</v>
      </c>
      <c r="U47" s="440">
        <f t="shared" si="22"/>
        <v>123200</v>
      </c>
      <c r="V47" s="921"/>
      <c r="W47" s="921"/>
      <c r="X47" s="921"/>
      <c r="Y47" s="921"/>
      <c r="Z47" s="921"/>
      <c r="AA47" s="921"/>
    </row>
    <row r="48" spans="1:27" ht="15.6">
      <c r="A48" s="928">
        <v>7018</v>
      </c>
      <c r="B48" s="898" t="s">
        <v>2189</v>
      </c>
      <c r="C48" s="929">
        <v>75228</v>
      </c>
      <c r="D48" s="930"/>
      <c r="E48" s="374">
        <f t="shared" si="15"/>
        <v>66200.639999999999</v>
      </c>
      <c r="F48" s="374">
        <f t="shared" si="16"/>
        <v>63552.614399999999</v>
      </c>
      <c r="G48" s="918"/>
      <c r="H48" s="918">
        <v>90562.475520000007</v>
      </c>
      <c r="I48" s="918">
        <f t="shared" si="17"/>
        <v>109580.59537920001</v>
      </c>
      <c r="J48" s="918">
        <f>(H48-(H48*Varta!H$3))</f>
        <v>86034.351744000014</v>
      </c>
      <c r="K48" s="918">
        <f>(J48-(J48*Varta!I$3))</f>
        <v>83453.321191680006</v>
      </c>
      <c r="L48" s="918">
        <f t="shared" si="18"/>
        <v>4172.6660595840003</v>
      </c>
      <c r="M48" s="918">
        <f t="shared" si="19"/>
        <v>79280.655132095999</v>
      </c>
      <c r="N48" s="152">
        <f t="shared" si="20"/>
        <v>0.31313750000000012</v>
      </c>
      <c r="O48" s="152">
        <f t="shared" si="21"/>
        <v>0.24748062500000001</v>
      </c>
      <c r="P48" s="939">
        <f t="shared" si="23"/>
        <v>127105.2288</v>
      </c>
      <c r="Q48" s="440">
        <f t="shared" si="12"/>
        <v>127150</v>
      </c>
      <c r="R48" s="370">
        <f t="shared" si="4"/>
        <v>105082.64462809918</v>
      </c>
      <c r="S48" s="375">
        <f t="shared" si="13"/>
        <v>0.65347477236277451</v>
      </c>
      <c r="T48" s="375">
        <f t="shared" si="14"/>
        <v>0.39521302851749907</v>
      </c>
      <c r="U48" s="440">
        <f t="shared" si="22"/>
        <v>127150</v>
      </c>
      <c r="V48" s="921"/>
      <c r="W48" s="921"/>
      <c r="X48" s="921"/>
      <c r="Y48" s="921"/>
      <c r="Z48" s="921"/>
      <c r="AA48" s="921"/>
    </row>
    <row r="49" spans="1:21" ht="15.6">
      <c r="A49" s="923">
        <v>7020</v>
      </c>
      <c r="B49" s="924" t="s">
        <v>2190</v>
      </c>
      <c r="C49" s="925">
        <v>79335</v>
      </c>
      <c r="D49" s="421"/>
      <c r="E49" s="374">
        <f t="shared" si="15"/>
        <v>69814.8</v>
      </c>
      <c r="F49" s="374">
        <f t="shared" si="16"/>
        <v>67022.207999999999</v>
      </c>
      <c r="G49" s="918"/>
      <c r="H49" s="918">
        <v>95506.646399999998</v>
      </c>
      <c r="I49" s="918">
        <f t="shared" si="17"/>
        <v>115563.04214399999</v>
      </c>
      <c r="J49" s="918">
        <f>(H49-(H49*Varta!H$3))</f>
        <v>90731.314079999996</v>
      </c>
      <c r="K49" s="918">
        <f>(J49-(J49*Varta!I$3))</f>
        <v>88009.374657599998</v>
      </c>
      <c r="L49" s="918">
        <f t="shared" si="18"/>
        <v>4400.4687328800001</v>
      </c>
      <c r="M49" s="918">
        <f t="shared" si="19"/>
        <v>83608.905924719991</v>
      </c>
      <c r="N49" s="152">
        <f t="shared" si="20"/>
        <v>0.31313750000000001</v>
      </c>
      <c r="O49" s="152">
        <f t="shared" si="21"/>
        <v>0.2474806249999999</v>
      </c>
      <c r="P49" s="939">
        <f t="shared" si="23"/>
        <v>134044.416</v>
      </c>
      <c r="Q49" s="440">
        <f t="shared" si="12"/>
        <v>134050</v>
      </c>
      <c r="R49" s="370">
        <f t="shared" si="4"/>
        <v>110785.12396694215</v>
      </c>
      <c r="S49" s="375">
        <f t="shared" si="13"/>
        <v>0.65296141790706375</v>
      </c>
      <c r="T49" s="375">
        <f t="shared" si="14"/>
        <v>0.3950252019395748</v>
      </c>
      <c r="U49" s="440">
        <f t="shared" si="22"/>
        <v>134050</v>
      </c>
    </row>
    <row r="50" spans="1:21" ht="15.6">
      <c r="A50" s="923">
        <v>7021</v>
      </c>
      <c r="B50" s="924" t="s">
        <v>2191</v>
      </c>
      <c r="C50" s="925">
        <v>79335</v>
      </c>
      <c r="D50" s="421"/>
      <c r="E50" s="374">
        <f t="shared" si="15"/>
        <v>69814.8</v>
      </c>
      <c r="F50" s="374">
        <f t="shared" si="16"/>
        <v>67022.207999999999</v>
      </c>
      <c r="G50" s="918"/>
      <c r="H50" s="918">
        <v>95506.646399999998</v>
      </c>
      <c r="I50" s="918">
        <f t="shared" si="17"/>
        <v>115563.04214399999</v>
      </c>
      <c r="J50" s="918">
        <f>(H50-(H50*Varta!H$3))</f>
        <v>90731.314079999996</v>
      </c>
      <c r="K50" s="918">
        <f>(J50-(J50*Varta!I$3))</f>
        <v>88009.374657599998</v>
      </c>
      <c r="L50" s="918">
        <f t="shared" si="18"/>
        <v>4400.4687328800001</v>
      </c>
      <c r="M50" s="918">
        <f t="shared" si="19"/>
        <v>83608.905924719991</v>
      </c>
      <c r="N50" s="152">
        <f t="shared" si="20"/>
        <v>0.31313750000000001</v>
      </c>
      <c r="O50" s="152">
        <f t="shared" si="21"/>
        <v>0.2474806249999999</v>
      </c>
      <c r="P50" s="939">
        <f t="shared" si="23"/>
        <v>134044.416</v>
      </c>
      <c r="Q50" s="440">
        <f t="shared" si="12"/>
        <v>134050</v>
      </c>
      <c r="R50" s="370">
        <f t="shared" si="4"/>
        <v>110785.12396694215</v>
      </c>
      <c r="S50" s="375">
        <f t="shared" si="13"/>
        <v>0.65296141790706375</v>
      </c>
      <c r="T50" s="375">
        <f t="shared" si="14"/>
        <v>0.3950252019395748</v>
      </c>
      <c r="U50" s="440">
        <f t="shared" si="22"/>
        <v>134050</v>
      </c>
    </row>
    <row r="51" spans="1:21" ht="15.6">
      <c r="A51" s="923">
        <v>7023</v>
      </c>
      <c r="B51" s="924" t="s">
        <v>2192</v>
      </c>
      <c r="C51" s="925">
        <v>33829</v>
      </c>
      <c r="D51" s="421"/>
      <c r="E51" s="374">
        <f t="shared" si="15"/>
        <v>29769.52</v>
      </c>
      <c r="F51" s="374">
        <f t="shared" si="16"/>
        <v>28578.7392</v>
      </c>
      <c r="G51" s="918"/>
      <c r="H51" s="918">
        <v>40724.70336</v>
      </c>
      <c r="I51" s="918">
        <f t="shared" si="17"/>
        <v>49276.891065600001</v>
      </c>
      <c r="J51" s="918">
        <f>(H51-(H51*Varta!H$3))</f>
        <v>38688.468192</v>
      </c>
      <c r="K51" s="918">
        <f>(J51-(J51*Varta!I$3))</f>
        <v>37527.814146240002</v>
      </c>
      <c r="L51" s="918">
        <f t="shared" si="18"/>
        <v>1876.3907073120001</v>
      </c>
      <c r="M51" s="918">
        <f t="shared" si="19"/>
        <v>35651.423438928003</v>
      </c>
      <c r="N51" s="152">
        <f t="shared" si="20"/>
        <v>0.31313750000000007</v>
      </c>
      <c r="O51" s="152">
        <f t="shared" si="21"/>
        <v>0.24748062500000009</v>
      </c>
      <c r="P51" s="939">
        <f t="shared" si="23"/>
        <v>57157.4784</v>
      </c>
      <c r="Q51" s="440">
        <f t="shared" si="12"/>
        <v>57200</v>
      </c>
      <c r="R51" s="370">
        <f t="shared" si="4"/>
        <v>47272.727272727272</v>
      </c>
      <c r="S51" s="375">
        <f t="shared" si="13"/>
        <v>0.65412221098708478</v>
      </c>
      <c r="T51" s="375">
        <f t="shared" si="14"/>
        <v>0.39544974769230767</v>
      </c>
      <c r="U51" s="440">
        <f t="shared" si="22"/>
        <v>57200</v>
      </c>
    </row>
    <row r="52" spans="1:21" ht="15.6">
      <c r="A52" s="923">
        <v>7024</v>
      </c>
      <c r="B52" s="924" t="s">
        <v>2193</v>
      </c>
      <c r="C52" s="925">
        <v>39892</v>
      </c>
      <c r="D52" s="421"/>
      <c r="E52" s="374">
        <f t="shared" si="15"/>
        <v>35104.959999999999</v>
      </c>
      <c r="F52" s="374">
        <f t="shared" si="16"/>
        <v>33700.761599999998</v>
      </c>
      <c r="G52" s="918"/>
      <c r="H52" s="918">
        <v>48023.585279999999</v>
      </c>
      <c r="I52" s="918">
        <f t="shared" si="17"/>
        <v>58108.538188799997</v>
      </c>
      <c r="J52" s="918">
        <f>(H52-(H52*Varta!H$3))</f>
        <v>45622.406016000001</v>
      </c>
      <c r="K52" s="918">
        <f>(J52-(J52*Varta!I$3))</f>
        <v>44253.733835520005</v>
      </c>
      <c r="L52" s="918">
        <f t="shared" si="18"/>
        <v>2212.6866917760003</v>
      </c>
      <c r="M52" s="918">
        <f t="shared" si="19"/>
        <v>42041.047143744006</v>
      </c>
      <c r="N52" s="152">
        <f t="shared" si="20"/>
        <v>0.31313750000000024</v>
      </c>
      <c r="O52" s="152">
        <f t="shared" si="21"/>
        <v>0.24748062500000026</v>
      </c>
      <c r="P52" s="939">
        <f t="shared" si="23"/>
        <v>67401.523199999996</v>
      </c>
      <c r="Q52" s="440">
        <f t="shared" si="12"/>
        <v>67450</v>
      </c>
      <c r="R52" s="370">
        <f t="shared" si="4"/>
        <v>55743.801652892565</v>
      </c>
      <c r="S52" s="375">
        <f t="shared" si="13"/>
        <v>0.65408136215214108</v>
      </c>
      <c r="T52" s="375">
        <f t="shared" si="14"/>
        <v>0.39543481785025952</v>
      </c>
      <c r="U52" s="440">
        <f t="shared" si="22"/>
        <v>67450</v>
      </c>
    </row>
    <row r="53" spans="1:21" ht="15.6">
      <c r="A53" s="923">
        <v>7025</v>
      </c>
      <c r="B53" s="924" t="s">
        <v>2194</v>
      </c>
      <c r="C53" s="925">
        <v>41538</v>
      </c>
      <c r="D53" s="421"/>
      <c r="E53" s="374">
        <f t="shared" si="15"/>
        <v>36553.440000000002</v>
      </c>
      <c r="F53" s="374">
        <f t="shared" si="16"/>
        <v>35091.3024</v>
      </c>
      <c r="G53" s="918"/>
      <c r="H53" s="918">
        <v>50005.105920000002</v>
      </c>
      <c r="I53" s="918">
        <f t="shared" si="17"/>
        <v>60506.178163199998</v>
      </c>
      <c r="J53" s="918">
        <f>(H53-(H53*Varta!H$3))</f>
        <v>47504.850623999999</v>
      </c>
      <c r="K53" s="918">
        <f>(J53-(J53*Varta!I$3))</f>
        <v>46079.705105280002</v>
      </c>
      <c r="L53" s="918">
        <f t="shared" si="18"/>
        <v>2303.985255264</v>
      </c>
      <c r="M53" s="918">
        <f t="shared" si="19"/>
        <v>43775.719850016001</v>
      </c>
      <c r="N53" s="152">
        <f t="shared" si="20"/>
        <v>0.31313750000000001</v>
      </c>
      <c r="O53" s="152">
        <f t="shared" si="21"/>
        <v>0.24748062500000001</v>
      </c>
      <c r="P53" s="939">
        <f t="shared" si="23"/>
        <v>70182.604800000001</v>
      </c>
      <c r="Q53" s="440">
        <f t="shared" si="12"/>
        <v>70200</v>
      </c>
      <c r="R53" s="370">
        <f t="shared" si="4"/>
        <v>58016.528925619838</v>
      </c>
      <c r="S53" s="375">
        <f t="shared" si="13"/>
        <v>0.65330224180051621</v>
      </c>
      <c r="T53" s="375">
        <f t="shared" si="14"/>
        <v>0.39514991589743592</v>
      </c>
      <c r="U53" s="440">
        <f t="shared" si="22"/>
        <v>70200</v>
      </c>
    </row>
    <row r="54" spans="1:21" ht="15.6">
      <c r="A54" s="923">
        <v>7026</v>
      </c>
      <c r="B54" s="924" t="s">
        <v>2195</v>
      </c>
      <c r="C54" s="925">
        <v>37497</v>
      </c>
      <c r="D54" s="421"/>
      <c r="E54" s="374">
        <f t="shared" si="15"/>
        <v>32997.360000000001</v>
      </c>
      <c r="F54" s="374">
        <f t="shared" si="16"/>
        <v>31677.4656</v>
      </c>
      <c r="G54" s="918"/>
      <c r="H54" s="918">
        <v>45140.388480000001</v>
      </c>
      <c r="I54" s="918">
        <f t="shared" si="17"/>
        <v>54619.8700608</v>
      </c>
      <c r="J54" s="918">
        <f>(H54-(H54*Varta!H$3))</f>
        <v>42883.369056000003</v>
      </c>
      <c r="K54" s="918">
        <f>(J54-(J54*Varta!I$3))</f>
        <v>41596.867984320001</v>
      </c>
      <c r="L54" s="918">
        <f t="shared" si="18"/>
        <v>2079.8433992160003</v>
      </c>
      <c r="M54" s="918">
        <f t="shared" si="19"/>
        <v>39517.024585104002</v>
      </c>
      <c r="N54" s="152">
        <f t="shared" si="20"/>
        <v>0.31313750000000001</v>
      </c>
      <c r="O54" s="152">
        <f t="shared" si="21"/>
        <v>0.24748062500000007</v>
      </c>
      <c r="P54" s="939">
        <f t="shared" si="23"/>
        <v>63354.931199999999</v>
      </c>
      <c r="Q54" s="440">
        <f t="shared" si="12"/>
        <v>63400</v>
      </c>
      <c r="R54" s="370">
        <f t="shared" si="4"/>
        <v>52396.694214876035</v>
      </c>
      <c r="S54" s="375">
        <f t="shared" si="13"/>
        <v>0.6540683802329198</v>
      </c>
      <c r="T54" s="375">
        <f t="shared" si="14"/>
        <v>0.39543007293375398</v>
      </c>
      <c r="U54" s="440">
        <f t="shared" si="22"/>
        <v>63400</v>
      </c>
    </row>
    <row r="55" spans="1:21" ht="15.6">
      <c r="A55" s="923">
        <v>7028</v>
      </c>
      <c r="B55" s="924" t="s">
        <v>2196</v>
      </c>
      <c r="C55" s="925">
        <v>76004</v>
      </c>
      <c r="D55" s="421"/>
      <c r="E55" s="374">
        <f t="shared" si="15"/>
        <v>66883.520000000004</v>
      </c>
      <c r="F55" s="374">
        <f t="shared" si="16"/>
        <v>64208.179200000006</v>
      </c>
      <c r="G55" s="918"/>
      <c r="H55" s="918">
        <v>91496.655360000004</v>
      </c>
      <c r="I55" s="918">
        <f t="shared" si="17"/>
        <v>110710.9529856</v>
      </c>
      <c r="J55" s="918">
        <f>(H55-(H55*Varta!H$3))</f>
        <v>86921.822592000011</v>
      </c>
      <c r="K55" s="918">
        <f>(J55-(J55*Varta!I$3))</f>
        <v>84314.16791424001</v>
      </c>
      <c r="L55" s="918">
        <f t="shared" si="18"/>
        <v>4215.7083957120003</v>
      </c>
      <c r="M55" s="918">
        <f t="shared" si="19"/>
        <v>80098.459518528005</v>
      </c>
      <c r="N55" s="152">
        <f t="shared" si="20"/>
        <v>0.31313750000000001</v>
      </c>
      <c r="O55" s="152">
        <f t="shared" si="21"/>
        <v>0.24748062499999995</v>
      </c>
      <c r="P55" s="939">
        <f t="shared" si="23"/>
        <v>128416.35840000001</v>
      </c>
      <c r="Q55" s="440">
        <f t="shared" si="12"/>
        <v>128450</v>
      </c>
      <c r="R55" s="370">
        <f t="shared" si="4"/>
        <v>106157.02479338844</v>
      </c>
      <c r="S55" s="375">
        <f t="shared" si="13"/>
        <v>0.65332557496644339</v>
      </c>
      <c r="T55" s="375">
        <f t="shared" si="14"/>
        <v>0.3951584520669521</v>
      </c>
      <c r="U55" s="440">
        <f t="shared" si="22"/>
        <v>128450</v>
      </c>
    </row>
    <row r="56" spans="1:21" ht="15.6">
      <c r="A56" s="923">
        <v>7029</v>
      </c>
      <c r="B56" s="924" t="s">
        <v>2197</v>
      </c>
      <c r="C56" s="925">
        <v>40878</v>
      </c>
      <c r="D56" s="421"/>
      <c r="E56" s="374">
        <f t="shared" si="15"/>
        <v>35972.639999999999</v>
      </c>
      <c r="F56" s="374">
        <f t="shared" si="16"/>
        <v>34533.734400000001</v>
      </c>
      <c r="G56" s="918"/>
      <c r="H56" s="918">
        <v>49210.571520000005</v>
      </c>
      <c r="I56" s="918">
        <f t="shared" si="17"/>
        <v>59544.791539200007</v>
      </c>
      <c r="J56" s="918">
        <f>(H56-(H56*Varta!H$3))</f>
        <v>46750.042944000001</v>
      </c>
      <c r="K56" s="918">
        <f>(J56-(J56*Varta!I$3))</f>
        <v>45347.541655679997</v>
      </c>
      <c r="L56" s="918">
        <f t="shared" si="18"/>
        <v>2267.3770827839999</v>
      </c>
      <c r="M56" s="918">
        <f t="shared" si="19"/>
        <v>43080.164572895999</v>
      </c>
      <c r="N56" s="152">
        <f t="shared" si="20"/>
        <v>0.3131374999999999</v>
      </c>
      <c r="O56" s="152">
        <f t="shared" si="21"/>
        <v>0.24748062499999993</v>
      </c>
      <c r="P56" s="939">
        <f t="shared" si="23"/>
        <v>69067.468800000002</v>
      </c>
      <c r="Q56" s="440">
        <f t="shared" si="12"/>
        <v>69100</v>
      </c>
      <c r="R56" s="370">
        <f t="shared" si="4"/>
        <v>57107.438016528926</v>
      </c>
      <c r="S56" s="375">
        <f t="shared" si="13"/>
        <v>0.65367108448395672</v>
      </c>
      <c r="T56" s="375">
        <f t="shared" si="14"/>
        <v>0.39528482454413894</v>
      </c>
      <c r="U56" s="440">
        <f t="shared" si="22"/>
        <v>69100</v>
      </c>
    </row>
    <row r="57" spans="1:21" ht="15.6">
      <c r="A57" s="923">
        <v>7032</v>
      </c>
      <c r="B57" s="924" t="s">
        <v>2198</v>
      </c>
      <c r="C57" s="925">
        <v>62733</v>
      </c>
      <c r="D57" s="421"/>
      <c r="E57" s="374">
        <f t="shared" si="15"/>
        <v>55205.04</v>
      </c>
      <c r="F57" s="374">
        <f t="shared" si="16"/>
        <v>52996.838400000001</v>
      </c>
      <c r="G57" s="918"/>
      <c r="H57" s="918">
        <v>75520.494720000002</v>
      </c>
      <c r="I57" s="918">
        <f t="shared" si="17"/>
        <v>91379.798611200007</v>
      </c>
      <c r="J57" s="918">
        <f>(H57-(H57*Varta!H$3))</f>
        <v>71744.469983999996</v>
      </c>
      <c r="K57" s="918">
        <f>(J57-(J57*Varta!I$3))</f>
        <v>69592.135884479998</v>
      </c>
      <c r="L57" s="918">
        <f t="shared" si="18"/>
        <v>3479.6067942240002</v>
      </c>
      <c r="M57" s="918">
        <f t="shared" si="19"/>
        <v>66112.529090255994</v>
      </c>
      <c r="N57" s="152">
        <f t="shared" si="20"/>
        <v>0.31313749999999996</v>
      </c>
      <c r="O57" s="152">
        <f t="shared" si="21"/>
        <v>0.24748062499999987</v>
      </c>
      <c r="P57" s="939">
        <f t="shared" si="23"/>
        <v>105993.6768</v>
      </c>
      <c r="Q57" s="440">
        <f t="shared" si="12"/>
        <v>106000</v>
      </c>
      <c r="R57" s="370">
        <f t="shared" si="4"/>
        <v>87603.305785123972</v>
      </c>
      <c r="S57" s="375">
        <f t="shared" si="13"/>
        <v>0.65299116758489451</v>
      </c>
      <c r="T57" s="375">
        <f t="shared" si="14"/>
        <v>0.39503608996226419</v>
      </c>
      <c r="U57" s="440">
        <f t="shared" si="22"/>
        <v>106000</v>
      </c>
    </row>
    <row r="58" spans="1:21" ht="15.6">
      <c r="A58" s="923">
        <v>7035</v>
      </c>
      <c r="B58" s="924" t="s">
        <v>2199</v>
      </c>
      <c r="C58" s="925">
        <v>102199</v>
      </c>
      <c r="D58" s="421"/>
      <c r="E58" s="374">
        <f t="shared" si="15"/>
        <v>89935.12</v>
      </c>
      <c r="F58" s="374">
        <f t="shared" si="16"/>
        <v>86337.715199999991</v>
      </c>
      <c r="G58" s="918"/>
      <c r="H58" s="918">
        <v>123031.24415999999</v>
      </c>
      <c r="I58" s="918">
        <f t="shared" si="17"/>
        <v>148867.80543359998</v>
      </c>
      <c r="J58" s="918">
        <f>(H58-(H58*Varta!H$3))</f>
        <v>116879.68195199998</v>
      </c>
      <c r="K58" s="918">
        <f>(J58-(J58*Varta!I$3))</f>
        <v>113373.29149343999</v>
      </c>
      <c r="L58" s="918">
        <f t="shared" si="18"/>
        <v>5668.6645746719996</v>
      </c>
      <c r="M58" s="918">
        <f t="shared" si="19"/>
        <v>107704.62691876799</v>
      </c>
      <c r="N58" s="152">
        <f t="shared" si="20"/>
        <v>0.31313750000000001</v>
      </c>
      <c r="O58" s="152">
        <f t="shared" si="21"/>
        <v>0.24748062499999995</v>
      </c>
      <c r="P58" s="939">
        <f t="shared" si="23"/>
        <v>172675.43039999998</v>
      </c>
      <c r="Q58" s="440">
        <f t="shared" si="12"/>
        <v>172700</v>
      </c>
      <c r="R58" s="370">
        <f t="shared" si="4"/>
        <v>142727.27272727274</v>
      </c>
      <c r="S58" s="375">
        <f t="shared" si="13"/>
        <v>0.65312774836173504</v>
      </c>
      <c r="T58" s="375">
        <f t="shared" si="14"/>
        <v>0.39508607184713385</v>
      </c>
      <c r="U58" s="440">
        <f t="shared" si="22"/>
        <v>172700</v>
      </c>
    </row>
    <row r="59" spans="1:21" ht="15.6">
      <c r="A59" s="928">
        <v>7037</v>
      </c>
      <c r="B59" s="898" t="s">
        <v>2200</v>
      </c>
      <c r="C59" s="929">
        <v>82628</v>
      </c>
      <c r="D59" s="930"/>
      <c r="E59" s="374">
        <f t="shared" si="15"/>
        <v>72712.639999999999</v>
      </c>
      <c r="F59" s="374">
        <f t="shared" si="16"/>
        <v>69804.134399999995</v>
      </c>
      <c r="G59" s="918"/>
      <c r="H59" s="918">
        <v>99470.89151999999</v>
      </c>
      <c r="I59" s="918">
        <f t="shared" si="17"/>
        <v>120359.77873919999</v>
      </c>
      <c r="J59" s="918">
        <f>(H59-(H59*Varta!H$3))</f>
        <v>94497.34694399999</v>
      </c>
      <c r="K59" s="918">
        <f>(J59-(J59*Varta!I$3))</f>
        <v>91662.426535679988</v>
      </c>
      <c r="L59" s="918">
        <f t="shared" si="18"/>
        <v>4583.1213267839994</v>
      </c>
      <c r="M59" s="918">
        <f t="shared" si="19"/>
        <v>87079.305208895996</v>
      </c>
      <c r="N59" s="152">
        <f t="shared" si="20"/>
        <v>0.3131374999999999</v>
      </c>
      <c r="O59" s="152">
        <f t="shared" si="21"/>
        <v>0.24748062500000001</v>
      </c>
      <c r="P59" s="939">
        <f t="shared" si="23"/>
        <v>139608.26879999999</v>
      </c>
      <c r="Q59" s="440">
        <f t="shared" si="12"/>
        <v>139650</v>
      </c>
      <c r="R59" s="370">
        <f t="shared" si="4"/>
        <v>115413.22314049587</v>
      </c>
      <c r="S59" s="375">
        <f t="shared" si="13"/>
        <v>0.6533866386644267</v>
      </c>
      <c r="T59" s="375">
        <f t="shared" si="14"/>
        <v>0.39518079037593989</v>
      </c>
      <c r="U59" s="440">
        <f t="shared" si="22"/>
        <v>139650</v>
      </c>
    </row>
    <row r="60" spans="1:21" ht="15.6">
      <c r="A60" s="923">
        <v>7038</v>
      </c>
      <c r="B60" s="924" t="s">
        <v>2201</v>
      </c>
      <c r="C60" s="925">
        <v>86894</v>
      </c>
      <c r="D60" s="421"/>
      <c r="E60" s="374">
        <f t="shared" si="15"/>
        <v>76466.720000000001</v>
      </c>
      <c r="F60" s="374">
        <f t="shared" si="16"/>
        <v>73408.051200000002</v>
      </c>
      <c r="G60" s="918"/>
      <c r="H60" s="918">
        <v>104606.47296</v>
      </c>
      <c r="I60" s="918">
        <f t="shared" si="17"/>
        <v>126573.8322816</v>
      </c>
      <c r="J60" s="918">
        <f>(H60-(H60*Varta!H$3))</f>
        <v>99376.149311999994</v>
      </c>
      <c r="K60" s="918">
        <f>(J60-(J60*Varta!I$3))</f>
        <v>96394.86483264</v>
      </c>
      <c r="L60" s="918">
        <f t="shared" si="18"/>
        <v>4819.7432416319998</v>
      </c>
      <c r="M60" s="918">
        <f t="shared" si="19"/>
        <v>91575.121591008006</v>
      </c>
      <c r="N60" s="152">
        <f t="shared" si="20"/>
        <v>0.31313749999999996</v>
      </c>
      <c r="O60" s="152">
        <f t="shared" si="21"/>
        <v>0.24748062500000007</v>
      </c>
      <c r="P60" s="939">
        <f t="shared" si="23"/>
        <v>146816.1024</v>
      </c>
      <c r="Q60" s="440">
        <f t="shared" si="12"/>
        <v>146850</v>
      </c>
      <c r="R60" s="370">
        <f t="shared" si="4"/>
        <v>121363.63636363637</v>
      </c>
      <c r="S60" s="375">
        <f t="shared" si="13"/>
        <v>0.65327418967956974</v>
      </c>
      <c r="T60" s="375">
        <f t="shared" si="14"/>
        <v>0.39513965303370785</v>
      </c>
      <c r="U60" s="440">
        <f t="shared" si="22"/>
        <v>146850</v>
      </c>
    </row>
    <row r="61" spans="1:21" ht="15.6">
      <c r="A61" s="923">
        <v>7039</v>
      </c>
      <c r="B61" s="924" t="s">
        <v>2202</v>
      </c>
      <c r="C61" s="925">
        <v>82628</v>
      </c>
      <c r="D61" s="421"/>
      <c r="E61" s="374">
        <f t="shared" si="15"/>
        <v>72712.639999999999</v>
      </c>
      <c r="F61" s="374">
        <f t="shared" si="16"/>
        <v>69804.134399999995</v>
      </c>
      <c r="G61" s="918"/>
      <c r="H61" s="918">
        <v>99470.89151999999</v>
      </c>
      <c r="I61" s="918">
        <f t="shared" si="17"/>
        <v>120359.77873919999</v>
      </c>
      <c r="J61" s="918">
        <f>(H61-(H61*Varta!H$3))</f>
        <v>94497.34694399999</v>
      </c>
      <c r="K61" s="918">
        <f>(J61-(J61*Varta!I$3))</f>
        <v>91662.426535679988</v>
      </c>
      <c r="L61" s="918">
        <f t="shared" si="18"/>
        <v>4583.1213267839994</v>
      </c>
      <c r="M61" s="918">
        <f t="shared" si="19"/>
        <v>87079.305208895996</v>
      </c>
      <c r="N61" s="152">
        <f t="shared" si="20"/>
        <v>0.3131374999999999</v>
      </c>
      <c r="O61" s="152">
        <f t="shared" si="21"/>
        <v>0.24748062500000001</v>
      </c>
      <c r="P61" s="939">
        <f t="shared" si="23"/>
        <v>139608.26879999999</v>
      </c>
      <c r="Q61" s="440">
        <f t="shared" si="12"/>
        <v>139650</v>
      </c>
      <c r="R61" s="370">
        <f t="shared" si="4"/>
        <v>115413.22314049587</v>
      </c>
      <c r="S61" s="375">
        <f t="shared" si="13"/>
        <v>0.6533866386644267</v>
      </c>
      <c r="T61" s="375">
        <f t="shared" si="14"/>
        <v>0.39518079037593989</v>
      </c>
      <c r="U61" s="440">
        <f t="shared" si="22"/>
        <v>139650</v>
      </c>
    </row>
    <row r="62" spans="1:21" ht="15.6">
      <c r="A62" s="923">
        <v>7041</v>
      </c>
      <c r="B62" s="924" t="s">
        <v>2203</v>
      </c>
      <c r="C62" s="925">
        <v>94191</v>
      </c>
      <c r="D62" s="421"/>
      <c r="E62" s="374">
        <f t="shared" si="15"/>
        <v>82888.08</v>
      </c>
      <c r="F62" s="374">
        <f t="shared" si="16"/>
        <v>79572.556800000006</v>
      </c>
      <c r="G62" s="918"/>
      <c r="H62" s="918">
        <v>113390.89344000001</v>
      </c>
      <c r="I62" s="918">
        <f t="shared" si="17"/>
        <v>137202.98106240001</v>
      </c>
      <c r="J62" s="918">
        <f>(H62-(H62*Varta!H$3))</f>
        <v>107721.34876800001</v>
      </c>
      <c r="K62" s="918">
        <f>(J62-(J62*Varta!I$3))</f>
        <v>104489.70830496</v>
      </c>
      <c r="L62" s="918">
        <f t="shared" si="18"/>
        <v>5224.4854152480002</v>
      </c>
      <c r="M62" s="918">
        <f t="shared" si="19"/>
        <v>99265.222889712008</v>
      </c>
      <c r="N62" s="152">
        <f t="shared" si="20"/>
        <v>0.31313749999999996</v>
      </c>
      <c r="O62" s="152">
        <f t="shared" si="21"/>
        <v>0.24748062500000001</v>
      </c>
      <c r="P62" s="939">
        <f t="shared" si="23"/>
        <v>159145.11360000001</v>
      </c>
      <c r="Q62" s="440">
        <f t="shared" si="12"/>
        <v>159150</v>
      </c>
      <c r="R62" s="370">
        <f t="shared" ref="R62:R106" si="24">(Q62/1.21)</f>
        <v>131528.92561983471</v>
      </c>
      <c r="S62" s="375">
        <f t="shared" si="13"/>
        <v>0.65294331248426973</v>
      </c>
      <c r="T62" s="375">
        <f t="shared" si="14"/>
        <v>0.39501857538171531</v>
      </c>
      <c r="U62" s="440">
        <f t="shared" si="22"/>
        <v>159150</v>
      </c>
    </row>
    <row r="63" spans="1:21" ht="15.6">
      <c r="A63" s="923">
        <v>7042</v>
      </c>
      <c r="B63" s="924" t="s">
        <v>2204</v>
      </c>
      <c r="C63" s="925">
        <v>94753</v>
      </c>
      <c r="D63" s="421"/>
      <c r="E63" s="374">
        <f t="shared" si="15"/>
        <v>83382.64</v>
      </c>
      <c r="F63" s="374">
        <f t="shared" si="16"/>
        <v>80047.334399999992</v>
      </c>
      <c r="G63" s="918"/>
      <c r="H63" s="918">
        <v>114067.45151999999</v>
      </c>
      <c r="I63" s="918">
        <f t="shared" si="17"/>
        <v>138021.61633919997</v>
      </c>
      <c r="J63" s="918">
        <f>(H63-(H63*Varta!H$3))</f>
        <v>108364.07894399999</v>
      </c>
      <c r="K63" s="918">
        <f>(J63-(J63*Varta!I$3))</f>
        <v>105113.15657568</v>
      </c>
      <c r="L63" s="918">
        <f t="shared" si="18"/>
        <v>5255.6578287840002</v>
      </c>
      <c r="M63" s="918">
        <f t="shared" si="19"/>
        <v>99857.498746896003</v>
      </c>
      <c r="N63" s="152">
        <f t="shared" si="20"/>
        <v>0.31313750000000007</v>
      </c>
      <c r="O63" s="152">
        <f t="shared" si="21"/>
        <v>0.24748062500000015</v>
      </c>
      <c r="P63" s="939">
        <f t="shared" si="23"/>
        <v>160094.66879999998</v>
      </c>
      <c r="Q63" s="440">
        <f t="shared" si="12"/>
        <v>160100</v>
      </c>
      <c r="R63" s="370">
        <f t="shared" si="24"/>
        <v>132314.04958677688</v>
      </c>
      <c r="S63" s="375">
        <f t="shared" si="13"/>
        <v>0.65294760379649686</v>
      </c>
      <c r="T63" s="375">
        <f t="shared" si="14"/>
        <v>0.39502014600874469</v>
      </c>
      <c r="U63" s="440">
        <f t="shared" si="22"/>
        <v>160100</v>
      </c>
    </row>
    <row r="64" spans="1:21" ht="15.6">
      <c r="A64" s="923">
        <v>7043</v>
      </c>
      <c r="B64" s="924" t="s">
        <v>2205</v>
      </c>
      <c r="C64" s="925">
        <v>94753</v>
      </c>
      <c r="D64" s="421"/>
      <c r="E64" s="374">
        <f t="shared" si="15"/>
        <v>83382.64</v>
      </c>
      <c r="F64" s="374">
        <f t="shared" si="16"/>
        <v>80047.334399999992</v>
      </c>
      <c r="G64" s="918"/>
      <c r="H64" s="918">
        <v>114067.45151999999</v>
      </c>
      <c r="I64" s="918">
        <f t="shared" si="17"/>
        <v>138021.61633919997</v>
      </c>
      <c r="J64" s="918">
        <f>(H64-(H64*Varta!H$3))</f>
        <v>108364.07894399999</v>
      </c>
      <c r="K64" s="918">
        <f>(J64-(J64*Varta!I$3))</f>
        <v>105113.15657568</v>
      </c>
      <c r="L64" s="918">
        <f t="shared" si="18"/>
        <v>5255.6578287840002</v>
      </c>
      <c r="M64" s="918">
        <f t="shared" si="19"/>
        <v>99857.498746896003</v>
      </c>
      <c r="N64" s="152">
        <f t="shared" si="20"/>
        <v>0.31313750000000007</v>
      </c>
      <c r="O64" s="152">
        <f t="shared" si="21"/>
        <v>0.24748062500000015</v>
      </c>
      <c r="P64" s="939">
        <f t="shared" si="23"/>
        <v>160094.66879999998</v>
      </c>
      <c r="Q64" s="440">
        <f t="shared" si="12"/>
        <v>160100</v>
      </c>
      <c r="R64" s="370">
        <f t="shared" si="24"/>
        <v>132314.04958677688</v>
      </c>
      <c r="S64" s="375">
        <f t="shared" si="13"/>
        <v>0.65294760379649686</v>
      </c>
      <c r="T64" s="375">
        <f t="shared" si="14"/>
        <v>0.39502014600874469</v>
      </c>
      <c r="U64" s="440">
        <f t="shared" si="22"/>
        <v>160100</v>
      </c>
    </row>
    <row r="65" spans="1:21" ht="15.6">
      <c r="A65" s="923">
        <v>7044</v>
      </c>
      <c r="B65" s="924" t="s">
        <v>2206</v>
      </c>
      <c r="C65" s="925">
        <v>94753</v>
      </c>
      <c r="D65" s="421"/>
      <c r="E65" s="374">
        <f t="shared" si="15"/>
        <v>83382.64</v>
      </c>
      <c r="F65" s="374">
        <f t="shared" si="16"/>
        <v>80047.334399999992</v>
      </c>
      <c r="G65" s="918"/>
      <c r="H65" s="918">
        <v>114067.45151999999</v>
      </c>
      <c r="I65" s="918">
        <f t="shared" si="17"/>
        <v>138021.61633919997</v>
      </c>
      <c r="J65" s="918">
        <f>(H65-(H65*Varta!H$3))</f>
        <v>108364.07894399999</v>
      </c>
      <c r="K65" s="918">
        <f>(J65-(J65*Varta!I$3))</f>
        <v>105113.15657568</v>
      </c>
      <c r="L65" s="918">
        <f t="shared" si="18"/>
        <v>5255.6578287840002</v>
      </c>
      <c r="M65" s="918">
        <f t="shared" si="19"/>
        <v>99857.498746896003</v>
      </c>
      <c r="N65" s="152">
        <f t="shared" si="20"/>
        <v>0.31313750000000007</v>
      </c>
      <c r="O65" s="152">
        <f t="shared" si="21"/>
        <v>0.24748062500000015</v>
      </c>
      <c r="P65" s="939">
        <f t="shared" si="23"/>
        <v>160094.66879999998</v>
      </c>
      <c r="Q65" s="440">
        <f t="shared" si="12"/>
        <v>160100</v>
      </c>
      <c r="R65" s="370">
        <f t="shared" si="24"/>
        <v>132314.04958677688</v>
      </c>
      <c r="S65" s="375">
        <f t="shared" si="13"/>
        <v>0.65294760379649686</v>
      </c>
      <c r="T65" s="375">
        <f t="shared" si="14"/>
        <v>0.39502014600874469</v>
      </c>
      <c r="U65" s="440">
        <f t="shared" si="22"/>
        <v>160100</v>
      </c>
    </row>
    <row r="66" spans="1:21" ht="15.6">
      <c r="A66" s="923">
        <v>7045</v>
      </c>
      <c r="B66" s="924" t="s">
        <v>2207</v>
      </c>
      <c r="C66" s="925">
        <v>127646</v>
      </c>
      <c r="D66" s="421"/>
      <c r="E66" s="374">
        <f t="shared" si="15"/>
        <v>112328.48</v>
      </c>
      <c r="F66" s="374">
        <f t="shared" si="16"/>
        <v>107835.34079999999</v>
      </c>
      <c r="G66" s="918"/>
      <c r="H66" s="918">
        <v>153665.36064</v>
      </c>
      <c r="I66" s="918">
        <f t="shared" si="17"/>
        <v>185935.08637439998</v>
      </c>
      <c r="J66" s="918">
        <f>(H66-(H66*Varta!H$3))</f>
        <v>145982.09260800001</v>
      </c>
      <c r="K66" s="918">
        <f>(J66-(J66*Varta!I$3))</f>
        <v>141602.62982976</v>
      </c>
      <c r="L66" s="918">
        <f t="shared" si="18"/>
        <v>7080.1314914880004</v>
      </c>
      <c r="M66" s="918">
        <f t="shared" si="19"/>
        <v>134522.49833827201</v>
      </c>
      <c r="N66" s="152">
        <f t="shared" si="20"/>
        <v>0.31313750000000012</v>
      </c>
      <c r="O66" s="152">
        <f t="shared" si="21"/>
        <v>0.2474806250000002</v>
      </c>
      <c r="P66" s="939">
        <f t="shared" si="23"/>
        <v>215670.68159999998</v>
      </c>
      <c r="Q66" s="440">
        <f t="shared" si="12"/>
        <v>215700</v>
      </c>
      <c r="R66" s="370">
        <f t="shared" si="24"/>
        <v>178264.46280991737</v>
      </c>
      <c r="S66" s="375">
        <f t="shared" si="13"/>
        <v>0.6531172571758348</v>
      </c>
      <c r="T66" s="375">
        <f t="shared" si="14"/>
        <v>0.39508223287899874</v>
      </c>
      <c r="U66" s="440">
        <f t="shared" si="22"/>
        <v>215700</v>
      </c>
    </row>
    <row r="67" spans="1:21" ht="15.6">
      <c r="A67" s="923">
        <v>7046</v>
      </c>
      <c r="B67" s="924" t="s">
        <v>2208</v>
      </c>
      <c r="C67" s="925">
        <v>127572</v>
      </c>
      <c r="D67" s="421"/>
      <c r="E67" s="374">
        <f t="shared" si="15"/>
        <v>112263.36</v>
      </c>
      <c r="F67" s="374">
        <f t="shared" si="16"/>
        <v>107772.8256</v>
      </c>
      <c r="G67" s="918"/>
      <c r="H67" s="918">
        <v>153576.27648</v>
      </c>
      <c r="I67" s="918">
        <f t="shared" si="17"/>
        <v>185827.29454080001</v>
      </c>
      <c r="J67" s="918">
        <f>(H67-(H67*Varta!H$3))</f>
        <v>145897.46265599999</v>
      </c>
      <c r="K67" s="918">
        <f>(J67-(J67*Varta!I$3))</f>
        <v>141520.53877632</v>
      </c>
      <c r="L67" s="918">
        <f t="shared" si="18"/>
        <v>7076.0269388160004</v>
      </c>
      <c r="M67" s="918">
        <f t="shared" si="19"/>
        <v>134444.51183750399</v>
      </c>
      <c r="N67" s="152">
        <f t="shared" si="20"/>
        <v>0.31313750000000001</v>
      </c>
      <c r="O67" s="152">
        <f t="shared" si="21"/>
        <v>0.24748062499999995</v>
      </c>
      <c r="P67" s="939">
        <f t="shared" si="23"/>
        <v>215545.65119999999</v>
      </c>
      <c r="Q67" s="440">
        <f t="shared" si="12"/>
        <v>215550</v>
      </c>
      <c r="R67" s="370">
        <f t="shared" si="24"/>
        <v>178140.49586776859</v>
      </c>
      <c r="S67" s="375">
        <f t="shared" si="13"/>
        <v>0.65292591036760017</v>
      </c>
      <c r="T67" s="375">
        <f t="shared" si="14"/>
        <v>0.39501220609603344</v>
      </c>
      <c r="U67" s="440">
        <f t="shared" si="22"/>
        <v>215550</v>
      </c>
    </row>
    <row r="68" spans="1:21" ht="15.6">
      <c r="A68" s="923">
        <v>7049</v>
      </c>
      <c r="B68" s="924" t="s">
        <v>2209</v>
      </c>
      <c r="C68" s="925">
        <v>136216</v>
      </c>
      <c r="D68" s="421"/>
      <c r="E68" s="374">
        <f t="shared" si="15"/>
        <v>119870.08</v>
      </c>
      <c r="F68" s="374">
        <f t="shared" si="16"/>
        <v>115075.27680000001</v>
      </c>
      <c r="G68" s="918"/>
      <c r="H68" s="918">
        <v>163982.26944</v>
      </c>
      <c r="I68" s="918">
        <f t="shared" si="17"/>
        <v>198418.5460224</v>
      </c>
      <c r="J68" s="918">
        <f>(H68-(H68*Varta!H$3))</f>
        <v>155783.15596800001</v>
      </c>
      <c r="K68" s="918">
        <f>(J68-(J68*Varta!I$3))</f>
        <v>151109.66128895999</v>
      </c>
      <c r="L68" s="918">
        <f t="shared" si="18"/>
        <v>7555.4830644479998</v>
      </c>
      <c r="M68" s="918">
        <f t="shared" si="19"/>
        <v>143554.178224512</v>
      </c>
      <c r="N68" s="152">
        <f t="shared" si="20"/>
        <v>0.31313749999999985</v>
      </c>
      <c r="O68" s="152">
        <f t="shared" si="21"/>
        <v>0.2474806249999999</v>
      </c>
      <c r="P68" s="939">
        <f t="shared" si="23"/>
        <v>230150.55360000001</v>
      </c>
      <c r="Q68" s="440">
        <f t="shared" si="12"/>
        <v>230200</v>
      </c>
      <c r="R68" s="370">
        <f t="shared" si="24"/>
        <v>190247.93388429753</v>
      </c>
      <c r="S68" s="375">
        <f t="shared" si="13"/>
        <v>0.65324767556238039</v>
      </c>
      <c r="T68" s="375">
        <f t="shared" si="14"/>
        <v>0.39512995252823629</v>
      </c>
      <c r="U68" s="440">
        <f t="shared" si="22"/>
        <v>230200</v>
      </c>
    </row>
    <row r="69" spans="1:21" ht="15.6">
      <c r="A69" s="923">
        <v>7050</v>
      </c>
      <c r="B69" s="924" t="s">
        <v>2210</v>
      </c>
      <c r="C69" s="925">
        <v>94058</v>
      </c>
      <c r="D69" s="421"/>
      <c r="E69" s="374">
        <f t="shared" si="15"/>
        <v>82771.040000000008</v>
      </c>
      <c r="F69" s="374">
        <f t="shared" si="16"/>
        <v>79460.198400000008</v>
      </c>
      <c r="G69" s="918"/>
      <c r="H69" s="918">
        <v>113230.78272000002</v>
      </c>
      <c r="I69" s="918">
        <f t="shared" si="17"/>
        <v>137009.24709120003</v>
      </c>
      <c r="J69" s="918">
        <f>(H69-(H69*Varta!H$3))</f>
        <v>107569.24358400001</v>
      </c>
      <c r="K69" s="918">
        <f>(J69-(J69*Varta!I$3))</f>
        <v>104342.16627648001</v>
      </c>
      <c r="L69" s="918">
        <f t="shared" si="18"/>
        <v>5217.108313824001</v>
      </c>
      <c r="M69" s="918">
        <f t="shared" si="19"/>
        <v>99125.057962656007</v>
      </c>
      <c r="N69" s="152">
        <f t="shared" si="20"/>
        <v>0.31313750000000001</v>
      </c>
      <c r="O69" s="152">
        <f t="shared" si="21"/>
        <v>0.24748062499999995</v>
      </c>
      <c r="P69" s="939">
        <f t="shared" si="23"/>
        <v>158920.39680000002</v>
      </c>
      <c r="Q69" s="440">
        <f t="shared" si="12"/>
        <v>158950</v>
      </c>
      <c r="R69" s="370">
        <f t="shared" si="24"/>
        <v>131363.63636363635</v>
      </c>
      <c r="S69" s="375">
        <f t="shared" si="13"/>
        <v>0.65320045769777912</v>
      </c>
      <c r="T69" s="375">
        <f t="shared" si="14"/>
        <v>0.39511267653979226</v>
      </c>
      <c r="U69" s="440">
        <f t="shared" si="22"/>
        <v>158950</v>
      </c>
    </row>
    <row r="70" spans="1:21" ht="15.6">
      <c r="A70" s="928">
        <v>7051</v>
      </c>
      <c r="B70" s="898" t="s">
        <v>2211</v>
      </c>
      <c r="C70" s="929">
        <v>113845</v>
      </c>
      <c r="D70" s="930"/>
      <c r="E70" s="374">
        <f t="shared" si="15"/>
        <v>100183.6</v>
      </c>
      <c r="F70" s="374">
        <f t="shared" si="16"/>
        <v>96176.256000000008</v>
      </c>
      <c r="G70" s="918"/>
      <c r="H70" s="918">
        <v>137051.16480000003</v>
      </c>
      <c r="I70" s="918">
        <f t="shared" si="17"/>
        <v>165831.90940800004</v>
      </c>
      <c r="J70" s="918">
        <f>(H70-(H70*Varta!H$3))</f>
        <v>130198.60656000003</v>
      </c>
      <c r="K70" s="918">
        <f>(J70-(J70*Varta!I$3))</f>
        <v>126292.64836320003</v>
      </c>
      <c r="L70" s="918">
        <f t="shared" si="18"/>
        <v>6314.6324181600021</v>
      </c>
      <c r="M70" s="918">
        <f t="shared" si="19"/>
        <v>119978.01594504002</v>
      </c>
      <c r="N70" s="152">
        <f t="shared" si="20"/>
        <v>0.31313750000000018</v>
      </c>
      <c r="O70" s="152">
        <f t="shared" si="21"/>
        <v>0.24748062500000015</v>
      </c>
      <c r="P70" s="939">
        <f t="shared" si="23"/>
        <v>192352.51200000002</v>
      </c>
      <c r="Q70" s="440">
        <f t="shared" si="12"/>
        <v>192400</v>
      </c>
      <c r="R70" s="370">
        <f t="shared" si="24"/>
        <v>159008.26446280992</v>
      </c>
      <c r="S70" s="375">
        <f t="shared" si="13"/>
        <v>0.65330062820089307</v>
      </c>
      <c r="T70" s="375">
        <f t="shared" si="14"/>
        <v>0.39514932557172555</v>
      </c>
      <c r="U70" s="440">
        <f t="shared" si="22"/>
        <v>192400</v>
      </c>
    </row>
    <row r="71" spans="1:21" ht="15.6">
      <c r="A71" s="923">
        <v>7052</v>
      </c>
      <c r="B71" s="924" t="s">
        <v>2212</v>
      </c>
      <c r="C71" s="925">
        <v>137638</v>
      </c>
      <c r="D71" s="421"/>
      <c r="E71" s="374">
        <f t="shared" si="15"/>
        <v>121121.44</v>
      </c>
      <c r="F71" s="374">
        <f t="shared" si="16"/>
        <v>116276.5824</v>
      </c>
      <c r="G71" s="918"/>
      <c r="H71" s="918">
        <v>165694.12992000001</v>
      </c>
      <c r="I71" s="918">
        <f t="shared" si="17"/>
        <v>200489.8972032</v>
      </c>
      <c r="J71" s="918">
        <f>(H71-(H71*Varta!H$3))</f>
        <v>157409.42342400001</v>
      </c>
      <c r="K71" s="918">
        <f>(J71-(J71*Varta!I$3))</f>
        <v>152687.14072128001</v>
      </c>
      <c r="L71" s="918">
        <f t="shared" si="18"/>
        <v>7634.3570360640006</v>
      </c>
      <c r="M71" s="918">
        <f t="shared" si="19"/>
        <v>145052.78368521601</v>
      </c>
      <c r="N71" s="152">
        <f t="shared" si="20"/>
        <v>0.31313750000000012</v>
      </c>
      <c r="O71" s="152">
        <f t="shared" si="21"/>
        <v>0.24748062500000009</v>
      </c>
      <c r="P71" s="939">
        <f t="shared" si="23"/>
        <v>232553.1648</v>
      </c>
      <c r="Q71" s="440">
        <f t="shared" si="12"/>
        <v>232600</v>
      </c>
      <c r="R71" s="370">
        <f t="shared" si="24"/>
        <v>192231.40495867768</v>
      </c>
      <c r="S71" s="375">
        <f t="shared" si="13"/>
        <v>0.65322544738533428</v>
      </c>
      <c r="T71" s="375">
        <f t="shared" si="14"/>
        <v>0.39512181984522787</v>
      </c>
      <c r="U71" s="440">
        <f t="shared" si="22"/>
        <v>232600</v>
      </c>
    </row>
    <row r="72" spans="1:21" ht="15.6">
      <c r="A72" s="923">
        <v>7057</v>
      </c>
      <c r="B72" s="924" t="s">
        <v>2213</v>
      </c>
      <c r="C72" s="925">
        <v>249190</v>
      </c>
      <c r="D72" s="421"/>
      <c r="E72" s="374">
        <f t="shared" si="15"/>
        <v>219287.2</v>
      </c>
      <c r="F72" s="374">
        <f t="shared" si="16"/>
        <v>210515.712</v>
      </c>
      <c r="G72" s="918"/>
      <c r="H72" s="918">
        <v>299984.88959999999</v>
      </c>
      <c r="I72" s="918">
        <f t="shared" si="17"/>
        <v>362981.71641599998</v>
      </c>
      <c r="J72" s="918">
        <f>(H72-(H72*Varta!H$3))</f>
        <v>284985.64512</v>
      </c>
      <c r="K72" s="918">
        <f>(J72-(J72*Varta!I$3))</f>
        <v>276436.07576640003</v>
      </c>
      <c r="L72" s="918">
        <f t="shared" si="18"/>
        <v>13821.803788320001</v>
      </c>
      <c r="M72" s="918">
        <f t="shared" si="19"/>
        <v>262614.27197808004</v>
      </c>
      <c r="N72" s="152">
        <f t="shared" si="20"/>
        <v>0.31313750000000012</v>
      </c>
      <c r="O72" s="152">
        <f t="shared" si="21"/>
        <v>0.2474806250000002</v>
      </c>
      <c r="P72" s="939">
        <f t="shared" si="23"/>
        <v>421031.424</v>
      </c>
      <c r="Q72" s="117">
        <f t="shared" si="12"/>
        <v>421050</v>
      </c>
      <c r="R72" s="370">
        <f t="shared" si="24"/>
        <v>347975.20661157026</v>
      </c>
      <c r="S72" s="375">
        <f t="shared" si="13"/>
        <v>0.6529654879706569</v>
      </c>
      <c r="T72" s="375">
        <f t="shared" si="14"/>
        <v>0.39502669155682224</v>
      </c>
      <c r="U72" s="440">
        <f t="shared" si="22"/>
        <v>421050</v>
      </c>
    </row>
    <row r="73" spans="1:21" ht="15.6">
      <c r="A73" s="923">
        <v>7060</v>
      </c>
      <c r="B73" s="924" t="s">
        <v>2214</v>
      </c>
      <c r="C73" s="925">
        <v>245868</v>
      </c>
      <c r="D73" s="421"/>
      <c r="E73" s="374">
        <f t="shared" si="15"/>
        <v>216363.84</v>
      </c>
      <c r="F73" s="374">
        <f t="shared" si="16"/>
        <v>207709.28639999998</v>
      </c>
      <c r="G73" s="918"/>
      <c r="H73" s="918">
        <v>295985.73311999999</v>
      </c>
      <c r="I73" s="918">
        <f t="shared" si="17"/>
        <v>358142.73707519996</v>
      </c>
      <c r="J73" s="918">
        <f>(H73-(H73*Varta!H$3))</f>
        <v>281186.44646399998</v>
      </c>
      <c r="K73" s="918">
        <f>(J73-(J73*Varta!I$3))</f>
        <v>272750.85307007999</v>
      </c>
      <c r="L73" s="918">
        <f t="shared" si="18"/>
        <v>13637.542653504001</v>
      </c>
      <c r="M73" s="918">
        <f t="shared" si="19"/>
        <v>259113.31041657599</v>
      </c>
      <c r="N73" s="152">
        <f t="shared" si="20"/>
        <v>0.31313750000000007</v>
      </c>
      <c r="O73" s="152">
        <f t="shared" si="21"/>
        <v>0.24748062500000004</v>
      </c>
      <c r="P73" s="939">
        <f t="shared" si="23"/>
        <v>415418.57279999997</v>
      </c>
      <c r="Q73" s="345"/>
      <c r="R73" s="687"/>
      <c r="S73" s="375">
        <f t="shared" si="13"/>
        <v>-1</v>
      </c>
      <c r="T73" s="375" t="e">
        <f t="shared" si="14"/>
        <v>#DIV/0!</v>
      </c>
      <c r="U73" s="921"/>
    </row>
    <row r="74" spans="1:21" ht="15.6">
      <c r="A74" s="923">
        <v>7061</v>
      </c>
      <c r="B74" s="924" t="s">
        <v>2215</v>
      </c>
      <c r="C74" s="925">
        <v>132886</v>
      </c>
      <c r="D74" s="421"/>
      <c r="E74" s="374">
        <f t="shared" si="15"/>
        <v>116939.68</v>
      </c>
      <c r="F74" s="374">
        <f t="shared" si="16"/>
        <v>112262.0928</v>
      </c>
      <c r="G74" s="918"/>
      <c r="H74" s="918">
        <v>159973.48224000001</v>
      </c>
      <c r="I74" s="918">
        <f t="shared" si="17"/>
        <v>193567.91351040002</v>
      </c>
      <c r="J74" s="918">
        <f>(H74-(H74*Varta!H$3))</f>
        <v>151974.808128</v>
      </c>
      <c r="K74" s="918">
        <f>(J74-(J74*Varta!I$3))</f>
        <v>147415.56388416002</v>
      </c>
      <c r="L74" s="918">
        <f t="shared" si="18"/>
        <v>7370.778194208001</v>
      </c>
      <c r="M74" s="918">
        <f t="shared" si="19"/>
        <v>140044.78568995203</v>
      </c>
      <c r="N74" s="152">
        <f t="shared" si="20"/>
        <v>0.31313750000000018</v>
      </c>
      <c r="O74" s="152">
        <f t="shared" si="21"/>
        <v>0.24748062500000026</v>
      </c>
      <c r="P74" s="939">
        <f t="shared" si="23"/>
        <v>224524.1856</v>
      </c>
      <c r="Q74" s="345"/>
      <c r="R74" s="687"/>
      <c r="S74" s="375">
        <f t="shared" ref="S74:S105" si="25">(R74-F74)/F74</f>
        <v>-1</v>
      </c>
      <c r="T74" s="375" t="e">
        <f t="shared" ref="T74:T106" si="26">(R74-F74)/R74</f>
        <v>#DIV/0!</v>
      </c>
      <c r="U74" s="921"/>
    </row>
    <row r="75" spans="1:21" ht="15.6">
      <c r="A75" s="928">
        <v>7063</v>
      </c>
      <c r="B75" s="898" t="s">
        <v>2216</v>
      </c>
      <c r="C75" s="929">
        <v>40980</v>
      </c>
      <c r="D75" s="930"/>
      <c r="E75" s="374">
        <f t="shared" si="15"/>
        <v>36062.400000000001</v>
      </c>
      <c r="F75" s="374">
        <f t="shared" si="16"/>
        <v>34619.904000000002</v>
      </c>
      <c r="G75" s="918"/>
      <c r="H75" s="918">
        <v>49333.363200000007</v>
      </c>
      <c r="I75" s="918">
        <f t="shared" si="17"/>
        <v>59693.369472000006</v>
      </c>
      <c r="J75" s="918">
        <f>(H75-(H75*Varta!H$3))</f>
        <v>46866.695040000006</v>
      </c>
      <c r="K75" s="918">
        <f>(J75-(J75*Varta!I$3))</f>
        <v>45460.694188800007</v>
      </c>
      <c r="L75" s="918">
        <f t="shared" si="18"/>
        <v>2273.0347094400004</v>
      </c>
      <c r="M75" s="918">
        <f t="shared" si="19"/>
        <v>43187.659479360009</v>
      </c>
      <c r="N75" s="152">
        <f t="shared" si="20"/>
        <v>0.31313750000000012</v>
      </c>
      <c r="O75" s="152">
        <f t="shared" si="21"/>
        <v>0.24748062500000018</v>
      </c>
      <c r="P75" s="939">
        <f t="shared" si="23"/>
        <v>69239.808000000005</v>
      </c>
      <c r="Q75" s="117">
        <f>CEILING(P75,50)</f>
        <v>69250</v>
      </c>
      <c r="R75" s="370">
        <f t="shared" si="24"/>
        <v>57231.404958677689</v>
      </c>
      <c r="S75" s="375">
        <f t="shared" si="25"/>
        <v>0.65313586538765922</v>
      </c>
      <c r="T75" s="375">
        <f t="shared" si="26"/>
        <v>0.39508904202166062</v>
      </c>
      <c r="U75" s="440">
        <f t="shared" si="22"/>
        <v>69250</v>
      </c>
    </row>
    <row r="76" spans="1:21" ht="15.6">
      <c r="A76" s="923">
        <v>7065</v>
      </c>
      <c r="B76" s="924" t="s">
        <v>2217</v>
      </c>
      <c r="C76" s="925">
        <v>173788</v>
      </c>
      <c r="D76" s="421"/>
      <c r="E76" s="374">
        <f t="shared" si="15"/>
        <v>152933.44</v>
      </c>
      <c r="F76" s="374">
        <f t="shared" si="16"/>
        <v>146816.1024</v>
      </c>
      <c r="G76" s="918"/>
      <c r="H76" s="918">
        <v>209212.94592</v>
      </c>
      <c r="I76" s="918">
        <f t="shared" si="17"/>
        <v>253147.6645632</v>
      </c>
      <c r="J76" s="918">
        <f>(H76-(H76*Varta!H$3))</f>
        <v>198752.29862399999</v>
      </c>
      <c r="K76" s="918">
        <f>(J76-(J76*Varta!I$3))</f>
        <v>192789.72966528</v>
      </c>
      <c r="L76" s="918">
        <f t="shared" si="18"/>
        <v>9639.4864832639996</v>
      </c>
      <c r="M76" s="918">
        <f t="shared" si="19"/>
        <v>183150.24318201601</v>
      </c>
      <c r="N76" s="152">
        <f t="shared" si="20"/>
        <v>0.31313749999999996</v>
      </c>
      <c r="O76" s="152">
        <f t="shared" si="21"/>
        <v>0.24748062500000007</v>
      </c>
      <c r="P76" s="939">
        <f t="shared" si="23"/>
        <v>293632.20480000001</v>
      </c>
      <c r="Q76" s="117">
        <f>CEILING(P76,50)</f>
        <v>293650</v>
      </c>
      <c r="R76" s="370">
        <f t="shared" si="24"/>
        <v>242685.95041322315</v>
      </c>
      <c r="S76" s="375">
        <f t="shared" si="25"/>
        <v>0.65299273339940633</v>
      </c>
      <c r="T76" s="375">
        <f t="shared" si="26"/>
        <v>0.39503666302060275</v>
      </c>
      <c r="U76" s="440">
        <f t="shared" si="22"/>
        <v>293650</v>
      </c>
    </row>
    <row r="77" spans="1:21" ht="15.6">
      <c r="A77" s="923">
        <v>7066</v>
      </c>
      <c r="B77" s="924" t="s">
        <v>2218</v>
      </c>
      <c r="C77" s="925">
        <v>142054</v>
      </c>
      <c r="D77" s="421"/>
      <c r="E77" s="374">
        <f t="shared" si="15"/>
        <v>125007.52</v>
      </c>
      <c r="F77" s="374">
        <f t="shared" si="16"/>
        <v>120007.21920000001</v>
      </c>
      <c r="G77" s="918"/>
      <c r="H77" s="918">
        <v>171010.28736000002</v>
      </c>
      <c r="I77" s="918">
        <f t="shared" si="17"/>
        <v>206922.4477056</v>
      </c>
      <c r="J77" s="918">
        <f>(H77-(H77*Varta!H$3))</f>
        <v>162459.77299200001</v>
      </c>
      <c r="K77" s="918">
        <f>(J77-(J77*Varta!I$3))</f>
        <v>157585.97980224001</v>
      </c>
      <c r="L77" s="918">
        <f t="shared" si="18"/>
        <v>7879.2989901120009</v>
      </c>
      <c r="M77" s="918">
        <f t="shared" si="19"/>
        <v>149706.680812128</v>
      </c>
      <c r="N77" s="152">
        <f t="shared" si="20"/>
        <v>0.31313749999999996</v>
      </c>
      <c r="O77" s="152">
        <f t="shared" si="21"/>
        <v>0.24748062499999995</v>
      </c>
      <c r="P77" s="939">
        <f t="shared" si="23"/>
        <v>240014.43840000001</v>
      </c>
      <c r="Q77" s="117">
        <f>CEILING(P77,50)</f>
        <v>240050</v>
      </c>
      <c r="R77" s="370">
        <f t="shared" si="24"/>
        <v>198388.42975206612</v>
      </c>
      <c r="S77" s="375">
        <f t="shared" si="25"/>
        <v>0.65313746185084598</v>
      </c>
      <c r="T77" s="375">
        <f t="shared" si="26"/>
        <v>0.3950896261945428</v>
      </c>
      <c r="U77" s="440">
        <f t="shared" si="22"/>
        <v>240050</v>
      </c>
    </row>
    <row r="78" spans="1:21" ht="15.6">
      <c r="A78" s="923">
        <v>7067</v>
      </c>
      <c r="B78" s="924" t="s">
        <v>2219</v>
      </c>
      <c r="C78" s="925">
        <v>146021</v>
      </c>
      <c r="D78" s="421"/>
      <c r="E78" s="374">
        <f t="shared" si="15"/>
        <v>128498.48</v>
      </c>
      <c r="F78" s="374">
        <f t="shared" si="16"/>
        <v>123358.5408</v>
      </c>
      <c r="G78" s="918"/>
      <c r="H78" s="918">
        <v>175785.92064</v>
      </c>
      <c r="I78" s="918">
        <f t="shared" si="17"/>
        <v>212700.96397439999</v>
      </c>
      <c r="J78" s="918">
        <f>(H78-(H78*Varta!H$3))</f>
        <v>166996.62460799998</v>
      </c>
      <c r="K78" s="918">
        <f>(J78-(J78*Varta!I$3))</f>
        <v>161986.72586975998</v>
      </c>
      <c r="L78" s="918">
        <f t="shared" si="18"/>
        <v>8099.3362934879988</v>
      </c>
      <c r="M78" s="918">
        <f t="shared" si="19"/>
        <v>153887.38957627199</v>
      </c>
      <c r="N78" s="152">
        <f t="shared" si="20"/>
        <v>0.31313749999999979</v>
      </c>
      <c r="O78" s="152">
        <f t="shared" si="21"/>
        <v>0.2474806249999999</v>
      </c>
      <c r="P78" s="939">
        <f t="shared" si="23"/>
        <v>246717.0816</v>
      </c>
      <c r="Q78" s="117">
        <f>CEILING(P78,50)</f>
        <v>246750</v>
      </c>
      <c r="R78" s="370">
        <f t="shared" si="24"/>
        <v>203925.61983471076</v>
      </c>
      <c r="S78" s="375">
        <f t="shared" si="25"/>
        <v>0.65311310033517156</v>
      </c>
      <c r="T78" s="375">
        <f t="shared" si="26"/>
        <v>0.39508071178115506</v>
      </c>
      <c r="U78" s="440">
        <f t="shared" si="22"/>
        <v>246750</v>
      </c>
    </row>
    <row r="79" spans="1:21" ht="15.6">
      <c r="A79" s="923">
        <v>7068</v>
      </c>
      <c r="B79" s="924" t="s">
        <v>2220</v>
      </c>
      <c r="C79" s="925">
        <v>213040</v>
      </c>
      <c r="D79" s="421"/>
      <c r="E79" s="374">
        <f t="shared" si="15"/>
        <v>187475.20000000001</v>
      </c>
      <c r="F79" s="374">
        <f t="shared" si="16"/>
        <v>179976.19200000001</v>
      </c>
      <c r="G79" s="918"/>
      <c r="H79" s="918">
        <v>256466.07360000003</v>
      </c>
      <c r="I79" s="918">
        <f t="shared" si="17"/>
        <v>310323.94905600004</v>
      </c>
      <c r="J79" s="918">
        <f>(H79-(H79*Varta!H$3))</f>
        <v>243642.76992000002</v>
      </c>
      <c r="K79" s="918">
        <f>(J79-(J79*Varta!I$3))</f>
        <v>236333.48682240001</v>
      </c>
      <c r="L79" s="918">
        <f t="shared" si="18"/>
        <v>11816.67434112</v>
      </c>
      <c r="M79" s="918">
        <f t="shared" si="19"/>
        <v>224516.81248128001</v>
      </c>
      <c r="N79" s="152">
        <f t="shared" si="20"/>
        <v>0.31313749999999996</v>
      </c>
      <c r="O79" s="152">
        <f t="shared" si="21"/>
        <v>0.24748062499999998</v>
      </c>
      <c r="P79" s="939">
        <f t="shared" si="23"/>
        <v>359952.38400000002</v>
      </c>
      <c r="Q79" s="117">
        <f>CEILING(P79,50)</f>
        <v>360000</v>
      </c>
      <c r="R79" s="370">
        <f t="shared" si="24"/>
        <v>297520.66115702479</v>
      </c>
      <c r="S79" s="375">
        <f t="shared" si="25"/>
        <v>0.65311121349330903</v>
      </c>
      <c r="T79" s="375">
        <f t="shared" si="26"/>
        <v>0.39508002133333331</v>
      </c>
      <c r="U79" s="440">
        <f t="shared" si="22"/>
        <v>360000</v>
      </c>
    </row>
    <row r="80" spans="1:21" ht="15.6">
      <c r="A80" s="923">
        <v>7070</v>
      </c>
      <c r="B80" s="924" t="s">
        <v>2221</v>
      </c>
      <c r="C80" s="925">
        <v>201667</v>
      </c>
      <c r="D80" s="421"/>
      <c r="E80" s="374">
        <f t="shared" si="15"/>
        <v>177466.96</v>
      </c>
      <c r="F80" s="374">
        <f t="shared" si="16"/>
        <v>170368.28159999999</v>
      </c>
      <c r="G80" s="918"/>
      <c r="H80" s="918">
        <v>242774.80127999999</v>
      </c>
      <c r="I80" s="918">
        <f t="shared" si="17"/>
        <v>293757.50954879995</v>
      </c>
      <c r="J80" s="918">
        <f>(H80-(H80*Varta!H$3))</f>
        <v>230636.06121599997</v>
      </c>
      <c r="K80" s="918">
        <f>(J80-(J80*Varta!I$3))</f>
        <v>223716.97937951997</v>
      </c>
      <c r="L80" s="918">
        <f t="shared" si="18"/>
        <v>11185.848968975999</v>
      </c>
      <c r="M80" s="918">
        <f t="shared" si="19"/>
        <v>212531.13041054396</v>
      </c>
      <c r="N80" s="152">
        <f t="shared" si="20"/>
        <v>0.3131374999999999</v>
      </c>
      <c r="O80" s="152">
        <f t="shared" si="21"/>
        <v>0.24748062499999987</v>
      </c>
      <c r="P80" s="939">
        <f t="shared" si="23"/>
        <v>340736.56319999998</v>
      </c>
      <c r="Q80" s="117"/>
      <c r="R80" s="370"/>
      <c r="S80" s="375">
        <f t="shared" si="25"/>
        <v>-1</v>
      </c>
      <c r="T80" s="375" t="e">
        <f t="shared" si="26"/>
        <v>#DIV/0!</v>
      </c>
      <c r="U80" s="440"/>
    </row>
    <row r="81" spans="1:21" ht="15.6">
      <c r="A81" s="923">
        <v>7073</v>
      </c>
      <c r="B81" s="924" t="s">
        <v>2222</v>
      </c>
      <c r="C81" s="925">
        <v>143872</v>
      </c>
      <c r="D81" s="421"/>
      <c r="E81" s="374">
        <f t="shared" si="15"/>
        <v>126607.36</v>
      </c>
      <c r="F81" s="374">
        <f t="shared" si="16"/>
        <v>121543.0656</v>
      </c>
      <c r="G81" s="918"/>
      <c r="H81" s="918">
        <v>173198.86848</v>
      </c>
      <c r="I81" s="918">
        <f t="shared" si="17"/>
        <v>209570.63086080001</v>
      </c>
      <c r="J81" s="918">
        <f>(H81-(H81*Varta!H$3))</f>
        <v>164538.92505600001</v>
      </c>
      <c r="K81" s="918">
        <f>(J81-(J81*Varta!I$3))</f>
        <v>159602.75730432</v>
      </c>
      <c r="L81" s="918">
        <f t="shared" si="18"/>
        <v>7980.1378652160001</v>
      </c>
      <c r="M81" s="918">
        <f t="shared" si="19"/>
        <v>151622.61943910399</v>
      </c>
      <c r="N81" s="152">
        <f t="shared" si="20"/>
        <v>0.31313749999999996</v>
      </c>
      <c r="O81" s="152">
        <f t="shared" si="21"/>
        <v>0.2474806249999999</v>
      </c>
      <c r="P81" s="939">
        <f t="shared" si="23"/>
        <v>243086.1312</v>
      </c>
      <c r="Q81" s="440">
        <f t="shared" ref="Q81:Q106" si="27">CEILING(P81,50)</f>
        <v>243100</v>
      </c>
      <c r="R81" s="370">
        <f t="shared" si="24"/>
        <v>200909.09090909091</v>
      </c>
      <c r="S81" s="375">
        <f t="shared" si="25"/>
        <v>0.65298686451011245</v>
      </c>
      <c r="T81" s="375">
        <f t="shared" si="26"/>
        <v>0.39503451511312215</v>
      </c>
      <c r="U81" s="440">
        <f t="shared" si="22"/>
        <v>243100</v>
      </c>
    </row>
    <row r="82" spans="1:21" ht="15.6">
      <c r="A82" s="923">
        <v>7074</v>
      </c>
      <c r="B82" s="924" t="s">
        <v>2223</v>
      </c>
      <c r="C82" s="925">
        <v>150967</v>
      </c>
      <c r="D82" s="421"/>
      <c r="E82" s="374">
        <f t="shared" si="15"/>
        <v>132850.96</v>
      </c>
      <c r="F82" s="374">
        <f t="shared" si="16"/>
        <v>127536.92159999999</v>
      </c>
      <c r="G82" s="918"/>
      <c r="H82" s="918">
        <v>181740.11327999999</v>
      </c>
      <c r="I82" s="918">
        <f t="shared" si="17"/>
        <v>219905.53706879998</v>
      </c>
      <c r="J82" s="918">
        <f>(H82-(H82*Varta!H$3))</f>
        <v>172653.10761599999</v>
      </c>
      <c r="K82" s="918">
        <f>(J82-(J82*Varta!I$3))</f>
        <v>167473.51438752</v>
      </c>
      <c r="L82" s="918">
        <f t="shared" si="18"/>
        <v>8373.6757193760004</v>
      </c>
      <c r="M82" s="918">
        <f t="shared" si="19"/>
        <v>159099.83866814399</v>
      </c>
      <c r="N82" s="152">
        <f t="shared" si="20"/>
        <v>0.31313750000000012</v>
      </c>
      <c r="O82" s="152">
        <f t="shared" si="21"/>
        <v>0.24748062500000004</v>
      </c>
      <c r="P82" s="939">
        <f t="shared" si="23"/>
        <v>255073.84319999997</v>
      </c>
      <c r="Q82" s="440">
        <f t="shared" si="27"/>
        <v>255100</v>
      </c>
      <c r="R82" s="370">
        <f t="shared" si="24"/>
        <v>210826.44628099175</v>
      </c>
      <c r="S82" s="375">
        <f t="shared" si="25"/>
        <v>0.6530620594890677</v>
      </c>
      <c r="T82" s="375">
        <f t="shared" si="26"/>
        <v>0.39506203396315182</v>
      </c>
      <c r="U82" s="440">
        <f t="shared" si="22"/>
        <v>255100</v>
      </c>
    </row>
    <row r="83" spans="1:21" ht="15.6">
      <c r="A83" s="923">
        <v>7075</v>
      </c>
      <c r="B83" s="924" t="s">
        <v>2224</v>
      </c>
      <c r="C83" s="925">
        <v>53289</v>
      </c>
      <c r="D83" s="421"/>
      <c r="E83" s="374">
        <f t="shared" si="15"/>
        <v>46894.32</v>
      </c>
      <c r="F83" s="374">
        <f t="shared" si="16"/>
        <v>45018.547200000001</v>
      </c>
      <c r="G83" s="918"/>
      <c r="H83" s="918">
        <v>64151.429760000006</v>
      </c>
      <c r="I83" s="918">
        <f t="shared" si="17"/>
        <v>77623.230009600011</v>
      </c>
      <c r="J83" s="918">
        <f>(H83-(H83*Varta!H$3))</f>
        <v>60943.858272000005</v>
      </c>
      <c r="K83" s="918">
        <f>(J83-(J83*Varta!I$3))</f>
        <v>59115.542523840006</v>
      </c>
      <c r="L83" s="918">
        <f t="shared" si="18"/>
        <v>2955.7771261920007</v>
      </c>
      <c r="M83" s="918">
        <f t="shared" si="19"/>
        <v>56159.765397648007</v>
      </c>
      <c r="N83" s="152">
        <f t="shared" si="20"/>
        <v>0.31313750000000012</v>
      </c>
      <c r="O83" s="152">
        <f t="shared" si="21"/>
        <v>0.24748062500000012</v>
      </c>
      <c r="P83" s="939">
        <f t="shared" si="23"/>
        <v>90037.094400000002</v>
      </c>
      <c r="Q83" s="440">
        <f t="shared" si="27"/>
        <v>90050</v>
      </c>
      <c r="R83" s="370">
        <f t="shared" si="24"/>
        <v>74421.487603305781</v>
      </c>
      <c r="S83" s="375">
        <f t="shared" si="25"/>
        <v>0.65312948178180608</v>
      </c>
      <c r="T83" s="375">
        <f t="shared" si="26"/>
        <v>0.3950867061410327</v>
      </c>
      <c r="U83" s="440">
        <f t="shared" si="22"/>
        <v>90050</v>
      </c>
    </row>
    <row r="84" spans="1:21" ht="15.6">
      <c r="A84" s="923">
        <v>7076</v>
      </c>
      <c r="B84" s="924" t="s">
        <v>2225</v>
      </c>
      <c r="C84" s="925">
        <v>145160</v>
      </c>
      <c r="D84" s="421"/>
      <c r="E84" s="374">
        <f t="shared" si="15"/>
        <v>127740.8</v>
      </c>
      <c r="F84" s="374">
        <f t="shared" si="16"/>
        <v>122631.16800000001</v>
      </c>
      <c r="G84" s="918"/>
      <c r="H84" s="918">
        <v>174749.41440000001</v>
      </c>
      <c r="I84" s="918">
        <f t="shared" si="17"/>
        <v>211446.791424</v>
      </c>
      <c r="J84" s="918">
        <f>(H84-(H84*Varta!H$3))</f>
        <v>166011.94368</v>
      </c>
      <c r="K84" s="918">
        <f>(J84-(J84*Varta!I$3))</f>
        <v>161031.58536959998</v>
      </c>
      <c r="L84" s="918">
        <f t="shared" si="18"/>
        <v>8051.5792684799999</v>
      </c>
      <c r="M84" s="918">
        <f t="shared" si="19"/>
        <v>152980.00610111997</v>
      </c>
      <c r="N84" s="152">
        <f t="shared" si="20"/>
        <v>0.31313749999999979</v>
      </c>
      <c r="O84" s="152">
        <f t="shared" si="21"/>
        <v>0.24748062499999973</v>
      </c>
      <c r="P84" s="939">
        <f t="shared" si="23"/>
        <v>245262.33600000001</v>
      </c>
      <c r="Q84" s="440">
        <f t="shared" si="27"/>
        <v>245300</v>
      </c>
      <c r="R84" s="370">
        <f t="shared" si="24"/>
        <v>202727.27272727274</v>
      </c>
      <c r="S84" s="375">
        <f t="shared" si="25"/>
        <v>0.65314639037991329</v>
      </c>
      <c r="T84" s="375">
        <f t="shared" si="26"/>
        <v>0.39509289327354258</v>
      </c>
      <c r="U84" s="440">
        <f t="shared" si="22"/>
        <v>245300</v>
      </c>
    </row>
    <row r="85" spans="1:21" ht="15.6">
      <c r="A85" s="928">
        <v>7078</v>
      </c>
      <c r="B85" s="898" t="s">
        <v>2226</v>
      </c>
      <c r="C85" s="929">
        <v>103627</v>
      </c>
      <c r="D85" s="930"/>
      <c r="E85" s="374">
        <f t="shared" si="15"/>
        <v>91191.76</v>
      </c>
      <c r="F85" s="374">
        <f t="shared" si="16"/>
        <v>87544.089599999992</v>
      </c>
      <c r="G85" s="918"/>
      <c r="H85" s="918">
        <v>124750.32767999999</v>
      </c>
      <c r="I85" s="918">
        <f t="shared" si="17"/>
        <v>150947.89649279998</v>
      </c>
      <c r="J85" s="918">
        <f>(H85-(H85*Varta!H$3))</f>
        <v>118512.81129599999</v>
      </c>
      <c r="K85" s="918">
        <f>(J85-(J85*Varta!I$3))</f>
        <v>114957.42695711998</v>
      </c>
      <c r="L85" s="918">
        <f t="shared" si="18"/>
        <v>5747.8713478559994</v>
      </c>
      <c r="M85" s="918">
        <f t="shared" si="19"/>
        <v>109209.55560926399</v>
      </c>
      <c r="N85" s="152">
        <f t="shared" si="20"/>
        <v>0.31313749999999996</v>
      </c>
      <c r="O85" s="152">
        <f t="shared" si="21"/>
        <v>0.24748062499999998</v>
      </c>
      <c r="P85" s="939">
        <f t="shared" si="23"/>
        <v>175088.17919999998</v>
      </c>
      <c r="Q85" s="440">
        <f t="shared" si="27"/>
        <v>175100</v>
      </c>
      <c r="R85" s="370">
        <f t="shared" si="24"/>
        <v>144710.74380165289</v>
      </c>
      <c r="S85" s="375">
        <f t="shared" si="25"/>
        <v>0.65300415439642545</v>
      </c>
      <c r="T85" s="375">
        <f t="shared" si="26"/>
        <v>0.39504084285551117</v>
      </c>
      <c r="U85" s="440">
        <f t="shared" si="22"/>
        <v>175100</v>
      </c>
    </row>
    <row r="86" spans="1:21" ht="15.6">
      <c r="A86" s="928">
        <v>7079</v>
      </c>
      <c r="B86" s="898" t="s">
        <v>2227</v>
      </c>
      <c r="C86" s="929">
        <v>112200</v>
      </c>
      <c r="D86" s="930"/>
      <c r="E86" s="374">
        <f t="shared" si="15"/>
        <v>98736</v>
      </c>
      <c r="F86" s="374">
        <f t="shared" si="16"/>
        <v>94786.559999999998</v>
      </c>
      <c r="G86" s="918"/>
      <c r="H86" s="918">
        <v>135070.848</v>
      </c>
      <c r="I86" s="918">
        <f t="shared" si="17"/>
        <v>163435.72607999999</v>
      </c>
      <c r="J86" s="918">
        <f>(H86-(H86*Varta!H$3))</f>
        <v>128317.30559999999</v>
      </c>
      <c r="K86" s="918">
        <f>(J86-(J86*Varta!I$3))</f>
        <v>124467.78643199999</v>
      </c>
      <c r="L86" s="918">
        <f t="shared" si="18"/>
        <v>6223.3893215999997</v>
      </c>
      <c r="M86" s="918">
        <f t="shared" si="19"/>
        <v>118244.39711039999</v>
      </c>
      <c r="N86" s="152">
        <f t="shared" si="20"/>
        <v>0.31313749999999996</v>
      </c>
      <c r="O86" s="152">
        <f t="shared" si="21"/>
        <v>0.24748062499999995</v>
      </c>
      <c r="P86" s="939">
        <f t="shared" si="23"/>
        <v>189573.12</v>
      </c>
      <c r="Q86" s="440">
        <f t="shared" si="27"/>
        <v>189600</v>
      </c>
      <c r="R86" s="370">
        <f t="shared" si="24"/>
        <v>156694.21487603307</v>
      </c>
      <c r="S86" s="375">
        <f t="shared" si="25"/>
        <v>0.65312692934560634</v>
      </c>
      <c r="T86" s="375">
        <f t="shared" si="26"/>
        <v>0.39508577215189883</v>
      </c>
      <c r="U86" s="440">
        <f t="shared" si="22"/>
        <v>189600</v>
      </c>
    </row>
    <row r="87" spans="1:21" ht="15.6">
      <c r="A87" s="923">
        <v>7080</v>
      </c>
      <c r="B87" s="924" t="s">
        <v>2228</v>
      </c>
      <c r="C87" s="925">
        <v>181609</v>
      </c>
      <c r="D87" s="421"/>
      <c r="E87" s="374">
        <f t="shared" si="15"/>
        <v>159815.92000000001</v>
      </c>
      <c r="F87" s="374">
        <f t="shared" si="16"/>
        <v>153423.28320000001</v>
      </c>
      <c r="G87" s="918"/>
      <c r="H87" s="918">
        <v>218628.17856</v>
      </c>
      <c r="I87" s="918">
        <f t="shared" si="17"/>
        <v>264540.09605759999</v>
      </c>
      <c r="J87" s="918">
        <f>(H87-(H87*Varta!H$3))</f>
        <v>207696.76963200001</v>
      </c>
      <c r="K87" s="918">
        <f>(J87-(J87*Varta!I$3))</f>
        <v>201465.86654304</v>
      </c>
      <c r="L87" s="918">
        <f t="shared" si="18"/>
        <v>10073.293327152001</v>
      </c>
      <c r="M87" s="918">
        <f t="shared" si="19"/>
        <v>191392.573215888</v>
      </c>
      <c r="N87" s="152">
        <f t="shared" si="20"/>
        <v>0.31313749999999996</v>
      </c>
      <c r="O87" s="152">
        <f t="shared" si="21"/>
        <v>0.24748062499999995</v>
      </c>
      <c r="P87" s="939">
        <f t="shared" si="23"/>
        <v>306846.56640000001</v>
      </c>
      <c r="Q87" s="440">
        <f t="shared" si="27"/>
        <v>306850</v>
      </c>
      <c r="R87" s="370">
        <f t="shared" si="24"/>
        <v>253595.04132231406</v>
      </c>
      <c r="S87" s="375">
        <f t="shared" si="25"/>
        <v>0.65291105778079228</v>
      </c>
      <c r="T87" s="375">
        <f t="shared" si="26"/>
        <v>0.39500676984846017</v>
      </c>
      <c r="U87" s="440">
        <f t="shared" si="22"/>
        <v>306850</v>
      </c>
    </row>
    <row r="88" spans="1:21" ht="15.6">
      <c r="A88" s="923">
        <v>7081</v>
      </c>
      <c r="B88" s="924" t="s">
        <v>2229</v>
      </c>
      <c r="C88" s="925">
        <v>214505</v>
      </c>
      <c r="D88" s="421"/>
      <c r="E88" s="374">
        <f t="shared" si="15"/>
        <v>188764.4</v>
      </c>
      <c r="F88" s="374">
        <f t="shared" si="16"/>
        <v>181213.82399999999</v>
      </c>
      <c r="G88" s="918"/>
      <c r="H88" s="918">
        <v>258229.6992</v>
      </c>
      <c r="I88" s="918">
        <f t="shared" si="17"/>
        <v>312457.936032</v>
      </c>
      <c r="J88" s="918">
        <f>(H88-(H88*Varta!H$3))</f>
        <v>245318.21424</v>
      </c>
      <c r="K88" s="918">
        <f>(J88-(J88*Varta!I$3))</f>
        <v>237958.66781280001</v>
      </c>
      <c r="L88" s="918">
        <f t="shared" si="18"/>
        <v>11897.933390640001</v>
      </c>
      <c r="M88" s="918">
        <f t="shared" si="19"/>
        <v>226060.73442215999</v>
      </c>
      <c r="N88" s="152">
        <f t="shared" si="20"/>
        <v>0.31313750000000007</v>
      </c>
      <c r="O88" s="152">
        <f t="shared" si="21"/>
        <v>0.24748062500000001</v>
      </c>
      <c r="P88" s="939">
        <f t="shared" si="23"/>
        <v>362427.64799999999</v>
      </c>
      <c r="Q88" s="440">
        <f t="shared" si="27"/>
        <v>362450</v>
      </c>
      <c r="R88" s="370">
        <f t="shared" si="24"/>
        <v>299545.45454545453</v>
      </c>
      <c r="S88" s="375">
        <f t="shared" si="25"/>
        <v>0.65299450082491795</v>
      </c>
      <c r="T88" s="375">
        <f t="shared" si="26"/>
        <v>0.39503730986342944</v>
      </c>
      <c r="U88" s="440">
        <f t="shared" si="22"/>
        <v>362450</v>
      </c>
    </row>
    <row r="89" spans="1:21" ht="15.6">
      <c r="A89" s="928">
        <v>7085</v>
      </c>
      <c r="B89" s="898" t="s">
        <v>2230</v>
      </c>
      <c r="C89" s="929">
        <v>88765</v>
      </c>
      <c r="D89" s="930"/>
      <c r="E89" s="374">
        <f t="shared" si="15"/>
        <v>78113.2</v>
      </c>
      <c r="F89" s="374">
        <f t="shared" si="16"/>
        <v>74988.671999999991</v>
      </c>
      <c r="G89" s="918"/>
      <c r="H89" s="918">
        <v>106858.85759999999</v>
      </c>
      <c r="I89" s="918">
        <f t="shared" si="17"/>
        <v>129299.21769599998</v>
      </c>
      <c r="J89" s="918">
        <f>(H89-(H89*Varta!H$3))</f>
        <v>101515.91471999999</v>
      </c>
      <c r="K89" s="918">
        <f>(J89-(J89*Varta!I$3))</f>
        <v>98470.437278399986</v>
      </c>
      <c r="L89" s="918">
        <f t="shared" si="18"/>
        <v>4923.5218639199993</v>
      </c>
      <c r="M89" s="918">
        <f t="shared" si="19"/>
        <v>93546.915414479983</v>
      </c>
      <c r="N89" s="152">
        <f t="shared" si="20"/>
        <v>0.31313749999999996</v>
      </c>
      <c r="O89" s="152">
        <f t="shared" si="21"/>
        <v>0.24748062499999993</v>
      </c>
      <c r="P89" s="939">
        <f t="shared" si="23"/>
        <v>149977.34399999998</v>
      </c>
      <c r="Q89" s="440">
        <f t="shared" si="27"/>
        <v>150000</v>
      </c>
      <c r="R89" s="370">
        <f t="shared" si="24"/>
        <v>123966.94214876034</v>
      </c>
      <c r="S89" s="375">
        <f t="shared" si="25"/>
        <v>0.65314225258930247</v>
      </c>
      <c r="T89" s="375">
        <f t="shared" si="26"/>
        <v>0.39509137920000009</v>
      </c>
      <c r="U89" s="440"/>
    </row>
    <row r="90" spans="1:21" ht="15.6">
      <c r="A90" s="928">
        <v>7086</v>
      </c>
      <c r="B90" s="898" t="s">
        <v>2231</v>
      </c>
      <c r="C90" s="929">
        <v>43671</v>
      </c>
      <c r="D90" s="930"/>
      <c r="E90" s="374">
        <f t="shared" si="15"/>
        <v>38430.480000000003</v>
      </c>
      <c r="F90" s="374">
        <f t="shared" si="16"/>
        <v>36893.260800000004</v>
      </c>
      <c r="G90" s="918"/>
      <c r="H90" s="918">
        <v>52572.896640000006</v>
      </c>
      <c r="I90" s="918">
        <f t="shared" si="17"/>
        <v>63613.204934400004</v>
      </c>
      <c r="J90" s="918">
        <f>(H90-(H90*Varta!H$3))</f>
        <v>49944.251808000008</v>
      </c>
      <c r="K90" s="918">
        <f>(J90-(J90*Varta!I$3))</f>
        <v>48445.924253760008</v>
      </c>
      <c r="L90" s="918">
        <f t="shared" si="18"/>
        <v>2422.2962126880007</v>
      </c>
      <c r="M90" s="918">
        <f t="shared" si="19"/>
        <v>46023.628041072006</v>
      </c>
      <c r="N90" s="152">
        <f t="shared" si="20"/>
        <v>0.31313750000000007</v>
      </c>
      <c r="O90" s="152">
        <f t="shared" si="21"/>
        <v>0.24748062500000007</v>
      </c>
      <c r="P90" s="939">
        <f t="shared" si="23"/>
        <v>73786.521600000007</v>
      </c>
      <c r="Q90" s="440">
        <f t="shared" si="27"/>
        <v>73800</v>
      </c>
      <c r="R90" s="370">
        <f t="shared" si="24"/>
        <v>60991.735537190085</v>
      </c>
      <c r="S90" s="375">
        <f t="shared" si="25"/>
        <v>0.65319449174820776</v>
      </c>
      <c r="T90" s="375">
        <f t="shared" si="26"/>
        <v>0.39511049365853657</v>
      </c>
      <c r="U90" s="440">
        <f t="shared" si="22"/>
        <v>73800</v>
      </c>
    </row>
    <row r="91" spans="1:21" ht="15.6">
      <c r="A91" s="923">
        <v>7087</v>
      </c>
      <c r="B91" s="924" t="s">
        <v>2232</v>
      </c>
      <c r="C91" s="925">
        <v>164023</v>
      </c>
      <c r="D91" s="421"/>
      <c r="E91" s="374">
        <f t="shared" si="15"/>
        <v>144340.24</v>
      </c>
      <c r="F91" s="374">
        <f t="shared" si="16"/>
        <v>138566.63039999999</v>
      </c>
      <c r="G91" s="918"/>
      <c r="H91" s="918">
        <v>197457.44832</v>
      </c>
      <c r="I91" s="918">
        <f t="shared" si="17"/>
        <v>238923.51246719999</v>
      </c>
      <c r="J91" s="918">
        <f>(H91-(H91*Varta!H$3))</f>
        <v>187584.575904</v>
      </c>
      <c r="K91" s="918">
        <f>(J91-(J91*Varta!I$3))</f>
        <v>181957.03862688001</v>
      </c>
      <c r="L91" s="918">
        <f t="shared" si="18"/>
        <v>9097.8519313440011</v>
      </c>
      <c r="M91" s="918">
        <f t="shared" si="19"/>
        <v>172859.18669553602</v>
      </c>
      <c r="N91" s="152">
        <f t="shared" si="20"/>
        <v>0.31313750000000012</v>
      </c>
      <c r="O91" s="152">
        <f t="shared" si="21"/>
        <v>0.24748062500000018</v>
      </c>
      <c r="P91" s="939">
        <f t="shared" si="23"/>
        <v>277133.26079999999</v>
      </c>
      <c r="Q91" s="440">
        <f t="shared" si="27"/>
        <v>277150</v>
      </c>
      <c r="R91" s="370">
        <f t="shared" si="24"/>
        <v>229049.58677685951</v>
      </c>
      <c r="S91" s="375">
        <f t="shared" si="25"/>
        <v>0.65299239878795168</v>
      </c>
      <c r="T91" s="375">
        <f t="shared" si="26"/>
        <v>0.39503654055926396</v>
      </c>
      <c r="U91" s="440">
        <f t="shared" si="22"/>
        <v>277150</v>
      </c>
    </row>
    <row r="92" spans="1:21" ht="15.6">
      <c r="A92" s="923">
        <v>7088</v>
      </c>
      <c r="B92" s="924" t="s">
        <v>2233</v>
      </c>
      <c r="C92" s="925">
        <v>45655</v>
      </c>
      <c r="D92" s="421"/>
      <c r="E92" s="374">
        <f t="shared" si="15"/>
        <v>40176.400000000001</v>
      </c>
      <c r="F92" s="374">
        <f t="shared" si="16"/>
        <v>38569.344000000005</v>
      </c>
      <c r="G92" s="918"/>
      <c r="H92" s="918">
        <v>54961.315200000012</v>
      </c>
      <c r="I92" s="918">
        <f t="shared" si="17"/>
        <v>66503.191392000008</v>
      </c>
      <c r="J92" s="918">
        <f>(H92-(H92*Varta!H$3))</f>
        <v>52213.249440000014</v>
      </c>
      <c r="K92" s="918">
        <f>(J92-(J92*Varta!I$3))</f>
        <v>50646.851956800012</v>
      </c>
      <c r="L92" s="918">
        <f t="shared" si="18"/>
        <v>2532.342597840001</v>
      </c>
      <c r="M92" s="918">
        <f t="shared" si="19"/>
        <v>48114.509358960015</v>
      </c>
      <c r="N92" s="152">
        <f t="shared" si="20"/>
        <v>0.31313750000000018</v>
      </c>
      <c r="O92" s="152">
        <f t="shared" si="21"/>
        <v>0.24748062500000023</v>
      </c>
      <c r="P92" s="939">
        <f t="shared" si="23"/>
        <v>77138.688000000009</v>
      </c>
      <c r="Q92" s="440">
        <f t="shared" si="27"/>
        <v>77150</v>
      </c>
      <c r="R92" s="370">
        <f t="shared" si="24"/>
        <v>63760.330578512396</v>
      </c>
      <c r="S92" s="375">
        <f t="shared" si="25"/>
        <v>0.6531349503510453</v>
      </c>
      <c r="T92" s="375">
        <f t="shared" si="26"/>
        <v>0.39508870719377825</v>
      </c>
      <c r="U92" s="440">
        <f t="shared" si="22"/>
        <v>77150</v>
      </c>
    </row>
    <row r="93" spans="1:21" ht="15.6">
      <c r="A93" s="923">
        <v>7091</v>
      </c>
      <c r="B93" s="924" t="s">
        <v>2234</v>
      </c>
      <c r="C93" s="925">
        <v>103644</v>
      </c>
      <c r="D93" s="421"/>
      <c r="E93" s="374">
        <f t="shared" si="15"/>
        <v>91206.720000000001</v>
      </c>
      <c r="F93" s="374">
        <f t="shared" si="16"/>
        <v>87558.451199999996</v>
      </c>
      <c r="G93" s="918"/>
      <c r="H93" s="918">
        <v>124770.79295999999</v>
      </c>
      <c r="I93" s="918">
        <f t="shared" si="17"/>
        <v>150972.65948159999</v>
      </c>
      <c r="J93" s="918">
        <f>(H93-(H93*Varta!H$3))</f>
        <v>118532.25331199999</v>
      </c>
      <c r="K93" s="918">
        <f>(J93-(J93*Varta!I$3))</f>
        <v>114976.28571263999</v>
      </c>
      <c r="L93" s="918">
        <f t="shared" si="18"/>
        <v>5748.8142856320001</v>
      </c>
      <c r="M93" s="918">
        <f t="shared" si="19"/>
        <v>109227.47142700799</v>
      </c>
      <c r="N93" s="152">
        <f t="shared" si="20"/>
        <v>0.31313749999999996</v>
      </c>
      <c r="O93" s="152">
        <f t="shared" si="21"/>
        <v>0.2474806249999999</v>
      </c>
      <c r="P93" s="939">
        <f t="shared" si="23"/>
        <v>175116.90239999999</v>
      </c>
      <c r="Q93" s="440">
        <f t="shared" si="27"/>
        <v>175150</v>
      </c>
      <c r="R93" s="370">
        <f t="shared" si="24"/>
        <v>144752.06611570247</v>
      </c>
      <c r="S93" s="375">
        <f t="shared" si="25"/>
        <v>0.65320496344849099</v>
      </c>
      <c r="T93" s="375">
        <f t="shared" si="26"/>
        <v>0.39511432513845274</v>
      </c>
      <c r="U93" s="440">
        <f t="shared" si="22"/>
        <v>175150</v>
      </c>
    </row>
    <row r="94" spans="1:21" ht="15.6">
      <c r="A94" s="923">
        <v>7100</v>
      </c>
      <c r="B94" s="924" t="s">
        <v>2235</v>
      </c>
      <c r="C94" s="925">
        <v>28111</v>
      </c>
      <c r="D94" s="421"/>
      <c r="E94" s="374">
        <f t="shared" si="15"/>
        <v>24737.68</v>
      </c>
      <c r="F94" s="374">
        <f t="shared" si="16"/>
        <v>23748.1728</v>
      </c>
      <c r="G94" s="918"/>
      <c r="H94" s="918">
        <v>33841.146240000002</v>
      </c>
      <c r="I94" s="918">
        <f t="shared" si="17"/>
        <v>40947.786950400005</v>
      </c>
      <c r="J94" s="918">
        <f>(H94-(H94*Varta!H$3))</f>
        <v>32149.088928000001</v>
      </c>
      <c r="K94" s="918">
        <f>(J94-(J94*Varta!I$3))</f>
        <v>31184.616260160001</v>
      </c>
      <c r="L94" s="918">
        <f t="shared" si="18"/>
        <v>1559.230813008</v>
      </c>
      <c r="M94" s="918">
        <f t="shared" si="19"/>
        <v>29625.385447152003</v>
      </c>
      <c r="N94" s="152">
        <f t="shared" si="20"/>
        <v>0.31313750000000001</v>
      </c>
      <c r="O94" s="152">
        <f t="shared" si="21"/>
        <v>0.24748062500000009</v>
      </c>
      <c r="P94" s="939">
        <f t="shared" si="23"/>
        <v>47496.345600000001</v>
      </c>
      <c r="Q94" s="440">
        <f t="shared" si="27"/>
        <v>47500</v>
      </c>
      <c r="R94" s="370">
        <f t="shared" si="24"/>
        <v>39256.198347107442</v>
      </c>
      <c r="S94" s="375">
        <f t="shared" si="25"/>
        <v>0.65301973662190305</v>
      </c>
      <c r="T94" s="375">
        <f t="shared" si="26"/>
        <v>0.39504654551578955</v>
      </c>
      <c r="U94" s="440">
        <f t="shared" si="22"/>
        <v>47500</v>
      </c>
    </row>
    <row r="95" spans="1:21" ht="15.6">
      <c r="A95" s="928">
        <v>7101</v>
      </c>
      <c r="B95" s="898" t="s">
        <v>2236</v>
      </c>
      <c r="C95" s="929">
        <v>29731</v>
      </c>
      <c r="D95" s="930"/>
      <c r="E95" s="374">
        <f t="shared" si="15"/>
        <v>26163.279999999999</v>
      </c>
      <c r="F95" s="374">
        <f t="shared" si="16"/>
        <v>25116.748799999998</v>
      </c>
      <c r="G95" s="918"/>
      <c r="H95" s="918">
        <v>35791.367039999997</v>
      </c>
      <c r="I95" s="918">
        <f t="shared" si="17"/>
        <v>43307.554118399996</v>
      </c>
      <c r="J95" s="918">
        <f>(H95-(H95*Varta!H$3))</f>
        <v>34001.798687999995</v>
      </c>
      <c r="K95" s="918">
        <f>(J95-(J95*Varta!I$3))</f>
        <v>32981.744727359997</v>
      </c>
      <c r="L95" s="918">
        <f t="shared" si="18"/>
        <v>1649.087236368</v>
      </c>
      <c r="M95" s="918">
        <f t="shared" si="19"/>
        <v>31332.657490991998</v>
      </c>
      <c r="N95" s="152">
        <f t="shared" si="20"/>
        <v>0.31313750000000001</v>
      </c>
      <c r="O95" s="152">
        <f t="shared" si="21"/>
        <v>0.24748062500000004</v>
      </c>
      <c r="P95" s="939">
        <f t="shared" si="23"/>
        <v>50233.497599999995</v>
      </c>
      <c r="Q95" s="440">
        <f t="shared" si="27"/>
        <v>50250</v>
      </c>
      <c r="R95" s="370">
        <f t="shared" si="24"/>
        <v>41528.925619834714</v>
      </c>
      <c r="S95" s="375">
        <f t="shared" si="25"/>
        <v>0.6534355600926629</v>
      </c>
      <c r="T95" s="375">
        <f t="shared" si="26"/>
        <v>0.39519868561194038</v>
      </c>
      <c r="U95" s="440">
        <f t="shared" si="22"/>
        <v>50250</v>
      </c>
    </row>
    <row r="96" spans="1:21" ht="15.6">
      <c r="A96" s="928">
        <v>7102</v>
      </c>
      <c r="B96" s="898" t="s">
        <v>2237</v>
      </c>
      <c r="C96" s="929">
        <v>41262</v>
      </c>
      <c r="D96" s="930"/>
      <c r="E96" s="374">
        <f t="shared" si="15"/>
        <v>36310.559999999998</v>
      </c>
      <c r="F96" s="374">
        <f t="shared" si="16"/>
        <v>34858.137599999995</v>
      </c>
      <c r="G96" s="918"/>
      <c r="H96" s="918">
        <v>49672.846079999996</v>
      </c>
      <c r="I96" s="918">
        <f t="shared" si="17"/>
        <v>60104.143756799996</v>
      </c>
      <c r="J96" s="918">
        <f>(H96-(H96*Varta!H$3))</f>
        <v>47189.203775999995</v>
      </c>
      <c r="K96" s="918">
        <f>(J96-(J96*Varta!I$3))</f>
        <v>45773.527662719993</v>
      </c>
      <c r="L96" s="918">
        <f t="shared" si="18"/>
        <v>2288.6763831359999</v>
      </c>
      <c r="M96" s="918">
        <f t="shared" si="19"/>
        <v>43484.851279583992</v>
      </c>
      <c r="N96" s="152">
        <f t="shared" si="20"/>
        <v>0.31313750000000001</v>
      </c>
      <c r="O96" s="152">
        <f t="shared" si="21"/>
        <v>0.24748062499999998</v>
      </c>
      <c r="P96" s="939">
        <f t="shared" si="23"/>
        <v>69716.275199999989</v>
      </c>
      <c r="Q96" s="440">
        <f t="shared" si="27"/>
        <v>69750</v>
      </c>
      <c r="R96" s="370">
        <f>(Q96/1.21)</f>
        <v>57644.628099173555</v>
      </c>
      <c r="S96" s="375">
        <f t="shared" si="25"/>
        <v>0.65369213813573235</v>
      </c>
      <c r="T96" s="375">
        <f t="shared" si="26"/>
        <v>0.39529252335483883</v>
      </c>
      <c r="U96" s="440">
        <f t="shared" si="22"/>
        <v>69750</v>
      </c>
    </row>
    <row r="97" spans="1:24" ht="15.6">
      <c r="A97" s="928">
        <v>7103</v>
      </c>
      <c r="B97" s="898" t="s">
        <v>2238</v>
      </c>
      <c r="C97" s="929">
        <v>54476</v>
      </c>
      <c r="D97" s="930"/>
      <c r="E97" s="374">
        <f t="shared" si="15"/>
        <v>47938.879999999997</v>
      </c>
      <c r="F97" s="374">
        <f t="shared" si="16"/>
        <v>46021.324799999995</v>
      </c>
      <c r="G97" s="918"/>
      <c r="H97" s="918">
        <v>65580.387839999996</v>
      </c>
      <c r="I97" s="918">
        <f t="shared" si="17"/>
        <v>79352.269286399998</v>
      </c>
      <c r="J97" s="918">
        <f>(H97-(H97*Varta!H$3))</f>
        <v>62301.368447999994</v>
      </c>
      <c r="K97" s="918">
        <f>(J97-(J97*Varta!I$3))</f>
        <v>60432.327394559994</v>
      </c>
      <c r="L97" s="918">
        <f t="shared" si="18"/>
        <v>3021.6163697279999</v>
      </c>
      <c r="M97" s="918">
        <f t="shared" si="19"/>
        <v>57410.711024831995</v>
      </c>
      <c r="N97" s="152">
        <f t="shared" si="20"/>
        <v>0.31313750000000001</v>
      </c>
      <c r="O97" s="152">
        <f t="shared" si="21"/>
        <v>0.24748062500000004</v>
      </c>
      <c r="P97" s="939">
        <f t="shared" si="23"/>
        <v>92042.64959999999</v>
      </c>
      <c r="Q97" s="440">
        <f t="shared" si="27"/>
        <v>92050</v>
      </c>
      <c r="R97" s="370">
        <f t="shared" si="24"/>
        <v>76074.380165289258</v>
      </c>
      <c r="S97" s="375">
        <f t="shared" si="25"/>
        <v>0.65302455972082896</v>
      </c>
      <c r="T97" s="375">
        <f t="shared" si="26"/>
        <v>0.39504831061379692</v>
      </c>
      <c r="U97" s="440">
        <f t="shared" ref="U97:U106" si="28">(Q97)</f>
        <v>92050</v>
      </c>
      <c r="V97" s="921"/>
      <c r="W97" s="921"/>
      <c r="X97" s="921"/>
    </row>
    <row r="98" spans="1:24" ht="15.6">
      <c r="A98" s="928">
        <v>7104</v>
      </c>
      <c r="B98" s="898" t="s">
        <v>2239</v>
      </c>
      <c r="C98" s="929">
        <v>22970</v>
      </c>
      <c r="D98" s="930"/>
      <c r="E98" s="374">
        <f t="shared" si="15"/>
        <v>20213.599999999999</v>
      </c>
      <c r="F98" s="374">
        <f t="shared" si="16"/>
        <v>19405.055999999997</v>
      </c>
      <c r="G98" s="918"/>
      <c r="H98" s="918">
        <v>27652.204799999996</v>
      </c>
      <c r="I98" s="918">
        <f t="shared" si="17"/>
        <v>33459.167807999991</v>
      </c>
      <c r="J98" s="918">
        <f>(H98-(H98*Varta!H$3))</f>
        <v>26269.594559999998</v>
      </c>
      <c r="K98" s="918">
        <f>(J98-(J98*Varta!I$3))</f>
        <v>25481.506723199996</v>
      </c>
      <c r="L98" s="918">
        <f t="shared" si="18"/>
        <v>1274.07533616</v>
      </c>
      <c r="M98" s="918">
        <f t="shared" si="19"/>
        <v>24207.431387039996</v>
      </c>
      <c r="N98" s="152">
        <f t="shared" si="20"/>
        <v>0.31313750000000001</v>
      </c>
      <c r="O98" s="152">
        <f t="shared" si="21"/>
        <v>0.24748062500000001</v>
      </c>
      <c r="P98" s="939">
        <f>(F98+(F98*120%))</f>
        <v>42691.123199999987</v>
      </c>
      <c r="Q98" s="440">
        <f t="shared" si="27"/>
        <v>42700</v>
      </c>
      <c r="R98" s="370">
        <f t="shared" si="24"/>
        <v>35289.25619834711</v>
      </c>
      <c r="S98" s="375">
        <f t="shared" si="25"/>
        <v>0.81855987420737741</v>
      </c>
      <c r="T98" s="375">
        <f t="shared" si="26"/>
        <v>0.45011433817330221</v>
      </c>
      <c r="U98" s="440">
        <f t="shared" si="28"/>
        <v>42700</v>
      </c>
      <c r="V98" s="921"/>
      <c r="W98" s="921"/>
      <c r="X98" s="921"/>
    </row>
    <row r="99" spans="1:24" ht="15.6">
      <c r="A99" s="923">
        <v>7106</v>
      </c>
      <c r="B99" s="924" t="s">
        <v>2240</v>
      </c>
      <c r="C99" s="925">
        <v>27955</v>
      </c>
      <c r="D99" s="421"/>
      <c r="E99" s="374">
        <f t="shared" si="15"/>
        <v>24600.400000000001</v>
      </c>
      <c r="F99" s="374">
        <f t="shared" si="16"/>
        <v>23616.384000000002</v>
      </c>
      <c r="G99" s="918"/>
      <c r="H99" s="918">
        <v>33653.347200000004</v>
      </c>
      <c r="I99" s="918">
        <f t="shared" si="17"/>
        <v>40720.550112000004</v>
      </c>
      <c r="J99" s="918">
        <f>(H99-(H99*Varta!H$3))</f>
        <v>31970.679840000004</v>
      </c>
      <c r="K99" s="918">
        <f>(J99-(J99*Varta!I$3))</f>
        <v>31011.559444800005</v>
      </c>
      <c r="L99" s="918">
        <f t="shared" si="18"/>
        <v>1550.5779722400002</v>
      </c>
      <c r="M99" s="918">
        <f t="shared" si="19"/>
        <v>29460.981472560004</v>
      </c>
      <c r="N99" s="152">
        <f t="shared" si="20"/>
        <v>0.31313750000000012</v>
      </c>
      <c r="O99" s="152">
        <f t="shared" si="21"/>
        <v>0.24748062500000009</v>
      </c>
      <c r="P99" s="939">
        <f t="shared" si="23"/>
        <v>47232.768000000004</v>
      </c>
      <c r="Q99" s="440">
        <f t="shared" si="27"/>
        <v>47250</v>
      </c>
      <c r="R99" s="370">
        <f t="shared" si="24"/>
        <v>39049.586776859505</v>
      </c>
      <c r="S99" s="375">
        <f t="shared" si="25"/>
        <v>0.65349558920025619</v>
      </c>
      <c r="T99" s="375">
        <f t="shared" si="26"/>
        <v>0.39522064253968253</v>
      </c>
      <c r="U99" s="440">
        <f t="shared" si="28"/>
        <v>47250</v>
      </c>
      <c r="V99" s="921"/>
      <c r="W99" s="921"/>
      <c r="X99" s="921"/>
    </row>
    <row r="100" spans="1:24" ht="15.6">
      <c r="A100" s="923">
        <v>7107</v>
      </c>
      <c r="B100" s="924" t="s">
        <v>2241</v>
      </c>
      <c r="C100" s="925">
        <v>42384</v>
      </c>
      <c r="D100" s="421"/>
      <c r="E100" s="374">
        <f t="shared" si="15"/>
        <v>37297.919999999998</v>
      </c>
      <c r="F100" s="374">
        <f t="shared" si="16"/>
        <v>35806.003199999999</v>
      </c>
      <c r="G100" s="918"/>
      <c r="H100" s="918">
        <v>51023.554559999997</v>
      </c>
      <c r="I100" s="918">
        <f t="shared" si="17"/>
        <v>61738.501017599992</v>
      </c>
      <c r="J100" s="918">
        <f>(H100-(H100*Varta!H$3))</f>
        <v>48472.376831999994</v>
      </c>
      <c r="K100" s="918">
        <f>(J100-(J100*Varta!I$3))</f>
        <v>47018.205527039994</v>
      </c>
      <c r="L100" s="918">
        <f t="shared" si="18"/>
        <v>2350.910276352</v>
      </c>
      <c r="M100" s="918">
        <f t="shared" si="19"/>
        <v>44667.295250687996</v>
      </c>
      <c r="N100" s="152">
        <f t="shared" si="20"/>
        <v>0.31313749999999985</v>
      </c>
      <c r="O100" s="152">
        <f t="shared" si="21"/>
        <v>0.2474806249999999</v>
      </c>
      <c r="P100" s="939">
        <f t="shared" si="23"/>
        <v>71612.006399999998</v>
      </c>
      <c r="Q100" s="440">
        <f t="shared" si="27"/>
        <v>71650</v>
      </c>
      <c r="R100" s="370">
        <f t="shared" si="24"/>
        <v>59214.876033057852</v>
      </c>
      <c r="S100" s="375">
        <f t="shared" si="25"/>
        <v>0.65376950067015172</v>
      </c>
      <c r="T100" s="375">
        <f t="shared" si="26"/>
        <v>0.39532081127704116</v>
      </c>
      <c r="U100" s="440">
        <f t="shared" si="28"/>
        <v>71650</v>
      </c>
      <c r="V100" s="921"/>
      <c r="W100" s="921"/>
      <c r="X100" s="921"/>
    </row>
    <row r="101" spans="1:24" ht="15.6">
      <c r="A101" s="923">
        <v>7108</v>
      </c>
      <c r="B101" s="924" t="s">
        <v>2242</v>
      </c>
      <c r="C101" s="925">
        <v>41356</v>
      </c>
      <c r="D101" s="421"/>
      <c r="E101" s="374">
        <f t="shared" si="15"/>
        <v>36393.279999999999</v>
      </c>
      <c r="F101" s="374">
        <f t="shared" si="16"/>
        <v>34937.548799999997</v>
      </c>
      <c r="G101" s="918"/>
      <c r="H101" s="918">
        <v>49786.007039999997</v>
      </c>
      <c r="I101" s="918">
        <f t="shared" si="17"/>
        <v>60241.068518399996</v>
      </c>
      <c r="J101" s="918">
        <f>(H101-(H101*Varta!H$3))</f>
        <v>47296.706687999998</v>
      </c>
      <c r="K101" s="918">
        <f>(J101-(J101*Varta!I$3))</f>
        <v>45877.805487359998</v>
      </c>
      <c r="L101" s="918">
        <f t="shared" si="18"/>
        <v>2293.8902743680001</v>
      </c>
      <c r="M101" s="918">
        <f t="shared" si="19"/>
        <v>43583.915212991997</v>
      </c>
      <c r="N101" s="152">
        <f t="shared" si="20"/>
        <v>0.31313750000000007</v>
      </c>
      <c r="O101" s="152">
        <f t="shared" si="21"/>
        <v>0.24748062500000001</v>
      </c>
      <c r="P101" s="939">
        <f t="shared" si="23"/>
        <v>69875.097599999994</v>
      </c>
      <c r="Q101" s="440">
        <f t="shared" si="27"/>
        <v>69900</v>
      </c>
      <c r="R101" s="370">
        <f t="shared" si="24"/>
        <v>57768.595041322318</v>
      </c>
      <c r="S101" s="375">
        <f t="shared" si="25"/>
        <v>0.65348162723202619</v>
      </c>
      <c r="T101" s="375">
        <f t="shared" si="26"/>
        <v>0.39521553579399149</v>
      </c>
      <c r="U101" s="440">
        <f t="shared" si="28"/>
        <v>69900</v>
      </c>
      <c r="V101" s="921"/>
      <c r="W101" s="921"/>
      <c r="X101" s="921"/>
    </row>
    <row r="102" spans="1:24" ht="15.6">
      <c r="A102" s="923">
        <v>7109</v>
      </c>
      <c r="B102" s="924" t="s">
        <v>2243</v>
      </c>
      <c r="C102" s="925">
        <v>44441</v>
      </c>
      <c r="D102" s="421"/>
      <c r="E102" s="374">
        <f t="shared" si="15"/>
        <v>39108.080000000002</v>
      </c>
      <c r="F102" s="374">
        <f t="shared" si="16"/>
        <v>37543.756800000003</v>
      </c>
      <c r="G102" s="918"/>
      <c r="H102" s="918">
        <v>53499.853440000006</v>
      </c>
      <c r="I102" s="918">
        <f t="shared" si="17"/>
        <v>64734.822662400009</v>
      </c>
      <c r="J102" s="918">
        <f>(H102-(H102*Varta!H$3))</f>
        <v>50824.860768000006</v>
      </c>
      <c r="K102" s="918">
        <f>(J102-(J102*Varta!I$3))</f>
        <v>49300.114944960005</v>
      </c>
      <c r="L102" s="918">
        <f t="shared" si="18"/>
        <v>2465.0057472480003</v>
      </c>
      <c r="M102" s="918">
        <f t="shared" si="19"/>
        <v>46835.109197712009</v>
      </c>
      <c r="N102" s="152">
        <f t="shared" si="20"/>
        <v>0.31313750000000001</v>
      </c>
      <c r="O102" s="152">
        <f t="shared" si="21"/>
        <v>0.24748062500000015</v>
      </c>
      <c r="P102" s="939">
        <f t="shared" si="23"/>
        <v>75087.513600000006</v>
      </c>
      <c r="Q102" s="440">
        <f t="shared" si="27"/>
        <v>75100</v>
      </c>
      <c r="R102" s="370">
        <f t="shared" si="24"/>
        <v>62066.115702479343</v>
      </c>
      <c r="S102" s="375">
        <f t="shared" si="25"/>
        <v>0.65316742363085356</v>
      </c>
      <c r="T102" s="375">
        <f t="shared" si="26"/>
        <v>0.39510058950732357</v>
      </c>
      <c r="U102" s="440">
        <f t="shared" si="28"/>
        <v>75100</v>
      </c>
      <c r="V102" s="921"/>
      <c r="W102" s="921"/>
      <c r="X102" s="921"/>
    </row>
    <row r="103" spans="1:24" ht="15.6">
      <c r="A103" s="923">
        <v>7110</v>
      </c>
      <c r="B103" s="924" t="s">
        <v>2244</v>
      </c>
      <c r="C103" s="925">
        <v>23249</v>
      </c>
      <c r="D103" s="421"/>
      <c r="E103" s="374">
        <f t="shared" si="15"/>
        <v>20459.12</v>
      </c>
      <c r="F103" s="374">
        <f t="shared" si="16"/>
        <v>19640.7552</v>
      </c>
      <c r="G103" s="918"/>
      <c r="H103" s="918">
        <v>27988.076160000001</v>
      </c>
      <c r="I103" s="918">
        <f t="shared" si="17"/>
        <v>33865.572153599998</v>
      </c>
      <c r="J103" s="918">
        <f>(H103-(H103*Varta!H$3))</f>
        <v>26588.672352000001</v>
      </c>
      <c r="K103" s="918">
        <f>(J103-(J103*Varta!I$3))</f>
        <v>25791.012181440001</v>
      </c>
      <c r="L103" s="918">
        <f t="shared" si="18"/>
        <v>1289.550609072</v>
      </c>
      <c r="M103" s="918">
        <f t="shared" si="19"/>
        <v>24501.461572368</v>
      </c>
      <c r="N103" s="152">
        <f t="shared" si="20"/>
        <v>0.31313750000000007</v>
      </c>
      <c r="O103" s="152">
        <f t="shared" si="21"/>
        <v>0.24748062500000001</v>
      </c>
      <c r="P103" s="939">
        <f t="shared" si="23"/>
        <v>39281.510399999999</v>
      </c>
      <c r="Q103" s="440">
        <f t="shared" si="27"/>
        <v>39300</v>
      </c>
      <c r="R103" s="370">
        <f t="shared" si="24"/>
        <v>32479.338842975209</v>
      </c>
      <c r="S103" s="375">
        <f t="shared" si="25"/>
        <v>0.65367056980452609</v>
      </c>
      <c r="T103" s="375">
        <f t="shared" si="26"/>
        <v>0.3952846363358779</v>
      </c>
      <c r="U103" s="440">
        <f t="shared" si="28"/>
        <v>39300</v>
      </c>
      <c r="V103" s="921"/>
      <c r="W103" s="921"/>
      <c r="X103" s="921"/>
    </row>
    <row r="104" spans="1:24" ht="15.6">
      <c r="A104" s="923">
        <v>7111</v>
      </c>
      <c r="B104" s="924" t="s">
        <v>2245</v>
      </c>
      <c r="C104" s="925">
        <v>228087</v>
      </c>
      <c r="D104" s="421"/>
      <c r="E104" s="374">
        <f t="shared" si="15"/>
        <v>200716.56</v>
      </c>
      <c r="F104" s="374">
        <f t="shared" si="16"/>
        <v>192687.8976</v>
      </c>
      <c r="G104" s="918"/>
      <c r="H104" s="918">
        <v>274580.25407999998</v>
      </c>
      <c r="I104" s="918">
        <f t="shared" si="17"/>
        <v>332242.10743679997</v>
      </c>
      <c r="J104" s="918">
        <f>(H104-(H104*Varta!H$3))</f>
        <v>260851.24137599999</v>
      </c>
      <c r="K104" s="918">
        <f>(J104-(J104*Varta!I$3))</f>
        <v>253025.70413472</v>
      </c>
      <c r="L104" s="918">
        <f t="shared" si="18"/>
        <v>12651.285206736</v>
      </c>
      <c r="M104" s="918">
        <f t="shared" si="19"/>
        <v>240374.41892798399</v>
      </c>
      <c r="N104" s="152">
        <f t="shared" si="20"/>
        <v>0.31313750000000001</v>
      </c>
      <c r="O104" s="152">
        <f t="shared" si="21"/>
        <v>0.24748062499999998</v>
      </c>
      <c r="P104" s="939">
        <f t="shared" si="23"/>
        <v>385375.79519999999</v>
      </c>
      <c r="Q104" s="440">
        <f t="shared" si="27"/>
        <v>385400</v>
      </c>
      <c r="R104" s="370">
        <f t="shared" si="24"/>
        <v>318512.3966942149</v>
      </c>
      <c r="S104" s="375">
        <f t="shared" si="25"/>
        <v>0.65299637736155824</v>
      </c>
      <c r="T104" s="375">
        <f t="shared" si="26"/>
        <v>0.39503799663726002</v>
      </c>
      <c r="U104" s="440">
        <f t="shared" si="28"/>
        <v>385400</v>
      </c>
      <c r="V104" s="921"/>
      <c r="W104" s="921"/>
      <c r="X104" s="921"/>
    </row>
    <row r="105" spans="1:24">
      <c r="A105" s="926"/>
      <c r="B105" s="926"/>
      <c r="C105" s="926"/>
      <c r="D105" s="421"/>
      <c r="E105" s="374">
        <f t="shared" ref="E105" si="29">(C105-(C105*F$35))</f>
        <v>0</v>
      </c>
      <c r="F105" s="374">
        <f t="shared" ref="F105:F106" si="30">(E105)</f>
        <v>0</v>
      </c>
      <c r="G105" s="918"/>
      <c r="H105" s="918"/>
      <c r="I105" s="918"/>
      <c r="J105" s="918"/>
      <c r="K105" s="927"/>
      <c r="L105" s="927"/>
      <c r="M105" s="927"/>
      <c r="N105" s="661"/>
      <c r="O105" s="661"/>
      <c r="P105" s="939">
        <f t="shared" si="23"/>
        <v>0</v>
      </c>
      <c r="Q105" s="440">
        <f t="shared" si="27"/>
        <v>0</v>
      </c>
      <c r="R105" s="370">
        <f t="shared" si="24"/>
        <v>0</v>
      </c>
      <c r="S105" s="375" t="e">
        <f t="shared" si="25"/>
        <v>#DIV/0!</v>
      </c>
      <c r="T105" s="375" t="e">
        <f t="shared" si="26"/>
        <v>#DIV/0!</v>
      </c>
      <c r="U105" s="440">
        <f t="shared" si="28"/>
        <v>0</v>
      </c>
      <c r="V105" s="921"/>
      <c r="W105" s="921"/>
      <c r="X105" s="921"/>
    </row>
    <row r="106" spans="1:24">
      <c r="A106" s="926"/>
      <c r="B106" s="926"/>
      <c r="C106" s="926"/>
      <c r="D106" s="926"/>
      <c r="E106" s="374">
        <f t="shared" ref="E106" si="31">(D106*F$35)+D106</f>
        <v>0</v>
      </c>
      <c r="F106" s="374">
        <f t="shared" si="30"/>
        <v>0</v>
      </c>
      <c r="G106" s="918"/>
      <c r="H106" s="918"/>
      <c r="I106" s="918"/>
      <c r="J106" s="918"/>
      <c r="L106" s="1"/>
      <c r="M106" s="1"/>
      <c r="N106" s="661"/>
      <c r="O106" s="661"/>
      <c r="P106" s="939">
        <f t="shared" si="23"/>
        <v>0</v>
      </c>
      <c r="Q106" s="440">
        <f t="shared" si="27"/>
        <v>0</v>
      </c>
      <c r="R106" s="370">
        <f t="shared" si="24"/>
        <v>0</v>
      </c>
      <c r="S106" s="375" t="e">
        <f t="shared" ref="S106" si="32">(R106-F106)/F106</f>
        <v>#DIV/0!</v>
      </c>
      <c r="T106" s="375" t="e">
        <f t="shared" si="26"/>
        <v>#DIV/0!</v>
      </c>
      <c r="U106" s="440">
        <f t="shared" si="28"/>
        <v>0</v>
      </c>
      <c r="V106" s="921"/>
      <c r="W106" s="921"/>
      <c r="X106" s="921"/>
    </row>
    <row r="107" spans="1:24">
      <c r="A107" s="921"/>
      <c r="B107" s="921"/>
      <c r="C107" s="921"/>
      <c r="D107" s="921"/>
      <c r="E107" s="921"/>
      <c r="F107" s="1"/>
      <c r="G107" s="1"/>
      <c r="H107" s="1"/>
      <c r="I107" s="1"/>
      <c r="J107" s="1"/>
      <c r="L107" s="1"/>
      <c r="M107" s="1"/>
      <c r="N107" s="1"/>
      <c r="O107" s="921"/>
      <c r="P107" s="921"/>
      <c r="Q107" s="921"/>
      <c r="R107" s="921"/>
      <c r="S107" s="921"/>
      <c r="T107" s="921"/>
      <c r="U107" s="921"/>
      <c r="V107" s="921"/>
      <c r="W107" s="921"/>
      <c r="X107" s="921"/>
    </row>
    <row r="108" spans="1:24">
      <c r="A108" s="921"/>
      <c r="B108" s="921"/>
      <c r="C108" s="921"/>
      <c r="D108" s="921"/>
      <c r="E108" s="921"/>
      <c r="F108" s="921"/>
      <c r="K108" s="921"/>
      <c r="L108" s="921"/>
      <c r="M108" s="921"/>
      <c r="O108" s="1"/>
      <c r="P108" s="921"/>
      <c r="Q108" s="921"/>
      <c r="R108" s="921"/>
      <c r="S108" s="135"/>
      <c r="T108" s="135"/>
      <c r="U108" s="921"/>
      <c r="V108" s="921"/>
      <c r="W108" s="921"/>
      <c r="X108" s="135"/>
    </row>
  </sheetData>
  <autoFilter ref="A1:U108" xr:uid="{FD73E33B-13A8-4C5D-9D3B-5818DFB7BB67}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V24"/>
  <sheetViews>
    <sheetView workbookViewId="0">
      <selection activeCell="H26" sqref="H26"/>
    </sheetView>
  </sheetViews>
  <sheetFormatPr baseColWidth="10" defaultColWidth="11.44140625" defaultRowHeight="14.4"/>
  <cols>
    <col min="1" max="1" width="16" customWidth="1"/>
    <col min="3" max="3" width="13" bestFit="1" customWidth="1"/>
    <col min="4" max="4" width="2.88671875" customWidth="1"/>
    <col min="8" max="8" width="9.5546875" style="1" bestFit="1" customWidth="1"/>
    <col min="9" max="10" width="9.5546875" style="1" customWidth="1"/>
    <col min="11" max="13" width="8.44140625" style="1" customWidth="1"/>
    <col min="16" max="16" width="7.109375" bestFit="1" customWidth="1"/>
  </cols>
  <sheetData>
    <row r="1" spans="1:22" ht="15" thickBot="1">
      <c r="A1" s="921" t="s">
        <v>0</v>
      </c>
      <c r="B1" s="921"/>
      <c r="C1" s="921" t="s">
        <v>1</v>
      </c>
      <c r="D1" s="921"/>
      <c r="E1" s="921"/>
      <c r="F1" s="921" t="s">
        <v>2</v>
      </c>
      <c r="G1" s="921"/>
      <c r="I1" s="1" t="s">
        <v>10</v>
      </c>
      <c r="N1" s="921"/>
      <c r="O1" s="921"/>
      <c r="P1" s="921"/>
      <c r="Q1" s="921"/>
      <c r="R1" s="921" t="s">
        <v>4</v>
      </c>
      <c r="S1" s="921"/>
      <c r="T1" s="921"/>
      <c r="U1" s="921"/>
      <c r="V1" s="921"/>
    </row>
    <row r="2" spans="1:22" ht="21.6" thickBot="1">
      <c r="A2" s="77" t="s">
        <v>2246</v>
      </c>
      <c r="B2" s="138">
        <v>45778</v>
      </c>
      <c r="C2" s="112">
        <v>1280</v>
      </c>
      <c r="D2" s="112"/>
      <c r="E2" s="101">
        <v>45764</v>
      </c>
      <c r="F2" s="417"/>
      <c r="G2" s="887">
        <v>0.1</v>
      </c>
      <c r="H2" s="285">
        <v>0.03</v>
      </c>
      <c r="I2" s="942">
        <v>0.05</v>
      </c>
      <c r="J2" s="942" t="s">
        <v>2175</v>
      </c>
      <c r="K2" s="286" t="s">
        <v>65</v>
      </c>
      <c r="L2" s="287" t="s">
        <v>66</v>
      </c>
      <c r="M2" s="189"/>
      <c r="N2" s="245">
        <v>0.6</v>
      </c>
      <c r="O2" s="80"/>
      <c r="P2" s="921"/>
      <c r="Q2" s="216">
        <v>45854</v>
      </c>
      <c r="R2" s="414"/>
      <c r="S2" s="921"/>
      <c r="T2" s="921"/>
      <c r="U2" s="921"/>
      <c r="V2" s="414"/>
    </row>
    <row r="3" spans="1:22">
      <c r="A3" s="81" t="s">
        <v>2247</v>
      </c>
      <c r="B3" s="82">
        <v>9.5</v>
      </c>
      <c r="C3" s="82">
        <f>(B3*C$2)</f>
        <v>12160</v>
      </c>
      <c r="D3" s="1"/>
      <c r="E3" s="284">
        <f>(C3*1.3)</f>
        <v>15808</v>
      </c>
      <c r="F3" s="284">
        <f>(E3*1.21)</f>
        <v>19127.68</v>
      </c>
      <c r="G3" s="284">
        <f>(E3-(E3*G$2))</f>
        <v>14227.2</v>
      </c>
      <c r="H3" s="284">
        <f>(G3-(G3*H$2))</f>
        <v>13800.384</v>
      </c>
      <c r="I3" s="943">
        <f>(H3*I$2)</f>
        <v>690.01920000000007</v>
      </c>
      <c r="J3" s="943">
        <f>(H3-I3)</f>
        <v>13110.364799999999</v>
      </c>
      <c r="K3" s="885">
        <f>(H3-C3)/C3</f>
        <v>0.13489999999999999</v>
      </c>
      <c r="L3" s="885">
        <f>(J3-C3)/J3</f>
        <v>7.248957710162264E-2</v>
      </c>
      <c r="N3" s="224">
        <f>(C3*1.6)</f>
        <v>19456</v>
      </c>
      <c r="O3" s="224">
        <f>(N3*1.21)</f>
        <v>23541.759999999998</v>
      </c>
      <c r="P3" s="112"/>
      <c r="Q3" s="117">
        <f>('[3]Tempel - Melisam'!P3*1.1)</f>
        <v>24200.000000000004</v>
      </c>
      <c r="R3" s="440">
        <f t="shared" ref="R3:R9" si="0">CEILING(Q3,50)</f>
        <v>24200</v>
      </c>
      <c r="S3" s="42">
        <f>(R3/1.21)</f>
        <v>20000</v>
      </c>
      <c r="T3" s="44">
        <f>(S3-C3)/C3</f>
        <v>0.64473684210526316</v>
      </c>
      <c r="U3" s="447">
        <f>(S3-C3)/S3</f>
        <v>0.39200000000000002</v>
      </c>
      <c r="V3" s="440">
        <f>(R3)</f>
        <v>24200</v>
      </c>
    </row>
    <row r="4" spans="1:22">
      <c r="A4" s="82" t="s">
        <v>2248</v>
      </c>
      <c r="B4" s="82">
        <v>32.4</v>
      </c>
      <c r="C4" s="82">
        <f>(B4*C$2)</f>
        <v>41472</v>
      </c>
      <c r="D4" s="1"/>
      <c r="E4" s="284">
        <f t="shared" ref="E4:E6" si="1">(C4*1.3)</f>
        <v>53913.599999999999</v>
      </c>
      <c r="F4" s="284">
        <f t="shared" ref="F4:F6" si="2">(E4*1.21)</f>
        <v>65235.455999999998</v>
      </c>
      <c r="G4" s="284">
        <f>(E4-(E4*G$2))</f>
        <v>48522.239999999998</v>
      </c>
      <c r="H4" s="284">
        <f t="shared" ref="H4:H6" si="3">(G4-(G4*H$2))</f>
        <v>47066.572799999994</v>
      </c>
      <c r="I4" s="943">
        <f t="shared" ref="I4:I6" si="4">(H4*I$2)</f>
        <v>2353.3286399999997</v>
      </c>
      <c r="J4" s="943">
        <f t="shared" ref="J4:J6" si="5">(H4-I4)</f>
        <v>44713.244159999995</v>
      </c>
      <c r="K4" s="886">
        <f>(H4-C4)/C4</f>
        <v>0.13489999999999985</v>
      </c>
      <c r="L4" s="885">
        <f>(J4-C4)/J4</f>
        <v>7.2489577101622571E-2</v>
      </c>
      <c r="N4" s="224">
        <f t="shared" ref="N4:N6" si="6">(C4*1.6)</f>
        <v>66355.199999999997</v>
      </c>
      <c r="O4" s="224">
        <f t="shared" ref="O4:O6" si="7">(N4*1.21)</f>
        <v>80289.792000000001</v>
      </c>
      <c r="P4" s="112"/>
      <c r="Q4" s="117">
        <f>('[3]Tempel - Melisam'!P4*1.1)</f>
        <v>71500</v>
      </c>
      <c r="R4" s="440">
        <f t="shared" si="0"/>
        <v>71500</v>
      </c>
      <c r="S4" s="42">
        <f t="shared" ref="S4:S9" si="8">(R4/1.21)</f>
        <v>59090.909090909096</v>
      </c>
      <c r="T4" s="44">
        <f>(S4-C4)/C4</f>
        <v>0.42483866442199786</v>
      </c>
      <c r="U4" s="447">
        <f>(S4-C4)/S4</f>
        <v>0.29816615384615391</v>
      </c>
      <c r="V4" s="440">
        <f t="shared" ref="V4:V9" si="9">(R4)</f>
        <v>71500</v>
      </c>
    </row>
    <row r="5" spans="1:22">
      <c r="A5" s="82" t="s">
        <v>2249</v>
      </c>
      <c r="B5" s="82">
        <v>40</v>
      </c>
      <c r="C5" s="82">
        <f>(B5*C$2)</f>
        <v>51200</v>
      </c>
      <c r="D5" s="1"/>
      <c r="E5" s="284">
        <f t="shared" si="1"/>
        <v>66560</v>
      </c>
      <c r="F5" s="284">
        <f t="shared" si="2"/>
        <v>80537.599999999991</v>
      </c>
      <c r="G5" s="284">
        <f>(E5-(E5*G$2))</f>
        <v>59904</v>
      </c>
      <c r="H5" s="284">
        <f t="shared" si="3"/>
        <v>58106.879999999997</v>
      </c>
      <c r="I5" s="943">
        <f t="shared" si="4"/>
        <v>2905.3440000000001</v>
      </c>
      <c r="J5" s="943">
        <f t="shared" si="5"/>
        <v>55201.536</v>
      </c>
      <c r="K5" s="886">
        <f t="shared" ref="K5:K6" si="10">(H5-C5)/C5</f>
        <v>0.13489999999999994</v>
      </c>
      <c r="L5" s="885">
        <f t="shared" ref="L5:L6" si="11">(J5-C5)/J5</f>
        <v>7.2489577101622682E-2</v>
      </c>
      <c r="N5" s="224">
        <f t="shared" si="6"/>
        <v>81920</v>
      </c>
      <c r="O5" s="224">
        <f t="shared" si="7"/>
        <v>99123.199999999997</v>
      </c>
      <c r="P5" s="112"/>
      <c r="Q5" s="117">
        <f>('[3]Tempel - Melisam'!P5*1.1)</f>
        <v>93500.000000000015</v>
      </c>
      <c r="R5" s="440">
        <f t="shared" si="0"/>
        <v>93500</v>
      </c>
      <c r="S5" s="42">
        <f t="shared" si="8"/>
        <v>77272.727272727279</v>
      </c>
      <c r="T5" s="44">
        <f>(S5-C5)/C5</f>
        <v>0.5092329545454547</v>
      </c>
      <c r="U5" s="447">
        <f>(S5-C5)/S5</f>
        <v>0.33741176470588241</v>
      </c>
      <c r="V5" s="440">
        <f t="shared" si="9"/>
        <v>93500</v>
      </c>
    </row>
    <row r="6" spans="1:22">
      <c r="A6" s="82" t="s">
        <v>2250</v>
      </c>
      <c r="B6" s="82">
        <v>58</v>
      </c>
      <c r="C6" s="82">
        <f>(B6*C$2)</f>
        <v>74240</v>
      </c>
      <c r="D6" s="1"/>
      <c r="E6" s="284">
        <f t="shared" si="1"/>
        <v>96512</v>
      </c>
      <c r="F6" s="284">
        <f t="shared" si="2"/>
        <v>116779.51999999999</v>
      </c>
      <c r="G6" s="284">
        <f>(E6-(E6*G$2))</f>
        <v>86860.800000000003</v>
      </c>
      <c r="H6" s="284">
        <f t="shared" si="3"/>
        <v>84254.97600000001</v>
      </c>
      <c r="I6" s="943">
        <f t="shared" si="4"/>
        <v>4212.7488000000003</v>
      </c>
      <c r="J6" s="943">
        <f t="shared" si="5"/>
        <v>80042.227200000008</v>
      </c>
      <c r="K6" s="886">
        <f t="shared" si="10"/>
        <v>0.13490000000000013</v>
      </c>
      <c r="L6" s="885">
        <f t="shared" si="11"/>
        <v>7.2489577101622779E-2</v>
      </c>
      <c r="N6" s="224">
        <f t="shared" si="6"/>
        <v>118784</v>
      </c>
      <c r="O6" s="224">
        <f t="shared" si="7"/>
        <v>143728.63999999998</v>
      </c>
      <c r="P6" s="112"/>
      <c r="Q6" s="117">
        <f>('[3]Tempel - Melisam'!P6*1.1)</f>
        <v>132000</v>
      </c>
      <c r="R6" s="440">
        <f t="shared" si="0"/>
        <v>132000</v>
      </c>
      <c r="S6" s="42">
        <f t="shared" si="8"/>
        <v>109090.90909090909</v>
      </c>
      <c r="T6" s="44">
        <f>(S6-C6)/C6</f>
        <v>0.46943573667711597</v>
      </c>
      <c r="U6" s="447">
        <f>(S6-C6)/S6</f>
        <v>0.31946666666666668</v>
      </c>
      <c r="V6" s="440">
        <f t="shared" si="9"/>
        <v>132000</v>
      </c>
    </row>
    <row r="7" spans="1:22">
      <c r="A7" s="921"/>
      <c r="B7" s="921"/>
      <c r="C7" s="921"/>
      <c r="D7" s="921"/>
      <c r="E7" s="921"/>
      <c r="F7" s="921"/>
      <c r="G7" s="921"/>
      <c r="N7" s="921"/>
      <c r="O7" s="921"/>
      <c r="P7" s="921"/>
      <c r="Q7" s="117">
        <f>('[3]Tempel - Melisam'!P7*1.1)</f>
        <v>0</v>
      </c>
      <c r="R7" s="440">
        <f t="shared" si="0"/>
        <v>0</v>
      </c>
      <c r="S7" s="42">
        <f t="shared" si="8"/>
        <v>0</v>
      </c>
      <c r="T7" s="921"/>
      <c r="U7" s="921"/>
      <c r="V7" s="440"/>
    </row>
    <row r="8" spans="1:22">
      <c r="A8" s="82" t="s">
        <v>963</v>
      </c>
      <c r="B8" s="82"/>
      <c r="C8" s="82"/>
      <c r="D8" s="921"/>
      <c r="E8" s="135"/>
      <c r="F8" s="135"/>
      <c r="G8" s="921"/>
      <c r="N8" s="921"/>
      <c r="O8" s="921"/>
      <c r="P8" s="921"/>
      <c r="Q8" s="117">
        <f>('[3]Tempel - Melisam'!P8*1.1)</f>
        <v>0</v>
      </c>
      <c r="R8" s="440">
        <f t="shared" si="0"/>
        <v>0</v>
      </c>
      <c r="S8" s="42">
        <f t="shared" si="8"/>
        <v>0</v>
      </c>
      <c r="T8" s="274"/>
      <c r="U8" s="113"/>
      <c r="V8" s="440"/>
    </row>
    <row r="9" spans="1:22">
      <c r="A9" s="82" t="s">
        <v>2251</v>
      </c>
      <c r="B9" s="82">
        <v>13.22</v>
      </c>
      <c r="C9" s="319">
        <f>(B9*C2)</f>
        <v>16921.600000000002</v>
      </c>
      <c r="D9" s="921"/>
      <c r="E9" s="921"/>
      <c r="F9" s="921"/>
      <c r="G9" s="921"/>
      <c r="H9" s="40"/>
      <c r="I9" s="40"/>
      <c r="J9" s="40"/>
      <c r="K9" s="40"/>
      <c r="N9" s="921"/>
      <c r="O9" s="921"/>
      <c r="P9" s="921"/>
      <c r="Q9" s="117">
        <f>('[3]Tempel - Melisam'!P9*1.1)</f>
        <v>26565.000000000004</v>
      </c>
      <c r="R9" s="440">
        <f t="shared" si="0"/>
        <v>26600</v>
      </c>
      <c r="S9" s="42">
        <f t="shared" si="8"/>
        <v>21983.471074380166</v>
      </c>
      <c r="T9" s="44">
        <f>(S9-C9)/C9</f>
        <v>0.2991366699591152</v>
      </c>
      <c r="U9" s="39">
        <f>(S9-C9)/S9</f>
        <v>0.23025804511278189</v>
      </c>
      <c r="V9" s="440">
        <f t="shared" si="9"/>
        <v>26600</v>
      </c>
    </row>
    <row r="10" spans="1:22">
      <c r="A10" s="82" t="s">
        <v>2252</v>
      </c>
      <c r="B10" s="82">
        <v>12.8</v>
      </c>
      <c r="C10" s="319">
        <f>(B10*C2)</f>
        <v>16384</v>
      </c>
      <c r="D10" s="921"/>
      <c r="E10" s="921"/>
      <c r="F10" s="921"/>
      <c r="G10" s="921"/>
      <c r="H10" s="40"/>
      <c r="I10" s="40"/>
      <c r="J10" s="40"/>
      <c r="K10" s="40"/>
      <c r="N10" s="921"/>
      <c r="O10" s="921"/>
      <c r="P10" s="921"/>
      <c r="Q10" s="921"/>
      <c r="R10" s="921"/>
      <c r="S10" s="921"/>
      <c r="T10" s="921"/>
      <c r="U10" s="921"/>
      <c r="V10" s="921"/>
    </row>
    <row r="11" spans="1:22">
      <c r="A11" s="82" t="s">
        <v>2253</v>
      </c>
      <c r="B11" s="82">
        <v>28.56</v>
      </c>
      <c r="C11" s="319">
        <f>(B11*C2)</f>
        <v>36556.799999999996</v>
      </c>
      <c r="D11" s="921"/>
      <c r="E11" s="921"/>
      <c r="F11" s="921"/>
      <c r="G11" s="921"/>
      <c r="H11" s="40"/>
      <c r="I11" s="40"/>
      <c r="J11" s="40"/>
      <c r="K11" s="40"/>
      <c r="N11" s="921"/>
      <c r="O11" s="921"/>
      <c r="P11" s="921"/>
      <c r="Q11" s="146"/>
      <c r="R11" s="146"/>
      <c r="S11" s="921"/>
      <c r="T11" s="921"/>
      <c r="U11" s="921"/>
      <c r="V11" s="146"/>
    </row>
    <row r="14" spans="1:22">
      <c r="A14" s="464" t="s">
        <v>2254</v>
      </c>
      <c r="B14" s="921"/>
      <c r="C14" s="921"/>
      <c r="D14" s="921"/>
      <c r="E14" s="921"/>
      <c r="F14" s="921"/>
      <c r="G14" s="921"/>
      <c r="N14" s="921"/>
      <c r="O14" s="921"/>
      <c r="P14" s="921"/>
      <c r="Q14" s="921"/>
      <c r="R14" s="921"/>
      <c r="S14" s="921"/>
      <c r="T14" s="921"/>
      <c r="U14" s="921"/>
      <c r="V14" s="921"/>
    </row>
    <row r="15" spans="1:22">
      <c r="A15" s="82" t="s">
        <v>2255</v>
      </c>
      <c r="B15" s="82">
        <v>529</v>
      </c>
      <c r="C15" s="465">
        <f>(B15*C$2)</f>
        <v>677120</v>
      </c>
      <c r="D15" s="921"/>
      <c r="E15" s="921"/>
      <c r="F15" s="921"/>
      <c r="G15" s="921"/>
      <c r="N15" s="921"/>
      <c r="O15" s="921"/>
      <c r="P15" s="921"/>
      <c r="Q15" s="921"/>
      <c r="R15" s="921"/>
      <c r="S15" s="921"/>
      <c r="T15" s="921"/>
      <c r="U15" s="921"/>
      <c r="V15" s="921"/>
    </row>
    <row r="16" spans="1:22">
      <c r="A16" s="82" t="s">
        <v>2256</v>
      </c>
      <c r="B16" s="82">
        <v>1653</v>
      </c>
      <c r="C16" s="465">
        <f t="shared" ref="C16:C17" si="12">(B16*C$2)</f>
        <v>2115840</v>
      </c>
      <c r="D16" s="921"/>
      <c r="E16" s="921"/>
      <c r="F16" s="921"/>
      <c r="G16" s="921"/>
      <c r="N16" s="921"/>
      <c r="O16" s="921"/>
      <c r="P16" s="921"/>
      <c r="Q16" s="921"/>
      <c r="R16" s="921"/>
      <c r="S16" s="921"/>
      <c r="T16" s="921"/>
      <c r="U16" s="921"/>
      <c r="V16" s="921"/>
    </row>
    <row r="17" spans="1:21">
      <c r="A17" s="82" t="s">
        <v>2257</v>
      </c>
      <c r="B17" s="82">
        <v>2649</v>
      </c>
      <c r="C17" s="465">
        <f t="shared" si="12"/>
        <v>3390720</v>
      </c>
      <c r="D17" s="921"/>
      <c r="E17" s="921"/>
      <c r="F17" s="921"/>
      <c r="G17" s="921"/>
      <c r="N17" s="921"/>
      <c r="O17" s="921"/>
      <c r="P17" s="921"/>
      <c r="Q17" s="921"/>
      <c r="R17" s="921"/>
      <c r="S17" s="921"/>
      <c r="T17" s="921"/>
      <c r="U17" s="921"/>
    </row>
    <row r="18" spans="1:21">
      <c r="A18" s="921"/>
      <c r="B18" s="921"/>
      <c r="C18" s="921"/>
      <c r="D18" s="921"/>
      <c r="E18" s="921"/>
      <c r="F18" s="921"/>
      <c r="G18" s="921"/>
      <c r="N18" s="921"/>
      <c r="O18" s="921"/>
      <c r="P18" s="197"/>
      <c r="Q18" s="921"/>
      <c r="R18" s="921"/>
      <c r="S18" s="921"/>
      <c r="T18" s="921"/>
      <c r="U18" s="921"/>
    </row>
    <row r="19" spans="1:21" ht="15" thickBot="1">
      <c r="A19" s="921"/>
      <c r="B19" s="921" t="s">
        <v>2174</v>
      </c>
      <c r="C19" s="921"/>
      <c r="D19" s="921"/>
      <c r="E19" s="921"/>
      <c r="F19" s="921"/>
      <c r="G19" s="921"/>
      <c r="I19" s="1" t="s">
        <v>10</v>
      </c>
      <c r="N19" s="921"/>
      <c r="O19" s="921"/>
      <c r="P19" s="197"/>
      <c r="Q19" s="921"/>
      <c r="R19" s="921"/>
      <c r="S19" s="921"/>
      <c r="T19" s="921"/>
      <c r="U19" s="921"/>
    </row>
    <row r="20" spans="1:21" ht="15" thickBot="1">
      <c r="A20" s="749" t="s">
        <v>2258</v>
      </c>
      <c r="B20" s="749"/>
      <c r="C20" s="750">
        <v>45768</v>
      </c>
      <c r="D20" s="749"/>
      <c r="E20" s="921"/>
      <c r="F20" s="417"/>
      <c r="G20" s="887">
        <f>(G2)</f>
        <v>0.1</v>
      </c>
      <c r="H20" s="285">
        <v>0.03</v>
      </c>
      <c r="I20" s="942">
        <v>0.05</v>
      </c>
      <c r="J20" s="942" t="s">
        <v>2175</v>
      </c>
      <c r="K20" s="286" t="s">
        <v>65</v>
      </c>
      <c r="L20" s="287" t="s">
        <v>66</v>
      </c>
      <c r="N20" s="1"/>
      <c r="O20" s="921"/>
      <c r="P20" s="921"/>
      <c r="Q20" s="921"/>
      <c r="R20" s="921"/>
      <c r="S20" s="921"/>
      <c r="T20" s="921"/>
      <c r="U20" s="921"/>
    </row>
    <row r="21" spans="1:21">
      <c r="A21" s="749" t="s">
        <v>1274</v>
      </c>
      <c r="B21" s="749" t="s">
        <v>2259</v>
      </c>
      <c r="C21" s="749">
        <v>18000</v>
      </c>
      <c r="D21" s="749"/>
      <c r="E21" s="921">
        <f>(C21*1.45)</f>
        <v>26100</v>
      </c>
      <c r="F21" s="284">
        <f>(E21*1.21)</f>
        <v>31581</v>
      </c>
      <c r="G21" s="284">
        <f>(E21-(E21*G$2))</f>
        <v>23490</v>
      </c>
      <c r="H21" s="284">
        <f>(G21-(G21*H$2))</f>
        <v>22785.3</v>
      </c>
      <c r="I21" s="943">
        <f>(H21*I$2)</f>
        <v>1139.2650000000001</v>
      </c>
      <c r="J21" s="943">
        <f>(H21-I21)</f>
        <v>21646.035</v>
      </c>
      <c r="K21" s="885">
        <f>(H21-C21)/C21</f>
        <v>0.26584999999999998</v>
      </c>
      <c r="L21" s="885">
        <f>(J21-C21)/J21</f>
        <v>0.16843893119455827</v>
      </c>
      <c r="N21" s="1"/>
      <c r="O21" s="921"/>
      <c r="P21" s="921"/>
      <c r="Q21" s="579">
        <v>37000</v>
      </c>
      <c r="R21" s="117">
        <f t="shared" ref="R21:R22" si="13">CEILING(Q21,50)</f>
        <v>37000</v>
      </c>
      <c r="S21" s="42">
        <f t="shared" ref="S21:S22" si="14">(R21/1.21)</f>
        <v>30578.512396694216</v>
      </c>
      <c r="T21" s="44">
        <f>(S21-C21)/C21</f>
        <v>0.69880624426078974</v>
      </c>
      <c r="U21" s="447">
        <f>(S21-C21)/S21</f>
        <v>0.41135135135135137</v>
      </c>
    </row>
    <row r="22" spans="1:21">
      <c r="A22" s="749" t="s">
        <v>1276</v>
      </c>
      <c r="B22" s="749" t="s">
        <v>2260</v>
      </c>
      <c r="C22" s="749">
        <v>18000</v>
      </c>
      <c r="D22" s="749"/>
      <c r="E22" s="921">
        <f>(C22*1.45)</f>
        <v>26100</v>
      </c>
      <c r="F22" s="284">
        <f t="shared" ref="F22" si="15">(E22*1.21)</f>
        <v>31581</v>
      </c>
      <c r="G22" s="284">
        <f>(E22-(E22*G$2))</f>
        <v>23490</v>
      </c>
      <c r="H22" s="284">
        <f t="shared" ref="H22" si="16">(G22-(G22*H$2))</f>
        <v>22785.3</v>
      </c>
      <c r="I22" s="943">
        <f>(H22*I$2)</f>
        <v>1139.2650000000001</v>
      </c>
      <c r="J22" s="943">
        <f>(H22-I22)</f>
        <v>21646.035</v>
      </c>
      <c r="K22" s="886">
        <f>(H22-C22)/C22</f>
        <v>0.26584999999999998</v>
      </c>
      <c r="L22" s="885">
        <f>(J22-C22)/J22</f>
        <v>0.16843893119455827</v>
      </c>
      <c r="N22" s="1"/>
      <c r="O22" s="921"/>
      <c r="P22" s="921"/>
      <c r="Q22" s="579">
        <v>37000</v>
      </c>
      <c r="R22" s="117">
        <f t="shared" si="13"/>
        <v>37000</v>
      </c>
      <c r="S22" s="42">
        <f t="shared" si="14"/>
        <v>30578.512396694216</v>
      </c>
      <c r="T22" s="44">
        <f>(S22-C22)/C22</f>
        <v>0.69880624426078974</v>
      </c>
      <c r="U22" s="447">
        <f>(S22-C22)/S22</f>
        <v>0.41135135135135137</v>
      </c>
    </row>
    <row r="23" spans="1:21">
      <c r="A23" s="921"/>
      <c r="B23" s="921"/>
      <c r="C23" s="921"/>
      <c r="D23" s="921"/>
      <c r="E23" s="921"/>
      <c r="F23" s="1"/>
      <c r="G23" s="921"/>
      <c r="H23" s="921"/>
      <c r="I23" s="921"/>
      <c r="J23" s="921"/>
      <c r="K23" s="921"/>
      <c r="L23" s="921"/>
      <c r="M23" s="921"/>
      <c r="N23" s="921"/>
      <c r="O23" s="921"/>
      <c r="P23" s="921"/>
      <c r="Q23" s="921"/>
      <c r="R23" s="921"/>
      <c r="S23" s="921"/>
      <c r="T23" s="921"/>
      <c r="U23" s="921"/>
    </row>
    <row r="24" spans="1:21">
      <c r="A24" s="921"/>
      <c r="B24" s="921"/>
      <c r="C24" s="921"/>
      <c r="D24" s="921"/>
      <c r="E24" s="921"/>
      <c r="F24" s="1"/>
      <c r="G24" s="921"/>
      <c r="H24" s="921"/>
      <c r="I24" s="921"/>
      <c r="J24" s="921"/>
      <c r="K24" s="921"/>
      <c r="L24" s="921"/>
      <c r="M24" s="921"/>
      <c r="N24" s="921"/>
      <c r="O24" s="921"/>
      <c r="P24" s="921"/>
      <c r="Q24" s="921"/>
      <c r="R24" s="921"/>
      <c r="S24" s="921"/>
      <c r="T24" s="921"/>
      <c r="U24" s="921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3"/>
  <sheetViews>
    <sheetView workbookViewId="0">
      <selection activeCell="G4" sqref="G4:G9"/>
    </sheetView>
  </sheetViews>
  <sheetFormatPr baseColWidth="10" defaultColWidth="11.44140625" defaultRowHeight="14.4"/>
  <cols>
    <col min="12" max="12" width="12.33203125" bestFit="1" customWidth="1"/>
    <col min="13" max="13" width="3.109375" customWidth="1"/>
    <col min="16" max="16" width="2.5546875" customWidth="1"/>
    <col min="17" max="17" width="14.44140625" bestFit="1" customWidth="1"/>
    <col min="20" max="20" width="8.6640625" customWidth="1"/>
    <col min="21" max="21" width="9.33203125" customWidth="1"/>
  </cols>
  <sheetData>
    <row r="1" spans="1:26" ht="15" thickBot="1">
      <c r="A1" s="105" t="s">
        <v>1085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921"/>
      <c r="P1" s="921"/>
      <c r="Q1" s="921"/>
      <c r="R1" s="921"/>
      <c r="S1" s="921"/>
      <c r="T1" s="921"/>
      <c r="U1" s="921"/>
      <c r="V1" s="921"/>
      <c r="W1" s="921"/>
      <c r="X1" s="921"/>
      <c r="Y1" s="921"/>
      <c r="Z1" s="921"/>
    </row>
    <row r="2" spans="1:26" ht="15" thickBot="1">
      <c r="A2" s="105"/>
      <c r="B2" s="921"/>
      <c r="C2" s="921"/>
      <c r="D2" s="496">
        <v>45689</v>
      </c>
      <c r="E2" s="921"/>
      <c r="F2" s="921"/>
      <c r="G2" s="921"/>
      <c r="H2" s="921"/>
      <c r="I2" s="921"/>
      <c r="J2" s="921"/>
      <c r="K2" s="921"/>
      <c r="L2" s="921"/>
      <c r="M2" s="921"/>
      <c r="N2" s="921"/>
      <c r="O2" s="921"/>
      <c r="P2" s="921"/>
      <c r="Q2" s="921"/>
      <c r="R2" s="921"/>
      <c r="S2" s="921"/>
      <c r="T2" s="921"/>
      <c r="U2" s="921"/>
      <c r="V2" s="921"/>
      <c r="W2" s="921"/>
      <c r="X2" s="921"/>
      <c r="Y2" s="921"/>
      <c r="Z2" s="921"/>
    </row>
    <row r="3" spans="1:26" ht="15" thickBot="1">
      <c r="A3" s="345"/>
      <c r="B3" s="345" t="s">
        <v>2261</v>
      </c>
      <c r="C3" s="345" t="s">
        <v>2262</v>
      </c>
      <c r="D3" s="495" t="s">
        <v>2263</v>
      </c>
      <c r="E3" s="494">
        <v>0</v>
      </c>
      <c r="F3" s="345">
        <v>1280</v>
      </c>
      <c r="G3" s="101">
        <v>45461</v>
      </c>
      <c r="H3" s="417"/>
      <c r="I3" s="345"/>
      <c r="J3" s="345"/>
      <c r="K3" s="345" t="s">
        <v>16</v>
      </c>
      <c r="L3" s="345" t="s">
        <v>17</v>
      </c>
      <c r="M3" s="921"/>
      <c r="N3" s="223">
        <v>0.8</v>
      </c>
      <c r="O3" s="80"/>
      <c r="P3" s="1"/>
      <c r="Q3" s="216">
        <v>45854</v>
      </c>
      <c r="R3" s="414"/>
      <c r="S3" s="10"/>
      <c r="T3" s="40"/>
      <c r="U3" s="40"/>
      <c r="V3" s="414"/>
      <c r="W3" s="921"/>
      <c r="X3" s="921"/>
      <c r="Y3" s="921"/>
      <c r="Z3" s="921"/>
    </row>
    <row r="4" spans="1:26">
      <c r="A4" s="345" t="s">
        <v>1499</v>
      </c>
      <c r="B4" s="345">
        <v>6</v>
      </c>
      <c r="C4" s="345">
        <v>210</v>
      </c>
      <c r="D4" s="345"/>
      <c r="E4" s="345">
        <f>(D4-(D4*E$3))</f>
        <v>0</v>
      </c>
      <c r="F4" s="345">
        <f>(E4*F$3)</f>
        <v>0</v>
      </c>
      <c r="G4" s="345">
        <v>418803.47308800014</v>
      </c>
      <c r="H4" s="345">
        <f>(G4*1.21)</f>
        <v>506752.20243648015</v>
      </c>
      <c r="I4" s="345">
        <f>G4-(G4*Varta!H$3)</f>
        <v>397863.29943360016</v>
      </c>
      <c r="J4" s="345">
        <f>I4-(I4*Varta!I$3)</f>
        <v>385927.40045059216</v>
      </c>
      <c r="K4" s="320" t="e">
        <f>(J4-F4)/F4</f>
        <v>#DIV/0!</v>
      </c>
      <c r="L4" s="320">
        <f>(J4-F4)/J4</f>
        <v>1</v>
      </c>
      <c r="M4" s="921"/>
      <c r="N4" s="224">
        <f>(F4+(F4*N$3))</f>
        <v>0</v>
      </c>
      <c r="O4" s="224">
        <f>(N4*1.21)</f>
        <v>0</v>
      </c>
      <c r="P4" s="189"/>
      <c r="Q4" s="117">
        <f>('[3]Battery Trading'!R4*1.1)</f>
        <v>682000</v>
      </c>
      <c r="R4" s="440">
        <f>CEILING(Q4,50)</f>
        <v>682000</v>
      </c>
      <c r="S4" s="42">
        <f>(R4/1.21)</f>
        <v>563636.36363636365</v>
      </c>
      <c r="T4" s="190" t="e">
        <f t="shared" ref="T4:T9" si="0">(S4-F4)/F4</f>
        <v>#DIV/0!</v>
      </c>
      <c r="U4" s="191">
        <f t="shared" ref="U4:U9" si="1">(S4-F4)/S4</f>
        <v>1</v>
      </c>
      <c r="V4" s="440">
        <f>(R4+Z$5)</f>
        <v>696000</v>
      </c>
      <c r="W4" s="178" t="s">
        <v>24</v>
      </c>
      <c r="X4" s="174" t="s">
        <v>25</v>
      </c>
      <c r="Y4" s="174"/>
      <c r="Z4" s="175">
        <v>10000</v>
      </c>
    </row>
    <row r="5" spans="1:26">
      <c r="A5" s="345" t="s">
        <v>1503</v>
      </c>
      <c r="B5" s="345">
        <v>6</v>
      </c>
      <c r="C5" s="345">
        <v>225</v>
      </c>
      <c r="D5" s="345">
        <v>250</v>
      </c>
      <c r="E5" s="345">
        <f t="shared" ref="E5:E9" si="2">(D5-(D5*E$3))</f>
        <v>250</v>
      </c>
      <c r="F5" s="345">
        <f t="shared" ref="F5:F9" si="3">(E5*F$3)</f>
        <v>320000</v>
      </c>
      <c r="G5" s="345">
        <v>468446.12614800013</v>
      </c>
      <c r="H5" s="345">
        <f t="shared" ref="H5:H9" si="4">(G5*1.21)</f>
        <v>566819.8126390801</v>
      </c>
      <c r="I5" s="345">
        <f>G5-(G5*Varta!H$3)</f>
        <v>445023.81984060013</v>
      </c>
      <c r="J5" s="345">
        <f>I5-(I5*Varta!I$3)</f>
        <v>431673.10524538212</v>
      </c>
      <c r="K5" s="320">
        <f t="shared" ref="K5:K9" si="5">(J5-F5)/F5</f>
        <v>0.34897845389181914</v>
      </c>
      <c r="L5" s="320">
        <f t="shared" ref="L5:L9" si="6">(J5-F5)/J5</f>
        <v>0.25869831566620805</v>
      </c>
      <c r="M5" s="921"/>
      <c r="N5" s="224">
        <f t="shared" ref="N5:N9" si="7">(F5+(F5*N$3))</f>
        <v>576000</v>
      </c>
      <c r="O5" s="224">
        <f t="shared" ref="O5:O9" si="8">(N5*1.21)</f>
        <v>696960</v>
      </c>
      <c r="P5" s="189"/>
      <c r="Q5" s="117">
        <f>('[3]Battery Trading'!R5*1.15)</f>
        <v>540500</v>
      </c>
      <c r="R5" s="440">
        <f t="shared" ref="R5:R13" si="9">CEILING(Q5,50)</f>
        <v>540500</v>
      </c>
      <c r="S5" s="42">
        <f t="shared" ref="S5:S9" si="10">(R5/1.21)</f>
        <v>446694.21487603307</v>
      </c>
      <c r="T5" s="190">
        <f t="shared" si="0"/>
        <v>0.39591942148760334</v>
      </c>
      <c r="U5" s="191">
        <f t="shared" si="1"/>
        <v>0.2836262719703978</v>
      </c>
      <c r="V5" s="440">
        <f>(R5+Z$5)</f>
        <v>554500</v>
      </c>
      <c r="W5" s="185"/>
      <c r="X5" s="183" t="s">
        <v>27</v>
      </c>
      <c r="Y5" s="183"/>
      <c r="Z5" s="184">
        <v>14000</v>
      </c>
    </row>
    <row r="6" spans="1:26" ht="15" thickBot="1">
      <c r="A6" s="345" t="s">
        <v>1505</v>
      </c>
      <c r="B6" s="345">
        <v>6</v>
      </c>
      <c r="C6" s="345">
        <v>390</v>
      </c>
      <c r="D6" s="345">
        <v>455</v>
      </c>
      <c r="E6" s="345">
        <f t="shared" si="2"/>
        <v>455</v>
      </c>
      <c r="F6" s="345">
        <f t="shared" si="3"/>
        <v>582400</v>
      </c>
      <c r="G6" s="345">
        <v>917035.19107200031</v>
      </c>
      <c r="H6" s="345">
        <f t="shared" si="4"/>
        <v>1109612.5811971202</v>
      </c>
      <c r="I6" s="345">
        <f>G6-(G6*Varta!H$3)</f>
        <v>871183.43151840032</v>
      </c>
      <c r="J6" s="345">
        <f>I6-(I6*Varta!I$3)</f>
        <v>845047.92857284832</v>
      </c>
      <c r="K6" s="320">
        <f t="shared" si="5"/>
        <v>0.45097515208250055</v>
      </c>
      <c r="L6" s="320">
        <f t="shared" si="6"/>
        <v>0.31080832186219182</v>
      </c>
      <c r="M6" s="921"/>
      <c r="N6" s="224">
        <f t="shared" si="7"/>
        <v>1048320</v>
      </c>
      <c r="O6" s="224">
        <f t="shared" si="8"/>
        <v>1268467.2</v>
      </c>
      <c r="P6" s="189"/>
      <c r="Q6" s="117">
        <f>('[3]Battery Trading'!R6*1.15)</f>
        <v>977499.99999999988</v>
      </c>
      <c r="R6" s="440">
        <f t="shared" si="9"/>
        <v>977500</v>
      </c>
      <c r="S6" s="42">
        <f t="shared" si="10"/>
        <v>807851.23966942145</v>
      </c>
      <c r="T6" s="190">
        <f t="shared" si="0"/>
        <v>0.38710721097084727</v>
      </c>
      <c r="U6" s="191">
        <f t="shared" si="1"/>
        <v>0.27907519181585677</v>
      </c>
      <c r="V6" s="440">
        <f t="shared" ref="V6:V9" si="11">(R6+Z$5)</f>
        <v>991500</v>
      </c>
      <c r="W6" s="179"/>
      <c r="X6" s="180" t="s">
        <v>29</v>
      </c>
      <c r="Y6" s="180"/>
      <c r="Z6" s="181">
        <v>19000</v>
      </c>
    </row>
    <row r="7" spans="1:26">
      <c r="A7" s="345" t="s">
        <v>1508</v>
      </c>
      <c r="B7" s="345">
        <v>6</v>
      </c>
      <c r="C7" s="345">
        <v>295</v>
      </c>
      <c r="D7" s="345">
        <v>375</v>
      </c>
      <c r="E7" s="345">
        <f t="shared" si="2"/>
        <v>375</v>
      </c>
      <c r="F7" s="345">
        <f t="shared" si="3"/>
        <v>480000</v>
      </c>
      <c r="G7" s="345">
        <v>725685.32836800022</v>
      </c>
      <c r="H7" s="345">
        <f t="shared" si="4"/>
        <v>878079.24732528022</v>
      </c>
      <c r="I7" s="345">
        <f>G7-(G7*Varta!H$3)</f>
        <v>689401.06194960023</v>
      </c>
      <c r="J7" s="345">
        <f>I7-(I7*Varta!I$3)</f>
        <v>668719.03009111225</v>
      </c>
      <c r="K7" s="320">
        <f t="shared" si="5"/>
        <v>0.39316464602315049</v>
      </c>
      <c r="L7" s="320">
        <f t="shared" si="6"/>
        <v>0.28220974968425749</v>
      </c>
      <c r="M7" s="921"/>
      <c r="N7" s="224">
        <f t="shared" si="7"/>
        <v>864000</v>
      </c>
      <c r="O7" s="224">
        <f t="shared" si="8"/>
        <v>1045440</v>
      </c>
      <c r="P7" s="189"/>
      <c r="Q7" s="117">
        <f>('[3]Battery Trading'!R7*1.15)</f>
        <v>804999.99999999988</v>
      </c>
      <c r="R7" s="440">
        <f t="shared" si="9"/>
        <v>805000</v>
      </c>
      <c r="S7" s="42">
        <f t="shared" si="10"/>
        <v>665289.25619834708</v>
      </c>
      <c r="T7" s="190">
        <f t="shared" si="0"/>
        <v>0.38601928374655642</v>
      </c>
      <c r="U7" s="191">
        <f t="shared" si="1"/>
        <v>0.27850931677018631</v>
      </c>
      <c r="V7" s="440">
        <f t="shared" si="11"/>
        <v>819000</v>
      </c>
      <c r="W7" s="921"/>
      <c r="X7" s="921"/>
      <c r="Y7" s="921"/>
      <c r="Z7" s="921"/>
    </row>
    <row r="8" spans="1:26">
      <c r="A8" s="345" t="s">
        <v>1511</v>
      </c>
      <c r="B8" s="345">
        <v>12</v>
      </c>
      <c r="C8" s="345">
        <v>105</v>
      </c>
      <c r="D8" s="345">
        <v>272</v>
      </c>
      <c r="E8" s="345">
        <f t="shared" si="2"/>
        <v>272</v>
      </c>
      <c r="F8" s="345">
        <f t="shared" si="3"/>
        <v>348160</v>
      </c>
      <c r="G8" s="345">
        <v>450935.80852320004</v>
      </c>
      <c r="H8" s="345">
        <f t="shared" si="4"/>
        <v>545632.3283130721</v>
      </c>
      <c r="I8" s="345">
        <f>G8-(G8*Varta!H$3)</f>
        <v>428389.01809704001</v>
      </c>
      <c r="J8" s="345">
        <f>I8-(I8*Varta!I$3)</f>
        <v>415537.34755412879</v>
      </c>
      <c r="K8" s="320">
        <f t="shared" si="5"/>
        <v>0.19352409109067323</v>
      </c>
      <c r="L8" s="320">
        <f t="shared" si="6"/>
        <v>0.16214510669309232</v>
      </c>
      <c r="M8" s="921"/>
      <c r="N8" s="224">
        <f t="shared" si="7"/>
        <v>626688</v>
      </c>
      <c r="O8" s="224">
        <f t="shared" si="8"/>
        <v>758292.47999999998</v>
      </c>
      <c r="P8" s="189"/>
      <c r="Q8" s="117">
        <f>('[3]Battery Trading'!R8*1.15)</f>
        <v>655500</v>
      </c>
      <c r="R8" s="440">
        <f t="shared" si="9"/>
        <v>655500</v>
      </c>
      <c r="S8" s="42">
        <f t="shared" si="10"/>
        <v>541735.53719008272</v>
      </c>
      <c r="T8" s="190">
        <f t="shared" si="0"/>
        <v>0.55599591334467691</v>
      </c>
      <c r="U8" s="191">
        <f t="shared" si="1"/>
        <v>0.3573247902364608</v>
      </c>
      <c r="V8" s="440">
        <f t="shared" si="11"/>
        <v>669500</v>
      </c>
      <c r="W8" s="921"/>
      <c r="X8" s="921"/>
      <c r="Y8" s="921"/>
      <c r="Z8" s="921"/>
    </row>
    <row r="9" spans="1:26">
      <c r="A9" s="345" t="s">
        <v>1514</v>
      </c>
      <c r="B9" s="345">
        <v>12</v>
      </c>
      <c r="C9" s="345">
        <v>150</v>
      </c>
      <c r="D9" s="345">
        <v>469</v>
      </c>
      <c r="E9" s="345">
        <f t="shared" si="2"/>
        <v>469</v>
      </c>
      <c r="F9" s="345">
        <f t="shared" si="3"/>
        <v>600320</v>
      </c>
      <c r="G9" s="345">
        <v>709438.64191200014</v>
      </c>
      <c r="H9" s="345">
        <f t="shared" si="4"/>
        <v>858420.75671352015</v>
      </c>
      <c r="I9" s="345">
        <f>G9-(G9*Varta!H$3)</f>
        <v>673966.70981640008</v>
      </c>
      <c r="J9" s="345">
        <f>I9-(I9*Varta!I$3)</f>
        <v>653747.70852190803</v>
      </c>
      <c r="K9" s="320">
        <f t="shared" si="5"/>
        <v>8.8998714888572819E-2</v>
      </c>
      <c r="L9" s="320">
        <f t="shared" si="6"/>
        <v>8.1725270812352827E-2</v>
      </c>
      <c r="M9" s="921"/>
      <c r="N9" s="224">
        <f t="shared" si="7"/>
        <v>1080576</v>
      </c>
      <c r="O9" s="224">
        <f t="shared" si="8"/>
        <v>1307496.96</v>
      </c>
      <c r="P9" s="921"/>
      <c r="Q9" s="117">
        <f>('[3]Battery Trading'!R9*1.15)</f>
        <v>1092500</v>
      </c>
      <c r="R9" s="440">
        <f t="shared" si="9"/>
        <v>1092500</v>
      </c>
      <c r="S9" s="42">
        <f t="shared" si="10"/>
        <v>902892.56198347115</v>
      </c>
      <c r="T9" s="190">
        <f t="shared" si="0"/>
        <v>0.50401879328270116</v>
      </c>
      <c r="U9" s="191">
        <f t="shared" si="1"/>
        <v>0.33511469107551495</v>
      </c>
      <c r="V9" s="440">
        <f t="shared" si="11"/>
        <v>1106500</v>
      </c>
      <c r="W9" s="921"/>
      <c r="X9" s="921"/>
      <c r="Y9" s="921"/>
      <c r="Z9" s="921"/>
    </row>
    <row r="10" spans="1:26">
      <c r="A10" s="921"/>
      <c r="B10" s="921"/>
      <c r="C10" s="921"/>
      <c r="D10" s="921"/>
      <c r="E10" s="921"/>
      <c r="F10" s="921"/>
      <c r="G10" s="921"/>
      <c r="H10" s="921"/>
      <c r="I10" s="921"/>
      <c r="J10" s="921"/>
      <c r="K10" s="921"/>
      <c r="L10" s="921"/>
      <c r="M10" s="921"/>
      <c r="N10" s="921"/>
      <c r="O10" s="921"/>
      <c r="P10" s="921"/>
      <c r="Q10" s="117" t="e">
        <f>('[3]Battery Trading'!R10*1.15)</f>
        <v>#REF!</v>
      </c>
      <c r="R10" s="921"/>
      <c r="S10" s="921"/>
      <c r="T10" s="921"/>
      <c r="U10" s="921"/>
      <c r="V10" s="921"/>
      <c r="W10" s="921"/>
      <c r="X10" s="921"/>
      <c r="Y10" s="921"/>
      <c r="Z10" s="921"/>
    </row>
    <row r="11" spans="1:26">
      <c r="A11" s="458" t="s">
        <v>2264</v>
      </c>
      <c r="B11" s="458">
        <v>12</v>
      </c>
      <c r="C11" s="458">
        <v>120</v>
      </c>
      <c r="D11" s="458">
        <v>230</v>
      </c>
      <c r="E11" s="458"/>
      <c r="F11" s="458">
        <f>(D11*F$3)</f>
        <v>294400</v>
      </c>
      <c r="G11" s="656"/>
      <c r="H11" s="656"/>
      <c r="I11" s="458"/>
      <c r="J11" s="458"/>
      <c r="K11" s="458"/>
      <c r="L11" s="458"/>
      <c r="M11" s="921"/>
      <c r="N11" s="921"/>
      <c r="O11" s="921"/>
      <c r="P11" s="921"/>
      <c r="Q11" s="117">
        <f>('[3]Battery Trading'!R11*1.15)</f>
        <v>563500</v>
      </c>
      <c r="R11" s="440">
        <f t="shared" si="9"/>
        <v>563500</v>
      </c>
      <c r="S11" s="42">
        <f t="shared" ref="S11:S13" si="12">(R11/1.21)</f>
        <v>465702.47933884297</v>
      </c>
      <c r="T11" s="190">
        <f t="shared" ref="T11:T13" si="13">(S11-F11)/F11</f>
        <v>0.58186983471074383</v>
      </c>
      <c r="U11" s="191">
        <f t="shared" ref="U11:U13" si="14">(S11-F11)/S11</f>
        <v>0.36783673469387757</v>
      </c>
      <c r="V11" s="440">
        <f t="shared" ref="V11" si="15">(R11+Z$5)</f>
        <v>577500</v>
      </c>
      <c r="W11" s="921"/>
      <c r="X11" s="921"/>
      <c r="Y11" s="921"/>
      <c r="Z11" s="921"/>
    </row>
    <row r="12" spans="1:26">
      <c r="A12" s="458" t="s">
        <v>2265</v>
      </c>
      <c r="B12" s="458">
        <v>12</v>
      </c>
      <c r="C12" s="458">
        <v>150</v>
      </c>
      <c r="D12" s="458">
        <v>320</v>
      </c>
      <c r="E12" s="458"/>
      <c r="F12" s="458">
        <f t="shared" ref="F12:F13" si="16">(D12*F$3)</f>
        <v>409600</v>
      </c>
      <c r="G12" s="458"/>
      <c r="H12" s="458"/>
      <c r="I12" s="458"/>
      <c r="J12" s="458"/>
      <c r="K12" s="458"/>
      <c r="L12" s="458"/>
      <c r="M12" s="921"/>
      <c r="N12" s="921"/>
      <c r="O12" s="921"/>
      <c r="P12" s="921"/>
      <c r="Q12" s="117">
        <f>('[3]Battery Trading'!R12*1.15)</f>
        <v>655500</v>
      </c>
      <c r="R12" s="440">
        <f t="shared" si="9"/>
        <v>655500</v>
      </c>
      <c r="S12" s="42">
        <f t="shared" si="12"/>
        <v>541735.53719008272</v>
      </c>
      <c r="T12" s="190">
        <f t="shared" si="13"/>
        <v>0.32259652634297536</v>
      </c>
      <c r="U12" s="191">
        <f t="shared" si="14"/>
        <v>0.24391151792524801</v>
      </c>
      <c r="V12" s="440">
        <f>(R12+Z$6)</f>
        <v>674500</v>
      </c>
      <c r="W12" s="921"/>
      <c r="X12" s="921"/>
      <c r="Y12" s="921"/>
      <c r="Z12" s="921"/>
    </row>
    <row r="13" spans="1:26">
      <c r="A13" s="458" t="s">
        <v>2266</v>
      </c>
      <c r="B13" s="458">
        <v>12</v>
      </c>
      <c r="C13" s="458">
        <v>200</v>
      </c>
      <c r="D13" s="458">
        <v>390</v>
      </c>
      <c r="E13" s="458"/>
      <c r="F13" s="458">
        <f t="shared" si="16"/>
        <v>499200</v>
      </c>
      <c r="G13" s="458"/>
      <c r="H13" s="458"/>
      <c r="I13" s="458"/>
      <c r="J13" s="458"/>
      <c r="K13" s="458"/>
      <c r="L13" s="458"/>
      <c r="M13" s="921"/>
      <c r="N13" s="921"/>
      <c r="O13" s="921"/>
      <c r="P13" s="921"/>
      <c r="Q13" s="117">
        <f>('[3]Battery Trading'!R13*1.15)</f>
        <v>793499.99999999988</v>
      </c>
      <c r="R13" s="440">
        <f t="shared" si="9"/>
        <v>793500</v>
      </c>
      <c r="S13" s="42">
        <f t="shared" si="12"/>
        <v>655785.12396694219</v>
      </c>
      <c r="T13" s="190">
        <f t="shared" si="13"/>
        <v>0.3136721233312143</v>
      </c>
      <c r="U13" s="191">
        <f t="shared" si="14"/>
        <v>0.23877504725897924</v>
      </c>
      <c r="V13" s="440">
        <f>(R13+Z$6)</f>
        <v>812500</v>
      </c>
      <c r="W13" s="921"/>
      <c r="X13" s="921"/>
      <c r="Y13" s="921"/>
      <c r="Z13" s="921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B8D3-C7EE-4BCB-9026-BFB426092DCC}">
  <dimension ref="A1:L20"/>
  <sheetViews>
    <sheetView workbookViewId="0">
      <selection activeCell="I4" sqref="I4:I18"/>
    </sheetView>
  </sheetViews>
  <sheetFormatPr baseColWidth="10" defaultColWidth="11.44140625" defaultRowHeight="14.4"/>
  <cols>
    <col min="2" max="2" width="15.109375" bestFit="1" customWidth="1"/>
    <col min="3" max="3" width="15.109375" customWidth="1"/>
    <col min="7" max="7" width="4.44140625" customWidth="1"/>
    <col min="8" max="8" width="12" bestFit="1" customWidth="1"/>
    <col min="9" max="9" width="10.33203125" customWidth="1"/>
    <col min="10" max="10" width="11.44140625" bestFit="1" customWidth="1"/>
    <col min="11" max="11" width="8.44140625" bestFit="1" customWidth="1"/>
    <col min="12" max="12" width="12.33203125" bestFit="1" customWidth="1"/>
  </cols>
  <sheetData>
    <row r="1" spans="1:12">
      <c r="A1" s="105" t="s">
        <v>2267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</row>
    <row r="2" spans="1:12" ht="15" thickBot="1">
      <c r="A2" s="105" t="s">
        <v>2268</v>
      </c>
      <c r="B2" s="138">
        <v>45313</v>
      </c>
      <c r="C2" s="921"/>
      <c r="D2" s="921"/>
      <c r="E2" s="921"/>
      <c r="F2" s="921"/>
      <c r="G2" s="921"/>
      <c r="H2" s="921" t="s">
        <v>2269</v>
      </c>
      <c r="I2" s="921"/>
      <c r="J2" s="921"/>
      <c r="K2" s="921"/>
      <c r="L2" s="921"/>
    </row>
    <row r="3" spans="1:12">
      <c r="A3" s="423" t="s">
        <v>0</v>
      </c>
      <c r="B3" s="424"/>
      <c r="C3" s="424" t="s">
        <v>2270</v>
      </c>
      <c r="D3" s="424" t="s">
        <v>2271</v>
      </c>
      <c r="E3" s="425">
        <v>0.15</v>
      </c>
      <c r="F3" s="425">
        <v>0.12</v>
      </c>
      <c r="G3" s="425"/>
      <c r="H3" s="216">
        <v>45357</v>
      </c>
      <c r="I3" s="174"/>
      <c r="J3" s="174"/>
      <c r="K3" s="434" t="s">
        <v>65</v>
      </c>
      <c r="L3" s="426" t="s">
        <v>17</v>
      </c>
    </row>
    <row r="4" spans="1:12">
      <c r="A4" s="185">
        <v>2124</v>
      </c>
      <c r="B4" s="921" t="s">
        <v>2272</v>
      </c>
      <c r="C4" s="921">
        <v>12</v>
      </c>
      <c r="D4" s="114">
        <v>13725</v>
      </c>
      <c r="E4" s="114">
        <f>(D4-(D4*E$3))</f>
        <v>11666.25</v>
      </c>
      <c r="F4" s="114">
        <f>((E4-(E4*F$3)))</f>
        <v>10266.299999999999</v>
      </c>
      <c r="G4" s="114"/>
      <c r="H4" s="427">
        <v>22800</v>
      </c>
      <c r="I4" s="440">
        <f t="shared" ref="I4:I18" si="0">CEILING(H4,50)</f>
        <v>22800</v>
      </c>
      <c r="J4" s="114">
        <f>(I4/1.21)</f>
        <v>18842.975206611573</v>
      </c>
      <c r="K4" s="435">
        <f>(J4-F4)/F4</f>
        <v>0.83542027864094892</v>
      </c>
      <c r="L4" s="428">
        <f>(J4-F4)/J4</f>
        <v>0.45516565789473695</v>
      </c>
    </row>
    <row r="5" spans="1:12">
      <c r="A5" s="185">
        <v>8357</v>
      </c>
      <c r="B5" s="921" t="s">
        <v>2273</v>
      </c>
      <c r="C5" s="921">
        <v>12</v>
      </c>
      <c r="D5" s="114">
        <v>16295</v>
      </c>
      <c r="E5" s="114">
        <f t="shared" ref="E5:E18" si="1">(D5-(D5*E$3))</f>
        <v>13850.75</v>
      </c>
      <c r="F5" s="114">
        <f t="shared" ref="F5:F18" si="2">((E5-(E5*F$3)))</f>
        <v>12188.66</v>
      </c>
      <c r="G5" s="114"/>
      <c r="H5" s="427">
        <v>26760</v>
      </c>
      <c r="I5" s="440">
        <f t="shared" si="0"/>
        <v>26800</v>
      </c>
      <c r="J5" s="114">
        <f t="shared" ref="J5:J18" si="3">(I5/1.21)</f>
        <v>22148.760330578512</v>
      </c>
      <c r="K5" s="435">
        <f>(J5-F5)/F5</f>
        <v>0.81716122449707451</v>
      </c>
      <c r="L5" s="428">
        <f>(J5-F5)/J5</f>
        <v>0.44969109701492538</v>
      </c>
    </row>
    <row r="6" spans="1:12">
      <c r="A6" s="185">
        <v>2504</v>
      </c>
      <c r="B6" s="921" t="s">
        <v>2274</v>
      </c>
      <c r="C6" s="921">
        <v>12</v>
      </c>
      <c r="D6" s="114">
        <v>13263</v>
      </c>
      <c r="E6" s="114">
        <f t="shared" si="1"/>
        <v>11273.55</v>
      </c>
      <c r="F6" s="114">
        <f t="shared" si="2"/>
        <v>9920.7240000000002</v>
      </c>
      <c r="G6" s="114"/>
      <c r="H6" s="427">
        <v>22200</v>
      </c>
      <c r="I6" s="440">
        <f t="shared" si="0"/>
        <v>22200</v>
      </c>
      <c r="J6" s="114">
        <f t="shared" si="3"/>
        <v>18347.10743801653</v>
      </c>
      <c r="K6" s="435">
        <f>(J6-F6)/F6</f>
        <v>0.84937182387258525</v>
      </c>
      <c r="L6" s="428">
        <f>(J6-F6)/J6</f>
        <v>0.45927585405405408</v>
      </c>
    </row>
    <row r="7" spans="1:12">
      <c r="A7" s="185"/>
      <c r="B7" s="921"/>
      <c r="C7" s="921"/>
      <c r="D7" s="114">
        <v>0</v>
      </c>
      <c r="E7" s="114">
        <f t="shared" si="1"/>
        <v>0</v>
      </c>
      <c r="F7" s="114"/>
      <c r="G7" s="114"/>
      <c r="H7" s="427">
        <v>0</v>
      </c>
      <c r="I7" s="440">
        <f t="shared" si="0"/>
        <v>0</v>
      </c>
      <c r="J7" s="114">
        <f t="shared" si="3"/>
        <v>0</v>
      </c>
      <c r="K7" s="435"/>
      <c r="L7" s="428"/>
    </row>
    <row r="8" spans="1:12">
      <c r="A8" s="429" t="s">
        <v>2275</v>
      </c>
      <c r="B8" s="921"/>
      <c r="C8" s="921"/>
      <c r="D8" s="114">
        <v>0</v>
      </c>
      <c r="E8" s="114">
        <f t="shared" ref="E8:E10" si="4">(D8-(D8*E$3))</f>
        <v>0</v>
      </c>
      <c r="F8" s="114"/>
      <c r="G8" s="114"/>
      <c r="H8" s="427">
        <v>0</v>
      </c>
      <c r="I8" s="440">
        <f t="shared" si="0"/>
        <v>0</v>
      </c>
      <c r="J8" s="114">
        <f t="shared" si="3"/>
        <v>0</v>
      </c>
      <c r="K8" s="435"/>
      <c r="L8" s="428"/>
    </row>
    <row r="9" spans="1:12">
      <c r="A9" s="430" t="s">
        <v>0</v>
      </c>
      <c r="B9" s="921"/>
      <c r="C9" s="921"/>
      <c r="D9" s="114">
        <v>0</v>
      </c>
      <c r="E9" s="114">
        <f t="shared" si="4"/>
        <v>0</v>
      </c>
      <c r="F9" s="114"/>
      <c r="G9" s="114"/>
      <c r="H9" s="427">
        <v>0</v>
      </c>
      <c r="I9" s="440">
        <f t="shared" si="0"/>
        <v>0</v>
      </c>
      <c r="J9" s="114">
        <f t="shared" si="3"/>
        <v>0</v>
      </c>
      <c r="K9" s="435"/>
      <c r="L9" s="428"/>
    </row>
    <row r="10" spans="1:12">
      <c r="A10" s="185">
        <v>21644</v>
      </c>
      <c r="B10" s="921" t="s">
        <v>2276</v>
      </c>
      <c r="C10" s="921">
        <v>12</v>
      </c>
      <c r="D10" s="114">
        <v>20069</v>
      </c>
      <c r="E10" s="114">
        <f t="shared" si="4"/>
        <v>17058.650000000001</v>
      </c>
      <c r="F10" s="114">
        <f t="shared" ref="F10:F11" si="5">((E10-(E10*F$3)))</f>
        <v>15011.612000000001</v>
      </c>
      <c r="G10" s="114"/>
      <c r="H10" s="427">
        <v>37140</v>
      </c>
      <c r="I10" s="440">
        <f t="shared" si="0"/>
        <v>37150</v>
      </c>
      <c r="J10" s="114">
        <f t="shared" si="3"/>
        <v>30702.479338842975</v>
      </c>
      <c r="K10" s="435">
        <f>(J10-F10)/F10</f>
        <v>1.0452486607596154</v>
      </c>
      <c r="L10" s="428">
        <f>(J10-F10)/J10</f>
        <v>0.51106189717362038</v>
      </c>
    </row>
    <row r="11" spans="1:12">
      <c r="A11" s="185">
        <v>21646</v>
      </c>
      <c r="B11" s="921" t="s">
        <v>2277</v>
      </c>
      <c r="C11" s="921">
        <v>6</v>
      </c>
      <c r="D11" s="114">
        <v>17984</v>
      </c>
      <c r="E11" s="114">
        <f t="shared" si="1"/>
        <v>15286.4</v>
      </c>
      <c r="F11" s="114">
        <f t="shared" si="5"/>
        <v>13452.031999999999</v>
      </c>
      <c r="G11" s="114"/>
      <c r="H11" s="427">
        <v>37000</v>
      </c>
      <c r="I11" s="440">
        <v>36000</v>
      </c>
      <c r="J11" s="114">
        <f t="shared" si="3"/>
        <v>29752.066115702481</v>
      </c>
      <c r="K11" s="435">
        <f>(J11-F11)/F11</f>
        <v>1.2117153836463133</v>
      </c>
      <c r="L11" s="428">
        <f>(J11-F11)/J11</f>
        <v>0.54786225777777786</v>
      </c>
    </row>
    <row r="12" spans="1:12">
      <c r="A12" s="429" t="s">
        <v>2278</v>
      </c>
      <c r="B12" s="921"/>
      <c r="C12" s="921"/>
      <c r="D12" s="114">
        <v>0</v>
      </c>
      <c r="E12" s="114">
        <f>(D12-(D12*E$3))</f>
        <v>0</v>
      </c>
      <c r="F12" s="114"/>
      <c r="G12" s="114"/>
      <c r="H12" s="427">
        <v>0</v>
      </c>
      <c r="I12" s="440">
        <f t="shared" si="0"/>
        <v>0</v>
      </c>
      <c r="J12" s="114">
        <f t="shared" si="3"/>
        <v>0</v>
      </c>
      <c r="K12" s="435"/>
      <c r="L12" s="428"/>
    </row>
    <row r="13" spans="1:12">
      <c r="A13" s="430" t="s">
        <v>0</v>
      </c>
      <c r="B13" s="921"/>
      <c r="C13" s="921"/>
      <c r="D13" s="114">
        <v>0</v>
      </c>
      <c r="E13" s="114">
        <f>(D13-(D13*E$3))</f>
        <v>0</v>
      </c>
      <c r="F13" s="114"/>
      <c r="G13" s="114"/>
      <c r="H13" s="427">
        <v>0</v>
      </c>
      <c r="I13" s="440">
        <f t="shared" si="0"/>
        <v>0</v>
      </c>
      <c r="J13" s="114">
        <f t="shared" si="3"/>
        <v>0</v>
      </c>
      <c r="K13" s="435"/>
      <c r="L13" s="428"/>
    </row>
    <row r="14" spans="1:12">
      <c r="A14" s="185">
        <v>7386</v>
      </c>
      <c r="B14" s="921" t="s">
        <v>2279</v>
      </c>
      <c r="C14" s="921">
        <v>6</v>
      </c>
      <c r="D14" s="114">
        <v>20282</v>
      </c>
      <c r="E14" s="114">
        <f>(D14-(D14*E$3))</f>
        <v>17239.7</v>
      </c>
      <c r="F14" s="114">
        <f>((E14-(E14*F$3)))</f>
        <v>15170.936000000002</v>
      </c>
      <c r="G14" s="114"/>
      <c r="H14" s="427">
        <v>33600</v>
      </c>
      <c r="I14" s="440">
        <f t="shared" si="0"/>
        <v>33600</v>
      </c>
      <c r="J14" s="114">
        <f t="shared" si="3"/>
        <v>27768.595041322315</v>
      </c>
      <c r="K14" s="435">
        <f>(J14-F14)/F14</f>
        <v>0.8303811341187064</v>
      </c>
      <c r="L14" s="428">
        <f>(J14-F14)/J14</f>
        <v>0.45366569761904757</v>
      </c>
    </row>
    <row r="15" spans="1:12">
      <c r="A15" s="185"/>
      <c r="B15" s="921"/>
      <c r="C15" s="921"/>
      <c r="D15" s="114">
        <v>0</v>
      </c>
      <c r="E15" s="114">
        <f t="shared" si="1"/>
        <v>0</v>
      </c>
      <c r="F15" s="114">
        <f t="shared" si="2"/>
        <v>0</v>
      </c>
      <c r="G15" s="114"/>
      <c r="H15" s="427">
        <v>0</v>
      </c>
      <c r="I15" s="440">
        <f t="shared" si="0"/>
        <v>0</v>
      </c>
      <c r="J15" s="114">
        <f t="shared" si="3"/>
        <v>0</v>
      </c>
      <c r="K15" s="435"/>
      <c r="L15" s="428"/>
    </row>
    <row r="16" spans="1:12">
      <c r="A16" s="429" t="s">
        <v>2280</v>
      </c>
      <c r="B16" s="921"/>
      <c r="C16" s="921"/>
      <c r="D16" s="114">
        <v>0</v>
      </c>
      <c r="E16" s="114">
        <f t="shared" si="1"/>
        <v>0</v>
      </c>
      <c r="F16" s="114">
        <f t="shared" si="2"/>
        <v>0</v>
      </c>
      <c r="G16" s="114"/>
      <c r="H16" s="427">
        <v>0</v>
      </c>
      <c r="I16" s="440">
        <f t="shared" si="0"/>
        <v>0</v>
      </c>
      <c r="J16" s="114">
        <f t="shared" si="3"/>
        <v>0</v>
      </c>
      <c r="K16" s="435"/>
      <c r="L16" s="428"/>
    </row>
    <row r="17" spans="1:12">
      <c r="A17" s="430" t="s">
        <v>0</v>
      </c>
      <c r="B17" s="921"/>
      <c r="C17" s="921"/>
      <c r="D17" s="114">
        <v>0</v>
      </c>
      <c r="E17" s="114">
        <f t="shared" si="1"/>
        <v>0</v>
      </c>
      <c r="F17" s="114">
        <f t="shared" si="2"/>
        <v>0</v>
      </c>
      <c r="G17" s="114"/>
      <c r="H17" s="427">
        <v>0</v>
      </c>
      <c r="I17" s="440">
        <f t="shared" si="0"/>
        <v>0</v>
      </c>
      <c r="J17" s="114">
        <f t="shared" si="3"/>
        <v>0</v>
      </c>
      <c r="K17" s="435"/>
      <c r="L17" s="428"/>
    </row>
    <row r="18" spans="1:12" ht="15" thickBot="1">
      <c r="A18" s="179">
        <v>1602</v>
      </c>
      <c r="B18" s="431" t="s">
        <v>151</v>
      </c>
      <c r="C18" s="431">
        <v>6</v>
      </c>
      <c r="D18" s="432">
        <v>8074</v>
      </c>
      <c r="E18" s="432">
        <f t="shared" si="1"/>
        <v>6862.9</v>
      </c>
      <c r="F18" s="432">
        <f t="shared" si="2"/>
        <v>6039.3519999999999</v>
      </c>
      <c r="G18" s="432"/>
      <c r="H18" s="502">
        <v>13680</v>
      </c>
      <c r="I18" s="450">
        <f t="shared" si="0"/>
        <v>13700</v>
      </c>
      <c r="J18" s="432">
        <f t="shared" si="3"/>
        <v>11322.314049586777</v>
      </c>
      <c r="K18" s="436">
        <f>(J18-F18)/F18</f>
        <v>0.87475643903299194</v>
      </c>
      <c r="L18" s="433">
        <f>(J18-F18)/J18</f>
        <v>0.46659737810218982</v>
      </c>
    </row>
    <row r="20" spans="1:12">
      <c r="A20" s="921"/>
      <c r="B20" s="921"/>
      <c r="C20" s="921"/>
      <c r="D20" s="921"/>
      <c r="E20" s="921"/>
      <c r="F20" s="921"/>
      <c r="G20" s="921"/>
      <c r="H20" s="146"/>
      <c r="I20" s="921"/>
      <c r="J20" s="921"/>
      <c r="K20" s="921"/>
      <c r="L20" s="92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T24"/>
  <sheetViews>
    <sheetView workbookViewId="0">
      <pane xSplit="1" topLeftCell="R1" activePane="topRight" state="frozen"/>
      <selection pane="topRight" activeCell="V9" sqref="V9"/>
    </sheetView>
  </sheetViews>
  <sheetFormatPr baseColWidth="10" defaultColWidth="11.44140625" defaultRowHeight="14.4"/>
  <cols>
    <col min="1" max="3" width="12.6640625" customWidth="1"/>
    <col min="4" max="4" width="12.5546875" bestFit="1" customWidth="1"/>
    <col min="5" max="5" width="14.5546875" bestFit="1" customWidth="1"/>
    <col min="6" max="6" width="10.109375" bestFit="1" customWidth="1"/>
    <col min="7" max="7" width="10.5546875" customWidth="1"/>
    <col min="8" max="8" width="12.109375" bestFit="1" customWidth="1"/>
    <col min="9" max="9" width="15.5546875" bestFit="1" customWidth="1"/>
    <col min="10" max="11" width="15.5546875" customWidth="1"/>
    <col min="12" max="13" width="12.109375" bestFit="1" customWidth="1"/>
    <col min="14" max="18" width="12.109375" customWidth="1"/>
    <col min="19" max="19" width="12.5546875" bestFit="1" customWidth="1"/>
    <col min="20" max="20" width="10.6640625" customWidth="1"/>
    <col min="21" max="21" width="9.5546875" bestFit="1" customWidth="1"/>
    <col min="22" max="22" width="9.5546875" customWidth="1"/>
    <col min="23" max="23" width="9.5546875" bestFit="1" customWidth="1"/>
    <col min="24" max="26" width="9.5546875" customWidth="1"/>
    <col min="27" max="27" width="11.33203125" bestFit="1" customWidth="1"/>
    <col min="28" max="28" width="11.33203125" customWidth="1"/>
    <col min="29" max="29" width="9.5546875" customWidth="1"/>
    <col min="30" max="30" width="5.44140625" customWidth="1"/>
    <col min="31" max="31" width="9.33203125" bestFit="1" customWidth="1"/>
    <col min="32" max="32" width="7.109375" bestFit="1" customWidth="1"/>
    <col min="33" max="33" width="7.88671875" style="1" customWidth="1"/>
    <col min="34" max="35" width="9.88671875" bestFit="1" customWidth="1"/>
    <col min="36" max="36" width="2.6640625" customWidth="1"/>
    <col min="37" max="37" width="10.44140625" customWidth="1"/>
    <col min="39" max="39" width="10.44140625" customWidth="1"/>
    <col min="40" max="40" width="8.88671875" bestFit="1" customWidth="1"/>
    <col min="41" max="41" width="10" customWidth="1"/>
    <col min="42" max="42" width="10.44140625" customWidth="1"/>
  </cols>
  <sheetData>
    <row r="1" spans="1:46" ht="16.2" thickBot="1">
      <c r="A1" s="772" t="s">
        <v>0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921"/>
      <c r="P1" s="921"/>
      <c r="Q1" s="921"/>
      <c r="R1" s="921"/>
      <c r="S1" s="921" t="s">
        <v>1</v>
      </c>
      <c r="T1" s="921"/>
      <c r="U1" s="921" t="s">
        <v>2</v>
      </c>
      <c r="V1" s="921"/>
      <c r="W1" s="921"/>
      <c r="X1" s="921"/>
      <c r="Y1" s="921"/>
      <c r="Z1" s="921"/>
      <c r="AA1" s="921"/>
      <c r="AB1" s="921"/>
      <c r="AC1" s="921"/>
      <c r="AD1" s="921"/>
      <c r="AE1" s="921"/>
      <c r="AF1" s="921"/>
      <c r="AH1" s="921"/>
      <c r="AI1" s="921"/>
      <c r="AJ1" s="921"/>
      <c r="AK1" s="921"/>
      <c r="AL1" s="921" t="s">
        <v>4</v>
      </c>
      <c r="AM1" s="921"/>
      <c r="AN1" s="921"/>
      <c r="AO1" s="921"/>
      <c r="AP1" s="921"/>
      <c r="AQ1" s="921"/>
      <c r="AR1" s="921"/>
      <c r="AS1" s="921"/>
      <c r="AT1" s="921"/>
    </row>
    <row r="2" spans="1:46" ht="28.2" thickBot="1">
      <c r="A2" s="272" t="s">
        <v>69</v>
      </c>
      <c r="B2" s="5"/>
      <c r="C2" s="975" t="s">
        <v>70</v>
      </c>
      <c r="D2" s="976"/>
      <c r="E2" s="977"/>
      <c r="F2" s="961" t="s">
        <v>71</v>
      </c>
      <c r="G2" s="962"/>
      <c r="H2" s="961" t="s">
        <v>72</v>
      </c>
      <c r="I2" s="963"/>
      <c r="J2" s="963"/>
      <c r="K2" s="963"/>
      <c r="L2" s="981" t="s">
        <v>73</v>
      </c>
      <c r="M2" s="982"/>
      <c r="N2" s="961"/>
      <c r="O2" s="983" t="s">
        <v>74</v>
      </c>
      <c r="P2" s="982"/>
      <c r="Q2" s="981" t="s">
        <v>75</v>
      </c>
      <c r="R2" s="983"/>
      <c r="S2" s="962"/>
      <c r="T2" s="1"/>
      <c r="U2" s="1"/>
      <c r="V2" s="4"/>
      <c r="W2" s="1"/>
      <c r="X2" s="1"/>
      <c r="Y2" s="198">
        <v>0.05</v>
      </c>
      <c r="Z2" s="198">
        <v>2.4E-2</v>
      </c>
      <c r="AA2" s="198">
        <v>0.05</v>
      </c>
      <c r="AB2" s="1"/>
      <c r="AC2" s="1"/>
      <c r="AD2" s="1"/>
      <c r="AE2" s="1"/>
      <c r="AF2" s="40"/>
      <c r="AG2" s="40"/>
      <c r="AH2" s="40"/>
      <c r="AI2" s="40"/>
      <c r="AJ2" s="40"/>
      <c r="AK2" s="41"/>
      <c r="AL2" s="921"/>
      <c r="AM2" s="1"/>
      <c r="AN2" s="1"/>
      <c r="AO2" s="1"/>
      <c r="AP2" s="41"/>
      <c r="AQ2" s="921"/>
      <c r="AR2" s="921"/>
      <c r="AS2" s="921"/>
      <c r="AT2" s="921"/>
    </row>
    <row r="3" spans="1:46" ht="15" thickBot="1">
      <c r="A3" s="12"/>
      <c r="B3" s="5"/>
      <c r="C3" s="978">
        <v>45845</v>
      </c>
      <c r="D3" s="979"/>
      <c r="E3" s="980"/>
      <c r="F3" s="140">
        <v>45505</v>
      </c>
      <c r="G3" s="141"/>
      <c r="H3" s="140">
        <v>45839</v>
      </c>
      <c r="I3" s="790"/>
      <c r="J3" s="790"/>
      <c r="K3" s="790"/>
      <c r="L3" s="978">
        <v>45748</v>
      </c>
      <c r="M3" s="980"/>
      <c r="N3" s="960"/>
      <c r="O3" s="978">
        <v>45859</v>
      </c>
      <c r="P3" s="980"/>
      <c r="Q3" s="790">
        <v>45717</v>
      </c>
      <c r="R3" s="790"/>
      <c r="S3" s="774"/>
      <c r="T3" s="76">
        <v>45764</v>
      </c>
      <c r="U3" s="414"/>
      <c r="V3" s="4"/>
      <c r="W3" s="142" t="s">
        <v>8</v>
      </c>
      <c r="X3" s="700"/>
      <c r="Y3" s="700"/>
      <c r="Z3" s="700"/>
      <c r="AA3" s="700"/>
      <c r="AB3" s="703">
        <v>0.4</v>
      </c>
      <c r="AC3" s="700" t="s">
        <v>3</v>
      </c>
      <c r="AD3" s="1"/>
      <c r="AE3" s="59" t="s">
        <v>65</v>
      </c>
      <c r="AF3" s="1"/>
      <c r="AH3" s="1"/>
      <c r="AI3" s="1"/>
      <c r="AJ3" s="1"/>
      <c r="AK3" s="41"/>
      <c r="AL3" s="921"/>
      <c r="AM3" s="40"/>
      <c r="AN3" s="40"/>
      <c r="AO3" s="1"/>
      <c r="AP3" s="41"/>
      <c r="AQ3" s="921"/>
      <c r="AR3" s="921"/>
      <c r="AS3" s="921"/>
      <c r="AT3" s="921"/>
    </row>
    <row r="4" spans="1:46" ht="15" thickBot="1">
      <c r="A4" s="148" t="s">
        <v>76</v>
      </c>
      <c r="B4" s="479" t="s">
        <v>77</v>
      </c>
      <c r="C4" s="480"/>
      <c r="D4" s="481">
        <v>0.18</v>
      </c>
      <c r="E4" s="964">
        <v>0.05</v>
      </c>
      <c r="F4" s="149"/>
      <c r="G4" s="150"/>
      <c r="H4" s="481"/>
      <c r="I4" s="797">
        <v>0.05</v>
      </c>
      <c r="J4" s="797">
        <v>0.02</v>
      </c>
      <c r="K4" s="777">
        <v>0.1</v>
      </c>
      <c r="L4" s="984">
        <v>0.49559999999999998</v>
      </c>
      <c r="M4" s="985"/>
      <c r="N4" s="785"/>
      <c r="O4" s="777">
        <v>0.12</v>
      </c>
      <c r="P4" s="777">
        <v>0.03</v>
      </c>
      <c r="Q4" s="785"/>
      <c r="R4" s="777">
        <v>0.5</v>
      </c>
      <c r="S4" s="150"/>
      <c r="T4" s="143" t="s">
        <v>78</v>
      </c>
      <c r="U4" s="143"/>
      <c r="V4" s="144"/>
      <c r="W4" s="145"/>
      <c r="X4" s="700" t="s">
        <v>9</v>
      </c>
      <c r="Y4" s="700" t="s">
        <v>10</v>
      </c>
      <c r="Z4" s="700" t="s">
        <v>11</v>
      </c>
      <c r="AA4" s="700" t="s">
        <v>12</v>
      </c>
      <c r="AB4" s="700">
        <v>10</v>
      </c>
      <c r="AC4" s="700" t="s">
        <v>79</v>
      </c>
      <c r="AD4" s="1"/>
      <c r="AE4" s="58"/>
      <c r="AF4" s="27" t="s">
        <v>66</v>
      </c>
      <c r="AH4" s="220" t="s">
        <v>80</v>
      </c>
      <c r="AI4" s="48"/>
      <c r="AJ4" s="1"/>
      <c r="AK4" s="216">
        <v>45854</v>
      </c>
      <c r="AL4" s="921"/>
      <c r="AM4" s="1"/>
      <c r="AN4" s="1"/>
      <c r="AO4" s="1"/>
      <c r="AP4" s="414"/>
      <c r="AQ4" s="178" t="s">
        <v>24</v>
      </c>
      <c r="AR4" s="174" t="s">
        <v>25</v>
      </c>
      <c r="AS4" s="174"/>
      <c r="AT4" s="175">
        <v>10000</v>
      </c>
    </row>
    <row r="5" spans="1:46">
      <c r="A5" s="267" t="s">
        <v>81</v>
      </c>
      <c r="B5" s="487" t="s">
        <v>82</v>
      </c>
      <c r="C5" s="489"/>
      <c r="D5" s="483"/>
      <c r="E5" s="258"/>
      <c r="F5" s="256"/>
      <c r="G5" s="257"/>
      <c r="H5" s="795"/>
      <c r="I5" s="796"/>
      <c r="J5" s="796"/>
      <c r="K5" s="793"/>
      <c r="L5" s="642">
        <v>90000</v>
      </c>
      <c r="M5" s="643">
        <f>(L5-(L5*L$4))</f>
        <v>45396</v>
      </c>
      <c r="N5" s="776"/>
      <c r="O5" s="773"/>
      <c r="P5" s="773"/>
      <c r="Q5" s="830">
        <v>104000</v>
      </c>
      <c r="R5" s="830">
        <f>(Q5-(Q5*R$4))</f>
        <v>52000</v>
      </c>
      <c r="S5" s="646">
        <f>(M5)</f>
        <v>45396</v>
      </c>
      <c r="T5" s="259"/>
      <c r="U5" s="259"/>
      <c r="V5" s="130"/>
      <c r="W5" s="131"/>
      <c r="X5" s="701"/>
      <c r="Y5" s="702">
        <v>0.05</v>
      </c>
      <c r="Z5" s="702"/>
      <c r="AA5" s="702"/>
      <c r="AB5" s="702"/>
      <c r="AC5" s="704" t="s">
        <v>20</v>
      </c>
      <c r="AD5" s="1"/>
      <c r="AE5" s="28"/>
      <c r="AF5" s="28"/>
      <c r="AG5" s="204"/>
      <c r="AH5" s="254">
        <f>(S5*1.6)</f>
        <v>72633.600000000006</v>
      </c>
      <c r="AI5" s="255">
        <f>(AH5*1.21)</f>
        <v>87886.656000000003</v>
      </c>
      <c r="AJ5" s="1"/>
      <c r="AK5" s="117"/>
      <c r="AL5" s="921"/>
      <c r="AM5" s="42">
        <f t="shared" ref="AM5:AM6" si="0">(AK5/1.21)</f>
        <v>0</v>
      </c>
      <c r="AN5" s="190">
        <f t="shared" ref="AN5:AN19" si="1">(AM5-S5)/S5</f>
        <v>-1</v>
      </c>
      <c r="AO5" s="445" t="e">
        <f t="shared" ref="AO5:AO19" si="2">(AM5-S5)/AM5</f>
        <v>#DIV/0!</v>
      </c>
      <c r="AP5" s="117"/>
      <c r="AQ5" s="185"/>
      <c r="AR5" s="183" t="s">
        <v>27</v>
      </c>
      <c r="AS5" s="183"/>
      <c r="AT5" s="184">
        <v>14000</v>
      </c>
    </row>
    <row r="6" spans="1:46" ht="15" thickBot="1">
      <c r="A6" s="268" t="s">
        <v>83</v>
      </c>
      <c r="B6" s="482" t="s">
        <v>84</v>
      </c>
      <c r="C6" s="490"/>
      <c r="D6" s="484"/>
      <c r="E6" s="262"/>
      <c r="F6" s="260"/>
      <c r="G6" s="261"/>
      <c r="H6" s="791"/>
      <c r="I6" s="784"/>
      <c r="J6" s="784"/>
      <c r="K6" s="262"/>
      <c r="L6" s="644">
        <v>125000</v>
      </c>
      <c r="M6" s="780">
        <f t="shared" ref="M6:M17" si="3">(L6-(L6*L$4))</f>
        <v>63050</v>
      </c>
      <c r="N6" s="783"/>
      <c r="O6" s="783"/>
      <c r="P6" s="783"/>
      <c r="Q6" s="829">
        <v>125000</v>
      </c>
      <c r="R6" s="830">
        <f t="shared" ref="R6:R17" si="4">(Q6-(Q6*R$4))</f>
        <v>62500</v>
      </c>
      <c r="S6" s="775">
        <f>(M6)</f>
        <v>63050</v>
      </c>
      <c r="T6" s="263"/>
      <c r="U6" s="263"/>
      <c r="V6" s="13"/>
      <c r="W6" s="132"/>
      <c r="X6" s="701"/>
      <c r="Y6" s="701"/>
      <c r="Z6" s="701"/>
      <c r="AA6" s="701"/>
      <c r="AB6" s="701"/>
      <c r="AC6" s="701"/>
      <c r="AD6" s="1"/>
      <c r="AE6" s="28"/>
      <c r="AF6" s="28"/>
      <c r="AG6" s="204"/>
      <c r="AH6" s="254">
        <f>(S6*1.6)</f>
        <v>100880</v>
      </c>
      <c r="AI6" s="255">
        <f t="shared" ref="AI6:AI19" si="5">(AH6*1.21)</f>
        <v>122064.8</v>
      </c>
      <c r="AJ6" s="1"/>
      <c r="AK6" s="117"/>
      <c r="AL6" s="921"/>
      <c r="AM6" s="42">
        <f t="shared" si="0"/>
        <v>0</v>
      </c>
      <c r="AN6" s="190">
        <f t="shared" si="1"/>
        <v>-1</v>
      </c>
      <c r="AO6" s="445" t="e">
        <f t="shared" si="2"/>
        <v>#DIV/0!</v>
      </c>
      <c r="AP6" s="117"/>
      <c r="AQ6" s="179"/>
      <c r="AR6" s="180" t="s">
        <v>29</v>
      </c>
      <c r="AS6" s="180"/>
      <c r="AT6" s="181">
        <v>19000</v>
      </c>
    </row>
    <row r="7" spans="1:46">
      <c r="A7" s="268" t="s">
        <v>85</v>
      </c>
      <c r="B7" s="482" t="s">
        <v>86</v>
      </c>
      <c r="C7" s="491">
        <f>'[2]Acubat-Lubeck'!C7+('[2]Acubat-Lubeck'!C7*3%)</f>
        <v>64221.53</v>
      </c>
      <c r="D7" s="485">
        <f>(C7-(C7*D$4))</f>
        <v>52661.654600000002</v>
      </c>
      <c r="E7" s="262">
        <f>(D7-(D7*E$4))</f>
        <v>50028.57187</v>
      </c>
      <c r="F7" s="270">
        <v>48400</v>
      </c>
      <c r="G7" s="271">
        <f t="shared" ref="G7:G16" si="6">((F7-(F7*F$4)))</f>
        <v>48400</v>
      </c>
      <c r="H7" s="791">
        <v>55100</v>
      </c>
      <c r="I7" s="784">
        <f>(H7-(H7*I$4))</f>
        <v>52345</v>
      </c>
      <c r="J7" s="784">
        <f>(I7-(I7*J$4))</f>
        <v>51298.1</v>
      </c>
      <c r="K7" s="262">
        <f>(J7-(J7*K$4))</f>
        <v>46168.29</v>
      </c>
      <c r="L7" s="644">
        <v>88600</v>
      </c>
      <c r="M7" s="780">
        <f>(L7-(L7*L$4))</f>
        <v>44689.840000000004</v>
      </c>
      <c r="N7" s="783"/>
      <c r="O7" s="783">
        <f>(N7-(N7*O$4))</f>
        <v>0</v>
      </c>
      <c r="P7" s="783">
        <f>(O7-(O7*P$4))</f>
        <v>0</v>
      </c>
      <c r="Q7" s="783">
        <v>102000</v>
      </c>
      <c r="R7" s="830">
        <f t="shared" si="4"/>
        <v>51000</v>
      </c>
      <c r="S7" s="640">
        <f>E7</f>
        <v>50028.57187</v>
      </c>
      <c r="T7" s="263">
        <v>70040.000617999991</v>
      </c>
      <c r="U7" s="263">
        <f t="shared" ref="U7:U17" si="7">(T7*1.21)</f>
        <v>84748.40074777999</v>
      </c>
      <c r="V7" s="13">
        <f>T7-(T7*Varta!H3)</f>
        <v>66538.000587099988</v>
      </c>
      <c r="W7" s="132">
        <f>V7-(V7*Varta!I3)</f>
        <v>64541.860569486991</v>
      </c>
      <c r="X7" s="701">
        <f>(W7)</f>
        <v>64541.860569486991</v>
      </c>
      <c r="Y7" s="701">
        <f>(X7*Y$5)</f>
        <v>3227.0930284743499</v>
      </c>
      <c r="Z7" s="701">
        <f>(X7*Z$5)</f>
        <v>0</v>
      </c>
      <c r="AA7" s="701">
        <f>(X7*AA$5)</f>
        <v>0</v>
      </c>
      <c r="AB7" s="701"/>
      <c r="AC7" s="701">
        <f>(X7-Y7-Z7-AA7-AB7)</f>
        <v>61314.767541012639</v>
      </c>
      <c r="AD7" s="1"/>
      <c r="AE7" s="28">
        <f>(W7-S7)/S7</f>
        <v>0.2900999999999998</v>
      </c>
      <c r="AF7" s="28">
        <f>(AC7-S7)/AC7</f>
        <v>0.18406977835255514</v>
      </c>
      <c r="AG7" s="204"/>
      <c r="AH7" s="254">
        <f>(S7*1.55)</f>
        <v>77544.2863985</v>
      </c>
      <c r="AI7" s="255">
        <f t="shared" si="5"/>
        <v>93828.586542185003</v>
      </c>
      <c r="AJ7" s="189"/>
      <c r="AK7" s="117">
        <f>('[3]Acubat-Lubeck'!AL7*1.05)</f>
        <v>90562.5</v>
      </c>
      <c r="AL7" s="440">
        <f>CEILING(AK7,50)</f>
        <v>90600</v>
      </c>
      <c r="AM7" s="42">
        <f>(AL7/1.21)</f>
        <v>74876.033057851237</v>
      </c>
      <c r="AN7" s="190">
        <f>(AM7-S7)/S7</f>
        <v>0.49666541056614089</v>
      </c>
      <c r="AO7" s="445">
        <f t="shared" si="2"/>
        <v>0.33184799158167766</v>
      </c>
      <c r="AP7" s="440">
        <f>CEILING(AL7,50)+$AT$4</f>
        <v>100600</v>
      </c>
      <c r="AQ7" s="921"/>
      <c r="AR7" s="921"/>
      <c r="AS7" s="921"/>
      <c r="AT7" s="921"/>
    </row>
    <row r="8" spans="1:46">
      <c r="A8" s="268" t="s">
        <v>87</v>
      </c>
      <c r="B8" s="482"/>
      <c r="C8" s="491">
        <f>'[2]Acubat-Lubeck'!C8+('[2]Acubat-Lubeck'!C8*3%)</f>
        <v>74877.91</v>
      </c>
      <c r="D8" s="485">
        <f t="shared" ref="D8:E17" si="8">(C8-(C8*D$4))</f>
        <v>61399.886200000001</v>
      </c>
      <c r="E8" s="262">
        <f t="shared" si="8"/>
        <v>58329.891889999999</v>
      </c>
      <c r="F8" s="270">
        <v>57800</v>
      </c>
      <c r="G8" s="271">
        <f t="shared" si="6"/>
        <v>57800</v>
      </c>
      <c r="H8" s="791">
        <f>('[2]Acubat-Lubeck'!H8*1.03)</f>
        <v>0</v>
      </c>
      <c r="I8" s="784">
        <f t="shared" ref="I8:K12" si="9">(H8-(H8*I$4))</f>
        <v>0</v>
      </c>
      <c r="J8" s="784">
        <f t="shared" si="9"/>
        <v>0</v>
      </c>
      <c r="K8" s="262">
        <f t="shared" si="9"/>
        <v>0</v>
      </c>
      <c r="L8" s="644">
        <v>103000</v>
      </c>
      <c r="M8" s="780">
        <f t="shared" si="3"/>
        <v>51953.200000000004</v>
      </c>
      <c r="N8" s="783"/>
      <c r="O8" s="783">
        <f t="shared" ref="O8:P17" si="10">(N8-(N8*O$4))</f>
        <v>0</v>
      </c>
      <c r="P8" s="783">
        <f t="shared" si="10"/>
        <v>0</v>
      </c>
      <c r="Q8" s="783">
        <v>110000</v>
      </c>
      <c r="R8" s="830">
        <f>(Q8-(Q8*R$4))</f>
        <v>55000</v>
      </c>
      <c r="S8" s="640">
        <f>G8</f>
        <v>57800</v>
      </c>
      <c r="T8" s="263">
        <v>80920</v>
      </c>
      <c r="U8" s="263">
        <f t="shared" si="7"/>
        <v>97913.2</v>
      </c>
      <c r="V8" s="13">
        <f>T8-(T8*Varta!H3)</f>
        <v>76874</v>
      </c>
      <c r="W8" s="132">
        <f>V8-(V8*Varta!I3)</f>
        <v>74567.78</v>
      </c>
      <c r="X8" s="701">
        <f t="shared" ref="X8:X19" si="11">(W8)</f>
        <v>74567.78</v>
      </c>
      <c r="Y8" s="701">
        <f t="shared" ref="Y8:Y19" si="12">(X8*Y$5)</f>
        <v>3728.3890000000001</v>
      </c>
      <c r="Z8" s="701">
        <f t="shared" ref="Z8:Z19" si="13">(X8*Z$5)</f>
        <v>0</v>
      </c>
      <c r="AA8" s="701">
        <f t="shared" ref="AA8:AA19" si="14">(X8*AA$5)</f>
        <v>0</v>
      </c>
      <c r="AB8" s="701"/>
      <c r="AC8" s="701">
        <f t="shared" ref="AC8:AC19" si="15">(X8-Y8-Z8-AA8-AB8)</f>
        <v>70839.391000000003</v>
      </c>
      <c r="AD8" s="1"/>
      <c r="AE8" s="28">
        <f>(W8-S8)/S8</f>
        <v>0.29009999999999997</v>
      </c>
      <c r="AF8" s="28">
        <f>(AC8-S8)/AC8</f>
        <v>0.18406977835255534</v>
      </c>
      <c r="AG8" s="204"/>
      <c r="AH8" s="254">
        <f>(S8*1.6)</f>
        <v>92480</v>
      </c>
      <c r="AI8" s="255">
        <f t="shared" si="5"/>
        <v>111900.8</v>
      </c>
      <c r="AJ8" s="189"/>
      <c r="AK8" s="117">
        <f>('[3]Acubat-Lubeck'!AL8*1.05)</f>
        <v>110880</v>
      </c>
      <c r="AL8" s="440">
        <f t="shared" ref="AL8:AL19" si="16">CEILING(AK8,50)</f>
        <v>110900</v>
      </c>
      <c r="AM8" s="42">
        <f t="shared" ref="AM8:AM19" si="17">(AL8/1.21)</f>
        <v>91652.892561983477</v>
      </c>
      <c r="AN8" s="190">
        <f t="shared" si="1"/>
        <v>0.58569018273327811</v>
      </c>
      <c r="AO8" s="445">
        <f t="shared" si="2"/>
        <v>0.36935978358881882</v>
      </c>
      <c r="AP8" s="440">
        <f t="shared" ref="AP8:AP14" si="18">CEILING(AL8,50)+$AT$4</f>
        <v>120900</v>
      </c>
      <c r="AQ8" s="921"/>
      <c r="AR8" s="921"/>
      <c r="AS8" s="921"/>
      <c r="AT8" s="921"/>
    </row>
    <row r="9" spans="1:46">
      <c r="A9" s="268" t="s">
        <v>88</v>
      </c>
      <c r="B9" s="482" t="s">
        <v>89</v>
      </c>
      <c r="C9" s="491">
        <f>'[2]Acubat-Lubeck'!C9+('[2]Acubat-Lubeck'!C9*3%)</f>
        <v>0</v>
      </c>
      <c r="D9" s="485">
        <f t="shared" si="8"/>
        <v>0</v>
      </c>
      <c r="E9" s="262">
        <f t="shared" si="8"/>
        <v>0</v>
      </c>
      <c r="F9" s="270"/>
      <c r="G9" s="271"/>
      <c r="H9" s="791">
        <v>65927</v>
      </c>
      <c r="I9" s="784">
        <f t="shared" si="9"/>
        <v>62630.65</v>
      </c>
      <c r="J9" s="784">
        <f t="shared" si="9"/>
        <v>61378.037000000004</v>
      </c>
      <c r="K9" s="262">
        <f t="shared" si="9"/>
        <v>55240.233300000007</v>
      </c>
      <c r="L9" s="644"/>
      <c r="M9" s="780"/>
      <c r="N9" s="783">
        <v>70419</v>
      </c>
      <c r="O9" s="783">
        <f t="shared" si="10"/>
        <v>61968.72</v>
      </c>
      <c r="P9" s="783">
        <f t="shared" si="10"/>
        <v>60109.6584</v>
      </c>
      <c r="Q9" s="783"/>
      <c r="R9" s="830">
        <f t="shared" si="4"/>
        <v>0</v>
      </c>
      <c r="S9" s="640">
        <f>(K9)</f>
        <v>55240.233300000007</v>
      </c>
      <c r="T9" s="263">
        <v>77336.326620000007</v>
      </c>
      <c r="U9" s="263">
        <f t="shared" si="7"/>
        <v>93576.955210200002</v>
      </c>
      <c r="V9" s="13">
        <f>T9-(T9*Varta!H3)</f>
        <v>73469.510289000013</v>
      </c>
      <c r="W9" s="132">
        <f>V9-(V9*Varta!I3)</f>
        <v>71265.424980330019</v>
      </c>
      <c r="X9" s="701">
        <f t="shared" si="11"/>
        <v>71265.424980330019</v>
      </c>
      <c r="Y9" s="701">
        <f t="shared" si="12"/>
        <v>3563.2712490165013</v>
      </c>
      <c r="Z9" s="701">
        <f t="shared" si="13"/>
        <v>0</v>
      </c>
      <c r="AA9" s="701">
        <f t="shared" si="14"/>
        <v>0</v>
      </c>
      <c r="AB9" s="701"/>
      <c r="AC9" s="701">
        <f t="shared" si="15"/>
        <v>67702.15373131352</v>
      </c>
      <c r="AD9" s="1"/>
      <c r="AE9" s="28">
        <f t="shared" ref="AE9:AE17" si="19">(W9-S9)/S9</f>
        <v>0.29010000000000019</v>
      </c>
      <c r="AF9" s="28">
        <f t="shared" ref="AF9:AF17" si="20">(AC9-S9)/AC9</f>
        <v>0.18406977835255542</v>
      </c>
      <c r="AG9" s="204"/>
      <c r="AH9" s="254">
        <f>(S9*1.55)</f>
        <v>85622.361615000016</v>
      </c>
      <c r="AI9" s="255">
        <f t="shared" si="5"/>
        <v>103603.05755415001</v>
      </c>
      <c r="AJ9" s="189"/>
      <c r="AK9" s="117">
        <f>('[3]Acubat-Lubeck'!AL9*1.02)</f>
        <v>103836</v>
      </c>
      <c r="AL9" s="440">
        <f t="shared" si="16"/>
        <v>103850</v>
      </c>
      <c r="AM9" s="42">
        <f t="shared" si="17"/>
        <v>85826.446280991731</v>
      </c>
      <c r="AN9" s="190">
        <f>(AM9-S9)/S9</f>
        <v>0.55369449319454123</v>
      </c>
      <c r="AO9" s="445">
        <f t="shared" si="2"/>
        <v>0.35637282337024545</v>
      </c>
      <c r="AP9" s="440">
        <f t="shared" si="18"/>
        <v>113850</v>
      </c>
      <c r="AQ9" s="921"/>
      <c r="AR9" s="921"/>
      <c r="AS9" s="921"/>
      <c r="AT9" s="921"/>
    </row>
    <row r="10" spans="1:46">
      <c r="A10" s="268" t="s">
        <v>90</v>
      </c>
      <c r="B10" s="482" t="s">
        <v>91</v>
      </c>
      <c r="C10" s="491">
        <f>'[2]Acubat-Lubeck'!C10+('[2]Acubat-Lubeck'!C10*3%)</f>
        <v>72122.66</v>
      </c>
      <c r="D10" s="485">
        <f t="shared" si="8"/>
        <v>59140.581200000001</v>
      </c>
      <c r="E10" s="262">
        <f t="shared" si="8"/>
        <v>56183.55214</v>
      </c>
      <c r="F10" s="270">
        <v>58900</v>
      </c>
      <c r="G10" s="271">
        <f t="shared" si="6"/>
        <v>58900</v>
      </c>
      <c r="H10" s="791">
        <f>('[2]Acubat-Lubeck'!H10*1.03)</f>
        <v>0</v>
      </c>
      <c r="I10" s="784">
        <f t="shared" si="9"/>
        <v>0</v>
      </c>
      <c r="J10" s="784">
        <f t="shared" si="9"/>
        <v>0</v>
      </c>
      <c r="K10" s="262">
        <f t="shared" si="9"/>
        <v>0</v>
      </c>
      <c r="L10" s="644">
        <v>120000</v>
      </c>
      <c r="M10" s="780">
        <f t="shared" si="3"/>
        <v>60528</v>
      </c>
      <c r="N10" s="783"/>
      <c r="O10" s="783">
        <f t="shared" si="10"/>
        <v>0</v>
      </c>
      <c r="P10" s="783">
        <f t="shared" si="10"/>
        <v>0</v>
      </c>
      <c r="Q10" s="783">
        <v>109000</v>
      </c>
      <c r="R10" s="830">
        <f t="shared" si="4"/>
        <v>54500</v>
      </c>
      <c r="S10" s="640">
        <f>G10</f>
        <v>58900</v>
      </c>
      <c r="T10" s="263">
        <v>82460</v>
      </c>
      <c r="U10" s="263">
        <f t="shared" si="7"/>
        <v>99776.599999999991</v>
      </c>
      <c r="V10" s="13">
        <f>T10-(T10*Varta!H3)</f>
        <v>78337</v>
      </c>
      <c r="W10" s="132">
        <f>V10-(V10*Varta!I3)</f>
        <v>75986.89</v>
      </c>
      <c r="X10" s="701">
        <f t="shared" si="11"/>
        <v>75986.89</v>
      </c>
      <c r="Y10" s="701">
        <f t="shared" si="12"/>
        <v>3799.3445000000002</v>
      </c>
      <c r="Z10" s="701">
        <f t="shared" si="13"/>
        <v>0</v>
      </c>
      <c r="AA10" s="701">
        <f t="shared" si="14"/>
        <v>0</v>
      </c>
      <c r="AB10" s="701"/>
      <c r="AC10" s="701">
        <f t="shared" si="15"/>
        <v>72187.545499999993</v>
      </c>
      <c r="AD10" s="1"/>
      <c r="AE10" s="28">
        <f t="shared" si="19"/>
        <v>0.29009999999999997</v>
      </c>
      <c r="AF10" s="28">
        <f t="shared" si="20"/>
        <v>0.1840697783525552</v>
      </c>
      <c r="AG10" s="204"/>
      <c r="AH10" s="254">
        <f>(S10*1.58)</f>
        <v>93062</v>
      </c>
      <c r="AI10" s="255">
        <f t="shared" si="5"/>
        <v>112605.01999999999</v>
      </c>
      <c r="AJ10" s="189"/>
      <c r="AK10" s="117">
        <f>('[3]Acubat-Lubeck'!AL10*1.05)</f>
        <v>114502.5</v>
      </c>
      <c r="AL10" s="440">
        <f t="shared" si="16"/>
        <v>114550</v>
      </c>
      <c r="AM10" s="42">
        <f t="shared" si="17"/>
        <v>94669.421487603307</v>
      </c>
      <c r="AN10" s="190">
        <f t="shared" si="1"/>
        <v>0.60729068739564185</v>
      </c>
      <c r="AO10" s="445">
        <f t="shared" si="2"/>
        <v>0.37783500654735924</v>
      </c>
      <c r="AP10" s="440">
        <f t="shared" si="18"/>
        <v>124550</v>
      </c>
      <c r="AQ10" s="921"/>
      <c r="AR10" s="921"/>
      <c r="AS10" s="921"/>
      <c r="AT10" s="921"/>
    </row>
    <row r="11" spans="1:46">
      <c r="A11" s="268" t="s">
        <v>92</v>
      </c>
      <c r="B11" s="482" t="s">
        <v>93</v>
      </c>
      <c r="C11" s="491">
        <f>'[2]Acubat-Lubeck'!C11+('[2]Acubat-Lubeck'!C11*3%)</f>
        <v>80415.19</v>
      </c>
      <c r="D11" s="485">
        <f t="shared" si="8"/>
        <v>65940.455799999996</v>
      </c>
      <c r="E11" s="262">
        <f t="shared" si="8"/>
        <v>62643.433009999993</v>
      </c>
      <c r="F11" s="270">
        <v>69400</v>
      </c>
      <c r="G11" s="271">
        <f t="shared" si="6"/>
        <v>69400</v>
      </c>
      <c r="H11" s="791">
        <v>82643</v>
      </c>
      <c r="I11" s="784">
        <f t="shared" si="9"/>
        <v>78510.850000000006</v>
      </c>
      <c r="J11" s="784">
        <f t="shared" si="9"/>
        <v>76940.633000000002</v>
      </c>
      <c r="K11" s="262">
        <f t="shared" si="9"/>
        <v>69246.569700000007</v>
      </c>
      <c r="L11" s="644">
        <v>121000</v>
      </c>
      <c r="M11" s="780">
        <f>(L11-(L11*L$4))</f>
        <v>61032.4</v>
      </c>
      <c r="N11" s="783">
        <v>78516</v>
      </c>
      <c r="O11" s="783">
        <f t="shared" si="10"/>
        <v>69094.080000000002</v>
      </c>
      <c r="P11" s="783">
        <f t="shared" si="10"/>
        <v>67021.257599999997</v>
      </c>
      <c r="Q11" s="783">
        <v>132000</v>
      </c>
      <c r="R11" s="830">
        <f t="shared" si="4"/>
        <v>66000</v>
      </c>
      <c r="S11" s="640">
        <f>E11</f>
        <v>62643.433009999993</v>
      </c>
      <c r="T11" s="263">
        <v>87700.806213999982</v>
      </c>
      <c r="U11" s="263">
        <f t="shared" si="7"/>
        <v>106117.97551893997</v>
      </c>
      <c r="V11" s="13">
        <f>T11-(T11*Varta!H3)</f>
        <v>83315.76590329998</v>
      </c>
      <c r="W11" s="132">
        <f>V11-(V11*Varta!I3)</f>
        <v>80816.292926200986</v>
      </c>
      <c r="X11" s="701">
        <f t="shared" si="11"/>
        <v>80816.292926200986</v>
      </c>
      <c r="Y11" s="701">
        <f t="shared" si="12"/>
        <v>4040.8146463100493</v>
      </c>
      <c r="Z11" s="701">
        <f t="shared" si="13"/>
        <v>0</v>
      </c>
      <c r="AA11" s="701">
        <f t="shared" si="14"/>
        <v>0</v>
      </c>
      <c r="AB11" s="701"/>
      <c r="AC11" s="701">
        <f t="shared" si="15"/>
        <v>76775.478279890929</v>
      </c>
      <c r="AD11" s="1"/>
      <c r="AE11" s="28">
        <f>(W11-S11)/S11</f>
        <v>0.29009999999999991</v>
      </c>
      <c r="AF11" s="28">
        <f t="shared" si="20"/>
        <v>0.18406977835255514</v>
      </c>
      <c r="AG11" s="204"/>
      <c r="AH11" s="254">
        <f>(S11*1.55)</f>
        <v>97097.32116549999</v>
      </c>
      <c r="AI11" s="255">
        <f t="shared" si="5"/>
        <v>117487.75861025498</v>
      </c>
      <c r="AJ11" s="189"/>
      <c r="AK11" s="117">
        <f>('[3]Acubat-Lubeck'!AL11*1.05)</f>
        <v>119542.5</v>
      </c>
      <c r="AL11" s="440">
        <f t="shared" si="16"/>
        <v>119550</v>
      </c>
      <c r="AM11" s="42">
        <f t="shared" si="17"/>
        <v>98801.652892561993</v>
      </c>
      <c r="AN11" s="190">
        <f t="shared" si="1"/>
        <v>0.57720686982129377</v>
      </c>
      <c r="AO11" s="445">
        <f t="shared" si="2"/>
        <v>0.36596776292680899</v>
      </c>
      <c r="AP11" s="440">
        <f t="shared" si="18"/>
        <v>129550</v>
      </c>
      <c r="AQ11" s="921"/>
      <c r="AR11" s="921"/>
      <c r="AS11" s="921"/>
      <c r="AT11" s="921"/>
    </row>
    <row r="12" spans="1:46">
      <c r="A12" s="268" t="s">
        <v>94</v>
      </c>
      <c r="B12" s="482" t="s">
        <v>95</v>
      </c>
      <c r="C12" s="491">
        <f>'[2]Acubat-Lubeck'!C12+('[2]Acubat-Lubeck'!C12*3%)</f>
        <v>86147.14</v>
      </c>
      <c r="D12" s="485">
        <f t="shared" si="8"/>
        <v>70640.654800000004</v>
      </c>
      <c r="E12" s="262">
        <f t="shared" si="8"/>
        <v>67108.622060000009</v>
      </c>
      <c r="F12" s="270"/>
      <c r="G12" s="271"/>
      <c r="H12" s="791">
        <v>82489</v>
      </c>
      <c r="I12" s="784">
        <f t="shared" si="9"/>
        <v>78364.55</v>
      </c>
      <c r="J12" s="784">
        <f t="shared" si="9"/>
        <v>76797.259000000005</v>
      </c>
      <c r="K12" s="262">
        <f t="shared" si="9"/>
        <v>69117.533100000001</v>
      </c>
      <c r="L12" s="644"/>
      <c r="M12" s="780">
        <f t="shared" si="3"/>
        <v>0</v>
      </c>
      <c r="N12" s="783">
        <v>79720</v>
      </c>
      <c r="O12" s="783">
        <f t="shared" si="10"/>
        <v>70153.600000000006</v>
      </c>
      <c r="P12" s="783">
        <f t="shared" si="10"/>
        <v>68048.991999999998</v>
      </c>
      <c r="Q12" s="783">
        <v>130000</v>
      </c>
      <c r="R12" s="830">
        <f t="shared" si="4"/>
        <v>65000</v>
      </c>
      <c r="S12" s="640">
        <f>E12</f>
        <v>67108.622060000009</v>
      </c>
      <c r="T12" s="263">
        <v>93952.070884000001</v>
      </c>
      <c r="U12" s="263">
        <f t="shared" si="7"/>
        <v>113682.00576964</v>
      </c>
      <c r="V12" s="13">
        <f>T12-(T12*Varta!H3)</f>
        <v>89254.467339800001</v>
      </c>
      <c r="W12" s="132">
        <f>V12-(V12*Varta!I3)</f>
        <v>86576.833319605998</v>
      </c>
      <c r="X12" s="701">
        <f t="shared" si="11"/>
        <v>86576.833319605998</v>
      </c>
      <c r="Y12" s="701">
        <f t="shared" si="12"/>
        <v>4328.8416659802997</v>
      </c>
      <c r="Z12" s="701">
        <f t="shared" si="13"/>
        <v>0</v>
      </c>
      <c r="AA12" s="701">
        <f t="shared" si="14"/>
        <v>0</v>
      </c>
      <c r="AB12" s="701"/>
      <c r="AC12" s="701">
        <f t="shared" si="15"/>
        <v>82247.991653625693</v>
      </c>
      <c r="AD12" s="1"/>
      <c r="AE12" s="28">
        <f t="shared" si="19"/>
        <v>0.2900999999999998</v>
      </c>
      <c r="AF12" s="28">
        <f t="shared" si="20"/>
        <v>0.18406977835255511</v>
      </c>
      <c r="AG12" s="204"/>
      <c r="AH12" s="254">
        <f>(S12*1.5)</f>
        <v>100662.93309000001</v>
      </c>
      <c r="AI12" s="255">
        <f t="shared" si="5"/>
        <v>121802.14903890001</v>
      </c>
      <c r="AJ12" s="189"/>
      <c r="AK12" s="117">
        <f>('[3]Acubat-Lubeck'!AL12*1.05)</f>
        <v>125212.5</v>
      </c>
      <c r="AL12" s="440">
        <f t="shared" si="16"/>
        <v>125250</v>
      </c>
      <c r="AM12" s="42">
        <f t="shared" si="17"/>
        <v>103512.39669421488</v>
      </c>
      <c r="AN12" s="190">
        <f t="shared" si="1"/>
        <v>0.54246046956033822</v>
      </c>
      <c r="AO12" s="445">
        <f t="shared" si="2"/>
        <v>0.35168516812295403</v>
      </c>
      <c r="AP12" s="440">
        <f t="shared" si="18"/>
        <v>135250</v>
      </c>
      <c r="AQ12" s="921"/>
      <c r="AR12" s="921"/>
      <c r="AS12" s="921"/>
      <c r="AT12" s="921"/>
    </row>
    <row r="13" spans="1:46">
      <c r="A13" s="268" t="s">
        <v>96</v>
      </c>
      <c r="B13" s="482"/>
      <c r="C13" s="491">
        <f>'[2]Acubat-Lubeck'!C13+('[2]Acubat-Lubeck'!C13*3%)</f>
        <v>0</v>
      </c>
      <c r="D13" s="485">
        <f t="shared" si="8"/>
        <v>0</v>
      </c>
      <c r="E13" s="262">
        <f t="shared" si="8"/>
        <v>0</v>
      </c>
      <c r="F13" s="270">
        <v>69400</v>
      </c>
      <c r="G13" s="271">
        <f t="shared" si="6"/>
        <v>69400</v>
      </c>
      <c r="H13" s="791"/>
      <c r="I13" s="784"/>
      <c r="J13" s="784"/>
      <c r="K13" s="262"/>
      <c r="L13" s="644">
        <v>146000</v>
      </c>
      <c r="M13" s="780">
        <f t="shared" si="3"/>
        <v>73642.400000000009</v>
      </c>
      <c r="N13" s="783"/>
      <c r="O13" s="783">
        <f t="shared" si="10"/>
        <v>0</v>
      </c>
      <c r="P13" s="783">
        <f t="shared" si="10"/>
        <v>0</v>
      </c>
      <c r="Q13" s="783">
        <v>141000</v>
      </c>
      <c r="R13" s="830">
        <f t="shared" si="4"/>
        <v>70500</v>
      </c>
      <c r="S13" s="640">
        <f>G13</f>
        <v>69400</v>
      </c>
      <c r="T13" s="263">
        <v>97160</v>
      </c>
      <c r="U13" s="263">
        <f t="shared" si="7"/>
        <v>117563.59999999999</v>
      </c>
      <c r="V13" s="13">
        <f>T13-(T13*Varta!H3)</f>
        <v>92302</v>
      </c>
      <c r="W13" s="132">
        <f>V13-(V13*Varta!I3)</f>
        <v>89532.94</v>
      </c>
      <c r="X13" s="701">
        <f t="shared" si="11"/>
        <v>89532.94</v>
      </c>
      <c r="Y13" s="701">
        <f t="shared" si="12"/>
        <v>4476.6469999999999</v>
      </c>
      <c r="Z13" s="701">
        <f t="shared" si="13"/>
        <v>0</v>
      </c>
      <c r="AA13" s="701">
        <f t="shared" si="14"/>
        <v>0</v>
      </c>
      <c r="AB13" s="701"/>
      <c r="AC13" s="701">
        <f t="shared" si="15"/>
        <v>85056.293000000005</v>
      </c>
      <c r="AD13" s="1"/>
      <c r="AE13" s="28">
        <f t="shared" si="19"/>
        <v>0.29010000000000002</v>
      </c>
      <c r="AF13" s="28">
        <f t="shared" si="20"/>
        <v>0.18406977835255534</v>
      </c>
      <c r="AG13" s="204"/>
      <c r="AH13" s="254">
        <f>(S13*1.6)</f>
        <v>111040</v>
      </c>
      <c r="AI13" s="255">
        <f t="shared" si="5"/>
        <v>134358.39999999999</v>
      </c>
      <c r="AJ13" s="189"/>
      <c r="AK13" s="117">
        <f>('[3]Acubat-Lubeck'!AL13*1.05)</f>
        <v>128152.5</v>
      </c>
      <c r="AL13" s="440">
        <f>CEILING(AK13,50)</f>
        <v>128200</v>
      </c>
      <c r="AM13" s="42">
        <f t="shared" si="17"/>
        <v>105950.41322314049</v>
      </c>
      <c r="AN13" s="190">
        <f t="shared" si="1"/>
        <v>0.52666301474265842</v>
      </c>
      <c r="AO13" s="445">
        <f t="shared" si="2"/>
        <v>0.34497659906396255</v>
      </c>
      <c r="AP13" s="440">
        <f t="shared" si="18"/>
        <v>138200</v>
      </c>
      <c r="AQ13" s="921"/>
      <c r="AR13" s="921"/>
      <c r="AS13" s="921"/>
      <c r="AT13" s="921"/>
    </row>
    <row r="14" spans="1:46">
      <c r="A14" s="268" t="s">
        <v>97</v>
      </c>
      <c r="B14" s="482"/>
      <c r="C14" s="491">
        <f>'[2]Acubat-Lubeck'!C14+('[2]Acubat-Lubeck'!C14*3%)</f>
        <v>114525.7</v>
      </c>
      <c r="D14" s="485">
        <f t="shared" si="8"/>
        <v>93911.073999999993</v>
      </c>
      <c r="E14" s="262">
        <f t="shared" si="8"/>
        <v>89215.520299999989</v>
      </c>
      <c r="F14" s="270">
        <v>80350</v>
      </c>
      <c r="G14" s="271">
        <f t="shared" si="6"/>
        <v>80350</v>
      </c>
      <c r="H14" s="791"/>
      <c r="I14" s="784"/>
      <c r="J14" s="784"/>
      <c r="K14" s="262"/>
      <c r="L14" s="644">
        <v>157000</v>
      </c>
      <c r="M14" s="780">
        <f t="shared" si="3"/>
        <v>79190.8</v>
      </c>
      <c r="N14" s="783"/>
      <c r="O14" s="783">
        <f t="shared" si="10"/>
        <v>0</v>
      </c>
      <c r="P14" s="783">
        <f t="shared" si="10"/>
        <v>0</v>
      </c>
      <c r="Q14" s="783">
        <v>160000</v>
      </c>
      <c r="R14" s="830">
        <f t="shared" si="4"/>
        <v>80000</v>
      </c>
      <c r="S14" s="640">
        <f>E14</f>
        <v>89215.520299999989</v>
      </c>
      <c r="T14" s="263">
        <v>124901.72841999997</v>
      </c>
      <c r="U14" s="263">
        <f t="shared" si="7"/>
        <v>151131.09138819997</v>
      </c>
      <c r="V14" s="13">
        <f>T14-(T14*Varta!H3)</f>
        <v>118656.64199899997</v>
      </c>
      <c r="W14" s="132">
        <f>V14-(V14*Varta!I3)</f>
        <v>115096.94273902997</v>
      </c>
      <c r="X14" s="701">
        <f t="shared" si="11"/>
        <v>115096.94273902997</v>
      </c>
      <c r="Y14" s="701">
        <f t="shared" si="12"/>
        <v>5754.8471369514991</v>
      </c>
      <c r="Z14" s="701">
        <f t="shared" si="13"/>
        <v>0</v>
      </c>
      <c r="AA14" s="701">
        <f t="shared" si="14"/>
        <v>0</v>
      </c>
      <c r="AB14" s="701"/>
      <c r="AC14" s="701">
        <f t="shared" si="15"/>
        <v>109342.09560207847</v>
      </c>
      <c r="AD14" s="1"/>
      <c r="AE14" s="28">
        <f t="shared" si="19"/>
        <v>0.2900999999999998</v>
      </c>
      <c r="AF14" s="28">
        <f t="shared" si="20"/>
        <v>0.18406977835255514</v>
      </c>
      <c r="AG14" s="204"/>
      <c r="AH14" s="254">
        <f>(S14*1.6)</f>
        <v>142744.83247999998</v>
      </c>
      <c r="AI14" s="255">
        <f t="shared" si="5"/>
        <v>172721.24730079997</v>
      </c>
      <c r="AJ14" s="189"/>
      <c r="AK14" s="117">
        <f>('[3]Acubat-Lubeck'!AL14*1.05)</f>
        <v>157290</v>
      </c>
      <c r="AL14" s="440">
        <f t="shared" si="16"/>
        <v>157300</v>
      </c>
      <c r="AM14" s="42">
        <f t="shared" si="17"/>
        <v>130000</v>
      </c>
      <c r="AN14" s="190">
        <f t="shared" si="1"/>
        <v>0.45714556797804179</v>
      </c>
      <c r="AO14" s="445">
        <f t="shared" si="2"/>
        <v>0.31372676692307699</v>
      </c>
      <c r="AP14" s="440">
        <f t="shared" si="18"/>
        <v>167300</v>
      </c>
      <c r="AQ14" s="921"/>
      <c r="AR14" s="921"/>
      <c r="AS14" s="921"/>
      <c r="AT14" s="921"/>
    </row>
    <row r="15" spans="1:46">
      <c r="A15" s="268" t="s">
        <v>98</v>
      </c>
      <c r="B15" s="482" t="s">
        <v>99</v>
      </c>
      <c r="C15" s="491">
        <f>'[2]Acubat-Lubeck'!C15+('[2]Acubat-Lubeck'!C15*3%)</f>
        <v>133037.89000000001</v>
      </c>
      <c r="D15" s="485">
        <f t="shared" si="8"/>
        <v>109091.06980000001</v>
      </c>
      <c r="E15" s="262">
        <f t="shared" si="8"/>
        <v>103636.51631000001</v>
      </c>
      <c r="F15" s="270">
        <v>105850</v>
      </c>
      <c r="G15" s="271">
        <f t="shared" si="6"/>
        <v>105850</v>
      </c>
      <c r="H15" s="791"/>
      <c r="I15" s="784"/>
      <c r="J15" s="784"/>
      <c r="K15" s="262"/>
      <c r="L15" s="644">
        <v>206000</v>
      </c>
      <c r="M15" s="780">
        <f t="shared" si="3"/>
        <v>103906.40000000001</v>
      </c>
      <c r="N15" s="783">
        <v>123843</v>
      </c>
      <c r="O15" s="783">
        <f t="shared" si="10"/>
        <v>108981.84</v>
      </c>
      <c r="P15" s="783">
        <f t="shared" si="10"/>
        <v>105712.3848</v>
      </c>
      <c r="Q15" s="783">
        <v>210000</v>
      </c>
      <c r="R15" s="830">
        <f t="shared" si="4"/>
        <v>105000</v>
      </c>
      <c r="S15" s="640">
        <f>(E15)</f>
        <v>103636.51631000001</v>
      </c>
      <c r="T15" s="263">
        <v>145091.12283400001</v>
      </c>
      <c r="U15" s="263">
        <f t="shared" si="7"/>
        <v>175560.25862914001</v>
      </c>
      <c r="V15" s="13">
        <f>T15-(T15*Varta!H3)</f>
        <v>137836.5666923</v>
      </c>
      <c r="W15" s="132">
        <f>V15-(V15*Varta!I3)</f>
        <v>133701.46969153101</v>
      </c>
      <c r="X15" s="701">
        <f t="shared" si="11"/>
        <v>133701.46969153101</v>
      </c>
      <c r="Y15" s="701">
        <f t="shared" si="12"/>
        <v>6685.073484576551</v>
      </c>
      <c r="Z15" s="701">
        <f t="shared" si="13"/>
        <v>0</v>
      </c>
      <c r="AA15" s="701">
        <f t="shared" si="14"/>
        <v>0</v>
      </c>
      <c r="AB15" s="701"/>
      <c r="AC15" s="701">
        <f t="shared" si="15"/>
        <v>127016.39620695445</v>
      </c>
      <c r="AD15" s="1"/>
      <c r="AE15" s="28">
        <f t="shared" si="19"/>
        <v>0.29009999999999997</v>
      </c>
      <c r="AF15" s="28">
        <f t="shared" si="20"/>
        <v>0.18406977835255525</v>
      </c>
      <c r="AG15" s="204"/>
      <c r="AH15" s="254">
        <f>(S15*1.55)</f>
        <v>160636.60028050002</v>
      </c>
      <c r="AI15" s="255">
        <f t="shared" si="5"/>
        <v>194370.28633940502</v>
      </c>
      <c r="AJ15" s="189"/>
      <c r="AK15" s="117">
        <f>('[4]Acubat-Lubeck'!Y15*1.1)</f>
        <v>205975.00000000003</v>
      </c>
      <c r="AL15" s="440">
        <f t="shared" si="16"/>
        <v>206000</v>
      </c>
      <c r="AM15" s="42">
        <f t="shared" si="17"/>
        <v>170247.93388429753</v>
      </c>
      <c r="AN15" s="190">
        <f>(AM15-S15)/S15</f>
        <v>0.64274080165959913</v>
      </c>
      <c r="AO15" s="445">
        <f t="shared" si="2"/>
        <v>0.39126123915</v>
      </c>
      <c r="AP15" s="440">
        <f>CEILING(AL15,50)+$AT$5</f>
        <v>220000</v>
      </c>
      <c r="AQ15" s="921"/>
      <c r="AR15" s="921"/>
      <c r="AS15" s="921"/>
      <c r="AT15" s="921"/>
    </row>
    <row r="16" spans="1:46">
      <c r="A16" s="268" t="s">
        <v>100</v>
      </c>
      <c r="B16" s="482" t="s">
        <v>101</v>
      </c>
      <c r="C16" s="491">
        <f>'[2]Acubat-Lubeck'!C16+('[2]Acubat-Lubeck'!C16*3%)</f>
        <v>131515.54999999999</v>
      </c>
      <c r="D16" s="485">
        <f t="shared" si="8"/>
        <v>107842.75099999999</v>
      </c>
      <c r="E16" s="262">
        <f t="shared" si="8"/>
        <v>102450.61344999999</v>
      </c>
      <c r="F16" s="270">
        <v>105850</v>
      </c>
      <c r="G16" s="271">
        <f t="shared" si="6"/>
        <v>105850</v>
      </c>
      <c r="H16" s="791"/>
      <c r="I16" s="784"/>
      <c r="J16" s="784"/>
      <c r="K16" s="262"/>
      <c r="L16" s="644">
        <v>231000</v>
      </c>
      <c r="M16" s="780">
        <f t="shared" si="3"/>
        <v>116516.40000000001</v>
      </c>
      <c r="N16" s="783">
        <v>132259</v>
      </c>
      <c r="O16" s="783">
        <f t="shared" si="10"/>
        <v>116387.92</v>
      </c>
      <c r="P16" s="783">
        <f t="shared" si="10"/>
        <v>112896.2824</v>
      </c>
      <c r="Q16" s="783">
        <v>234000</v>
      </c>
      <c r="R16" s="830">
        <f t="shared" si="4"/>
        <v>117000</v>
      </c>
      <c r="S16" s="640">
        <f>E16</f>
        <v>102450.61344999999</v>
      </c>
      <c r="T16" s="263">
        <v>143430.85882999998</v>
      </c>
      <c r="U16" s="263">
        <f t="shared" si="7"/>
        <v>173551.33918429998</v>
      </c>
      <c r="V16" s="13">
        <f>T16-(T16*Varta!H3)</f>
        <v>136259.31588849999</v>
      </c>
      <c r="W16" s="132">
        <f>V16-(V16*Varta!I3)</f>
        <v>132171.53641184498</v>
      </c>
      <c r="X16" s="701">
        <f t="shared" si="11"/>
        <v>132171.53641184498</v>
      </c>
      <c r="Y16" s="701">
        <f t="shared" si="12"/>
        <v>6608.5768205922495</v>
      </c>
      <c r="Z16" s="701">
        <f t="shared" si="13"/>
        <v>0</v>
      </c>
      <c r="AA16" s="701">
        <f t="shared" si="14"/>
        <v>0</v>
      </c>
      <c r="AB16" s="701"/>
      <c r="AC16" s="701">
        <f t="shared" si="15"/>
        <v>125562.95959125273</v>
      </c>
      <c r="AD16" s="1"/>
      <c r="AE16" s="28">
        <f t="shared" si="19"/>
        <v>0.29009999999999991</v>
      </c>
      <c r="AF16" s="28">
        <f t="shared" si="20"/>
        <v>0.18406977835255522</v>
      </c>
      <c r="AG16" s="204"/>
      <c r="AH16" s="254">
        <f>(S16*1.6)</f>
        <v>163920.98152</v>
      </c>
      <c r="AI16" s="255">
        <f t="shared" si="5"/>
        <v>198344.38763919999</v>
      </c>
      <c r="AJ16" s="189"/>
      <c r="AK16" s="117">
        <f>('[4]Acubat-Lubeck'!Y16*1.1)</f>
        <v>211860.00000000003</v>
      </c>
      <c r="AL16" s="440">
        <f t="shared" si="16"/>
        <v>211900</v>
      </c>
      <c r="AM16" s="42">
        <f t="shared" si="17"/>
        <v>175123.96694214878</v>
      </c>
      <c r="AN16" s="190">
        <f t="shared" si="1"/>
        <v>0.70935010582065772</v>
      </c>
      <c r="AO16" s="445">
        <f t="shared" si="2"/>
        <v>0.41498233943133567</v>
      </c>
      <c r="AP16" s="440">
        <f>CEILING(AL16,50)+$AT$5</f>
        <v>225900</v>
      </c>
      <c r="AQ16" s="921"/>
      <c r="AR16" s="921"/>
      <c r="AS16" s="921"/>
      <c r="AT16" s="921"/>
    </row>
    <row r="17" spans="1:42">
      <c r="A17" s="268" t="s">
        <v>102</v>
      </c>
      <c r="B17" s="482" t="s">
        <v>103</v>
      </c>
      <c r="C17" s="491">
        <f>'[2]Acubat-Lubeck'!C17+('[2]Acubat-Lubeck'!C17*3%)</f>
        <v>208510.11</v>
      </c>
      <c r="D17" s="485">
        <f t="shared" si="8"/>
        <v>170978.29019999999</v>
      </c>
      <c r="E17" s="262">
        <f t="shared" si="8"/>
        <v>162429.37568999999</v>
      </c>
      <c r="F17" s="270"/>
      <c r="G17" s="271"/>
      <c r="H17" s="791"/>
      <c r="I17" s="784"/>
      <c r="J17" s="784"/>
      <c r="K17" s="262"/>
      <c r="L17" s="644">
        <v>415000</v>
      </c>
      <c r="M17" s="780">
        <f t="shared" si="3"/>
        <v>209326</v>
      </c>
      <c r="N17" s="783">
        <v>203583</v>
      </c>
      <c r="O17" s="783">
        <f t="shared" si="10"/>
        <v>179153.04</v>
      </c>
      <c r="P17" s="783">
        <f t="shared" si="10"/>
        <v>173778.44880000001</v>
      </c>
      <c r="Q17" s="783">
        <v>305000</v>
      </c>
      <c r="R17" s="830">
        <f t="shared" si="4"/>
        <v>152500</v>
      </c>
      <c r="S17" s="640">
        <f>E17</f>
        <v>162429.37568999999</v>
      </c>
      <c r="T17" s="263">
        <v>227401.12596599996</v>
      </c>
      <c r="U17" s="263">
        <f t="shared" si="7"/>
        <v>275155.36241885996</v>
      </c>
      <c r="V17" s="13">
        <f>T17-(T17*Varta!H3)</f>
        <v>216031.06966769998</v>
      </c>
      <c r="W17" s="132">
        <f>V17-(V17*Varta!I3)</f>
        <v>209550.13757766897</v>
      </c>
      <c r="X17" s="701">
        <f t="shared" si="11"/>
        <v>209550.13757766897</v>
      </c>
      <c r="Y17" s="701">
        <f t="shared" si="12"/>
        <v>10477.506878883449</v>
      </c>
      <c r="Z17" s="701">
        <f t="shared" si="13"/>
        <v>0</v>
      </c>
      <c r="AA17" s="701">
        <f t="shared" si="14"/>
        <v>0</v>
      </c>
      <c r="AB17" s="701"/>
      <c r="AC17" s="701">
        <f t="shared" si="15"/>
        <v>199072.63069878551</v>
      </c>
      <c r="AD17" s="1"/>
      <c r="AE17" s="28">
        <f t="shared" si="19"/>
        <v>0.29009999999999991</v>
      </c>
      <c r="AF17" s="28">
        <f t="shared" si="20"/>
        <v>0.18406977835255517</v>
      </c>
      <c r="AG17" s="204"/>
      <c r="AH17" s="254">
        <f>(S17*1.6)</f>
        <v>259887.001104</v>
      </c>
      <c r="AI17" s="255">
        <f t="shared" si="5"/>
        <v>314463.27133583999</v>
      </c>
      <c r="AJ17" s="189"/>
      <c r="AK17" s="117">
        <f>('[3]Acubat-Lubeck'!$AL$17*1.1)</f>
        <v>296120</v>
      </c>
      <c r="AL17" s="440">
        <f t="shared" si="16"/>
        <v>296150</v>
      </c>
      <c r="AM17" s="42">
        <f t="shared" si="17"/>
        <v>244752.06611570247</v>
      </c>
      <c r="AN17" s="190">
        <f t="shared" si="1"/>
        <v>0.50682144209442226</v>
      </c>
      <c r="AO17" s="445">
        <f t="shared" si="2"/>
        <v>0.33635136051021447</v>
      </c>
      <c r="AP17" s="440">
        <f>CEILING(AL17,50)+$AT$6</f>
        <v>315150</v>
      </c>
    </row>
    <row r="18" spans="1:42">
      <c r="A18" s="268" t="s">
        <v>104</v>
      </c>
      <c r="B18" s="482" t="s">
        <v>105</v>
      </c>
      <c r="C18" s="490"/>
      <c r="D18" s="484"/>
      <c r="E18" s="262"/>
      <c r="F18" s="260"/>
      <c r="G18" s="261"/>
      <c r="H18" s="791"/>
      <c r="I18" s="784"/>
      <c r="J18" s="784"/>
      <c r="K18" s="262"/>
      <c r="L18" s="644"/>
      <c r="M18" s="781"/>
      <c r="N18" s="784"/>
      <c r="O18" s="784"/>
      <c r="P18" s="784"/>
      <c r="Q18" s="784"/>
      <c r="R18" s="784"/>
      <c r="S18" s="640" t="e">
        <f>#REF!</f>
        <v>#REF!</v>
      </c>
      <c r="T18" s="263"/>
      <c r="U18" s="263"/>
      <c r="V18" s="13">
        <f>T18-(T18*Varta!H3)</f>
        <v>0</v>
      </c>
      <c r="W18" s="132">
        <f>V18-(V18*Varta!I3)</f>
        <v>0</v>
      </c>
      <c r="X18" s="701">
        <f t="shared" si="11"/>
        <v>0</v>
      </c>
      <c r="Y18" s="701">
        <f t="shared" si="12"/>
        <v>0</v>
      </c>
      <c r="Z18" s="701">
        <f t="shared" si="13"/>
        <v>0</v>
      </c>
      <c r="AA18" s="701">
        <f t="shared" si="14"/>
        <v>0</v>
      </c>
      <c r="AB18" s="701"/>
      <c r="AC18" s="701">
        <f t="shared" si="15"/>
        <v>0</v>
      </c>
      <c r="AD18" s="1"/>
      <c r="AE18" s="28"/>
      <c r="AF18" s="28"/>
      <c r="AG18" s="204"/>
      <c r="AH18" s="254" t="e">
        <f>(S18*1.6)</f>
        <v>#REF!</v>
      </c>
      <c r="AI18" s="255" t="e">
        <f t="shared" si="5"/>
        <v>#REF!</v>
      </c>
      <c r="AJ18" s="189"/>
      <c r="AK18" s="117" t="e">
        <v>#REF!</v>
      </c>
      <c r="AL18" s="440" t="e">
        <f t="shared" si="16"/>
        <v>#REF!</v>
      </c>
      <c r="AM18" s="42" t="e">
        <f t="shared" si="17"/>
        <v>#REF!</v>
      </c>
      <c r="AN18" s="190" t="e">
        <f t="shared" si="1"/>
        <v>#REF!</v>
      </c>
      <c r="AO18" s="445" t="e">
        <f t="shared" si="2"/>
        <v>#REF!</v>
      </c>
      <c r="AP18" s="440" t="e">
        <f>CEILING(AL18,50)+$AT$5</f>
        <v>#REF!</v>
      </c>
    </row>
    <row r="19" spans="1:42" ht="15" thickBot="1">
      <c r="A19" s="269" t="s">
        <v>106</v>
      </c>
      <c r="B19" s="488" t="s">
        <v>107</v>
      </c>
      <c r="C19" s="492"/>
      <c r="D19" s="486"/>
      <c r="E19" s="266"/>
      <c r="F19" s="264"/>
      <c r="G19" s="265"/>
      <c r="H19" s="792"/>
      <c r="I19" s="794"/>
      <c r="J19" s="794"/>
      <c r="K19" s="266"/>
      <c r="L19" s="645"/>
      <c r="M19" s="782"/>
      <c r="N19" s="784"/>
      <c r="O19" s="784"/>
      <c r="P19" s="784"/>
      <c r="Q19" s="784"/>
      <c r="R19" s="784"/>
      <c r="S19" s="641" t="e">
        <f>#REF!</f>
        <v>#REF!</v>
      </c>
      <c r="T19" s="418"/>
      <c r="U19" s="418"/>
      <c r="V19" s="133">
        <f>T19-(T19*Varta!H3)</f>
        <v>0</v>
      </c>
      <c r="W19" s="134">
        <f>V19-(V19*Varta!I3)</f>
        <v>0</v>
      </c>
      <c r="X19" s="701">
        <f t="shared" si="11"/>
        <v>0</v>
      </c>
      <c r="Y19" s="701">
        <f t="shared" si="12"/>
        <v>0</v>
      </c>
      <c r="Z19" s="701">
        <f t="shared" si="13"/>
        <v>0</v>
      </c>
      <c r="AA19" s="701">
        <f t="shared" si="14"/>
        <v>0</v>
      </c>
      <c r="AB19" s="701"/>
      <c r="AC19" s="701">
        <f t="shared" si="15"/>
        <v>0</v>
      </c>
      <c r="AD19" s="1"/>
      <c r="AE19" s="28"/>
      <c r="AF19" s="28"/>
      <c r="AG19" s="204"/>
      <c r="AH19" s="254" t="e">
        <f>(S19*1.6)</f>
        <v>#REF!</v>
      </c>
      <c r="AI19" s="255" t="e">
        <f t="shared" si="5"/>
        <v>#REF!</v>
      </c>
      <c r="AJ19" s="189"/>
      <c r="AK19" s="117" t="e">
        <v>#REF!</v>
      </c>
      <c r="AL19" s="440" t="e">
        <f t="shared" si="16"/>
        <v>#REF!</v>
      </c>
      <c r="AM19" s="42" t="e">
        <f t="shared" si="17"/>
        <v>#REF!</v>
      </c>
      <c r="AN19" s="190" t="e">
        <f t="shared" si="1"/>
        <v>#REF!</v>
      </c>
      <c r="AO19" s="445" t="e">
        <f t="shared" si="2"/>
        <v>#REF!</v>
      </c>
      <c r="AP19" s="440" t="e">
        <f>CEILING(AL19,50)+$AT$5</f>
        <v>#REF!</v>
      </c>
    </row>
    <row r="20" spans="1:42" ht="15" thickBot="1">
      <c r="A20" s="921"/>
      <c r="B20" s="921"/>
      <c r="C20" s="179"/>
      <c r="D20" s="431"/>
      <c r="E20" s="439"/>
      <c r="F20" s="921"/>
      <c r="G20" s="921"/>
      <c r="H20" s="921"/>
      <c r="I20" s="921"/>
      <c r="J20" s="921"/>
      <c r="K20" s="921"/>
      <c r="L20" s="921"/>
      <c r="M20" s="921"/>
      <c r="N20" s="921"/>
      <c r="O20" s="921"/>
      <c r="P20" s="921"/>
      <c r="Q20" s="921"/>
      <c r="R20" s="921"/>
      <c r="S20" s="921"/>
      <c r="T20" s="921"/>
      <c r="U20" s="921"/>
      <c r="V20" s="921"/>
      <c r="W20" s="921"/>
      <c r="X20" s="921"/>
      <c r="Y20" s="921"/>
      <c r="Z20" s="921"/>
      <c r="AA20" s="921"/>
      <c r="AB20" s="921"/>
      <c r="AC20" s="921"/>
      <c r="AD20" s="921"/>
      <c r="AE20" s="921"/>
      <c r="AF20" s="921"/>
      <c r="AH20" s="921"/>
      <c r="AI20" s="921"/>
      <c r="AJ20" s="921"/>
      <c r="AK20" s="921"/>
      <c r="AL20" s="921"/>
      <c r="AM20" s="921"/>
      <c r="AN20" s="921"/>
      <c r="AO20" s="921"/>
      <c r="AP20" s="921"/>
    </row>
    <row r="21" spans="1:42">
      <c r="A21" s="921"/>
      <c r="B21" s="921"/>
      <c r="C21" s="921"/>
      <c r="D21" s="921"/>
      <c r="E21" s="451"/>
      <c r="F21" s="921"/>
      <c r="G21" s="921"/>
      <c r="H21" s="921"/>
      <c r="I21" s="451"/>
      <c r="J21" s="451"/>
      <c r="K21" s="451"/>
      <c r="L21" s="921"/>
      <c r="M21" s="921"/>
      <c r="N21" s="921"/>
      <c r="O21" s="921"/>
      <c r="P21" s="921"/>
      <c r="Q21" s="921"/>
      <c r="R21" s="921"/>
      <c r="S21" s="921"/>
      <c r="T21" s="146"/>
      <c r="U21" s="146"/>
      <c r="V21" s="921"/>
      <c r="W21" s="921"/>
      <c r="X21" s="921"/>
      <c r="Y21" s="921"/>
      <c r="Z21" s="921"/>
      <c r="AA21" s="921"/>
      <c r="AB21" s="921"/>
      <c r="AC21" s="921"/>
      <c r="AD21" s="921"/>
      <c r="AE21" s="921"/>
      <c r="AF21" s="921"/>
      <c r="AH21" s="921"/>
      <c r="AI21" s="921"/>
      <c r="AJ21" s="921"/>
      <c r="AK21" s="146"/>
      <c r="AL21" s="921"/>
      <c r="AM21" s="146"/>
      <c r="AN21" s="921"/>
      <c r="AO21" s="921"/>
      <c r="AP21" s="146"/>
    </row>
    <row r="22" spans="1:42">
      <c r="A22" s="671" t="s">
        <v>108</v>
      </c>
      <c r="B22" s="672" t="s">
        <v>109</v>
      </c>
      <c r="C22" s="673">
        <v>57642</v>
      </c>
      <c r="D22" s="485">
        <f>(C22-(C22*D$4))</f>
        <v>47266.44</v>
      </c>
      <c r="E22" s="485">
        <f>(D22-(D22*E$4))</f>
        <v>44903.118000000002</v>
      </c>
      <c r="F22" s="921"/>
      <c r="G22" s="921"/>
      <c r="H22" s="27">
        <v>56170</v>
      </c>
      <c r="I22" s="784">
        <f t="shared" ref="I22:K22" si="21">(H22-(H22*I$4))</f>
        <v>53361.5</v>
      </c>
      <c r="J22" s="784">
        <f t="shared" si="21"/>
        <v>52294.27</v>
      </c>
      <c r="K22" s="262">
        <f t="shared" si="21"/>
        <v>47064.842999999993</v>
      </c>
      <c r="L22" s="921"/>
      <c r="M22" s="921"/>
      <c r="N22" s="921"/>
      <c r="O22" s="921"/>
      <c r="P22" s="921"/>
      <c r="Q22" s="921"/>
      <c r="R22" s="921"/>
      <c r="S22" s="921"/>
      <c r="T22" s="921"/>
      <c r="U22" s="921"/>
      <c r="V22" s="921"/>
      <c r="W22" s="921"/>
      <c r="X22" s="921"/>
      <c r="Y22" s="921"/>
      <c r="Z22" s="921"/>
      <c r="AA22" s="921"/>
      <c r="AB22" s="921"/>
      <c r="AC22" s="921"/>
      <c r="AD22" s="921"/>
      <c r="AE22" s="921"/>
      <c r="AF22" s="921"/>
      <c r="AH22" s="921"/>
      <c r="AI22" s="921"/>
      <c r="AJ22" s="921"/>
      <c r="AK22" s="113"/>
      <c r="AL22" s="113">
        <v>89000</v>
      </c>
      <c r="AM22" s="113">
        <f>(AL22/1.21)</f>
        <v>73553.719008264467</v>
      </c>
      <c r="AN22" s="190">
        <f>(AM22-D22)/D22</f>
        <v>0.55615102403025196</v>
      </c>
      <c r="AO22" s="191">
        <f>(AM22-D22)/AM22</f>
        <v>0.35738884943820226</v>
      </c>
      <c r="AP22" s="707">
        <f>(AL22+AT4)</f>
        <v>99000</v>
      </c>
    </row>
    <row r="23" spans="1:42">
      <c r="A23" s="674" t="s">
        <v>110</v>
      </c>
      <c r="B23" s="672" t="s">
        <v>109</v>
      </c>
      <c r="C23" s="673">
        <v>70117</v>
      </c>
      <c r="D23" s="485">
        <f t="shared" ref="D23:E24" si="22">(C23-(C23*D$4))</f>
        <v>57495.94</v>
      </c>
      <c r="E23" s="485">
        <f t="shared" si="22"/>
        <v>54621.143000000004</v>
      </c>
      <c r="F23" s="921"/>
      <c r="G23" s="921"/>
      <c r="H23" s="27"/>
      <c r="I23" s="878"/>
      <c r="J23" s="878"/>
      <c r="K23" s="878"/>
      <c r="L23" s="146"/>
      <c r="M23" s="921"/>
      <c r="N23" s="921"/>
      <c r="O23" s="921"/>
      <c r="P23" s="921"/>
      <c r="Q23" s="921"/>
      <c r="R23" s="921"/>
      <c r="S23" s="921"/>
      <c r="T23" s="921"/>
      <c r="U23" s="921"/>
      <c r="V23" s="921"/>
      <c r="W23" s="921"/>
      <c r="X23" s="921"/>
      <c r="Y23" s="921"/>
      <c r="Z23" s="921"/>
      <c r="AA23" s="921"/>
      <c r="AB23" s="921"/>
      <c r="AC23" s="921"/>
      <c r="AD23" s="921"/>
      <c r="AE23" s="921"/>
      <c r="AF23" s="921"/>
      <c r="AH23" s="921"/>
      <c r="AI23" s="921"/>
      <c r="AJ23" s="921"/>
      <c r="AK23" s="113"/>
      <c r="AL23" s="113">
        <v>109000</v>
      </c>
      <c r="AM23" s="113">
        <f>(AL23/1.21)</f>
        <v>90082.64462809918</v>
      </c>
      <c r="AN23" s="190">
        <f>(AM23-D23)/D23</f>
        <v>0.56676531643972039</v>
      </c>
      <c r="AO23" s="191">
        <f>(AM23-D23)/AM23</f>
        <v>0.36174231743119267</v>
      </c>
      <c r="AP23" s="707">
        <f>(AL23+AT4)</f>
        <v>119000</v>
      </c>
    </row>
    <row r="24" spans="1:42">
      <c r="A24" s="674" t="s">
        <v>111</v>
      </c>
      <c r="B24" s="672" t="s">
        <v>109</v>
      </c>
      <c r="C24" s="673">
        <v>189052</v>
      </c>
      <c r="D24" s="485">
        <f t="shared" si="22"/>
        <v>155022.64000000001</v>
      </c>
      <c r="E24" s="485">
        <f t="shared" si="22"/>
        <v>147271.508</v>
      </c>
      <c r="F24" s="921"/>
      <c r="G24" s="921"/>
      <c r="H24" s="27"/>
      <c r="I24" s="878"/>
      <c r="J24" s="878"/>
      <c r="K24" s="878"/>
      <c r="L24" s="921"/>
      <c r="M24" s="921"/>
      <c r="N24" s="921"/>
      <c r="O24" s="921"/>
      <c r="P24" s="921"/>
      <c r="Q24" s="921"/>
      <c r="R24" s="921"/>
      <c r="S24" s="921"/>
      <c r="T24" s="921"/>
      <c r="U24" s="921"/>
      <c r="V24" s="921"/>
      <c r="W24" s="921"/>
      <c r="X24" s="921"/>
      <c r="Y24" s="921"/>
      <c r="Z24" s="921"/>
      <c r="AA24" s="921"/>
      <c r="AB24" s="921"/>
      <c r="AC24" s="921"/>
      <c r="AD24" s="921"/>
      <c r="AE24" s="921"/>
      <c r="AF24" s="921"/>
      <c r="AH24" s="921"/>
      <c r="AI24" s="921"/>
      <c r="AJ24" s="921"/>
      <c r="AK24" s="921"/>
      <c r="AL24" s="921"/>
      <c r="AM24" s="921"/>
      <c r="AN24" s="921"/>
      <c r="AO24" s="921"/>
      <c r="AP24" s="921"/>
    </row>
  </sheetData>
  <mergeCells count="8">
    <mergeCell ref="C2:E2"/>
    <mergeCell ref="C3:E3"/>
    <mergeCell ref="L2:M2"/>
    <mergeCell ref="Q2:R2"/>
    <mergeCell ref="L4:M4"/>
    <mergeCell ref="L3:M3"/>
    <mergeCell ref="O2:P2"/>
    <mergeCell ref="O3:P3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R73"/>
  <sheetViews>
    <sheetView topLeftCell="D14" workbookViewId="0">
      <selection activeCell="F23" sqref="F23"/>
    </sheetView>
  </sheetViews>
  <sheetFormatPr baseColWidth="10" defaultColWidth="11.44140625" defaultRowHeight="14.4"/>
  <cols>
    <col min="1" max="1" width="18.109375" customWidth="1"/>
    <col min="2" max="2" width="40.44140625" bestFit="1" customWidth="1"/>
    <col min="3" max="3" width="15.88671875" bestFit="1" customWidth="1"/>
    <col min="4" max="4" width="18.88671875" bestFit="1" customWidth="1"/>
    <col min="5" max="5" width="15.88671875" bestFit="1" customWidth="1"/>
    <col min="6" max="6" width="15.44140625" bestFit="1" customWidth="1"/>
    <col min="7" max="7" width="26.88671875" bestFit="1" customWidth="1"/>
    <col min="8" max="10" width="15.44140625" bestFit="1" customWidth="1"/>
    <col min="11" max="12" width="11.6640625" bestFit="1" customWidth="1"/>
  </cols>
  <sheetData>
    <row r="1" spans="1:18" ht="16.2">
      <c r="A1" s="126" t="s">
        <v>0</v>
      </c>
      <c r="B1" s="127"/>
      <c r="C1" s="127"/>
      <c r="D1" s="921"/>
      <c r="E1" s="127" t="s">
        <v>1</v>
      </c>
      <c r="F1" s="127"/>
      <c r="G1" s="127" t="s">
        <v>2</v>
      </c>
      <c r="H1" s="127"/>
      <c r="I1" s="139"/>
      <c r="J1" s="40"/>
      <c r="K1" s="40"/>
      <c r="L1" s="921"/>
      <c r="M1" s="921"/>
      <c r="N1" s="247"/>
      <c r="O1" s="128" t="s">
        <v>4</v>
      </c>
      <c r="P1" s="50"/>
      <c r="Q1" s="50"/>
      <c r="R1" s="921"/>
    </row>
    <row r="2" spans="1:18" ht="16.8" thickBot="1">
      <c r="A2" s="126" t="s">
        <v>2281</v>
      </c>
      <c r="B2" s="138">
        <v>45698</v>
      </c>
      <c r="C2" s="921"/>
      <c r="D2" s="1"/>
      <c r="E2" s="1"/>
      <c r="F2" s="1"/>
      <c r="G2" s="127"/>
      <c r="H2" s="127"/>
      <c r="I2" s="139"/>
      <c r="J2" s="40"/>
      <c r="K2" s="40"/>
      <c r="L2" s="921"/>
      <c r="M2" s="921"/>
      <c r="N2" s="247"/>
      <c r="O2" s="128"/>
      <c r="P2" s="1"/>
      <c r="Q2" s="1"/>
      <c r="R2" s="921"/>
    </row>
    <row r="3" spans="1:18" ht="16.2">
      <c r="A3" s="113"/>
      <c r="B3" s="109" t="s">
        <v>371</v>
      </c>
      <c r="C3" s="109" t="s">
        <v>2282</v>
      </c>
      <c r="D3" s="129">
        <v>0.1</v>
      </c>
      <c r="E3" s="129"/>
      <c r="F3" s="945">
        <v>45785</v>
      </c>
      <c r="G3" s="946"/>
      <c r="H3" s="111"/>
      <c r="I3" s="111"/>
      <c r="J3" s="947"/>
      <c r="K3" s="152"/>
      <c r="L3" s="135"/>
      <c r="M3" s="921"/>
      <c r="N3" s="216">
        <v>45854</v>
      </c>
      <c r="O3" s="247"/>
      <c r="P3" s="128"/>
      <c r="Q3" s="1"/>
      <c r="R3" s="1"/>
    </row>
    <row r="4" spans="1:18" ht="16.2">
      <c r="A4" s="948">
        <v>17</v>
      </c>
      <c r="B4" s="110" t="s">
        <v>2283</v>
      </c>
      <c r="C4" s="111">
        <v>1289</v>
      </c>
      <c r="D4" s="111">
        <f t="shared" ref="D4:D8" si="0">(C4-(C4*D$3))</f>
        <v>1160.0999999999999</v>
      </c>
      <c r="E4" s="111">
        <f>(D4-(D4*E$3))</f>
        <v>1160.0999999999999</v>
      </c>
      <c r="F4" s="111">
        <v>1740.1499999999999</v>
      </c>
      <c r="G4" s="111">
        <f>(F4*1.21)</f>
        <v>2105.5814999999998</v>
      </c>
      <c r="H4" s="111">
        <f>'Terminales - Liquimoly - Bari'!F4-(F4*Varta!H$3)</f>
        <v>1653.1424999999999</v>
      </c>
      <c r="I4" s="111">
        <f>(H4-(H4*Varta!I$3))</f>
        <v>1603.548225</v>
      </c>
      <c r="J4" s="136">
        <f t="shared" ref="J4:J9" si="1">(I4-D4)/D4</f>
        <v>0.38225000000000009</v>
      </c>
      <c r="K4" s="137">
        <f t="shared" ref="K4:K9" si="2">(I4-D4)/I4</f>
        <v>0.27654187013926573</v>
      </c>
      <c r="L4" s="135"/>
      <c r="M4" s="921"/>
      <c r="N4" s="117">
        <f>('[1]Terminales - Liquimoly - Bari'!L4*1.05)</f>
        <v>2992.5</v>
      </c>
      <c r="O4" s="117">
        <f t="shared" ref="O4:O15" si="3">CEILING(N4,50)</f>
        <v>3000</v>
      </c>
      <c r="P4" s="116">
        <f t="shared" ref="P4:P15" si="4">(O4/1.21)</f>
        <v>2479.3388429752067</v>
      </c>
      <c r="Q4" s="44">
        <f t="shared" ref="Q4:Q9" si="5">(P4-D4)/D4</f>
        <v>1.1371768321482691</v>
      </c>
      <c r="R4" s="39">
        <f t="shared" ref="R4:R9" si="6">(P4-D4)/P4</f>
        <v>0.53209300000000004</v>
      </c>
    </row>
    <row r="5" spans="1:18" ht="16.2">
      <c r="A5" s="948">
        <v>16</v>
      </c>
      <c r="B5" s="110" t="s">
        <v>2284</v>
      </c>
      <c r="C5" s="111">
        <v>1680</v>
      </c>
      <c r="D5" s="111">
        <f t="shared" si="0"/>
        <v>1512</v>
      </c>
      <c r="E5" s="111">
        <f t="shared" ref="E5:E9" si="7">(D5-(D5*E$3))</f>
        <v>1512</v>
      </c>
      <c r="F5" s="111">
        <v>2268</v>
      </c>
      <c r="G5" s="111">
        <f t="shared" ref="G5:G9" si="8">(F5*1.21)</f>
        <v>2744.2799999999997</v>
      </c>
      <c r="H5" s="111">
        <f>'Terminales - Liquimoly - Bari'!F5-(F5*Varta!H$3)</f>
        <v>2154.6</v>
      </c>
      <c r="I5" s="111">
        <f>(H5-(H5*Varta!I$3))</f>
        <v>2089.962</v>
      </c>
      <c r="J5" s="136">
        <f t="shared" si="1"/>
        <v>0.38224999999999998</v>
      </c>
      <c r="K5" s="137">
        <f t="shared" si="2"/>
        <v>0.27654187013926568</v>
      </c>
      <c r="L5" s="135"/>
      <c r="M5" s="921"/>
      <c r="N5" s="117">
        <f>('[1]Terminales - Liquimoly - Bari'!L5*1.05)</f>
        <v>3675</v>
      </c>
      <c r="O5" s="117">
        <f t="shared" si="3"/>
        <v>3700</v>
      </c>
      <c r="P5" s="116">
        <f t="shared" si="4"/>
        <v>3057.8512396694214</v>
      </c>
      <c r="Q5" s="44">
        <f t="shared" si="5"/>
        <v>1.0223883860247496</v>
      </c>
      <c r="R5" s="39">
        <f t="shared" si="6"/>
        <v>0.50553513513513515</v>
      </c>
    </row>
    <row r="6" spans="1:18" ht="16.2">
      <c r="A6" s="948">
        <v>15</v>
      </c>
      <c r="B6" s="110" t="s">
        <v>2285</v>
      </c>
      <c r="C6" s="111">
        <v>3543</v>
      </c>
      <c r="D6" s="111">
        <f t="shared" si="0"/>
        <v>3188.7</v>
      </c>
      <c r="E6" s="111">
        <f t="shared" si="7"/>
        <v>3188.7</v>
      </c>
      <c r="F6" s="111">
        <v>4783.0499999999993</v>
      </c>
      <c r="G6" s="111">
        <f t="shared" si="8"/>
        <v>5787.490499999999</v>
      </c>
      <c r="H6" s="111">
        <f>'Terminales - Liquimoly - Bari'!F6-(F6*Varta!H$3)</f>
        <v>4543.8974999999991</v>
      </c>
      <c r="I6" s="111">
        <f>(H6-(H6*Varta!I$3))</f>
        <v>4407.580574999999</v>
      </c>
      <c r="J6" s="136">
        <f t="shared" si="1"/>
        <v>0.38224999999999976</v>
      </c>
      <c r="K6" s="137">
        <f t="shared" si="2"/>
        <v>0.27654187013926557</v>
      </c>
      <c r="L6" s="135"/>
      <c r="M6" s="921"/>
      <c r="N6" s="117">
        <f>('[1]Terminales - Liquimoly - Bari'!L6*1.05)</f>
        <v>6615</v>
      </c>
      <c r="O6" s="117">
        <f t="shared" si="3"/>
        <v>6650</v>
      </c>
      <c r="P6" s="116">
        <f t="shared" si="4"/>
        <v>5495.8677685950415</v>
      </c>
      <c r="Q6" s="44">
        <f t="shared" si="5"/>
        <v>0.72354494577572104</v>
      </c>
      <c r="R6" s="39">
        <f t="shared" si="6"/>
        <v>0.41980045112781961</v>
      </c>
    </row>
    <row r="7" spans="1:18" ht="16.2">
      <c r="A7" s="948" t="s">
        <v>2286</v>
      </c>
      <c r="B7" s="110" t="s">
        <v>2287</v>
      </c>
      <c r="C7" s="111">
        <v>1389</v>
      </c>
      <c r="D7" s="111">
        <f>(C7-(C7*D$3))</f>
        <v>1250.0999999999999</v>
      </c>
      <c r="E7" s="111">
        <f t="shared" si="7"/>
        <v>1250.0999999999999</v>
      </c>
      <c r="F7" s="111">
        <v>1875.1499999999999</v>
      </c>
      <c r="G7" s="111">
        <f t="shared" si="8"/>
        <v>2268.9314999999997</v>
      </c>
      <c r="H7" s="111">
        <f>'Terminales - Liquimoly - Bari'!F7-(F7*Varta!H$3)</f>
        <v>1781.3924999999999</v>
      </c>
      <c r="I7" s="111">
        <f>(H7-(H7*Varta!I$3))</f>
        <v>1727.9507249999999</v>
      </c>
      <c r="J7" s="136">
        <f t="shared" si="1"/>
        <v>0.38225000000000003</v>
      </c>
      <c r="K7" s="137">
        <f t="shared" si="2"/>
        <v>0.27654187013926573</v>
      </c>
      <c r="L7" s="135"/>
      <c r="M7" s="921"/>
      <c r="N7" s="117">
        <f>('[1]Terminales - Liquimoly - Bari'!L7*1.05)</f>
        <v>3675</v>
      </c>
      <c r="O7" s="117">
        <f t="shared" si="3"/>
        <v>3700</v>
      </c>
      <c r="P7" s="116">
        <f t="shared" si="4"/>
        <v>3057.8512396694214</v>
      </c>
      <c r="Q7" s="44">
        <f t="shared" si="5"/>
        <v>1.4460853049111444</v>
      </c>
      <c r="R7" s="39">
        <f t="shared" si="6"/>
        <v>0.5911835135135135</v>
      </c>
    </row>
    <row r="8" spans="1:18" ht="16.2">
      <c r="A8" s="948" t="s">
        <v>2288</v>
      </c>
      <c r="B8" s="110" t="s">
        <v>2289</v>
      </c>
      <c r="C8" s="111">
        <v>1232</v>
      </c>
      <c r="D8" s="111">
        <f t="shared" si="0"/>
        <v>1108.8</v>
      </c>
      <c r="E8" s="111">
        <f t="shared" si="7"/>
        <v>1108.8</v>
      </c>
      <c r="F8" s="111">
        <v>1663.1999999999998</v>
      </c>
      <c r="G8" s="111">
        <f t="shared" si="8"/>
        <v>2012.4719999999998</v>
      </c>
      <c r="H8" s="111">
        <f>'Terminales - Liquimoly - Bari'!F8-(F8*Varta!H$3)</f>
        <v>1580.0399999999997</v>
      </c>
      <c r="I8" s="111">
        <f>(H8-(H8*Varta!I$3))</f>
        <v>1532.6387999999997</v>
      </c>
      <c r="J8" s="136">
        <f t="shared" si="1"/>
        <v>0.38224999999999981</v>
      </c>
      <c r="K8" s="137">
        <f t="shared" si="2"/>
        <v>0.27654187013926557</v>
      </c>
      <c r="L8" s="135"/>
      <c r="M8" s="921"/>
      <c r="N8" s="117">
        <v>3100</v>
      </c>
      <c r="O8" s="117">
        <f t="shared" si="3"/>
        <v>3100</v>
      </c>
      <c r="P8" s="116">
        <f t="shared" si="4"/>
        <v>2561.9834710743803</v>
      </c>
      <c r="Q8" s="44">
        <f t="shared" si="5"/>
        <v>1.3105911535663604</v>
      </c>
      <c r="R8" s="39">
        <f t="shared" si="6"/>
        <v>0.56721032258064519</v>
      </c>
    </row>
    <row r="9" spans="1:18" ht="16.2">
      <c r="A9" s="948" t="s">
        <v>2290</v>
      </c>
      <c r="B9" s="110" t="s">
        <v>2291</v>
      </c>
      <c r="C9" s="111">
        <v>4909</v>
      </c>
      <c r="D9" s="111">
        <f>(C9-(C9*D$3))</f>
        <v>4418.1000000000004</v>
      </c>
      <c r="E9" s="111">
        <f t="shared" si="7"/>
        <v>4418.1000000000004</v>
      </c>
      <c r="F9" s="111">
        <v>6627.1500000000005</v>
      </c>
      <c r="G9" s="111">
        <f t="shared" si="8"/>
        <v>8018.8515000000007</v>
      </c>
      <c r="H9" s="111">
        <f>'Terminales - Liquimoly - Bari'!F9-(F9*Varta!H$3)</f>
        <v>6295.7925000000005</v>
      </c>
      <c r="I9" s="111">
        <f>(H9-(H9*Varta!I$3))</f>
        <v>6106.9187250000004</v>
      </c>
      <c r="J9" s="136">
        <f t="shared" si="1"/>
        <v>0.38224999999999998</v>
      </c>
      <c r="K9" s="137">
        <f t="shared" si="2"/>
        <v>0.27654187013926568</v>
      </c>
      <c r="L9" s="135"/>
      <c r="M9" s="921"/>
      <c r="N9" s="117">
        <v>10400</v>
      </c>
      <c r="O9" s="117">
        <f t="shared" si="3"/>
        <v>10400</v>
      </c>
      <c r="P9" s="116">
        <f t="shared" si="4"/>
        <v>8595.0413223140495</v>
      </c>
      <c r="Q9" s="44">
        <f t="shared" si="5"/>
        <v>0.94541574937508177</v>
      </c>
      <c r="R9" s="39">
        <f t="shared" si="6"/>
        <v>0.48597105769230764</v>
      </c>
    </row>
    <row r="10" spans="1:18" ht="16.2">
      <c r="A10" s="113"/>
      <c r="B10" s="110" t="s">
        <v>2061</v>
      </c>
      <c r="C10" s="113"/>
      <c r="D10" s="113"/>
      <c r="E10" s="113"/>
      <c r="F10" s="113"/>
      <c r="G10" s="113"/>
      <c r="H10" s="113"/>
      <c r="I10" s="113"/>
      <c r="J10" s="53"/>
      <c r="K10" s="53"/>
      <c r="L10" s="921"/>
      <c r="M10" s="921"/>
      <c r="N10" s="117">
        <f>('[1]Terminales - Liquimoly - Bari'!L10*1.05)</f>
        <v>37957.5</v>
      </c>
      <c r="O10" s="117">
        <f t="shared" si="3"/>
        <v>38000</v>
      </c>
      <c r="P10" s="116">
        <f t="shared" si="4"/>
        <v>31404.958677685951</v>
      </c>
      <c r="Q10" s="113"/>
      <c r="R10" s="113"/>
    </row>
    <row r="11" spans="1:18">
      <c r="A11" s="921"/>
      <c r="B11" s="921"/>
      <c r="C11" s="921"/>
      <c r="D11" s="146">
        <v>0.2</v>
      </c>
      <c r="E11" s="146"/>
      <c r="F11" s="146"/>
      <c r="G11" s="921"/>
      <c r="H11" s="921"/>
      <c r="I11" s="921"/>
      <c r="J11" s="921"/>
      <c r="K11" s="921"/>
      <c r="L11" s="921"/>
      <c r="M11" s="921"/>
      <c r="N11" s="117">
        <f>('[1]Terminales - Liquimoly - Bari'!L11*1.05)</f>
        <v>0</v>
      </c>
      <c r="O11" s="117">
        <f t="shared" si="3"/>
        <v>0</v>
      </c>
      <c r="P11" s="116">
        <f t="shared" si="4"/>
        <v>0</v>
      </c>
      <c r="Q11" s="113"/>
      <c r="R11" s="113"/>
    </row>
    <row r="12" spans="1:18" ht="16.2">
      <c r="A12" s="355" t="s">
        <v>2292</v>
      </c>
      <c r="B12" s="478">
        <v>45323</v>
      </c>
      <c r="C12" s="478">
        <v>45597</v>
      </c>
      <c r="D12" s="146"/>
      <c r="E12" s="146"/>
      <c r="F12" s="146"/>
      <c r="G12" s="921"/>
      <c r="H12" s="921"/>
      <c r="I12" s="921"/>
      <c r="J12" s="921"/>
      <c r="K12" s="921"/>
      <c r="L12" s="921"/>
      <c r="M12" s="921"/>
      <c r="N12" s="117">
        <f>('[1]Terminales - Liquimoly - Bari'!L12*1.05)</f>
        <v>0</v>
      </c>
      <c r="O12" s="117">
        <f t="shared" si="3"/>
        <v>0</v>
      </c>
      <c r="P12" s="116">
        <f t="shared" si="4"/>
        <v>0</v>
      </c>
      <c r="Q12" s="113"/>
      <c r="R12" s="113"/>
    </row>
    <row r="13" spans="1:18" ht="16.2">
      <c r="A13" s="110" t="s">
        <v>2293</v>
      </c>
      <c r="B13" s="112">
        <v>3231.37</v>
      </c>
      <c r="C13" s="921">
        <v>3450.5</v>
      </c>
      <c r="D13" s="135"/>
      <c r="E13" s="135"/>
      <c r="F13" s="921"/>
      <c r="G13" s="921"/>
      <c r="H13" s="921"/>
      <c r="I13" s="921"/>
      <c r="J13" s="921"/>
      <c r="K13" s="921"/>
      <c r="L13" s="921"/>
      <c r="M13" s="921"/>
      <c r="N13" s="117">
        <v>7600</v>
      </c>
      <c r="O13" s="117">
        <f t="shared" si="3"/>
        <v>7600</v>
      </c>
      <c r="P13" s="116">
        <f t="shared" si="4"/>
        <v>6280.9917355371899</v>
      </c>
      <c r="Q13" s="44">
        <f>(P13-C13)/C13</f>
        <v>0.82031350109757717</v>
      </c>
      <c r="R13" s="39">
        <f>(P13-C13)/P13</f>
        <v>0.45064407894736841</v>
      </c>
    </row>
    <row r="14" spans="1:18" ht="16.2">
      <c r="A14" s="110" t="s">
        <v>2294</v>
      </c>
      <c r="B14" s="112">
        <v>6104.08</v>
      </c>
      <c r="C14" s="921">
        <v>6686.8</v>
      </c>
      <c r="D14" s="921"/>
      <c r="E14" s="921"/>
      <c r="F14" s="921"/>
      <c r="G14" s="921"/>
      <c r="H14" s="921"/>
      <c r="I14" s="921"/>
      <c r="J14" s="921"/>
      <c r="K14" s="921"/>
      <c r="L14" s="921"/>
      <c r="M14" s="921"/>
      <c r="N14" s="117">
        <f>('[1]Terminales - Liquimoly - Bari'!L14*1.05)</f>
        <v>13282.5</v>
      </c>
      <c r="O14" s="117">
        <f t="shared" si="3"/>
        <v>13300</v>
      </c>
      <c r="P14" s="116">
        <f t="shared" si="4"/>
        <v>10991.735537190083</v>
      </c>
      <c r="Q14" s="44">
        <f>(P14-C14)/C14</f>
        <v>0.64379606645780985</v>
      </c>
      <c r="R14" s="39">
        <f>(P14-C14)/P14</f>
        <v>0.39165203007518795</v>
      </c>
    </row>
    <row r="15" spans="1:18" ht="16.2">
      <c r="A15" s="110" t="s">
        <v>2295</v>
      </c>
      <c r="B15" s="112">
        <v>7181.79</v>
      </c>
      <c r="C15" s="921">
        <v>7867.21</v>
      </c>
      <c r="D15" s="921"/>
      <c r="E15" s="921"/>
      <c r="F15" s="921"/>
      <c r="G15" s="921"/>
      <c r="H15" s="921"/>
      <c r="I15" s="921"/>
      <c r="J15" s="921"/>
      <c r="K15" s="921"/>
      <c r="L15" s="921"/>
      <c r="M15" s="921"/>
      <c r="N15" s="117">
        <f>('[1]Terminales - Liquimoly - Bari'!L15*1.05)</f>
        <v>15592.5</v>
      </c>
      <c r="O15" s="117">
        <f t="shared" si="3"/>
        <v>15600</v>
      </c>
      <c r="P15" s="116">
        <f t="shared" si="4"/>
        <v>12892.561983471074</v>
      </c>
      <c r="Q15" s="44">
        <f>(P15-C15)/C15</f>
        <v>0.6387718115406954</v>
      </c>
      <c r="R15" s="39">
        <f>(P15-C15)/P15</f>
        <v>0.38978691666666665</v>
      </c>
    </row>
    <row r="17" spans="1:18">
      <c r="A17" s="921"/>
      <c r="B17" s="921"/>
      <c r="C17" s="921"/>
      <c r="D17" s="921"/>
      <c r="E17" s="921"/>
      <c r="F17" s="921"/>
      <c r="G17" s="921"/>
      <c r="H17" s="921"/>
      <c r="I17" s="921"/>
      <c r="J17" s="921"/>
      <c r="K17" s="135"/>
      <c r="L17" s="135"/>
      <c r="M17" s="921"/>
      <c r="N17" s="921"/>
      <c r="O17" s="921"/>
      <c r="P17" s="921"/>
      <c r="Q17" s="921"/>
      <c r="R17" s="921"/>
    </row>
    <row r="18" spans="1:18">
      <c r="A18" s="105" t="s">
        <v>2267</v>
      </c>
      <c r="B18" s="921"/>
      <c r="C18" s="921"/>
      <c r="D18" s="921"/>
      <c r="E18" s="921"/>
      <c r="F18" s="921"/>
      <c r="G18" s="921"/>
      <c r="H18" s="921"/>
      <c r="I18" s="921"/>
      <c r="J18" s="921"/>
      <c r="K18" s="921"/>
      <c r="L18" s="921"/>
      <c r="M18" s="921"/>
      <c r="N18" s="921"/>
      <c r="O18" s="921"/>
      <c r="P18" s="921"/>
      <c r="Q18" s="921"/>
      <c r="R18" s="921"/>
    </row>
    <row r="19" spans="1:18" ht="15" thickBot="1">
      <c r="A19" s="105" t="s">
        <v>2268</v>
      </c>
      <c r="B19" s="138">
        <v>45839</v>
      </c>
      <c r="C19" s="921"/>
      <c r="D19" s="921"/>
      <c r="E19" s="921"/>
      <c r="F19" s="921"/>
      <c r="G19" s="921"/>
      <c r="H19" s="921"/>
      <c r="I19" s="921"/>
      <c r="J19" s="921"/>
      <c r="K19" s="921"/>
      <c r="L19" s="921"/>
      <c r="M19" s="921"/>
      <c r="N19" s="921"/>
      <c r="O19" s="921"/>
      <c r="P19" s="921" t="s">
        <v>2269</v>
      </c>
      <c r="Q19" s="921"/>
      <c r="R19" s="921"/>
    </row>
    <row r="20" spans="1:18">
      <c r="A20" s="550" t="s">
        <v>0</v>
      </c>
      <c r="B20" s="550"/>
      <c r="C20" s="550" t="s">
        <v>2296</v>
      </c>
      <c r="D20" s="551">
        <v>0.05</v>
      </c>
      <c r="E20" s="686">
        <v>0</v>
      </c>
      <c r="F20" s="931">
        <v>45839</v>
      </c>
      <c r="G20" s="686" t="s">
        <v>2297</v>
      </c>
      <c r="H20" s="686"/>
      <c r="I20" s="686"/>
      <c r="J20" s="686"/>
      <c r="K20" s="686"/>
      <c r="L20" s="949"/>
      <c r="M20" s="921"/>
      <c r="N20" s="921"/>
      <c r="O20" s="216">
        <v>45854</v>
      </c>
      <c r="P20" s="113"/>
      <c r="Q20" s="113" t="s">
        <v>65</v>
      </c>
      <c r="R20" s="113" t="s">
        <v>17</v>
      </c>
    </row>
    <row r="21" spans="1:18">
      <c r="A21" s="36">
        <v>2124</v>
      </c>
      <c r="B21" s="113" t="s">
        <v>2298</v>
      </c>
      <c r="C21" s="275">
        <v>13138</v>
      </c>
      <c r="D21" s="275">
        <f>((C21-(C21*D$20)))</f>
        <v>12481.1</v>
      </c>
      <c r="E21" s="275">
        <f>(D21-(D21*E$20))</f>
        <v>12481.1</v>
      </c>
      <c r="F21" s="463">
        <v>18721.650000000001</v>
      </c>
      <c r="G21" s="275">
        <f>(F21*1.21)</f>
        <v>22653.196500000002</v>
      </c>
      <c r="H21" s="275">
        <f>((F21-(F21*Varta!H$3)))</f>
        <v>17785.567500000001</v>
      </c>
      <c r="I21" s="275">
        <f>(H21-(H21*Varta!I$3))</f>
        <v>17252.000475000001</v>
      </c>
      <c r="J21" s="276">
        <f>(I21-E21)/E21</f>
        <v>0.38225000000000003</v>
      </c>
      <c r="K21" s="276">
        <f>(I21-E21)/I21</f>
        <v>0.27654187013926568</v>
      </c>
      <c r="L21" s="276"/>
      <c r="M21" s="463"/>
      <c r="N21" s="463">
        <v>22440</v>
      </c>
      <c r="O21" s="117">
        <f>CEILING(N21,50)</f>
        <v>22450</v>
      </c>
      <c r="P21" s="275">
        <f>(O21/1.21)</f>
        <v>18553.719008264463</v>
      </c>
      <c r="Q21" s="524">
        <f t="shared" ref="Q21:Q32" si="9">(P21-E21)/E21</f>
        <v>0.48654517696873373</v>
      </c>
      <c r="R21" s="524">
        <f>(P21-E21)/P21</f>
        <v>0.32729928730512248</v>
      </c>
    </row>
    <row r="22" spans="1:18">
      <c r="A22" s="36">
        <v>8357</v>
      </c>
      <c r="B22" s="113" t="s">
        <v>2299</v>
      </c>
      <c r="C22" s="275">
        <v>15598</v>
      </c>
      <c r="D22" s="275">
        <f t="shared" ref="D22:D32" si="10">((C22-(C22*D$20)))</f>
        <v>14818.1</v>
      </c>
      <c r="E22" s="275">
        <f t="shared" ref="E22:E32" si="11">(D22-(D22*E$20))</f>
        <v>14818.1</v>
      </c>
      <c r="F22" s="463">
        <v>22227.15</v>
      </c>
      <c r="G22" s="275">
        <f t="shared" ref="G22:G32" si="12">(F22*1.21)</f>
        <v>26894.851500000001</v>
      </c>
      <c r="H22" s="275">
        <f>((F22-(F22*Varta!H$3)))</f>
        <v>21115.792500000003</v>
      </c>
      <c r="I22" s="275">
        <f>(H22-(H22*Varta!I$3))</f>
        <v>20482.318725000005</v>
      </c>
      <c r="J22" s="276">
        <f t="shared" ref="J22:J32" si="13">(I22-E22)/E22</f>
        <v>0.38225000000000026</v>
      </c>
      <c r="K22" s="276">
        <f t="shared" ref="K22:K32" si="14">(I22-E22)/I22</f>
        <v>0.27654187013926584</v>
      </c>
      <c r="L22" s="276"/>
      <c r="M22" s="463"/>
      <c r="N22" s="463">
        <v>26345.000000000004</v>
      </c>
      <c r="O22" s="117">
        <f t="shared" ref="O22:O32" si="15">CEILING(N22,50)</f>
        <v>26350</v>
      </c>
      <c r="P22" s="275">
        <f t="shared" ref="P22:P32" si="16">(O22/1.21)</f>
        <v>21776.859504132233</v>
      </c>
      <c r="Q22" s="524">
        <f t="shared" si="9"/>
        <v>0.46961213003908953</v>
      </c>
      <c r="R22" s="524">
        <f t="shared" ref="R22:R32" si="17">(P22-D22)/P22</f>
        <v>0.31954834914611008</v>
      </c>
    </row>
    <row r="23" spans="1:18">
      <c r="A23" s="36">
        <v>2504</v>
      </c>
      <c r="B23" s="113" t="s">
        <v>2300</v>
      </c>
      <c r="C23" s="275">
        <v>12695</v>
      </c>
      <c r="D23" s="275">
        <f t="shared" si="10"/>
        <v>12060.25</v>
      </c>
      <c r="E23" s="275">
        <f t="shared" si="11"/>
        <v>12060.25</v>
      </c>
      <c r="F23" s="463">
        <v>18090.375</v>
      </c>
      <c r="G23" s="275">
        <f t="shared" si="12"/>
        <v>21889.353749999998</v>
      </c>
      <c r="H23" s="275">
        <f>((F23-(F23*Varta!H$3)))</f>
        <v>17185.856250000001</v>
      </c>
      <c r="I23" s="275">
        <f>(H23-(H23*Varta!I$3))</f>
        <v>16670.2805625</v>
      </c>
      <c r="J23" s="276">
        <f t="shared" si="13"/>
        <v>0.38225000000000003</v>
      </c>
      <c r="K23" s="276">
        <f t="shared" si="14"/>
        <v>0.27654187013926568</v>
      </c>
      <c r="L23" s="276"/>
      <c r="M23" s="463"/>
      <c r="N23" s="463">
        <v>21835</v>
      </c>
      <c r="O23" s="117">
        <f t="shared" si="15"/>
        <v>21850</v>
      </c>
      <c r="P23" s="275">
        <f t="shared" si="16"/>
        <v>18057.85123966942</v>
      </c>
      <c r="Q23" s="524">
        <f t="shared" si="9"/>
        <v>0.49730322668845345</v>
      </c>
      <c r="R23" s="524">
        <f t="shared" si="17"/>
        <v>0.33213260869565214</v>
      </c>
    </row>
    <row r="24" spans="1:18">
      <c r="A24" s="36">
        <v>21644</v>
      </c>
      <c r="B24" s="113" t="s">
        <v>2301</v>
      </c>
      <c r="C24" s="275">
        <v>15840</v>
      </c>
      <c r="D24" s="275">
        <f t="shared" si="10"/>
        <v>15048</v>
      </c>
      <c r="E24" s="275">
        <f t="shared" si="11"/>
        <v>15048</v>
      </c>
      <c r="F24" s="463">
        <v>22572</v>
      </c>
      <c r="G24" s="275">
        <f t="shared" si="12"/>
        <v>27312.12</v>
      </c>
      <c r="H24" s="275">
        <f>((F24-(F24*Varta!H$3)))</f>
        <v>21443.4</v>
      </c>
      <c r="I24" s="275">
        <f>(H24-(H24*Varta!I$3))</f>
        <v>20800.098000000002</v>
      </c>
      <c r="J24" s="276">
        <f t="shared" si="13"/>
        <v>0.38225000000000015</v>
      </c>
      <c r="K24" s="276">
        <f t="shared" si="14"/>
        <v>0.27654187013926573</v>
      </c>
      <c r="L24" s="276"/>
      <c r="M24" s="463"/>
      <c r="N24" s="463">
        <v>34860</v>
      </c>
      <c r="O24" s="117">
        <f t="shared" si="15"/>
        <v>34900</v>
      </c>
      <c r="P24" s="275">
        <f t="shared" si="16"/>
        <v>28842.975206611573</v>
      </c>
      <c r="Q24" s="524">
        <f t="shared" si="9"/>
        <v>0.91673147306031189</v>
      </c>
      <c r="R24" s="524">
        <f t="shared" si="17"/>
        <v>0.47827851002865335</v>
      </c>
    </row>
    <row r="25" spans="1:18">
      <c r="A25" s="113">
        <v>7386</v>
      </c>
      <c r="B25" s="113" t="s">
        <v>2302</v>
      </c>
      <c r="C25" s="275">
        <v>20069</v>
      </c>
      <c r="D25" s="275">
        <f t="shared" si="10"/>
        <v>19065.55</v>
      </c>
      <c r="E25" s="275">
        <f t="shared" si="11"/>
        <v>19065.55</v>
      </c>
      <c r="F25" s="463">
        <v>28598.324999999997</v>
      </c>
      <c r="G25" s="275">
        <f t="shared" si="12"/>
        <v>34603.973249999995</v>
      </c>
      <c r="H25" s="275">
        <f>((F25-(F25*Varta!H$3)))</f>
        <v>27168.408749999999</v>
      </c>
      <c r="I25" s="275">
        <f>(H25-(H25*Varta!I$3))</f>
        <v>26353.356487499997</v>
      </c>
      <c r="J25" s="276">
        <f t="shared" si="13"/>
        <v>0.38224999999999992</v>
      </c>
      <c r="K25" s="276">
        <f t="shared" si="14"/>
        <v>0.27654187013926562</v>
      </c>
      <c r="L25" s="276"/>
      <c r="M25" s="463"/>
      <c r="N25" s="463">
        <v>33055</v>
      </c>
      <c r="O25" s="117">
        <f t="shared" si="15"/>
        <v>33100</v>
      </c>
      <c r="P25" s="275">
        <f>(O25/1.21)</f>
        <v>27355.371900826449</v>
      </c>
      <c r="Q25" s="524">
        <f t="shared" si="9"/>
        <v>0.43480633398073748</v>
      </c>
      <c r="R25" s="524">
        <f t="shared" si="17"/>
        <v>0.30304182779456201</v>
      </c>
    </row>
    <row r="26" spans="1:18">
      <c r="A26" s="36">
        <v>1602</v>
      </c>
      <c r="B26" s="113" t="s">
        <v>2303</v>
      </c>
      <c r="C26" s="275">
        <v>7827</v>
      </c>
      <c r="D26" s="275">
        <f t="shared" si="10"/>
        <v>7435.65</v>
      </c>
      <c r="E26" s="275">
        <f t="shared" si="11"/>
        <v>7435.65</v>
      </c>
      <c r="F26" s="463">
        <v>11153.474999999999</v>
      </c>
      <c r="G26" s="275">
        <f t="shared" si="12"/>
        <v>13495.704749999997</v>
      </c>
      <c r="H26" s="275">
        <f>((F26-(F26*Varta!H$3)))</f>
        <v>10595.801249999999</v>
      </c>
      <c r="I26" s="275">
        <f>(H26-(H26*Varta!I$3))</f>
        <v>10277.927212499999</v>
      </c>
      <c r="J26" s="276">
        <f t="shared" si="13"/>
        <v>0.38224999999999992</v>
      </c>
      <c r="K26" s="276">
        <f t="shared" si="14"/>
        <v>0.27654187013926562</v>
      </c>
      <c r="L26" s="276"/>
      <c r="M26" s="463"/>
      <c r="N26" s="463">
        <v>13475.000000000002</v>
      </c>
      <c r="O26" s="117">
        <f t="shared" si="15"/>
        <v>13500</v>
      </c>
      <c r="P26" s="275">
        <f>(O26/1.21)</f>
        <v>11157.024793388429</v>
      </c>
      <c r="Q26" s="524">
        <f t="shared" si="9"/>
        <v>0.50047740189336909</v>
      </c>
      <c r="R26" s="524">
        <f t="shared" si="17"/>
        <v>0.33354544444444445</v>
      </c>
    </row>
    <row r="27" spans="1:18">
      <c r="A27" s="36">
        <v>3040</v>
      </c>
      <c r="B27" s="113" t="s">
        <v>2304</v>
      </c>
      <c r="C27" s="275">
        <v>9232</v>
      </c>
      <c r="D27" s="275">
        <f t="shared" si="10"/>
        <v>8770.4</v>
      </c>
      <c r="E27" s="275">
        <f t="shared" si="11"/>
        <v>8770.4</v>
      </c>
      <c r="F27" s="463">
        <v>13155.599999999999</v>
      </c>
      <c r="G27" s="275">
        <f t="shared" si="12"/>
        <v>15918.275999999998</v>
      </c>
      <c r="H27" s="275">
        <f>((F27-(F27*Varta!H$3)))</f>
        <v>12497.819999999998</v>
      </c>
      <c r="I27" s="275">
        <f>(H27-(H27*Varta!I$3))</f>
        <v>12122.885399999997</v>
      </c>
      <c r="J27" s="276">
        <f t="shared" si="13"/>
        <v>0.38224999999999976</v>
      </c>
      <c r="K27" s="276">
        <f t="shared" si="14"/>
        <v>0.27654187013926557</v>
      </c>
      <c r="L27" s="276"/>
      <c r="M27" s="463"/>
      <c r="N27" s="463">
        <v>17600</v>
      </c>
      <c r="O27" s="117">
        <f t="shared" si="15"/>
        <v>17600</v>
      </c>
      <c r="P27" s="275">
        <f>(O27/1.21)</f>
        <v>14545.454545454546</v>
      </c>
      <c r="Q27" s="524">
        <f t="shared" si="9"/>
        <v>0.65847105553390339</v>
      </c>
      <c r="R27" s="524">
        <f t="shared" si="17"/>
        <v>0.39703500000000003</v>
      </c>
    </row>
    <row r="28" spans="1:18">
      <c r="A28" s="36">
        <v>21646</v>
      </c>
      <c r="B28" s="113" t="s">
        <v>2305</v>
      </c>
      <c r="C28" s="275">
        <v>17663</v>
      </c>
      <c r="D28" s="275">
        <f t="shared" si="10"/>
        <v>16779.849999999999</v>
      </c>
      <c r="E28" s="275">
        <f t="shared" si="11"/>
        <v>16779.849999999999</v>
      </c>
      <c r="F28" s="463">
        <v>25169.774999999998</v>
      </c>
      <c r="G28" s="275">
        <f t="shared" si="12"/>
        <v>30455.427749999995</v>
      </c>
      <c r="H28" s="275">
        <f>((F28-(F28*Varta!H$3)))</f>
        <v>23911.286249999997</v>
      </c>
      <c r="I28" s="275">
        <f>(H28-(H28*Varta!I$3))</f>
        <v>23193.947662499999</v>
      </c>
      <c r="J28" s="276">
        <f t="shared" si="13"/>
        <v>0.38225000000000003</v>
      </c>
      <c r="K28" s="276">
        <f t="shared" si="14"/>
        <v>0.27654187013926573</v>
      </c>
      <c r="L28" s="276"/>
      <c r="M28" s="463"/>
      <c r="N28" s="463">
        <v>35365</v>
      </c>
      <c r="O28" s="117">
        <f t="shared" si="15"/>
        <v>35400</v>
      </c>
      <c r="P28" s="275">
        <f t="shared" si="16"/>
        <v>29256.198347107438</v>
      </c>
      <c r="Q28" s="524">
        <f t="shared" si="9"/>
        <v>0.74353157788105617</v>
      </c>
      <c r="R28" s="524">
        <f t="shared" si="17"/>
        <v>0.42645145480225993</v>
      </c>
    </row>
    <row r="29" spans="1:18">
      <c r="A29" s="36">
        <v>20628</v>
      </c>
      <c r="B29" s="577" t="s">
        <v>2306</v>
      </c>
      <c r="C29" s="578">
        <v>10625</v>
      </c>
      <c r="D29" s="275">
        <f t="shared" si="10"/>
        <v>10093.75</v>
      </c>
      <c r="E29" s="275">
        <f t="shared" si="11"/>
        <v>10093.75</v>
      </c>
      <c r="F29" s="463">
        <v>15140.625</v>
      </c>
      <c r="G29" s="275">
        <f t="shared" si="12"/>
        <v>18320.15625</v>
      </c>
      <c r="H29" s="275">
        <f>((F29-(F29*Varta!H$3)))</f>
        <v>14383.59375</v>
      </c>
      <c r="I29" s="275">
        <f>(H29-(H29*Varta!I$3))</f>
        <v>13952.0859375</v>
      </c>
      <c r="J29" s="276">
        <f t="shared" si="13"/>
        <v>0.38224999999999998</v>
      </c>
      <c r="K29" s="276">
        <f t="shared" si="14"/>
        <v>0.27654187013926568</v>
      </c>
      <c r="L29" s="276"/>
      <c r="M29" s="463"/>
      <c r="N29" s="463">
        <v>21175</v>
      </c>
      <c r="O29" s="117">
        <f t="shared" si="15"/>
        <v>21200</v>
      </c>
      <c r="P29" s="275">
        <f t="shared" si="16"/>
        <v>17520.661157024795</v>
      </c>
      <c r="Q29" s="524">
        <f t="shared" si="9"/>
        <v>0.73579305580431409</v>
      </c>
      <c r="R29" s="524">
        <f t="shared" si="17"/>
        <v>0.42389445754716987</v>
      </c>
    </row>
    <row r="30" spans="1:18">
      <c r="A30" s="36">
        <v>8931</v>
      </c>
      <c r="B30" s="577" t="s">
        <v>2307</v>
      </c>
      <c r="C30" s="578">
        <v>15048</v>
      </c>
      <c r="D30" s="275">
        <f t="shared" si="10"/>
        <v>14295.6</v>
      </c>
      <c r="E30" s="275">
        <f t="shared" si="11"/>
        <v>14295.6</v>
      </c>
      <c r="F30" s="463">
        <v>21443.4</v>
      </c>
      <c r="G30" s="275">
        <f t="shared" si="12"/>
        <v>25946.513999999999</v>
      </c>
      <c r="H30" s="275">
        <f>((F30-(F30*Varta!H$3)))</f>
        <v>20371.230000000003</v>
      </c>
      <c r="I30" s="275">
        <f>(H30-(H30*Varta!I$3))</f>
        <v>19760.093100000002</v>
      </c>
      <c r="J30" s="276">
        <f t="shared" si="13"/>
        <v>0.38225000000000009</v>
      </c>
      <c r="K30" s="276">
        <f t="shared" si="14"/>
        <v>0.27654187013926573</v>
      </c>
      <c r="L30" s="276"/>
      <c r="M30" s="463"/>
      <c r="N30" s="463">
        <v>25575.000000000004</v>
      </c>
      <c r="O30" s="117">
        <f t="shared" si="15"/>
        <v>25600</v>
      </c>
      <c r="P30" s="275">
        <f t="shared" si="16"/>
        <v>21157.024793388431</v>
      </c>
      <c r="Q30" s="524">
        <f t="shared" si="9"/>
        <v>0.47996759795940225</v>
      </c>
      <c r="R30" s="524">
        <f t="shared" si="17"/>
        <v>0.32430953125</v>
      </c>
    </row>
    <row r="31" spans="1:18">
      <c r="A31" s="36">
        <v>2505</v>
      </c>
      <c r="B31" s="577" t="s">
        <v>2308</v>
      </c>
      <c r="C31" s="578">
        <v>9262</v>
      </c>
      <c r="D31" s="275">
        <f t="shared" si="10"/>
        <v>8798.9</v>
      </c>
      <c r="E31" s="275">
        <f t="shared" si="11"/>
        <v>8798.9</v>
      </c>
      <c r="F31" s="463">
        <v>13198.349999999999</v>
      </c>
      <c r="G31" s="275">
        <f t="shared" si="12"/>
        <v>15970.003499999997</v>
      </c>
      <c r="H31" s="275">
        <f>((F31-(F31*Varta!H$3)))</f>
        <v>12538.432499999999</v>
      </c>
      <c r="I31" s="275">
        <f>(H31-(H31*Varta!I$3))</f>
        <v>12162.279524999998</v>
      </c>
      <c r="J31" s="276">
        <f t="shared" si="13"/>
        <v>0.38224999999999987</v>
      </c>
      <c r="K31" s="276">
        <f t="shared" si="14"/>
        <v>0.27654187013926562</v>
      </c>
      <c r="L31" s="276"/>
      <c r="M31" s="463"/>
      <c r="N31" s="463">
        <v>24090.000000000004</v>
      </c>
      <c r="O31" s="117">
        <f t="shared" si="15"/>
        <v>24100</v>
      </c>
      <c r="P31" s="275">
        <f t="shared" si="16"/>
        <v>19917.355371900827</v>
      </c>
      <c r="Q31" s="524">
        <f t="shared" si="9"/>
        <v>1.2636187900647613</v>
      </c>
      <c r="R31" s="524">
        <f t="shared" si="17"/>
        <v>0.5582295020746888</v>
      </c>
    </row>
    <row r="32" spans="1:18">
      <c r="A32" s="958">
        <v>2657</v>
      </c>
      <c r="B32" s="899" t="s">
        <v>2309</v>
      </c>
      <c r="C32" s="900">
        <v>15080</v>
      </c>
      <c r="D32" s="275">
        <f t="shared" si="10"/>
        <v>14326</v>
      </c>
      <c r="E32" s="901">
        <f t="shared" si="11"/>
        <v>14326</v>
      </c>
      <c r="F32" s="463">
        <v>21489</v>
      </c>
      <c r="G32" s="275">
        <f t="shared" si="12"/>
        <v>26001.69</v>
      </c>
      <c r="H32" s="275">
        <f>((F32-(F32*Varta!H$3)))</f>
        <v>20414.55</v>
      </c>
      <c r="I32" s="275">
        <f>(H32-(H32*Varta!I$3))</f>
        <v>19802.113499999999</v>
      </c>
      <c r="J32" s="276">
        <f t="shared" si="13"/>
        <v>0.38224999999999998</v>
      </c>
      <c r="K32" s="276">
        <f t="shared" si="14"/>
        <v>0.27654187013926568</v>
      </c>
      <c r="L32" s="276"/>
      <c r="M32" s="463"/>
      <c r="N32" s="463">
        <v>25900</v>
      </c>
      <c r="O32" s="117">
        <f t="shared" si="15"/>
        <v>25900</v>
      </c>
      <c r="P32" s="275">
        <f t="shared" si="16"/>
        <v>21404.958677685951</v>
      </c>
      <c r="Q32" s="524">
        <f t="shared" si="9"/>
        <v>0.4941336505434839</v>
      </c>
      <c r="R32" s="524">
        <f t="shared" si="17"/>
        <v>0.33071583011583011</v>
      </c>
    </row>
    <row r="33" spans="1:18" s="921" customFormat="1">
      <c r="A33" s="957">
        <v>2506</v>
      </c>
      <c r="B33" s="954" t="s">
        <v>2310</v>
      </c>
      <c r="C33" s="955"/>
      <c r="D33" s="114"/>
      <c r="E33" s="879"/>
      <c r="F33" s="427"/>
      <c r="G33" s="114"/>
      <c r="H33" s="114"/>
      <c r="I33" s="114"/>
      <c r="J33" s="249"/>
      <c r="K33" s="249"/>
      <c r="L33" s="249"/>
      <c r="M33" s="427"/>
      <c r="N33" s="427"/>
      <c r="O33" s="386"/>
      <c r="P33" s="114"/>
      <c r="Q33" s="956"/>
      <c r="R33" s="956"/>
    </row>
    <row r="34" spans="1:18">
      <c r="A34" s="105" t="s">
        <v>1211</v>
      </c>
      <c r="B34" s="138">
        <v>45762</v>
      </c>
      <c r="C34" s="921"/>
      <c r="D34" s="921"/>
      <c r="E34" s="921"/>
      <c r="F34" s="921"/>
      <c r="G34" s="921"/>
      <c r="H34" s="921"/>
      <c r="I34" s="921"/>
      <c r="J34" s="921"/>
      <c r="K34" s="921"/>
      <c r="L34" s="921"/>
      <c r="M34" s="921"/>
      <c r="N34" s="921"/>
      <c r="O34" s="921"/>
      <c r="P34" s="921"/>
      <c r="Q34" s="921"/>
      <c r="R34" s="921"/>
    </row>
    <row r="35" spans="1:18">
      <c r="A35" s="921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</row>
    <row r="36" spans="1:18">
      <c r="A36" s="113" t="s">
        <v>0</v>
      </c>
      <c r="B36" s="113" t="s">
        <v>19</v>
      </c>
      <c r="C36" s="113" t="s">
        <v>2311</v>
      </c>
      <c r="D36" s="113" t="s">
        <v>193</v>
      </c>
      <c r="E36" s="686">
        <v>0</v>
      </c>
      <c r="F36" s="113"/>
      <c r="G36" s="113"/>
      <c r="H36" s="113"/>
      <c r="I36" s="113"/>
      <c r="J36" s="274">
        <v>0.05</v>
      </c>
      <c r="K36" s="113"/>
      <c r="L36" s="113"/>
      <c r="M36" s="113"/>
      <c r="N36" s="113"/>
      <c r="O36" s="113"/>
      <c r="P36" s="113"/>
      <c r="Q36" s="113"/>
      <c r="R36" s="113"/>
    </row>
    <row r="37" spans="1:18" ht="16.2">
      <c r="A37" s="113" t="s">
        <v>1213</v>
      </c>
      <c r="B37" s="113" t="s">
        <v>2312</v>
      </c>
      <c r="C37" s="113" t="s">
        <v>2313</v>
      </c>
      <c r="D37" s="113">
        <v>4813.2299999999996</v>
      </c>
      <c r="E37" s="113">
        <f>(D37-(D37*E$36))</f>
        <v>4813.2299999999996</v>
      </c>
      <c r="F37" s="113">
        <v>7701.1679999999997</v>
      </c>
      <c r="G37" s="940">
        <f>(F37*1.21)</f>
        <v>9318.4132799999988</v>
      </c>
      <c r="H37" s="940">
        <f>'Terminales - Liquimoly - Bari'!F37-(F37*Varta!H$3)</f>
        <v>7316.1095999999998</v>
      </c>
      <c r="I37" s="940">
        <f>(H37-(H37*Varta!I$3))</f>
        <v>7096.6263119999994</v>
      </c>
      <c r="J37" s="941">
        <f>(I37*J$36)</f>
        <v>354.83131559999998</v>
      </c>
      <c r="K37" s="941">
        <f>(I37-J37)</f>
        <v>6741.794996399999</v>
      </c>
      <c r="L37" s="136">
        <f>(I37-D37)/D37</f>
        <v>0.47439999999999999</v>
      </c>
      <c r="M37" s="137">
        <f>(K37-D37)/K37</f>
        <v>0.28606105605848586</v>
      </c>
      <c r="N37" s="275">
        <v>13000</v>
      </c>
      <c r="O37" s="384">
        <f>CEILING(N37,50)</f>
        <v>13000</v>
      </c>
      <c r="P37" s="275">
        <f>(O37/1.21)</f>
        <v>10743.801652892562</v>
      </c>
      <c r="Q37" s="524">
        <f t="shared" ref="Q37:Q58" si="18">(P37-D37)/D37</f>
        <v>1.2321396760372063</v>
      </c>
      <c r="R37" s="524">
        <f t="shared" ref="R37:R58" si="19">(P37-D37)/P37</f>
        <v>0.55199936153846152</v>
      </c>
    </row>
    <row r="38" spans="1:18" ht="16.2">
      <c r="A38" s="113" t="s">
        <v>1215</v>
      </c>
      <c r="B38" s="113" t="s">
        <v>2314</v>
      </c>
      <c r="C38" s="113" t="s">
        <v>2315</v>
      </c>
      <c r="D38" s="113">
        <v>4813.2299999999996</v>
      </c>
      <c r="E38" s="113">
        <f t="shared" ref="E38:E71" si="20">(D38-(D38*E$36))</f>
        <v>4813.2299999999996</v>
      </c>
      <c r="F38" s="113">
        <v>7701.1679999999997</v>
      </c>
      <c r="G38" s="940">
        <f t="shared" ref="G38:G71" si="21">(F38*1.21)</f>
        <v>9318.4132799999988</v>
      </c>
      <c r="H38" s="940">
        <f>'Terminales - Liquimoly - Bari'!F38-(F38*Varta!H$3)</f>
        <v>7316.1095999999998</v>
      </c>
      <c r="I38" s="940">
        <f>(H38-(H38*Varta!I$3))</f>
        <v>7096.6263119999994</v>
      </c>
      <c r="J38" s="941">
        <f t="shared" ref="J38:J71" si="22">(I38*J$36)</f>
        <v>354.83131559999998</v>
      </c>
      <c r="K38" s="941">
        <f t="shared" ref="K38:K71" si="23">(I38-J38)</f>
        <v>6741.794996399999</v>
      </c>
      <c r="L38" s="136">
        <f t="shared" ref="L38:L71" si="24">(I38-D38)/D38</f>
        <v>0.47439999999999999</v>
      </c>
      <c r="M38" s="137">
        <f t="shared" ref="M38:M71" si="25">(K38-D38)/K38</f>
        <v>0.28606105605848586</v>
      </c>
      <c r="N38" s="275">
        <v>13000</v>
      </c>
      <c r="O38" s="384">
        <f t="shared" ref="O38:O71" si="26">CEILING(N38,50)</f>
        <v>13000</v>
      </c>
      <c r="P38" s="275">
        <f t="shared" ref="P38:P67" si="27">(O38/1.21)</f>
        <v>10743.801652892562</v>
      </c>
      <c r="Q38" s="524">
        <f t="shared" si="18"/>
        <v>1.2321396760372063</v>
      </c>
      <c r="R38" s="524">
        <f t="shared" si="19"/>
        <v>0.55199936153846152</v>
      </c>
    </row>
    <row r="39" spans="1:18" ht="16.2">
      <c r="A39" s="113" t="s">
        <v>1217</v>
      </c>
      <c r="B39" s="113" t="s">
        <v>2316</v>
      </c>
      <c r="C39" s="113" t="s">
        <v>2317</v>
      </c>
      <c r="D39" s="113">
        <v>4813.2299999999996</v>
      </c>
      <c r="E39" s="113">
        <f t="shared" si="20"/>
        <v>4813.2299999999996</v>
      </c>
      <c r="F39" s="113">
        <v>7701.1679999999997</v>
      </c>
      <c r="G39" s="940">
        <f t="shared" si="21"/>
        <v>9318.4132799999988</v>
      </c>
      <c r="H39" s="940">
        <f>'Terminales - Liquimoly - Bari'!F39-(F39*Varta!H$3)</f>
        <v>7316.1095999999998</v>
      </c>
      <c r="I39" s="940">
        <f>(H39-(H39*Varta!I$3))</f>
        <v>7096.6263119999994</v>
      </c>
      <c r="J39" s="941">
        <f t="shared" si="22"/>
        <v>354.83131559999998</v>
      </c>
      <c r="K39" s="941">
        <f t="shared" si="23"/>
        <v>6741.794996399999</v>
      </c>
      <c r="L39" s="136">
        <f t="shared" si="24"/>
        <v>0.47439999999999999</v>
      </c>
      <c r="M39" s="137">
        <f t="shared" si="25"/>
        <v>0.28606105605848586</v>
      </c>
      <c r="N39" s="275">
        <v>13000</v>
      </c>
      <c r="O39" s="384">
        <f t="shared" si="26"/>
        <v>13000</v>
      </c>
      <c r="P39" s="275">
        <f t="shared" si="27"/>
        <v>10743.801652892562</v>
      </c>
      <c r="Q39" s="524">
        <f t="shared" si="18"/>
        <v>1.2321396760372063</v>
      </c>
      <c r="R39" s="524">
        <f t="shared" si="19"/>
        <v>0.55199936153846152</v>
      </c>
    </row>
    <row r="40" spans="1:18" ht="16.2">
      <c r="A40" s="113" t="s">
        <v>1219</v>
      </c>
      <c r="B40" s="113" t="s">
        <v>2318</v>
      </c>
      <c r="C40" s="113" t="s">
        <v>2319</v>
      </c>
      <c r="D40" s="113">
        <v>4813.2299999999996</v>
      </c>
      <c r="E40" s="113">
        <f t="shared" si="20"/>
        <v>4813.2299999999996</v>
      </c>
      <c r="F40" s="113">
        <v>7701.1679999999997</v>
      </c>
      <c r="G40" s="940">
        <f t="shared" si="21"/>
        <v>9318.4132799999988</v>
      </c>
      <c r="H40" s="940">
        <f>'Terminales - Liquimoly - Bari'!F40-(F40*Varta!H$3)</f>
        <v>7316.1095999999998</v>
      </c>
      <c r="I40" s="940">
        <f>(H40-(H40*Varta!I$3))</f>
        <v>7096.6263119999994</v>
      </c>
      <c r="J40" s="941">
        <f t="shared" si="22"/>
        <v>354.83131559999998</v>
      </c>
      <c r="K40" s="941">
        <f t="shared" si="23"/>
        <v>6741.794996399999</v>
      </c>
      <c r="L40" s="136">
        <f t="shared" si="24"/>
        <v>0.47439999999999999</v>
      </c>
      <c r="M40" s="137">
        <f t="shared" si="25"/>
        <v>0.28606105605848586</v>
      </c>
      <c r="N40" s="275">
        <v>13000</v>
      </c>
      <c r="O40" s="384">
        <f t="shared" si="26"/>
        <v>13000</v>
      </c>
      <c r="P40" s="275">
        <f t="shared" si="27"/>
        <v>10743.801652892562</v>
      </c>
      <c r="Q40" s="524">
        <f t="shared" si="18"/>
        <v>1.2321396760372063</v>
      </c>
      <c r="R40" s="524">
        <f t="shared" si="19"/>
        <v>0.55199936153846152</v>
      </c>
    </row>
    <row r="41" spans="1:18" ht="16.2">
      <c r="A41" s="113" t="s">
        <v>1221</v>
      </c>
      <c r="B41" s="113" t="s">
        <v>2320</v>
      </c>
      <c r="C41" s="113" t="s">
        <v>2321</v>
      </c>
      <c r="D41" s="113">
        <v>4813.2299999999996</v>
      </c>
      <c r="E41" s="113">
        <f t="shared" si="20"/>
        <v>4813.2299999999996</v>
      </c>
      <c r="F41" s="113">
        <v>7701.1679999999997</v>
      </c>
      <c r="G41" s="940">
        <f t="shared" si="21"/>
        <v>9318.4132799999988</v>
      </c>
      <c r="H41" s="940">
        <f>'Terminales - Liquimoly - Bari'!F41-(F41*Varta!H$3)</f>
        <v>7316.1095999999998</v>
      </c>
      <c r="I41" s="940">
        <f>(H41-(H41*Varta!I$3))</f>
        <v>7096.6263119999994</v>
      </c>
      <c r="J41" s="941">
        <f t="shared" si="22"/>
        <v>354.83131559999998</v>
      </c>
      <c r="K41" s="941">
        <f t="shared" si="23"/>
        <v>6741.794996399999</v>
      </c>
      <c r="L41" s="136">
        <f t="shared" si="24"/>
        <v>0.47439999999999999</v>
      </c>
      <c r="M41" s="137">
        <f t="shared" si="25"/>
        <v>0.28606105605848586</v>
      </c>
      <c r="N41" s="275">
        <v>13000</v>
      </c>
      <c r="O41" s="384">
        <f t="shared" si="26"/>
        <v>13000</v>
      </c>
      <c r="P41" s="275">
        <f t="shared" si="27"/>
        <v>10743.801652892562</v>
      </c>
      <c r="Q41" s="524">
        <f t="shared" si="18"/>
        <v>1.2321396760372063</v>
      </c>
      <c r="R41" s="524">
        <f t="shared" si="19"/>
        <v>0.55199936153846152</v>
      </c>
    </row>
    <row r="42" spans="1:18" ht="16.2">
      <c r="A42" s="113" t="s">
        <v>1223</v>
      </c>
      <c r="B42" s="113" t="s">
        <v>2322</v>
      </c>
      <c r="C42" s="113" t="s">
        <v>2323</v>
      </c>
      <c r="D42" s="113">
        <v>4813.2299999999996</v>
      </c>
      <c r="E42" s="113">
        <f t="shared" si="20"/>
        <v>4813.2299999999996</v>
      </c>
      <c r="F42" s="113">
        <v>7701.1679999999997</v>
      </c>
      <c r="G42" s="940">
        <f t="shared" si="21"/>
        <v>9318.4132799999988</v>
      </c>
      <c r="H42" s="940">
        <f>'Terminales - Liquimoly - Bari'!F42-(F42*Varta!H$3)</f>
        <v>7316.1095999999998</v>
      </c>
      <c r="I42" s="940">
        <f>(H42-(H42*Varta!I$3))</f>
        <v>7096.6263119999994</v>
      </c>
      <c r="J42" s="941">
        <f t="shared" si="22"/>
        <v>354.83131559999998</v>
      </c>
      <c r="K42" s="941">
        <f t="shared" si="23"/>
        <v>6741.794996399999</v>
      </c>
      <c r="L42" s="136">
        <f t="shared" si="24"/>
        <v>0.47439999999999999</v>
      </c>
      <c r="M42" s="137">
        <f t="shared" si="25"/>
        <v>0.28606105605848586</v>
      </c>
      <c r="N42" s="275">
        <v>13000</v>
      </c>
      <c r="O42" s="384">
        <f t="shared" si="26"/>
        <v>13000</v>
      </c>
      <c r="P42" s="275">
        <f t="shared" si="27"/>
        <v>10743.801652892562</v>
      </c>
      <c r="Q42" s="524">
        <f t="shared" si="18"/>
        <v>1.2321396760372063</v>
      </c>
      <c r="R42" s="524">
        <f t="shared" si="19"/>
        <v>0.55199936153846152</v>
      </c>
    </row>
    <row r="43" spans="1:18" ht="16.2">
      <c r="A43" s="113" t="s">
        <v>1225</v>
      </c>
      <c r="B43" s="113" t="s">
        <v>2324</v>
      </c>
      <c r="C43" s="113" t="s">
        <v>2325</v>
      </c>
      <c r="D43" s="113">
        <v>4813.2299999999996</v>
      </c>
      <c r="E43" s="113">
        <f t="shared" si="20"/>
        <v>4813.2299999999996</v>
      </c>
      <c r="F43" s="113">
        <v>7701.1679999999997</v>
      </c>
      <c r="G43" s="940">
        <f t="shared" si="21"/>
        <v>9318.4132799999988</v>
      </c>
      <c r="H43" s="940">
        <f>'Terminales - Liquimoly - Bari'!F43-(F43*Varta!H$3)</f>
        <v>7316.1095999999998</v>
      </c>
      <c r="I43" s="940">
        <f>(H43-(H43*Varta!I$3))</f>
        <v>7096.6263119999994</v>
      </c>
      <c r="J43" s="941">
        <f t="shared" si="22"/>
        <v>354.83131559999998</v>
      </c>
      <c r="K43" s="941">
        <f t="shared" si="23"/>
        <v>6741.794996399999</v>
      </c>
      <c r="L43" s="136">
        <f t="shared" si="24"/>
        <v>0.47439999999999999</v>
      </c>
      <c r="M43" s="137">
        <f t="shared" si="25"/>
        <v>0.28606105605848586</v>
      </c>
      <c r="N43" s="275">
        <v>13000</v>
      </c>
      <c r="O43" s="384">
        <f t="shared" si="26"/>
        <v>13000</v>
      </c>
      <c r="P43" s="275">
        <f t="shared" si="27"/>
        <v>10743.801652892562</v>
      </c>
      <c r="Q43" s="524">
        <f t="shared" si="18"/>
        <v>1.2321396760372063</v>
      </c>
      <c r="R43" s="524">
        <f t="shared" si="19"/>
        <v>0.55199936153846152</v>
      </c>
    </row>
    <row r="44" spans="1:18" ht="16.2">
      <c r="A44" s="113" t="s">
        <v>1227</v>
      </c>
      <c r="B44" s="113" t="s">
        <v>2326</v>
      </c>
      <c r="C44" s="113" t="s">
        <v>2327</v>
      </c>
      <c r="D44" s="113">
        <v>4813.2299999999996</v>
      </c>
      <c r="E44" s="113">
        <f t="shared" si="20"/>
        <v>4813.2299999999996</v>
      </c>
      <c r="F44" s="113">
        <v>7701.1679999999997</v>
      </c>
      <c r="G44" s="940">
        <f t="shared" si="21"/>
        <v>9318.4132799999988</v>
      </c>
      <c r="H44" s="940">
        <f>'Terminales - Liquimoly - Bari'!F44-(F44*Varta!H$3)</f>
        <v>7316.1095999999998</v>
      </c>
      <c r="I44" s="940">
        <f>(H44-(H44*Varta!I$3))</f>
        <v>7096.6263119999994</v>
      </c>
      <c r="J44" s="941">
        <f t="shared" si="22"/>
        <v>354.83131559999998</v>
      </c>
      <c r="K44" s="941">
        <f t="shared" si="23"/>
        <v>6741.794996399999</v>
      </c>
      <c r="L44" s="136">
        <f t="shared" si="24"/>
        <v>0.47439999999999999</v>
      </c>
      <c r="M44" s="137">
        <f t="shared" si="25"/>
        <v>0.28606105605848586</v>
      </c>
      <c r="N44" s="275">
        <v>13000</v>
      </c>
      <c r="O44" s="384">
        <f t="shared" si="26"/>
        <v>13000</v>
      </c>
      <c r="P44" s="275">
        <f t="shared" si="27"/>
        <v>10743.801652892562</v>
      </c>
      <c r="Q44" s="524">
        <f t="shared" si="18"/>
        <v>1.2321396760372063</v>
      </c>
      <c r="R44" s="524">
        <f t="shared" si="19"/>
        <v>0.55199936153846152</v>
      </c>
    </row>
    <row r="45" spans="1:18" ht="16.2">
      <c r="A45" s="113" t="s">
        <v>1229</v>
      </c>
      <c r="B45" s="113" t="s">
        <v>2328</v>
      </c>
      <c r="C45" s="113" t="s">
        <v>2329</v>
      </c>
      <c r="D45" s="113">
        <v>4813.2299999999996</v>
      </c>
      <c r="E45" s="113">
        <f t="shared" si="20"/>
        <v>4813.2299999999996</v>
      </c>
      <c r="F45" s="113">
        <v>7701.1679999999997</v>
      </c>
      <c r="G45" s="940">
        <f t="shared" si="21"/>
        <v>9318.4132799999988</v>
      </c>
      <c r="H45" s="940">
        <f>'Terminales - Liquimoly - Bari'!F45-(F45*Varta!H$3)</f>
        <v>7316.1095999999998</v>
      </c>
      <c r="I45" s="940">
        <f>(H45-(H45*Varta!I$3))</f>
        <v>7096.6263119999994</v>
      </c>
      <c r="J45" s="941">
        <f t="shared" si="22"/>
        <v>354.83131559999998</v>
      </c>
      <c r="K45" s="941">
        <f t="shared" si="23"/>
        <v>6741.794996399999</v>
      </c>
      <c r="L45" s="136">
        <f t="shared" si="24"/>
        <v>0.47439999999999999</v>
      </c>
      <c r="M45" s="137">
        <f t="shared" si="25"/>
        <v>0.28606105605848586</v>
      </c>
      <c r="N45" s="275">
        <v>13000</v>
      </c>
      <c r="O45" s="384">
        <f t="shared" si="26"/>
        <v>13000</v>
      </c>
      <c r="P45" s="275">
        <f t="shared" si="27"/>
        <v>10743.801652892562</v>
      </c>
      <c r="Q45" s="524">
        <f t="shared" si="18"/>
        <v>1.2321396760372063</v>
      </c>
      <c r="R45" s="524">
        <f t="shared" si="19"/>
        <v>0.55199936153846152</v>
      </c>
    </row>
    <row r="46" spans="1:18" ht="16.2">
      <c r="A46" s="113" t="s">
        <v>1231</v>
      </c>
      <c r="B46" s="113" t="s">
        <v>2330</v>
      </c>
      <c r="C46" s="113" t="s">
        <v>2331</v>
      </c>
      <c r="D46" s="113">
        <v>4813.2299999999996</v>
      </c>
      <c r="E46" s="113">
        <f t="shared" si="20"/>
        <v>4813.2299999999996</v>
      </c>
      <c r="F46" s="113">
        <v>7701.1679999999997</v>
      </c>
      <c r="G46" s="940">
        <f t="shared" si="21"/>
        <v>9318.4132799999988</v>
      </c>
      <c r="H46" s="940">
        <f>'Terminales - Liquimoly - Bari'!F46-(F46*Varta!H$3)</f>
        <v>7316.1095999999998</v>
      </c>
      <c r="I46" s="940">
        <f>(H46-(H46*Varta!I$3))</f>
        <v>7096.6263119999994</v>
      </c>
      <c r="J46" s="941">
        <f t="shared" si="22"/>
        <v>354.83131559999998</v>
      </c>
      <c r="K46" s="941">
        <f t="shared" si="23"/>
        <v>6741.794996399999</v>
      </c>
      <c r="L46" s="136">
        <f t="shared" si="24"/>
        <v>0.47439999999999999</v>
      </c>
      <c r="M46" s="137">
        <f t="shared" si="25"/>
        <v>0.28606105605848586</v>
      </c>
      <c r="N46" s="275">
        <v>13000</v>
      </c>
      <c r="O46" s="384">
        <f t="shared" si="26"/>
        <v>13000</v>
      </c>
      <c r="P46" s="275">
        <f t="shared" si="27"/>
        <v>10743.801652892562</v>
      </c>
      <c r="Q46" s="524">
        <f t="shared" si="18"/>
        <v>1.2321396760372063</v>
      </c>
      <c r="R46" s="524">
        <f t="shared" si="19"/>
        <v>0.55199936153846152</v>
      </c>
    </row>
    <row r="47" spans="1:18" ht="16.2">
      <c r="A47" s="113" t="s">
        <v>1233</v>
      </c>
      <c r="B47" s="113" t="s">
        <v>2332</v>
      </c>
      <c r="C47" s="113" t="s">
        <v>2333</v>
      </c>
      <c r="D47" s="113">
        <v>4813.2299999999996</v>
      </c>
      <c r="E47" s="113">
        <f t="shared" si="20"/>
        <v>4813.2299999999996</v>
      </c>
      <c r="F47" s="113">
        <v>7701.1679999999997</v>
      </c>
      <c r="G47" s="940">
        <f t="shared" si="21"/>
        <v>9318.4132799999988</v>
      </c>
      <c r="H47" s="940">
        <f>'Terminales - Liquimoly - Bari'!F47-(F47*Varta!H$3)</f>
        <v>7316.1095999999998</v>
      </c>
      <c r="I47" s="940">
        <f>(H47-(H47*Varta!I$3))</f>
        <v>7096.6263119999994</v>
      </c>
      <c r="J47" s="941">
        <f t="shared" si="22"/>
        <v>354.83131559999998</v>
      </c>
      <c r="K47" s="941">
        <f t="shared" si="23"/>
        <v>6741.794996399999</v>
      </c>
      <c r="L47" s="136">
        <f t="shared" si="24"/>
        <v>0.47439999999999999</v>
      </c>
      <c r="M47" s="137">
        <f t="shared" si="25"/>
        <v>0.28606105605848586</v>
      </c>
      <c r="N47" s="275">
        <v>13000</v>
      </c>
      <c r="O47" s="384">
        <f t="shared" si="26"/>
        <v>13000</v>
      </c>
      <c r="P47" s="275">
        <f t="shared" si="27"/>
        <v>10743.801652892562</v>
      </c>
      <c r="Q47" s="524">
        <f t="shared" si="18"/>
        <v>1.2321396760372063</v>
      </c>
      <c r="R47" s="524">
        <f t="shared" si="19"/>
        <v>0.55199936153846152</v>
      </c>
    </row>
    <row r="48" spans="1:18" ht="16.2">
      <c r="A48" s="113" t="s">
        <v>1235</v>
      </c>
      <c r="B48" s="113" t="s">
        <v>2334</v>
      </c>
      <c r="C48" s="113" t="s">
        <v>2335</v>
      </c>
      <c r="D48" s="113">
        <v>5706</v>
      </c>
      <c r="E48" s="113">
        <f t="shared" si="20"/>
        <v>5706</v>
      </c>
      <c r="F48" s="113">
        <v>9129.6</v>
      </c>
      <c r="G48" s="940">
        <f t="shared" si="21"/>
        <v>11046.816000000001</v>
      </c>
      <c r="H48" s="940">
        <f>'Terminales - Liquimoly - Bari'!F48-(F48*Varta!H$3)</f>
        <v>8673.1200000000008</v>
      </c>
      <c r="I48" s="940">
        <f>(H48-(H48*Varta!I$3))</f>
        <v>8412.9264000000003</v>
      </c>
      <c r="J48" s="941">
        <f t="shared" si="22"/>
        <v>420.64632000000006</v>
      </c>
      <c r="K48" s="941">
        <f t="shared" si="23"/>
        <v>7992.2800800000005</v>
      </c>
      <c r="L48" s="136">
        <f t="shared" si="24"/>
        <v>0.47440000000000004</v>
      </c>
      <c r="M48" s="137">
        <f t="shared" si="25"/>
        <v>0.28606105605848592</v>
      </c>
      <c r="N48" s="275">
        <v>13000</v>
      </c>
      <c r="O48" s="384">
        <f t="shared" si="26"/>
        <v>13000</v>
      </c>
      <c r="P48" s="275">
        <f t="shared" si="27"/>
        <v>10743.801652892562</v>
      </c>
      <c r="Q48" s="524">
        <f t="shared" si="18"/>
        <v>0.88289548771338278</v>
      </c>
      <c r="R48" s="524">
        <f t="shared" si="19"/>
        <v>0.46890307692307692</v>
      </c>
    </row>
    <row r="49" spans="1:18" ht="16.2">
      <c r="A49" s="113" t="s">
        <v>1237</v>
      </c>
      <c r="B49" s="113" t="s">
        <v>2336</v>
      </c>
      <c r="C49" s="113" t="s">
        <v>2337</v>
      </c>
      <c r="D49" s="113">
        <v>5783.63</v>
      </c>
      <c r="E49" s="113">
        <f t="shared" si="20"/>
        <v>5783.63</v>
      </c>
      <c r="F49" s="113">
        <v>9253.8080000000009</v>
      </c>
      <c r="G49" s="940">
        <f t="shared" si="21"/>
        <v>11197.107680000001</v>
      </c>
      <c r="H49" s="940">
        <f>'Terminales - Liquimoly - Bari'!F49-(F49*Varta!H$3)</f>
        <v>8791.1176000000014</v>
      </c>
      <c r="I49" s="940">
        <f>(H49-(H49*Varta!I$3))</f>
        <v>8527.3840720000007</v>
      </c>
      <c r="J49" s="941">
        <f t="shared" si="22"/>
        <v>426.36920360000005</v>
      </c>
      <c r="K49" s="941">
        <f t="shared" si="23"/>
        <v>8101.0148684000005</v>
      </c>
      <c r="L49" s="136">
        <f>(I49-D49)/D49</f>
        <v>0.4744000000000001</v>
      </c>
      <c r="M49" s="137">
        <f t="shared" si="25"/>
        <v>0.28606105605848592</v>
      </c>
      <c r="N49" s="275">
        <v>13000</v>
      </c>
      <c r="O49" s="384">
        <f t="shared" si="26"/>
        <v>13000</v>
      </c>
      <c r="P49" s="275">
        <f t="shared" si="27"/>
        <v>10743.801652892562</v>
      </c>
      <c r="Q49" s="524">
        <f t="shared" si="18"/>
        <v>0.85762257490409344</v>
      </c>
      <c r="R49" s="524">
        <f t="shared" si="19"/>
        <v>0.46167751538461538</v>
      </c>
    </row>
    <row r="50" spans="1:18" ht="16.2">
      <c r="A50" s="113" t="s">
        <v>1239</v>
      </c>
      <c r="B50" s="113" t="s">
        <v>2338</v>
      </c>
      <c r="C50" s="113" t="s">
        <v>2339</v>
      </c>
      <c r="D50" s="113">
        <v>5861.27</v>
      </c>
      <c r="E50" s="113">
        <f t="shared" si="20"/>
        <v>5861.27</v>
      </c>
      <c r="F50" s="113">
        <v>9378.0320000000011</v>
      </c>
      <c r="G50" s="940">
        <f t="shared" si="21"/>
        <v>11347.418720000001</v>
      </c>
      <c r="H50" s="940">
        <f>'Terminales - Liquimoly - Bari'!F50-(F50*Varta!H$3)</f>
        <v>8909.1304000000018</v>
      </c>
      <c r="I50" s="940">
        <f>(H50-(H50*Varta!I$3))</f>
        <v>8641.8564880000013</v>
      </c>
      <c r="J50" s="941">
        <f t="shared" si="22"/>
        <v>432.0928244000001</v>
      </c>
      <c r="K50" s="941">
        <f t="shared" si="23"/>
        <v>8209.7636636000007</v>
      </c>
      <c r="L50" s="136">
        <f t="shared" si="24"/>
        <v>0.4744000000000001</v>
      </c>
      <c r="M50" s="137">
        <f t="shared" si="25"/>
        <v>0.28606105605848586</v>
      </c>
      <c r="N50" s="275">
        <v>13000</v>
      </c>
      <c r="O50" s="384">
        <f t="shared" si="26"/>
        <v>13000</v>
      </c>
      <c r="P50" s="275">
        <f t="shared" si="27"/>
        <v>10743.801652892562</v>
      </c>
      <c r="Q50" s="524">
        <f t="shared" si="18"/>
        <v>0.83301599361444889</v>
      </c>
      <c r="R50" s="524">
        <f t="shared" si="19"/>
        <v>0.45445102307692303</v>
      </c>
    </row>
    <row r="51" spans="1:18" ht="16.2">
      <c r="A51" s="113" t="s">
        <v>1241</v>
      </c>
      <c r="B51" s="113" t="s">
        <v>2340</v>
      </c>
      <c r="C51" s="113" t="s">
        <v>2341</v>
      </c>
      <c r="D51" s="113">
        <v>4134.72</v>
      </c>
      <c r="E51" s="113">
        <f t="shared" si="20"/>
        <v>4134.72</v>
      </c>
      <c r="F51" s="113">
        <v>6615.5520000000006</v>
      </c>
      <c r="G51" s="940">
        <f t="shared" si="21"/>
        <v>8004.8179200000004</v>
      </c>
      <c r="H51" s="940">
        <f>'Terminales - Liquimoly - Bari'!F51-(F51*Varta!H$3)</f>
        <v>6284.7744000000002</v>
      </c>
      <c r="I51" s="940">
        <f>(H51-(H51*Varta!I$3))</f>
        <v>6096.2311680000003</v>
      </c>
      <c r="J51" s="941">
        <f t="shared" si="22"/>
        <v>304.81155840000002</v>
      </c>
      <c r="K51" s="941">
        <f t="shared" si="23"/>
        <v>5791.4196096000005</v>
      </c>
      <c r="L51" s="136">
        <f t="shared" si="24"/>
        <v>0.47439999999999999</v>
      </c>
      <c r="M51" s="137">
        <f t="shared" si="25"/>
        <v>0.28606105605848592</v>
      </c>
      <c r="N51" s="275">
        <v>9500</v>
      </c>
      <c r="O51" s="384">
        <f t="shared" si="26"/>
        <v>9500</v>
      </c>
      <c r="P51" s="275">
        <f t="shared" si="27"/>
        <v>7851.2396694214876</v>
      </c>
      <c r="Q51" s="524">
        <f t="shared" si="18"/>
        <v>0.89885643270196947</v>
      </c>
      <c r="R51" s="524">
        <f t="shared" si="19"/>
        <v>0.47336724210526315</v>
      </c>
    </row>
    <row r="52" spans="1:18" ht="16.2">
      <c r="A52" s="113" t="s">
        <v>1243</v>
      </c>
      <c r="B52" s="113" t="s">
        <v>2342</v>
      </c>
      <c r="C52" s="113" t="s">
        <v>2343</v>
      </c>
      <c r="D52" s="113">
        <v>4363.5</v>
      </c>
      <c r="E52" s="113">
        <f t="shared" si="20"/>
        <v>4363.5</v>
      </c>
      <c r="F52" s="113">
        <v>6981.6</v>
      </c>
      <c r="G52" s="940">
        <f t="shared" si="21"/>
        <v>8447.7360000000008</v>
      </c>
      <c r="H52" s="940">
        <f>'Terminales - Liquimoly - Bari'!F52-(F52*Varta!H$3)</f>
        <v>6632.52</v>
      </c>
      <c r="I52" s="940">
        <f>(H52-(H52*Varta!I$3))</f>
        <v>6433.5444000000007</v>
      </c>
      <c r="J52" s="941">
        <f t="shared" si="22"/>
        <v>321.67722000000003</v>
      </c>
      <c r="K52" s="941">
        <f t="shared" si="23"/>
        <v>6111.8671800000011</v>
      </c>
      <c r="L52" s="136">
        <f t="shared" si="24"/>
        <v>0.47440000000000015</v>
      </c>
      <c r="M52" s="137">
        <f t="shared" si="25"/>
        <v>0.28606105605848603</v>
      </c>
      <c r="N52" s="275">
        <v>9500</v>
      </c>
      <c r="O52" s="384">
        <f t="shared" si="26"/>
        <v>9500</v>
      </c>
      <c r="P52" s="275">
        <f t="shared" si="27"/>
        <v>7851.2396694214876</v>
      </c>
      <c r="Q52" s="524">
        <f t="shared" si="18"/>
        <v>0.79929865232530939</v>
      </c>
      <c r="R52" s="524">
        <f t="shared" si="19"/>
        <v>0.4442278947368421</v>
      </c>
    </row>
    <row r="53" spans="1:18" ht="16.2">
      <c r="A53" s="113" t="s">
        <v>1245</v>
      </c>
      <c r="B53" s="113" t="s">
        <v>2344</v>
      </c>
      <c r="C53" s="113" t="s">
        <v>2345</v>
      </c>
      <c r="D53" s="113">
        <v>4363.5</v>
      </c>
      <c r="E53" s="113">
        <f t="shared" si="20"/>
        <v>4363.5</v>
      </c>
      <c r="F53" s="113">
        <v>6981.6</v>
      </c>
      <c r="G53" s="940">
        <f t="shared" si="21"/>
        <v>8447.7360000000008</v>
      </c>
      <c r="H53" s="940">
        <f>'Terminales - Liquimoly - Bari'!F53-(F53*Varta!H$3)</f>
        <v>6632.52</v>
      </c>
      <c r="I53" s="940">
        <f>(H53-(H53*Varta!I$3))</f>
        <v>6433.5444000000007</v>
      </c>
      <c r="J53" s="941">
        <f t="shared" si="22"/>
        <v>321.67722000000003</v>
      </c>
      <c r="K53" s="941">
        <f t="shared" si="23"/>
        <v>6111.8671800000011</v>
      </c>
      <c r="L53" s="136">
        <f t="shared" si="24"/>
        <v>0.47440000000000015</v>
      </c>
      <c r="M53" s="137">
        <f t="shared" si="25"/>
        <v>0.28606105605848603</v>
      </c>
      <c r="N53" s="275">
        <v>9500</v>
      </c>
      <c r="O53" s="384">
        <f t="shared" si="26"/>
        <v>9500</v>
      </c>
      <c r="P53" s="275">
        <f t="shared" si="27"/>
        <v>7851.2396694214876</v>
      </c>
      <c r="Q53" s="524">
        <f t="shared" si="18"/>
        <v>0.79929865232530939</v>
      </c>
      <c r="R53" s="524">
        <f t="shared" si="19"/>
        <v>0.4442278947368421</v>
      </c>
    </row>
    <row r="54" spans="1:18" ht="16.2">
      <c r="A54" s="113" t="s">
        <v>1247</v>
      </c>
      <c r="B54" s="113" t="s">
        <v>2346</v>
      </c>
      <c r="C54" s="113" t="s">
        <v>2347</v>
      </c>
      <c r="D54" s="113">
        <v>4363.5</v>
      </c>
      <c r="E54" s="113">
        <f t="shared" si="20"/>
        <v>4363.5</v>
      </c>
      <c r="F54" s="113">
        <v>6981.6</v>
      </c>
      <c r="G54" s="940">
        <f t="shared" si="21"/>
        <v>8447.7360000000008</v>
      </c>
      <c r="H54" s="940">
        <f>'Terminales - Liquimoly - Bari'!F54-(F54*Varta!H$3)</f>
        <v>6632.52</v>
      </c>
      <c r="I54" s="940">
        <f>(H54-(H54*Varta!I$3))</f>
        <v>6433.5444000000007</v>
      </c>
      <c r="J54" s="941">
        <f t="shared" si="22"/>
        <v>321.67722000000003</v>
      </c>
      <c r="K54" s="941">
        <f t="shared" si="23"/>
        <v>6111.8671800000011</v>
      </c>
      <c r="L54" s="136">
        <f t="shared" si="24"/>
        <v>0.47440000000000015</v>
      </c>
      <c r="M54" s="137">
        <f t="shared" si="25"/>
        <v>0.28606105605848603</v>
      </c>
      <c r="N54" s="275">
        <v>9500</v>
      </c>
      <c r="O54" s="384">
        <f t="shared" si="26"/>
        <v>9500</v>
      </c>
      <c r="P54" s="275">
        <f t="shared" si="27"/>
        <v>7851.2396694214876</v>
      </c>
      <c r="Q54" s="524">
        <f t="shared" si="18"/>
        <v>0.79929865232530939</v>
      </c>
      <c r="R54" s="524">
        <f t="shared" si="19"/>
        <v>0.4442278947368421</v>
      </c>
    </row>
    <row r="55" spans="1:18" ht="16.2">
      <c r="A55" s="113" t="s">
        <v>1249</v>
      </c>
      <c r="B55" s="113" t="s">
        <v>2348</v>
      </c>
      <c r="C55" s="113" t="s">
        <v>2349</v>
      </c>
      <c r="D55" s="113">
        <v>4587.5200000000004</v>
      </c>
      <c r="E55" s="113">
        <f t="shared" si="20"/>
        <v>4587.5200000000004</v>
      </c>
      <c r="F55" s="113">
        <v>7340.0320000000011</v>
      </c>
      <c r="G55" s="940">
        <f t="shared" si="21"/>
        <v>8881.4387200000019</v>
      </c>
      <c r="H55" s="940">
        <f>'Terminales - Liquimoly - Bari'!F55-(F55*Varta!H$3)</f>
        <v>6973.0304000000015</v>
      </c>
      <c r="I55" s="940">
        <f>(H55-(H55*Varta!I$3))</f>
        <v>6763.8394880000014</v>
      </c>
      <c r="J55" s="941">
        <f t="shared" si="22"/>
        <v>338.19197440000011</v>
      </c>
      <c r="K55" s="941">
        <f t="shared" si="23"/>
        <v>6425.6475136000017</v>
      </c>
      <c r="L55" s="136">
        <f t="shared" si="24"/>
        <v>0.47440000000000015</v>
      </c>
      <c r="M55" s="137">
        <f t="shared" si="25"/>
        <v>0.28606105605848603</v>
      </c>
      <c r="N55" s="275">
        <v>9500</v>
      </c>
      <c r="O55" s="384">
        <f t="shared" si="26"/>
        <v>9500</v>
      </c>
      <c r="P55" s="275">
        <f t="shared" si="27"/>
        <v>7851.2396694214876</v>
      </c>
      <c r="Q55" s="524">
        <f t="shared" si="18"/>
        <v>0.7114344284976386</v>
      </c>
      <c r="R55" s="524">
        <f t="shared" si="19"/>
        <v>0.4156948210526315</v>
      </c>
    </row>
    <row r="56" spans="1:18" ht="16.2">
      <c r="A56" s="113" t="s">
        <v>1251</v>
      </c>
      <c r="B56" s="113" t="s">
        <v>2350</v>
      </c>
      <c r="C56" s="113" t="s">
        <v>2351</v>
      </c>
      <c r="D56" s="113">
        <v>4587.5200000000004</v>
      </c>
      <c r="E56" s="113">
        <f t="shared" si="20"/>
        <v>4587.5200000000004</v>
      </c>
      <c r="F56" s="113">
        <v>7340.0320000000011</v>
      </c>
      <c r="G56" s="940">
        <f t="shared" si="21"/>
        <v>8881.4387200000019</v>
      </c>
      <c r="H56" s="940">
        <f>'Terminales - Liquimoly - Bari'!F56-(F56*Varta!H$3)</f>
        <v>6973.0304000000015</v>
      </c>
      <c r="I56" s="940">
        <f>(H56-(H56*Varta!I$3))</f>
        <v>6763.8394880000014</v>
      </c>
      <c r="J56" s="941">
        <f t="shared" si="22"/>
        <v>338.19197440000011</v>
      </c>
      <c r="K56" s="941">
        <f t="shared" si="23"/>
        <v>6425.6475136000017</v>
      </c>
      <c r="L56" s="136">
        <f t="shared" si="24"/>
        <v>0.47440000000000015</v>
      </c>
      <c r="M56" s="137">
        <f t="shared" si="25"/>
        <v>0.28606105605848603</v>
      </c>
      <c r="N56" s="275">
        <v>9500</v>
      </c>
      <c r="O56" s="384">
        <f t="shared" si="26"/>
        <v>9500</v>
      </c>
      <c r="P56" s="275">
        <f t="shared" si="27"/>
        <v>7851.2396694214876</v>
      </c>
      <c r="Q56" s="524">
        <f t="shared" si="18"/>
        <v>0.7114344284976386</v>
      </c>
      <c r="R56" s="524">
        <f t="shared" si="19"/>
        <v>0.4156948210526315</v>
      </c>
    </row>
    <row r="57" spans="1:18" ht="16.2">
      <c r="A57" s="113" t="s">
        <v>1253</v>
      </c>
      <c r="B57" s="113" t="s">
        <v>2352</v>
      </c>
      <c r="C57" s="113" t="s">
        <v>2353</v>
      </c>
      <c r="D57" s="113">
        <v>4587.5200000000004</v>
      </c>
      <c r="E57" s="113">
        <f t="shared" si="20"/>
        <v>4587.5200000000004</v>
      </c>
      <c r="F57" s="113">
        <v>7340.0320000000011</v>
      </c>
      <c r="G57" s="940">
        <f t="shared" si="21"/>
        <v>8881.4387200000019</v>
      </c>
      <c r="H57" s="940">
        <f>'Terminales - Liquimoly - Bari'!F57-(F57*Varta!H$3)</f>
        <v>6973.0304000000015</v>
      </c>
      <c r="I57" s="940">
        <f>(H57-(H57*Varta!I$3))</f>
        <v>6763.8394880000014</v>
      </c>
      <c r="J57" s="941">
        <f t="shared" si="22"/>
        <v>338.19197440000011</v>
      </c>
      <c r="K57" s="941">
        <f t="shared" si="23"/>
        <v>6425.6475136000017</v>
      </c>
      <c r="L57" s="136">
        <f t="shared" si="24"/>
        <v>0.47440000000000015</v>
      </c>
      <c r="M57" s="137">
        <f t="shared" si="25"/>
        <v>0.28606105605848603</v>
      </c>
      <c r="N57" s="275">
        <v>9500</v>
      </c>
      <c r="O57" s="384">
        <f t="shared" si="26"/>
        <v>9500</v>
      </c>
      <c r="P57" s="275">
        <f t="shared" si="27"/>
        <v>7851.2396694214876</v>
      </c>
      <c r="Q57" s="524">
        <f t="shared" si="18"/>
        <v>0.7114344284976386</v>
      </c>
      <c r="R57" s="524">
        <f t="shared" si="19"/>
        <v>0.4156948210526315</v>
      </c>
    </row>
    <row r="58" spans="1:18" ht="16.2">
      <c r="A58" s="113" t="s">
        <v>1255</v>
      </c>
      <c r="B58" s="113" t="s">
        <v>2354</v>
      </c>
      <c r="C58" s="113" t="s">
        <v>2355</v>
      </c>
      <c r="D58" s="113">
        <v>4587.5200000000004</v>
      </c>
      <c r="E58" s="113">
        <f t="shared" si="20"/>
        <v>4587.5200000000004</v>
      </c>
      <c r="F58" s="113">
        <v>7340.0320000000011</v>
      </c>
      <c r="G58" s="940">
        <f t="shared" si="21"/>
        <v>8881.4387200000019</v>
      </c>
      <c r="H58" s="940">
        <f>'Terminales - Liquimoly - Bari'!F58-(F58*Varta!H$3)</f>
        <v>6973.0304000000015</v>
      </c>
      <c r="I58" s="940">
        <f>(H58-(H58*Varta!I$3))</f>
        <v>6763.8394880000014</v>
      </c>
      <c r="J58" s="941">
        <f t="shared" si="22"/>
        <v>338.19197440000011</v>
      </c>
      <c r="K58" s="941">
        <f t="shared" si="23"/>
        <v>6425.6475136000017</v>
      </c>
      <c r="L58" s="136">
        <f t="shared" si="24"/>
        <v>0.47440000000000015</v>
      </c>
      <c r="M58" s="137">
        <f t="shared" si="25"/>
        <v>0.28606105605848603</v>
      </c>
      <c r="N58" s="275">
        <v>9500</v>
      </c>
      <c r="O58" s="384">
        <f t="shared" si="26"/>
        <v>9500</v>
      </c>
      <c r="P58" s="275">
        <f t="shared" si="27"/>
        <v>7851.2396694214876</v>
      </c>
      <c r="Q58" s="524">
        <f t="shared" si="18"/>
        <v>0.7114344284976386</v>
      </c>
      <c r="R58" s="524">
        <f t="shared" si="19"/>
        <v>0.4156948210526315</v>
      </c>
    </row>
    <row r="59" spans="1:18" ht="16.2">
      <c r="A59" s="733"/>
      <c r="B59" s="733"/>
      <c r="C59" s="733"/>
      <c r="D59" s="733"/>
      <c r="E59" s="113">
        <f t="shared" si="20"/>
        <v>0</v>
      </c>
      <c r="F59" s="113">
        <v>0</v>
      </c>
      <c r="G59" s="940"/>
      <c r="H59" s="940">
        <f>'Terminales - Liquimoly - Bari'!F59-(F59*Varta!H$3)</f>
        <v>0</v>
      </c>
      <c r="I59" s="940">
        <f>(H59-(H59*Varta!I$3))</f>
        <v>0</v>
      </c>
      <c r="J59" s="941">
        <f t="shared" si="22"/>
        <v>0</v>
      </c>
      <c r="K59" s="941">
        <f t="shared" si="23"/>
        <v>0</v>
      </c>
      <c r="L59" s="136" t="e">
        <f t="shared" si="24"/>
        <v>#DIV/0!</v>
      </c>
      <c r="M59" s="137" t="e">
        <f t="shared" si="25"/>
        <v>#DIV/0!</v>
      </c>
      <c r="N59" s="734"/>
      <c r="O59" s="384">
        <f t="shared" si="26"/>
        <v>0</v>
      </c>
      <c r="P59" s="734"/>
      <c r="Q59" s="733"/>
      <c r="R59" s="733"/>
    </row>
    <row r="60" spans="1:18" ht="16.2">
      <c r="A60" s="921"/>
      <c r="B60" s="113"/>
      <c r="C60" s="113"/>
      <c r="D60" s="113"/>
      <c r="E60" s="113">
        <f t="shared" si="20"/>
        <v>0</v>
      </c>
      <c r="F60" s="113">
        <v>0</v>
      </c>
      <c r="G60" s="940"/>
      <c r="H60" s="940">
        <f>'Terminales - Liquimoly - Bari'!F60-(F60*Varta!H$3)</f>
        <v>0</v>
      </c>
      <c r="I60" s="940">
        <f>(H60-(H60*Varta!I$3))</f>
        <v>0</v>
      </c>
      <c r="J60" s="941">
        <f t="shared" si="22"/>
        <v>0</v>
      </c>
      <c r="K60" s="941">
        <f t="shared" si="23"/>
        <v>0</v>
      </c>
      <c r="L60" s="136" t="e">
        <f t="shared" si="24"/>
        <v>#DIV/0!</v>
      </c>
      <c r="M60" s="137" t="e">
        <f t="shared" si="25"/>
        <v>#DIV/0!</v>
      </c>
      <c r="N60" s="275"/>
      <c r="O60" s="384">
        <f t="shared" si="26"/>
        <v>0</v>
      </c>
      <c r="P60" s="275"/>
      <c r="Q60" s="113"/>
      <c r="R60" s="113"/>
    </row>
    <row r="61" spans="1:18" ht="16.2">
      <c r="A61" s="113" t="s">
        <v>0</v>
      </c>
      <c r="B61" s="113" t="s">
        <v>2311</v>
      </c>
      <c r="C61" s="113"/>
      <c r="D61" s="113" t="s">
        <v>193</v>
      </c>
      <c r="E61" s="113" t="e">
        <f t="shared" si="20"/>
        <v>#VALUE!</v>
      </c>
      <c r="F61" s="113"/>
      <c r="G61" s="940"/>
      <c r="H61" s="940"/>
      <c r="I61" s="940">
        <f>(H61-(H61*Varta!I$3))</f>
        <v>0</v>
      </c>
      <c r="J61" s="941">
        <f t="shared" si="22"/>
        <v>0</v>
      </c>
      <c r="K61" s="941">
        <f t="shared" si="23"/>
        <v>0</v>
      </c>
      <c r="L61" s="136" t="e">
        <f t="shared" si="24"/>
        <v>#VALUE!</v>
      </c>
      <c r="M61" s="137" t="e">
        <f t="shared" si="25"/>
        <v>#VALUE!</v>
      </c>
      <c r="N61" s="275"/>
      <c r="O61" s="384">
        <f t="shared" si="26"/>
        <v>0</v>
      </c>
      <c r="P61" s="275"/>
      <c r="Q61" s="113"/>
      <c r="R61" s="113"/>
    </row>
    <row r="62" spans="1:18" ht="16.2">
      <c r="A62" s="113" t="s">
        <v>1257</v>
      </c>
      <c r="B62" s="113" t="s">
        <v>2356</v>
      </c>
      <c r="C62" s="113"/>
      <c r="D62" s="113">
        <v>21933.54</v>
      </c>
      <c r="E62" s="113">
        <f t="shared" si="20"/>
        <v>21933.54</v>
      </c>
      <c r="F62" s="113">
        <v>35093.664000000004</v>
      </c>
      <c r="G62" s="940">
        <f t="shared" si="21"/>
        <v>42463.333440000002</v>
      </c>
      <c r="H62" s="940">
        <f>'Terminales - Liquimoly - Bari'!F62-(F62*Varta!H$3)</f>
        <v>33338.980800000005</v>
      </c>
      <c r="I62" s="940">
        <f>(H62-(H62*Varta!I$3))</f>
        <v>32338.811376000005</v>
      </c>
      <c r="J62" s="941">
        <f t="shared" si="22"/>
        <v>1616.9405688000004</v>
      </c>
      <c r="K62" s="941">
        <f t="shared" si="23"/>
        <v>30721.870807200004</v>
      </c>
      <c r="L62" s="136">
        <f t="shared" si="24"/>
        <v>0.47440000000000015</v>
      </c>
      <c r="M62" s="137">
        <f t="shared" si="25"/>
        <v>0.28606105605848597</v>
      </c>
      <c r="N62" s="275">
        <v>43867.08</v>
      </c>
      <c r="O62" s="384">
        <f t="shared" si="26"/>
        <v>43900</v>
      </c>
      <c r="P62" s="275">
        <f t="shared" si="27"/>
        <v>36280.991735537194</v>
      </c>
      <c r="Q62" s="524">
        <f t="shared" ref="Q62:Q67" si="28">(P62-D62)/D62</f>
        <v>0.65413297331562492</v>
      </c>
      <c r="R62" s="524">
        <f t="shared" ref="R62:R67" si="29">(P62-D62)/P62</f>
        <v>0.39545368109339413</v>
      </c>
    </row>
    <row r="63" spans="1:18" ht="16.2">
      <c r="A63" s="113" t="s">
        <v>1259</v>
      </c>
      <c r="B63" s="113" t="s">
        <v>2356</v>
      </c>
      <c r="C63" s="113"/>
      <c r="D63" s="113">
        <v>25956.62</v>
      </c>
      <c r="E63" s="113">
        <f t="shared" si="20"/>
        <v>25956.62</v>
      </c>
      <c r="F63" s="113">
        <v>41530.592000000004</v>
      </c>
      <c r="G63" s="940">
        <f t="shared" si="21"/>
        <v>50252.016320000002</v>
      </c>
      <c r="H63" s="940">
        <f>'Terminales - Liquimoly - Bari'!F63-(F63*Varta!H$3)</f>
        <v>39454.062400000003</v>
      </c>
      <c r="I63" s="940">
        <f>(H63-(H63*Varta!I$3))</f>
        <v>38270.440527999999</v>
      </c>
      <c r="J63" s="941">
        <f t="shared" si="22"/>
        <v>1913.5220264</v>
      </c>
      <c r="K63" s="941">
        <f t="shared" si="23"/>
        <v>36356.918501599997</v>
      </c>
      <c r="L63" s="136">
        <f t="shared" si="24"/>
        <v>0.47440000000000004</v>
      </c>
      <c r="M63" s="137">
        <f t="shared" si="25"/>
        <v>0.28606105605848586</v>
      </c>
      <c r="N63" s="275">
        <v>51913.24</v>
      </c>
      <c r="O63" s="384">
        <f t="shared" si="26"/>
        <v>51950</v>
      </c>
      <c r="P63" s="275">
        <f t="shared" si="27"/>
        <v>42933.884297520664</v>
      </c>
      <c r="Q63" s="524">
        <f t="shared" si="28"/>
        <v>0.65406298268112972</v>
      </c>
      <c r="R63" s="524">
        <f t="shared" si="29"/>
        <v>0.39542810009624646</v>
      </c>
    </row>
    <row r="64" spans="1:18" ht="16.2">
      <c r="A64" s="113" t="s">
        <v>1261</v>
      </c>
      <c r="B64" s="113" t="s">
        <v>2357</v>
      </c>
      <c r="C64" s="113"/>
      <c r="D64" s="113">
        <v>21620.2</v>
      </c>
      <c r="E64" s="113">
        <f t="shared" si="20"/>
        <v>21620.2</v>
      </c>
      <c r="F64" s="113">
        <v>34592.32</v>
      </c>
      <c r="G64" s="940">
        <f t="shared" si="21"/>
        <v>41856.707199999997</v>
      </c>
      <c r="H64" s="940">
        <f>'Terminales - Liquimoly - Bari'!F64-(F64*Varta!H$3)</f>
        <v>32862.703999999998</v>
      </c>
      <c r="I64" s="940">
        <f>(H64-(H64*Varta!I$3))</f>
        <v>31876.82288</v>
      </c>
      <c r="J64" s="941">
        <f t="shared" si="22"/>
        <v>1593.841144</v>
      </c>
      <c r="K64" s="941">
        <f t="shared" si="23"/>
        <v>30282.981736000002</v>
      </c>
      <c r="L64" s="136">
        <f t="shared" si="24"/>
        <v>0.47439999999999993</v>
      </c>
      <c r="M64" s="137">
        <f t="shared" si="25"/>
        <v>0.28606105605848586</v>
      </c>
      <c r="N64" s="275">
        <v>43240.4</v>
      </c>
      <c r="O64" s="384">
        <f t="shared" si="26"/>
        <v>43250</v>
      </c>
      <c r="P64" s="275">
        <f t="shared" si="27"/>
        <v>35743.801652892565</v>
      </c>
      <c r="Q64" s="524">
        <f t="shared" si="28"/>
        <v>0.65325952826026423</v>
      </c>
      <c r="R64" s="524">
        <f t="shared" si="29"/>
        <v>0.3951342890173411</v>
      </c>
    </row>
    <row r="65" spans="1:18" ht="16.2">
      <c r="A65" s="113" t="s">
        <v>1263</v>
      </c>
      <c r="B65" s="113" t="s">
        <v>2357</v>
      </c>
      <c r="C65" s="113"/>
      <c r="D65" s="113">
        <v>25217.77</v>
      </c>
      <c r="E65" s="113">
        <f t="shared" si="20"/>
        <v>25217.77</v>
      </c>
      <c r="F65" s="113">
        <v>40348.432000000001</v>
      </c>
      <c r="G65" s="940">
        <f t="shared" si="21"/>
        <v>48821.602720000003</v>
      </c>
      <c r="H65" s="940">
        <f>'Terminales - Liquimoly - Bari'!F65-(F65*Varta!H$3)</f>
        <v>38331.010399999999</v>
      </c>
      <c r="I65" s="940">
        <f>(H65-(H65*Varta!I$3))</f>
        <v>37181.080088000002</v>
      </c>
      <c r="J65" s="941">
        <f t="shared" si="22"/>
        <v>1859.0540044000002</v>
      </c>
      <c r="K65" s="941">
        <f t="shared" si="23"/>
        <v>35322.026083600002</v>
      </c>
      <c r="L65" s="136">
        <f t="shared" si="24"/>
        <v>0.47440000000000004</v>
      </c>
      <c r="M65" s="137">
        <f t="shared" si="25"/>
        <v>0.28606105605848592</v>
      </c>
      <c r="N65" s="275">
        <v>50435.54</v>
      </c>
      <c r="O65" s="384">
        <f t="shared" si="26"/>
        <v>50450</v>
      </c>
      <c r="P65" s="275">
        <f t="shared" si="27"/>
        <v>41694.21487603306</v>
      </c>
      <c r="Q65" s="524">
        <f t="shared" si="28"/>
        <v>0.65336645056375164</v>
      </c>
      <c r="R65" s="524">
        <f t="shared" si="29"/>
        <v>0.39517340535183354</v>
      </c>
    </row>
    <row r="66" spans="1:18" ht="16.2">
      <c r="A66" s="113" t="s">
        <v>1265</v>
      </c>
      <c r="B66" s="113" t="s">
        <v>2356</v>
      </c>
      <c r="C66" s="113"/>
      <c r="D66" s="113">
        <v>18804.05</v>
      </c>
      <c r="E66" s="113">
        <f t="shared" si="20"/>
        <v>18804.05</v>
      </c>
      <c r="F66" s="113">
        <v>30086.48</v>
      </c>
      <c r="G66" s="940">
        <f t="shared" si="21"/>
        <v>36404.640800000001</v>
      </c>
      <c r="H66" s="940">
        <f>'Terminales - Liquimoly - Bari'!F66-(F66*Varta!H$3)</f>
        <v>28582.155999999999</v>
      </c>
      <c r="I66" s="940">
        <f>(H66-(H66*Varta!I$3))</f>
        <v>27724.691319999998</v>
      </c>
      <c r="J66" s="941">
        <f t="shared" si="22"/>
        <v>1386.2345660000001</v>
      </c>
      <c r="K66" s="941">
        <f t="shared" si="23"/>
        <v>26338.456753999999</v>
      </c>
      <c r="L66" s="136">
        <f t="shared" si="24"/>
        <v>0.47439999999999993</v>
      </c>
      <c r="M66" s="137">
        <f t="shared" si="25"/>
        <v>0.28606105605848586</v>
      </c>
      <c r="N66" s="275">
        <v>37608.1</v>
      </c>
      <c r="O66" s="384">
        <f t="shared" si="26"/>
        <v>37650</v>
      </c>
      <c r="P66" s="275">
        <f t="shared" si="27"/>
        <v>31115.702479338845</v>
      </c>
      <c r="Q66" s="524">
        <f t="shared" si="28"/>
        <v>0.65473408544110689</v>
      </c>
      <c r="R66" s="524">
        <f t="shared" si="29"/>
        <v>0.39567329349269592</v>
      </c>
    </row>
    <row r="67" spans="1:18" ht="16.2">
      <c r="A67" s="113" t="s">
        <v>1267</v>
      </c>
      <c r="B67" s="113" t="s">
        <v>2356</v>
      </c>
      <c r="C67" s="113"/>
      <c r="D67" s="113">
        <v>21933.54</v>
      </c>
      <c r="E67" s="113">
        <f t="shared" si="20"/>
        <v>21933.54</v>
      </c>
      <c r="F67" s="113">
        <v>35093.664000000004</v>
      </c>
      <c r="G67" s="940">
        <f t="shared" si="21"/>
        <v>42463.333440000002</v>
      </c>
      <c r="H67" s="940">
        <f>'Terminales - Liquimoly - Bari'!F67-(F67*Varta!H$3)</f>
        <v>33338.980800000005</v>
      </c>
      <c r="I67" s="940">
        <f>(H67-(H67*Varta!I$3))</f>
        <v>32338.811376000005</v>
      </c>
      <c r="J67" s="941">
        <f t="shared" si="22"/>
        <v>1616.9405688000004</v>
      </c>
      <c r="K67" s="941">
        <f t="shared" si="23"/>
        <v>30721.870807200004</v>
      </c>
      <c r="L67" s="136">
        <f t="shared" si="24"/>
        <v>0.47440000000000015</v>
      </c>
      <c r="M67" s="137">
        <f t="shared" si="25"/>
        <v>0.28606105605848597</v>
      </c>
      <c r="N67" s="275">
        <v>43867.08</v>
      </c>
      <c r="O67" s="384">
        <f t="shared" si="26"/>
        <v>43900</v>
      </c>
      <c r="P67" s="275">
        <f t="shared" si="27"/>
        <v>36280.991735537194</v>
      </c>
      <c r="Q67" s="524">
        <f t="shared" si="28"/>
        <v>0.65413297331562492</v>
      </c>
      <c r="R67" s="524">
        <f t="shared" si="29"/>
        <v>0.39545368109339413</v>
      </c>
    </row>
    <row r="68" spans="1:18" ht="16.2">
      <c r="A68" s="921"/>
      <c r="B68" s="921"/>
      <c r="C68" s="921"/>
      <c r="D68" s="921"/>
      <c r="E68" s="113">
        <f t="shared" si="20"/>
        <v>0</v>
      </c>
      <c r="F68" s="113">
        <v>0</v>
      </c>
      <c r="G68" s="940">
        <f t="shared" si="21"/>
        <v>0</v>
      </c>
      <c r="H68" s="940">
        <f>'Terminales - Liquimoly - Bari'!F68-(F68*Varta!H$3)</f>
        <v>0</v>
      </c>
      <c r="I68" s="940">
        <f>(H68-(H68*Varta!I$3))</f>
        <v>0</v>
      </c>
      <c r="J68" s="941">
        <f t="shared" si="22"/>
        <v>0</v>
      </c>
      <c r="K68" s="941">
        <f t="shared" si="23"/>
        <v>0</v>
      </c>
      <c r="L68" s="136" t="e">
        <f t="shared" si="24"/>
        <v>#DIV/0!</v>
      </c>
      <c r="M68" s="137" t="e">
        <f t="shared" si="25"/>
        <v>#DIV/0!</v>
      </c>
      <c r="N68" s="921"/>
      <c r="O68" s="384">
        <f t="shared" si="26"/>
        <v>0</v>
      </c>
      <c r="P68" s="921"/>
      <c r="Q68" s="921"/>
      <c r="R68" s="921"/>
    </row>
    <row r="69" spans="1:18" ht="16.2">
      <c r="A69" s="113"/>
      <c r="B69" s="113"/>
      <c r="C69" s="113"/>
      <c r="D69" s="113"/>
      <c r="E69" s="113">
        <f t="shared" si="20"/>
        <v>0</v>
      </c>
      <c r="F69" s="113">
        <v>0</v>
      </c>
      <c r="G69" s="940">
        <f t="shared" si="21"/>
        <v>0</v>
      </c>
      <c r="H69" s="940">
        <f>'Terminales - Liquimoly - Bari'!F69-(F69*Varta!H$3)</f>
        <v>0</v>
      </c>
      <c r="I69" s="940">
        <f>(H69-(H69*Varta!I$3))</f>
        <v>0</v>
      </c>
      <c r="J69" s="941">
        <f t="shared" si="22"/>
        <v>0</v>
      </c>
      <c r="K69" s="941">
        <f t="shared" si="23"/>
        <v>0</v>
      </c>
      <c r="L69" s="136" t="e">
        <f t="shared" si="24"/>
        <v>#DIV/0!</v>
      </c>
      <c r="M69" s="137" t="e">
        <f t="shared" si="25"/>
        <v>#DIV/0!</v>
      </c>
      <c r="N69" s="113"/>
      <c r="O69" s="384">
        <f t="shared" si="26"/>
        <v>0</v>
      </c>
      <c r="P69" s="113"/>
      <c r="Q69" s="113"/>
      <c r="R69" s="113"/>
    </row>
    <row r="70" spans="1:18" ht="16.2">
      <c r="A70" s="113"/>
      <c r="B70" s="113"/>
      <c r="C70" s="113"/>
      <c r="D70" s="113">
        <v>39600</v>
      </c>
      <c r="E70" s="113">
        <f t="shared" si="20"/>
        <v>39600</v>
      </c>
      <c r="F70" s="113">
        <v>63360</v>
      </c>
      <c r="G70" s="940">
        <f t="shared" si="21"/>
        <v>76665.599999999991</v>
      </c>
      <c r="H70" s="940">
        <f>'Terminales - Liquimoly - Bari'!F70-(F70*Varta!H$3)</f>
        <v>60192</v>
      </c>
      <c r="I70" s="940">
        <f>(H70-(H70*Varta!I$3))</f>
        <v>58386.239999999998</v>
      </c>
      <c r="J70" s="941">
        <f t="shared" si="22"/>
        <v>2919.3119999999999</v>
      </c>
      <c r="K70" s="941">
        <f t="shared" si="23"/>
        <v>55466.928</v>
      </c>
      <c r="L70" s="136">
        <f t="shared" si="24"/>
        <v>0.47439999999999993</v>
      </c>
      <c r="M70" s="137">
        <f t="shared" si="25"/>
        <v>0.28606105605848586</v>
      </c>
      <c r="N70" s="275">
        <v>79200</v>
      </c>
      <c r="O70" s="384">
        <f t="shared" si="26"/>
        <v>79200</v>
      </c>
      <c r="P70" s="275">
        <f t="shared" ref="P70:P71" si="30">(O70/1.21)</f>
        <v>65454.545454545456</v>
      </c>
      <c r="Q70" s="524">
        <f>(P70-D70)/D70</f>
        <v>0.65289256198347112</v>
      </c>
      <c r="R70" s="524">
        <f>(P70-D70)/P70</f>
        <v>0.39500000000000002</v>
      </c>
    </row>
    <row r="71" spans="1:18" ht="16.2">
      <c r="A71" s="113"/>
      <c r="B71" s="113"/>
      <c r="C71" s="113"/>
      <c r="D71" s="113">
        <v>19866</v>
      </c>
      <c r="E71" s="113">
        <f t="shared" si="20"/>
        <v>19866</v>
      </c>
      <c r="F71" s="113">
        <v>31785.600000000002</v>
      </c>
      <c r="G71" s="940">
        <f t="shared" si="21"/>
        <v>38460.576000000001</v>
      </c>
      <c r="H71" s="940">
        <f>'Terminales - Liquimoly - Bari'!F71-(F71*Varta!H$3)</f>
        <v>30196.320000000003</v>
      </c>
      <c r="I71" s="940">
        <f>(H71-(H71*Varta!I$3))</f>
        <v>29290.430400000005</v>
      </c>
      <c r="J71" s="941">
        <f t="shared" si="22"/>
        <v>1464.5215200000002</v>
      </c>
      <c r="K71" s="941">
        <f t="shared" si="23"/>
        <v>27825.908880000003</v>
      </c>
      <c r="L71" s="136">
        <f t="shared" si="24"/>
        <v>0.47440000000000027</v>
      </c>
      <c r="M71" s="137">
        <f t="shared" si="25"/>
        <v>0.28606105605848597</v>
      </c>
      <c r="N71" s="275">
        <v>39732</v>
      </c>
      <c r="O71" s="384">
        <f t="shared" si="26"/>
        <v>39750</v>
      </c>
      <c r="P71" s="275">
        <f t="shared" si="30"/>
        <v>32851.239669421491</v>
      </c>
      <c r="Q71" s="524">
        <f>(P71-D71)/D71</f>
        <v>0.65364138072191136</v>
      </c>
      <c r="R71" s="524">
        <f>(P71-D71)/P71</f>
        <v>0.39527396226415101</v>
      </c>
    </row>
    <row r="72" spans="1:18">
      <c r="A72" s="921"/>
      <c r="B72" s="921"/>
      <c r="C72" s="921"/>
      <c r="D72" s="921"/>
      <c r="E72" s="921"/>
      <c r="F72" s="921"/>
      <c r="G72" s="921"/>
      <c r="H72" s="921"/>
      <c r="I72" s="921"/>
      <c r="J72" s="921"/>
      <c r="K72" s="921"/>
      <c r="L72" s="921"/>
      <c r="M72" s="921"/>
      <c r="N72" s="921"/>
      <c r="O72" s="921"/>
      <c r="P72" s="921"/>
      <c r="Q72" s="921"/>
      <c r="R72" s="921"/>
    </row>
    <row r="73" spans="1:18">
      <c r="A73" s="921"/>
      <c r="B73" s="921"/>
      <c r="C73" s="921"/>
      <c r="D73" s="921"/>
      <c r="E73" s="921"/>
      <c r="F73" s="921"/>
      <c r="G73" s="921"/>
      <c r="H73" s="921"/>
      <c r="I73" s="921"/>
      <c r="J73" s="921"/>
      <c r="K73" s="921"/>
      <c r="L73" s="921"/>
      <c r="M73" s="921"/>
      <c r="N73" s="921"/>
      <c r="O73" s="921"/>
      <c r="P73" s="921"/>
      <c r="Q73" s="921"/>
      <c r="R73" s="921"/>
    </row>
  </sheetData>
  <phoneticPr fontId="50" type="noConversion"/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95"/>
  <sheetViews>
    <sheetView workbookViewId="0">
      <selection activeCell="F13" sqref="F13"/>
    </sheetView>
  </sheetViews>
  <sheetFormatPr baseColWidth="10" defaultColWidth="11.44140625" defaultRowHeight="14.4"/>
  <cols>
    <col min="6" max="6" width="28" bestFit="1" customWidth="1"/>
  </cols>
  <sheetData>
    <row r="1" spans="1:10">
      <c r="A1" s="105" t="s">
        <v>1342</v>
      </c>
      <c r="B1" s="921"/>
      <c r="C1" s="921"/>
      <c r="D1" s="921"/>
      <c r="E1" s="921"/>
      <c r="F1" s="921"/>
      <c r="G1" s="921"/>
      <c r="H1" s="921"/>
      <c r="I1" s="921"/>
      <c r="J1" s="921"/>
    </row>
    <row r="2" spans="1:10" ht="17.399999999999999">
      <c r="A2" s="1000" t="s">
        <v>1343</v>
      </c>
      <c r="B2" s="1000"/>
      <c r="C2" s="1000"/>
      <c r="D2" s="1000"/>
      <c r="E2" s="994" t="s">
        <v>1344</v>
      </c>
      <c r="F2" s="994"/>
      <c r="G2" s="994"/>
      <c r="H2" s="991" t="s">
        <v>1345</v>
      </c>
      <c r="I2" s="991"/>
      <c r="J2" s="993" t="s">
        <v>1346</v>
      </c>
    </row>
    <row r="3" spans="1:10">
      <c r="A3" s="967" t="s">
        <v>1347</v>
      </c>
      <c r="B3" s="290" t="s">
        <v>1348</v>
      </c>
      <c r="C3" s="967" t="s">
        <v>1349</v>
      </c>
      <c r="D3" s="967" t="s">
        <v>1350</v>
      </c>
      <c r="E3" s="291" t="s">
        <v>1351</v>
      </c>
      <c r="F3" s="291" t="s">
        <v>1352</v>
      </c>
      <c r="G3" s="291" t="s">
        <v>1353</v>
      </c>
      <c r="H3" s="292" t="s">
        <v>1354</v>
      </c>
      <c r="I3" s="293" t="s">
        <v>1355</v>
      </c>
      <c r="J3" s="993"/>
    </row>
    <row r="4" spans="1:10">
      <c r="A4" s="295" t="s">
        <v>2358</v>
      </c>
      <c r="B4" s="295" t="s">
        <v>2359</v>
      </c>
      <c r="C4" s="296">
        <v>55</v>
      </c>
      <c r="D4" s="296">
        <v>400</v>
      </c>
      <c r="E4" s="297">
        <v>243</v>
      </c>
      <c r="F4" s="297">
        <v>175</v>
      </c>
      <c r="G4" s="297">
        <v>175</v>
      </c>
      <c r="H4" s="298" t="e">
        <f>(Varta!#REF!)</f>
        <v>#REF!</v>
      </c>
      <c r="I4" s="299" t="e">
        <f>+H4*1.105</f>
        <v>#REF!</v>
      </c>
      <c r="J4" s="300" t="s">
        <v>2360</v>
      </c>
    </row>
    <row r="5" spans="1:10">
      <c r="A5" s="295" t="s">
        <v>2361</v>
      </c>
      <c r="B5" s="295" t="s">
        <v>2362</v>
      </c>
      <c r="C5" s="296">
        <v>63</v>
      </c>
      <c r="D5" s="296">
        <v>500</v>
      </c>
      <c r="E5" s="297">
        <v>275</v>
      </c>
      <c r="F5" s="297">
        <v>175</v>
      </c>
      <c r="G5" s="297">
        <v>175</v>
      </c>
      <c r="H5" s="298" t="e">
        <f>(Varta!#REF!)</f>
        <v>#REF!</v>
      </c>
      <c r="I5" s="299" t="e">
        <f t="shared" ref="I5:I6" si="0">+H5*1.105</f>
        <v>#REF!</v>
      </c>
      <c r="J5" s="300" t="s">
        <v>2363</v>
      </c>
    </row>
    <row r="6" spans="1:10">
      <c r="A6" s="295" t="s">
        <v>1356</v>
      </c>
      <c r="B6" s="295" t="s">
        <v>59</v>
      </c>
      <c r="C6" s="296">
        <v>135</v>
      </c>
      <c r="D6" s="296">
        <v>750</v>
      </c>
      <c r="E6" s="297">
        <v>510</v>
      </c>
      <c r="F6" s="297">
        <v>213</v>
      </c>
      <c r="G6" s="297">
        <v>236</v>
      </c>
      <c r="H6" s="298">
        <f>(Varta!F29)</f>
        <v>5</v>
      </c>
      <c r="I6" s="299">
        <f t="shared" si="0"/>
        <v>5.5250000000000004</v>
      </c>
      <c r="J6" s="300" t="s">
        <v>1357</v>
      </c>
    </row>
    <row r="7" spans="1:10">
      <c r="A7" s="289"/>
      <c r="B7" s="295"/>
      <c r="C7" s="295"/>
      <c r="D7" s="296"/>
      <c r="E7" s="296"/>
      <c r="F7" s="296"/>
      <c r="G7" s="296"/>
      <c r="H7" s="301"/>
      <c r="I7" s="294"/>
      <c r="J7" s="302"/>
    </row>
    <row r="8" spans="1:10" ht="17.399999999999999">
      <c r="A8" s="997" t="s">
        <v>1358</v>
      </c>
      <c r="B8" s="997"/>
      <c r="C8" s="997"/>
      <c r="D8" s="997"/>
      <c r="E8" s="994" t="s">
        <v>1344</v>
      </c>
      <c r="F8" s="994"/>
      <c r="G8" s="994"/>
      <c r="H8" s="991" t="s">
        <v>1345</v>
      </c>
      <c r="I8" s="991"/>
      <c r="J8" s="993" t="s">
        <v>1346</v>
      </c>
    </row>
    <row r="9" spans="1:10">
      <c r="A9" s="967" t="s">
        <v>1347</v>
      </c>
      <c r="B9" s="290" t="s">
        <v>1348</v>
      </c>
      <c r="C9" s="967" t="s">
        <v>1349</v>
      </c>
      <c r="D9" s="967" t="s">
        <v>1350</v>
      </c>
      <c r="E9" s="291" t="s">
        <v>1351</v>
      </c>
      <c r="F9" s="291" t="s">
        <v>1352</v>
      </c>
      <c r="G9" s="291" t="s">
        <v>1353</v>
      </c>
      <c r="H9" s="292" t="s">
        <v>1354</v>
      </c>
      <c r="I9" s="293" t="s">
        <v>1355</v>
      </c>
      <c r="J9" s="993"/>
    </row>
    <row r="10" spans="1:10">
      <c r="A10" s="295" t="s">
        <v>1569</v>
      </c>
      <c r="B10" s="295" t="s">
        <v>1570</v>
      </c>
      <c r="C10" s="296">
        <v>40</v>
      </c>
      <c r="D10" s="296">
        <v>300</v>
      </c>
      <c r="E10" s="297">
        <v>175</v>
      </c>
      <c r="F10" s="297">
        <v>175</v>
      </c>
      <c r="G10" s="297">
        <v>190</v>
      </c>
      <c r="H10" s="303">
        <f>(Varta!F10)</f>
        <v>75421.604999999996</v>
      </c>
      <c r="I10" s="304">
        <f>(H10*1.105)</f>
        <v>83340.873524999988</v>
      </c>
      <c r="J10" s="305" t="s">
        <v>2364</v>
      </c>
    </row>
    <row r="11" spans="1:10">
      <c r="A11" s="295" t="s">
        <v>1359</v>
      </c>
      <c r="B11" s="295" t="s">
        <v>37</v>
      </c>
      <c r="C11" s="296">
        <v>45</v>
      </c>
      <c r="D11" s="296">
        <v>350</v>
      </c>
      <c r="E11" s="297">
        <v>210</v>
      </c>
      <c r="F11" s="297">
        <v>175</v>
      </c>
      <c r="G11" s="297">
        <v>175</v>
      </c>
      <c r="H11" s="303">
        <f>(Varta!F11)</f>
        <v>80802.119999999981</v>
      </c>
      <c r="I11" s="304">
        <f t="shared" ref="I11:I22" si="1">(H11*1.105)</f>
        <v>89286.342599999974</v>
      </c>
      <c r="J11" s="300" t="s">
        <v>1360</v>
      </c>
    </row>
    <row r="12" spans="1:10">
      <c r="A12" s="295" t="s">
        <v>1361</v>
      </c>
      <c r="B12" s="295" t="s">
        <v>41</v>
      </c>
      <c r="C12" s="296">
        <v>50</v>
      </c>
      <c r="D12" s="296">
        <v>400</v>
      </c>
      <c r="E12" s="297">
        <v>210</v>
      </c>
      <c r="F12" s="297">
        <v>175</v>
      </c>
      <c r="G12" s="297">
        <v>190</v>
      </c>
      <c r="H12" s="303">
        <f>(Varta!F13)</f>
        <v>86088.239999999991</v>
      </c>
      <c r="I12" s="304">
        <f t="shared" si="1"/>
        <v>95127.505199999985</v>
      </c>
      <c r="J12" s="300" t="s">
        <v>1362</v>
      </c>
    </row>
    <row r="13" spans="1:10">
      <c r="A13" s="295" t="s">
        <v>1363</v>
      </c>
      <c r="B13" s="295" t="s">
        <v>45</v>
      </c>
      <c r="C13" s="296">
        <v>60</v>
      </c>
      <c r="D13" s="296">
        <v>450</v>
      </c>
      <c r="E13" s="297">
        <v>243</v>
      </c>
      <c r="F13" s="297">
        <v>175</v>
      </c>
      <c r="G13" s="297">
        <v>175</v>
      </c>
      <c r="H13" s="303">
        <f>(Varta!F15)</f>
        <v>88580.267999999996</v>
      </c>
      <c r="I13" s="304">
        <f t="shared" si="1"/>
        <v>97881.19614</v>
      </c>
      <c r="J13" s="300" t="s">
        <v>1364</v>
      </c>
    </row>
    <row r="14" spans="1:10">
      <c r="A14" s="295" t="s">
        <v>1365</v>
      </c>
      <c r="B14" s="295" t="s">
        <v>43</v>
      </c>
      <c r="C14" s="296">
        <v>60</v>
      </c>
      <c r="D14" s="296">
        <v>460</v>
      </c>
      <c r="E14" s="297">
        <v>243</v>
      </c>
      <c r="F14" s="297">
        <v>175</v>
      </c>
      <c r="G14" s="297">
        <v>190</v>
      </c>
      <c r="H14" s="303">
        <f>(Varta!F14)</f>
        <v>97226.849999999991</v>
      </c>
      <c r="I14" s="304">
        <f t="shared" si="1"/>
        <v>107435.66924999999</v>
      </c>
      <c r="J14" s="300" t="s">
        <v>1366</v>
      </c>
    </row>
    <row r="15" spans="1:10">
      <c r="A15" s="295" t="s">
        <v>1367</v>
      </c>
      <c r="B15" s="295" t="s">
        <v>46</v>
      </c>
      <c r="C15" s="296">
        <v>70</v>
      </c>
      <c r="D15" s="296">
        <v>620</v>
      </c>
      <c r="E15" s="297">
        <v>275</v>
      </c>
      <c r="F15" s="297">
        <v>175</v>
      </c>
      <c r="G15" s="297">
        <v>175</v>
      </c>
      <c r="H15" s="303">
        <f>(Varta!F16)</f>
        <v>109026.22499999999</v>
      </c>
      <c r="I15" s="304">
        <f t="shared" si="1"/>
        <v>120473.97862499999</v>
      </c>
      <c r="J15" s="300" t="s">
        <v>1368</v>
      </c>
    </row>
    <row r="16" spans="1:10">
      <c r="A16" s="295" t="s">
        <v>1369</v>
      </c>
      <c r="B16" s="295" t="s">
        <v>1370</v>
      </c>
      <c r="C16" s="296">
        <v>90</v>
      </c>
      <c r="D16" s="296">
        <v>700</v>
      </c>
      <c r="E16" s="297">
        <v>377</v>
      </c>
      <c r="F16" s="297">
        <v>175</v>
      </c>
      <c r="G16" s="297">
        <v>191</v>
      </c>
      <c r="H16" s="303">
        <f>(Varta!F19)</f>
        <v>210595.245</v>
      </c>
      <c r="I16" s="304">
        <f t="shared" si="1"/>
        <v>232707.74572499999</v>
      </c>
      <c r="J16" s="300" t="s">
        <v>1371</v>
      </c>
    </row>
    <row r="17" spans="1:10">
      <c r="A17" s="295" t="s">
        <v>1372</v>
      </c>
      <c r="B17" s="295" t="s">
        <v>50</v>
      </c>
      <c r="C17" s="296">
        <v>100</v>
      </c>
      <c r="D17" s="296">
        <v>750</v>
      </c>
      <c r="E17" s="297">
        <v>330</v>
      </c>
      <c r="F17" s="297">
        <v>172</v>
      </c>
      <c r="G17" s="297">
        <v>241</v>
      </c>
      <c r="H17" s="303">
        <f>(Varta!F20)</f>
        <v>177198.29399999999</v>
      </c>
      <c r="I17" s="304">
        <f t="shared" si="1"/>
        <v>195804.11486999999</v>
      </c>
      <c r="J17" s="300" t="s">
        <v>1373</v>
      </c>
    </row>
    <row r="18" spans="1:10">
      <c r="A18" s="295" t="s">
        <v>1374</v>
      </c>
      <c r="B18" s="295" t="s">
        <v>1375</v>
      </c>
      <c r="C18" s="296">
        <v>170</v>
      </c>
      <c r="D18" s="296">
        <v>1000</v>
      </c>
      <c r="E18" s="297">
        <v>510</v>
      </c>
      <c r="F18" s="297">
        <v>213</v>
      </c>
      <c r="G18" s="297">
        <v>236</v>
      </c>
      <c r="H18" s="303">
        <f>(Varta!F23)</f>
        <v>244143.22799999997</v>
      </c>
      <c r="I18" s="304">
        <f t="shared" si="1"/>
        <v>269778.26693999994</v>
      </c>
      <c r="J18" s="300" t="s">
        <v>1376</v>
      </c>
    </row>
    <row r="19" spans="1:10">
      <c r="A19" s="295" t="s">
        <v>1377</v>
      </c>
      <c r="B19" s="295" t="s">
        <v>1378</v>
      </c>
      <c r="C19" s="296">
        <v>170</v>
      </c>
      <c r="D19" s="296">
        <v>1000</v>
      </c>
      <c r="E19" s="297">
        <v>510</v>
      </c>
      <c r="F19" s="297">
        <v>213</v>
      </c>
      <c r="G19" s="297">
        <v>236</v>
      </c>
      <c r="H19" s="303">
        <f>(Varta!F24)</f>
        <v>245559.15299999996</v>
      </c>
      <c r="I19" s="304">
        <f t="shared" si="1"/>
        <v>271342.86406499997</v>
      </c>
      <c r="J19" s="300" t="s">
        <v>1379</v>
      </c>
    </row>
    <row r="20" spans="1:10">
      <c r="A20" s="295" t="s">
        <v>1380</v>
      </c>
      <c r="B20" s="295" t="s">
        <v>1381</v>
      </c>
      <c r="C20" s="296">
        <v>190</v>
      </c>
      <c r="D20" s="296">
        <v>1100</v>
      </c>
      <c r="E20" s="297">
        <v>513</v>
      </c>
      <c r="F20" s="297">
        <v>223</v>
      </c>
      <c r="G20" s="297">
        <v>218</v>
      </c>
      <c r="H20" s="303">
        <f>(Varta!F26)</f>
        <v>298307.07899999997</v>
      </c>
      <c r="I20" s="304">
        <f t="shared" si="1"/>
        <v>329629.32229499996</v>
      </c>
      <c r="J20" s="300" t="s">
        <v>1382</v>
      </c>
    </row>
    <row r="21" spans="1:10">
      <c r="A21" s="295" t="s">
        <v>1383</v>
      </c>
      <c r="B21" s="295" t="s">
        <v>57</v>
      </c>
      <c r="C21" s="296">
        <v>200</v>
      </c>
      <c r="D21" s="296">
        <v>1000</v>
      </c>
      <c r="E21" s="297">
        <v>530</v>
      </c>
      <c r="F21" s="297">
        <v>280</v>
      </c>
      <c r="G21" s="297">
        <v>245</v>
      </c>
      <c r="H21" s="303">
        <f>(Varta!F27)</f>
        <v>302856.91800000001</v>
      </c>
      <c r="I21" s="304">
        <f t="shared" si="1"/>
        <v>334656.89438999997</v>
      </c>
      <c r="J21" s="300" t="s">
        <v>1384</v>
      </c>
    </row>
    <row r="22" spans="1:10">
      <c r="A22" s="295" t="s">
        <v>1385</v>
      </c>
      <c r="B22" s="295" t="s">
        <v>58</v>
      </c>
      <c r="C22" s="296">
        <v>225</v>
      </c>
      <c r="D22" s="296">
        <v>1050</v>
      </c>
      <c r="E22" s="306">
        <v>517</v>
      </c>
      <c r="F22" s="306">
        <v>275</v>
      </c>
      <c r="G22" s="306">
        <v>236</v>
      </c>
      <c r="H22" s="303">
        <f>(Varta!F28)</f>
        <v>399253.09199999995</v>
      </c>
      <c r="I22" s="304">
        <f t="shared" si="1"/>
        <v>441174.66665999993</v>
      </c>
      <c r="J22" s="300" t="s">
        <v>1386</v>
      </c>
    </row>
    <row r="23" spans="1:10">
      <c r="A23" s="289"/>
      <c r="B23" s="295"/>
      <c r="C23" s="295"/>
      <c r="D23" s="296"/>
      <c r="E23" s="296"/>
      <c r="F23" s="296"/>
      <c r="G23" s="296"/>
      <c r="H23" s="301"/>
      <c r="I23" s="294"/>
      <c r="J23" s="302"/>
    </row>
    <row r="24" spans="1:10" ht="17.399999999999999">
      <c r="A24" s="1001" t="s">
        <v>1387</v>
      </c>
      <c r="B24" s="1001"/>
      <c r="C24" s="1001"/>
      <c r="D24" s="1001"/>
      <c r="E24" s="994" t="s">
        <v>1344</v>
      </c>
      <c r="F24" s="994"/>
      <c r="G24" s="994"/>
      <c r="H24" s="991" t="s">
        <v>1345</v>
      </c>
      <c r="I24" s="991"/>
      <c r="J24" s="993" t="s">
        <v>1346</v>
      </c>
    </row>
    <row r="25" spans="1:10">
      <c r="A25" s="967" t="s">
        <v>1347</v>
      </c>
      <c r="B25" s="290" t="s">
        <v>1348</v>
      </c>
      <c r="C25" s="967" t="s">
        <v>1349</v>
      </c>
      <c r="D25" s="967" t="s">
        <v>1350</v>
      </c>
      <c r="E25" s="291" t="s">
        <v>1351</v>
      </c>
      <c r="F25" s="291" t="s">
        <v>1352</v>
      </c>
      <c r="G25" s="291" t="s">
        <v>1353</v>
      </c>
      <c r="H25" s="292" t="s">
        <v>1354</v>
      </c>
      <c r="I25" s="293" t="s">
        <v>1355</v>
      </c>
      <c r="J25" s="993"/>
    </row>
    <row r="26" spans="1:10">
      <c r="A26" s="295" t="s">
        <v>1388</v>
      </c>
      <c r="B26" s="295" t="s">
        <v>33</v>
      </c>
      <c r="C26" s="296">
        <v>38</v>
      </c>
      <c r="D26" s="296">
        <v>320</v>
      </c>
      <c r="E26" s="297">
        <v>196</v>
      </c>
      <c r="F26" s="297">
        <v>126</v>
      </c>
      <c r="G26" s="297">
        <v>225</v>
      </c>
      <c r="H26" s="298">
        <f>(Varta!F9)</f>
        <v>79839.290999999997</v>
      </c>
      <c r="I26" s="299">
        <f>+H26*1.105</f>
        <v>88222.416554999989</v>
      </c>
      <c r="J26" s="300" t="s">
        <v>1389</v>
      </c>
    </row>
    <row r="27" spans="1:10">
      <c r="A27" s="295" t="s">
        <v>1390</v>
      </c>
      <c r="B27" s="295" t="s">
        <v>1391</v>
      </c>
      <c r="C27" s="296">
        <v>50</v>
      </c>
      <c r="D27" s="296">
        <v>375</v>
      </c>
      <c r="E27" s="297">
        <v>237</v>
      </c>
      <c r="F27" s="297">
        <v>126</v>
      </c>
      <c r="G27" s="297">
        <v>225</v>
      </c>
      <c r="H27" s="298">
        <f>(Varta!F12)</f>
        <v>85956.087</v>
      </c>
      <c r="I27" s="299">
        <f t="shared" ref="I27:I29" si="2">+H27*1.105</f>
        <v>94981.476135000004</v>
      </c>
      <c r="J27" s="300" t="s">
        <v>1392</v>
      </c>
    </row>
    <row r="28" spans="1:10">
      <c r="A28" s="295" t="s">
        <v>1393</v>
      </c>
      <c r="B28" s="295" t="s">
        <v>47</v>
      </c>
      <c r="C28" s="296">
        <v>75</v>
      </c>
      <c r="D28" s="296">
        <v>530</v>
      </c>
      <c r="E28" s="297">
        <v>258</v>
      </c>
      <c r="F28" s="297">
        <v>171</v>
      </c>
      <c r="G28" s="297">
        <v>225</v>
      </c>
      <c r="H28" s="298">
        <f>(Varta!F17)</f>
        <v>121920.58199999999</v>
      </c>
      <c r="I28" s="299">
        <f t="shared" si="2"/>
        <v>134722.24310999998</v>
      </c>
      <c r="J28" s="300" t="s">
        <v>1394</v>
      </c>
    </row>
    <row r="29" spans="1:10">
      <c r="A29" s="295" t="s">
        <v>1395</v>
      </c>
      <c r="B29" s="295" t="s">
        <v>48</v>
      </c>
      <c r="C29" s="296">
        <v>90</v>
      </c>
      <c r="D29" s="296">
        <v>750</v>
      </c>
      <c r="E29" s="297">
        <v>320</v>
      </c>
      <c r="F29" s="297">
        <v>171</v>
      </c>
      <c r="G29" s="297">
        <v>227</v>
      </c>
      <c r="H29" s="298">
        <f>(Varta!F18)</f>
        <v>148898.67300000001</v>
      </c>
      <c r="I29" s="299">
        <f t="shared" si="2"/>
        <v>164533.033665</v>
      </c>
      <c r="J29" s="300" t="s">
        <v>1396</v>
      </c>
    </row>
    <row r="30" spans="1:10">
      <c r="A30" s="289"/>
      <c r="B30" s="295"/>
      <c r="C30" s="295"/>
      <c r="D30" s="296"/>
      <c r="E30" s="296"/>
      <c r="F30" s="296"/>
      <c r="G30" s="296"/>
      <c r="H30" s="301"/>
      <c r="I30" s="294"/>
      <c r="J30" s="302"/>
    </row>
    <row r="31" spans="1:10" ht="17.399999999999999">
      <c r="A31" s="1002" t="s">
        <v>1397</v>
      </c>
      <c r="B31" s="1002"/>
      <c r="C31" s="1002"/>
      <c r="D31" s="1002"/>
      <c r="E31" s="994" t="s">
        <v>1344</v>
      </c>
      <c r="F31" s="994"/>
      <c r="G31" s="994"/>
      <c r="H31" s="991" t="s">
        <v>1345</v>
      </c>
      <c r="I31" s="991"/>
      <c r="J31" s="993" t="s">
        <v>1346</v>
      </c>
    </row>
    <row r="32" spans="1:10">
      <c r="A32" s="967" t="s">
        <v>1347</v>
      </c>
      <c r="B32" s="290" t="s">
        <v>1348</v>
      </c>
      <c r="C32" s="967" t="s">
        <v>1349</v>
      </c>
      <c r="D32" s="967" t="s">
        <v>1350</v>
      </c>
      <c r="E32" s="291" t="s">
        <v>1351</v>
      </c>
      <c r="F32" s="291" t="s">
        <v>1352</v>
      </c>
      <c r="G32" s="291" t="s">
        <v>1353</v>
      </c>
      <c r="H32" s="292" t="s">
        <v>1354</v>
      </c>
      <c r="I32" s="293" t="s">
        <v>1355</v>
      </c>
      <c r="J32" s="993"/>
    </row>
    <row r="33" spans="1:10">
      <c r="A33" s="295" t="s">
        <v>1365</v>
      </c>
      <c r="B33" s="295" t="s">
        <v>23</v>
      </c>
      <c r="C33" s="296">
        <v>60</v>
      </c>
      <c r="D33" s="296">
        <v>600</v>
      </c>
      <c r="E33" s="297">
        <v>243</v>
      </c>
      <c r="F33" s="297">
        <v>175</v>
      </c>
      <c r="G33" s="297">
        <v>190</v>
      </c>
      <c r="H33" s="298">
        <f>(Varta!F4)</f>
        <v>116917.647</v>
      </c>
      <c r="I33" s="299">
        <f>+H33*1.105</f>
        <v>129193.999935</v>
      </c>
      <c r="J33" s="300" t="s">
        <v>1398</v>
      </c>
    </row>
    <row r="34" spans="1:10">
      <c r="A34" s="295" t="s">
        <v>1367</v>
      </c>
      <c r="B34" s="295" t="s">
        <v>1572</v>
      </c>
      <c r="C34" s="296">
        <v>75</v>
      </c>
      <c r="D34" s="296">
        <v>700</v>
      </c>
      <c r="E34" s="297">
        <v>275</v>
      </c>
      <c r="F34" s="297">
        <v>175</v>
      </c>
      <c r="G34" s="297">
        <v>175</v>
      </c>
      <c r="H34" s="298">
        <f>(Varta!F6)</f>
        <v>0</v>
      </c>
      <c r="I34" s="299">
        <f t="shared" ref="I34:I36" si="3">+H34*1.105</f>
        <v>0</v>
      </c>
      <c r="J34" s="300" t="s">
        <v>1573</v>
      </c>
    </row>
    <row r="35" spans="1:10">
      <c r="A35" s="295" t="s">
        <v>2365</v>
      </c>
      <c r="B35" s="295" t="s">
        <v>30</v>
      </c>
      <c r="C35" s="296">
        <v>75</v>
      </c>
      <c r="D35" s="296">
        <v>700</v>
      </c>
      <c r="E35" s="297">
        <v>275</v>
      </c>
      <c r="F35" s="297">
        <v>175</v>
      </c>
      <c r="G35" s="297">
        <v>191</v>
      </c>
      <c r="H35" s="298">
        <f>(Varta!F7)</f>
        <v>114897.594</v>
      </c>
      <c r="I35" s="299">
        <f t="shared" si="3"/>
        <v>126961.84136999999</v>
      </c>
      <c r="J35" s="300" t="s">
        <v>1400</v>
      </c>
    </row>
    <row r="36" spans="1:10">
      <c r="A36" s="295" t="s">
        <v>1369</v>
      </c>
      <c r="B36" s="295" t="s">
        <v>31</v>
      </c>
      <c r="C36" s="296">
        <v>95</v>
      </c>
      <c r="D36" s="296">
        <v>730</v>
      </c>
      <c r="E36" s="297">
        <v>377</v>
      </c>
      <c r="F36" s="297">
        <v>175</v>
      </c>
      <c r="G36" s="297">
        <v>191</v>
      </c>
      <c r="H36" s="298">
        <f>(Varta!F8)</f>
        <v>153372.99599999998</v>
      </c>
      <c r="I36" s="299">
        <f t="shared" si="3"/>
        <v>169477.16057999997</v>
      </c>
      <c r="J36" s="300" t="s">
        <v>1401</v>
      </c>
    </row>
    <row r="37" spans="1:10">
      <c r="A37" s="296"/>
      <c r="B37" s="295"/>
      <c r="C37" s="295"/>
      <c r="D37" s="307"/>
      <c r="E37" s="296"/>
      <c r="F37" s="296"/>
      <c r="G37" s="296"/>
      <c r="H37" s="301"/>
      <c r="I37" s="294"/>
      <c r="J37" s="308"/>
    </row>
    <row r="38" spans="1:10">
      <c r="A38" s="1003" t="s">
        <v>1402</v>
      </c>
      <c r="B38" s="1003"/>
      <c r="C38" s="1003"/>
      <c r="D38" s="1003"/>
      <c r="E38" s="296"/>
      <c r="F38" s="296"/>
      <c r="G38" s="296"/>
      <c r="H38" s="301"/>
      <c r="I38" s="294"/>
      <c r="J38" s="308"/>
    </row>
    <row r="39" spans="1:10">
      <c r="A39" s="1003"/>
      <c r="B39" s="1003"/>
      <c r="C39" s="1003"/>
      <c r="D39" s="1003"/>
      <c r="E39" s="994" t="s">
        <v>1344</v>
      </c>
      <c r="F39" s="994"/>
      <c r="G39" s="994"/>
      <c r="H39" s="991" t="s">
        <v>1345</v>
      </c>
      <c r="I39" s="991"/>
      <c r="J39" s="993" t="s">
        <v>1346</v>
      </c>
    </row>
    <row r="40" spans="1:10">
      <c r="A40" s="967" t="s">
        <v>1347</v>
      </c>
      <c r="B40" s="290" t="s">
        <v>1348</v>
      </c>
      <c r="C40" s="967" t="s">
        <v>1349</v>
      </c>
      <c r="D40" s="967" t="s">
        <v>1350</v>
      </c>
      <c r="E40" s="291" t="s">
        <v>1351</v>
      </c>
      <c r="F40" s="291" t="s">
        <v>1352</v>
      </c>
      <c r="G40" s="291" t="s">
        <v>1353</v>
      </c>
      <c r="H40" s="292" t="s">
        <v>1354</v>
      </c>
      <c r="I40" s="293" t="s">
        <v>1355</v>
      </c>
      <c r="J40" s="993"/>
    </row>
    <row r="41" spans="1:10">
      <c r="A41" s="295" t="s">
        <v>1403</v>
      </c>
      <c r="B41" s="295" t="s">
        <v>60</v>
      </c>
      <c r="C41" s="296">
        <v>60</v>
      </c>
      <c r="D41" s="296">
        <v>500</v>
      </c>
      <c r="E41" s="306">
        <v>243</v>
      </c>
      <c r="F41" s="306">
        <v>175</v>
      </c>
      <c r="G41" s="306">
        <v>190</v>
      </c>
      <c r="H41" s="298">
        <f>(Varta!F30)</f>
        <v>159244.36499999996</v>
      </c>
      <c r="I41" s="299">
        <f>+H41*1.105</f>
        <v>175965.02332499996</v>
      </c>
      <c r="J41" s="296" t="s">
        <v>2366</v>
      </c>
    </row>
    <row r="43" spans="1:10">
      <c r="A43" s="105" t="s">
        <v>680</v>
      </c>
      <c r="B43" s="921"/>
      <c r="C43" s="921"/>
      <c r="D43" s="921"/>
      <c r="E43" s="921"/>
      <c r="F43" s="921"/>
      <c r="G43" s="921"/>
      <c r="H43" s="921"/>
      <c r="I43" s="921"/>
      <c r="J43" s="921"/>
    </row>
    <row r="45" spans="1:10">
      <c r="A45" s="993" t="s">
        <v>1347</v>
      </c>
      <c r="B45" s="993" t="s">
        <v>1407</v>
      </c>
      <c r="C45" s="993" t="s">
        <v>1408</v>
      </c>
      <c r="D45" s="994" t="s">
        <v>1344</v>
      </c>
      <c r="E45" s="994"/>
      <c r="F45" s="994"/>
      <c r="G45" s="991" t="s">
        <v>1345</v>
      </c>
      <c r="H45" s="991"/>
      <c r="I45" s="921"/>
      <c r="J45" s="921"/>
    </row>
    <row r="46" spans="1:10">
      <c r="A46" s="993"/>
      <c r="B46" s="993"/>
      <c r="C46" s="993"/>
      <c r="D46" s="291" t="s">
        <v>1351</v>
      </c>
      <c r="E46" s="291" t="s">
        <v>1352</v>
      </c>
      <c r="F46" s="291" t="s">
        <v>1353</v>
      </c>
      <c r="G46" s="293" t="s">
        <v>1354</v>
      </c>
      <c r="H46" s="293" t="s">
        <v>1355</v>
      </c>
      <c r="I46" s="921"/>
      <c r="J46" s="921"/>
    </row>
    <row r="47" spans="1:10">
      <c r="A47" s="295" t="s">
        <v>85</v>
      </c>
      <c r="B47" s="295" t="s">
        <v>86</v>
      </c>
      <c r="C47" s="296">
        <v>320</v>
      </c>
      <c r="D47" s="297">
        <v>210</v>
      </c>
      <c r="E47" s="297">
        <v>175</v>
      </c>
      <c r="F47" s="297">
        <v>175</v>
      </c>
      <c r="G47" s="298">
        <f>('Acubat-Lubeck'!T7)</f>
        <v>70040.000617999991</v>
      </c>
      <c r="H47" s="299">
        <f>+G47*1.105</f>
        <v>77394.20068288999</v>
      </c>
      <c r="I47" s="921"/>
      <c r="J47" s="921"/>
    </row>
    <row r="48" spans="1:10">
      <c r="A48" s="295" t="s">
        <v>87</v>
      </c>
      <c r="B48" s="295" t="s">
        <v>84</v>
      </c>
      <c r="C48" s="296">
        <v>480</v>
      </c>
      <c r="D48" s="297">
        <v>210</v>
      </c>
      <c r="E48" s="297">
        <v>175</v>
      </c>
      <c r="F48" s="297">
        <v>190</v>
      </c>
      <c r="G48" s="298">
        <f>('Acubat-Lubeck'!T8)</f>
        <v>80920</v>
      </c>
      <c r="H48" s="299">
        <f t="shared" ref="H48:H57" si="4">+G48*1.105</f>
        <v>89416.6</v>
      </c>
      <c r="I48" s="921"/>
      <c r="J48" s="921"/>
    </row>
    <row r="49" spans="1:11">
      <c r="A49" s="295" t="s">
        <v>88</v>
      </c>
      <c r="B49" s="295" t="s">
        <v>89</v>
      </c>
      <c r="C49" s="296">
        <v>340</v>
      </c>
      <c r="D49" s="297">
        <v>243</v>
      </c>
      <c r="E49" s="297">
        <v>175</v>
      </c>
      <c r="F49" s="297">
        <v>175</v>
      </c>
      <c r="G49" s="298">
        <f>('Acubat-Lubeck'!T9)</f>
        <v>77336.326620000007</v>
      </c>
      <c r="H49" s="299">
        <f t="shared" si="4"/>
        <v>85456.640915100012</v>
      </c>
      <c r="I49" s="921"/>
      <c r="J49" s="921"/>
      <c r="K49" s="921"/>
    </row>
    <row r="50" spans="1:11">
      <c r="A50" s="295" t="s">
        <v>90</v>
      </c>
      <c r="B50" s="295" t="s">
        <v>1409</v>
      </c>
      <c r="C50" s="296">
        <v>400</v>
      </c>
      <c r="D50" s="297">
        <v>243</v>
      </c>
      <c r="E50" s="297">
        <v>175</v>
      </c>
      <c r="F50" s="297">
        <v>175</v>
      </c>
      <c r="G50" s="298">
        <f>('Acubat-Lubeck'!T10)</f>
        <v>82460</v>
      </c>
      <c r="H50" s="299">
        <f t="shared" si="4"/>
        <v>91118.3</v>
      </c>
      <c r="I50" s="921"/>
      <c r="J50" s="921"/>
      <c r="K50" s="921"/>
    </row>
    <row r="51" spans="1:11">
      <c r="A51" s="295" t="s">
        <v>92</v>
      </c>
      <c r="B51" s="295" t="s">
        <v>93</v>
      </c>
      <c r="C51" s="296">
        <v>420</v>
      </c>
      <c r="D51" s="297">
        <v>243</v>
      </c>
      <c r="E51" s="297">
        <v>175</v>
      </c>
      <c r="F51" s="297">
        <v>190</v>
      </c>
      <c r="G51" s="298">
        <f>('Acubat-Lubeck'!T11)</f>
        <v>87700.806213999982</v>
      </c>
      <c r="H51" s="299">
        <f t="shared" si="4"/>
        <v>96909.390866469985</v>
      </c>
      <c r="I51" s="921"/>
      <c r="J51" s="921"/>
      <c r="K51" s="921"/>
    </row>
    <row r="52" spans="1:11">
      <c r="A52" s="295" t="s">
        <v>94</v>
      </c>
      <c r="B52" s="295" t="s">
        <v>1410</v>
      </c>
      <c r="C52" s="296">
        <v>580</v>
      </c>
      <c r="D52" s="297">
        <v>275</v>
      </c>
      <c r="E52" s="297">
        <v>175</v>
      </c>
      <c r="F52" s="297">
        <v>175</v>
      </c>
      <c r="G52" s="298">
        <f>('Acubat-Lubeck'!T12)</f>
        <v>93952.070884000001</v>
      </c>
      <c r="H52" s="299">
        <f t="shared" si="4"/>
        <v>103817.03832681999</v>
      </c>
      <c r="I52" s="921"/>
      <c r="J52" s="921"/>
      <c r="K52" s="921"/>
    </row>
    <row r="53" spans="1:11">
      <c r="A53" s="295" t="s">
        <v>96</v>
      </c>
      <c r="B53" s="295" t="s">
        <v>1411</v>
      </c>
      <c r="C53" s="296">
        <v>600</v>
      </c>
      <c r="D53" s="297">
        <v>275</v>
      </c>
      <c r="E53" s="297">
        <v>175</v>
      </c>
      <c r="F53" s="297">
        <v>175</v>
      </c>
      <c r="G53" s="298">
        <f>('Acubat-Lubeck'!T13)</f>
        <v>97160</v>
      </c>
      <c r="H53" s="299">
        <f t="shared" si="4"/>
        <v>107361.8</v>
      </c>
      <c r="I53" s="921"/>
      <c r="J53" s="921"/>
      <c r="K53" s="921"/>
    </row>
    <row r="54" spans="1:11">
      <c r="A54" s="295" t="s">
        <v>97</v>
      </c>
      <c r="B54" s="295" t="s">
        <v>1412</v>
      </c>
      <c r="C54" s="296">
        <v>650</v>
      </c>
      <c r="D54" s="297">
        <v>275</v>
      </c>
      <c r="E54" s="297">
        <v>175</v>
      </c>
      <c r="F54" s="297">
        <v>190</v>
      </c>
      <c r="G54" s="298">
        <f>('Acubat-Lubeck'!T14)</f>
        <v>124901.72841999997</v>
      </c>
      <c r="H54" s="299">
        <f t="shared" si="4"/>
        <v>138016.40990409997</v>
      </c>
      <c r="I54" s="921"/>
      <c r="J54" s="921"/>
      <c r="K54" s="921"/>
    </row>
    <row r="55" spans="1:11">
      <c r="A55" s="295" t="s">
        <v>98</v>
      </c>
      <c r="B55" s="295" t="s">
        <v>99</v>
      </c>
      <c r="C55" s="296">
        <v>700</v>
      </c>
      <c r="D55" s="297">
        <v>370</v>
      </c>
      <c r="E55" s="297">
        <v>176</v>
      </c>
      <c r="F55" s="297">
        <v>194</v>
      </c>
      <c r="G55" s="298">
        <f>('Acubat-Lubeck'!T15)</f>
        <v>145091.12283400001</v>
      </c>
      <c r="H55" s="299">
        <f t="shared" si="4"/>
        <v>160325.69073157001</v>
      </c>
      <c r="I55" s="921"/>
      <c r="J55" s="921"/>
      <c r="K55" s="921"/>
    </row>
    <row r="56" spans="1:11">
      <c r="A56" s="295" t="s">
        <v>100</v>
      </c>
      <c r="B56" s="295" t="s">
        <v>101</v>
      </c>
      <c r="C56" s="296">
        <v>720</v>
      </c>
      <c r="D56" s="297">
        <v>330</v>
      </c>
      <c r="E56" s="297">
        <v>172</v>
      </c>
      <c r="F56" s="297">
        <v>241</v>
      </c>
      <c r="G56" s="298">
        <f>('Acubat-Lubeck'!T16)</f>
        <v>143430.85882999998</v>
      </c>
      <c r="H56" s="299">
        <f t="shared" si="4"/>
        <v>158491.09900714998</v>
      </c>
      <c r="I56" s="921"/>
      <c r="J56" s="921"/>
      <c r="K56" s="921"/>
    </row>
    <row r="57" spans="1:11">
      <c r="A57" s="295" t="s">
        <v>102</v>
      </c>
      <c r="B57" s="295" t="s">
        <v>103</v>
      </c>
      <c r="C57" s="296">
        <v>850</v>
      </c>
      <c r="D57" s="297">
        <v>510</v>
      </c>
      <c r="E57" s="297">
        <v>213</v>
      </c>
      <c r="F57" s="297">
        <v>236</v>
      </c>
      <c r="G57" s="298">
        <f>('Acubat-Lubeck'!T17)</f>
        <v>227401.12596599996</v>
      </c>
      <c r="H57" s="299">
        <f t="shared" si="4"/>
        <v>251278.24419242996</v>
      </c>
      <c r="I57" s="921"/>
      <c r="J57" s="921"/>
      <c r="K57" s="921"/>
    </row>
    <row r="59" spans="1:11">
      <c r="A59" s="105" t="s">
        <v>308</v>
      </c>
      <c r="B59" s="921"/>
      <c r="C59" s="921"/>
      <c r="D59" s="921"/>
      <c r="E59" s="921"/>
      <c r="F59" s="921"/>
      <c r="G59" s="921"/>
      <c r="H59" s="921"/>
      <c r="I59" s="921"/>
      <c r="J59" s="921"/>
      <c r="K59" s="921"/>
    </row>
    <row r="61" spans="1:11">
      <c r="A61" s="999" t="s">
        <v>1413</v>
      </c>
      <c r="B61" s="999" t="s">
        <v>2367</v>
      </c>
      <c r="C61" s="998" t="s">
        <v>1414</v>
      </c>
      <c r="D61" s="998" t="s">
        <v>1415</v>
      </c>
      <c r="E61" s="998" t="s">
        <v>1416</v>
      </c>
      <c r="F61" s="998" t="s">
        <v>1417</v>
      </c>
      <c r="G61" s="994" t="s">
        <v>1418</v>
      </c>
      <c r="H61" s="994"/>
      <c r="I61" s="994"/>
      <c r="J61" s="1018" t="s">
        <v>1345</v>
      </c>
      <c r="K61" s="1018"/>
    </row>
    <row r="62" spans="1:11">
      <c r="A62" s="999"/>
      <c r="B62" s="999"/>
      <c r="C62" s="998"/>
      <c r="D62" s="998"/>
      <c r="E62" s="998"/>
      <c r="F62" s="998"/>
      <c r="G62" s="291" t="s">
        <v>1351</v>
      </c>
      <c r="H62" s="291" t="s">
        <v>1352</v>
      </c>
      <c r="I62" s="291" t="s">
        <v>1353</v>
      </c>
      <c r="J62" s="309" t="s">
        <v>1354</v>
      </c>
      <c r="K62" s="293" t="s">
        <v>1355</v>
      </c>
    </row>
    <row r="63" spans="1:11">
      <c r="A63" s="310" t="s">
        <v>1419</v>
      </c>
      <c r="B63" s="310">
        <v>51</v>
      </c>
      <c r="C63" s="315" t="s">
        <v>271</v>
      </c>
      <c r="D63" s="315">
        <v>40</v>
      </c>
      <c r="E63" s="315">
        <v>450</v>
      </c>
      <c r="F63" s="314" t="s">
        <v>1420</v>
      </c>
      <c r="G63" s="297">
        <v>197</v>
      </c>
      <c r="H63" s="297">
        <v>130</v>
      </c>
      <c r="I63" s="297">
        <v>229</v>
      </c>
      <c r="J63" s="298">
        <f>(Moura!G17)</f>
        <v>83831.255550000002</v>
      </c>
      <c r="K63" s="299">
        <f>(J63*1.105)</f>
        <v>92633.537382750001</v>
      </c>
    </row>
    <row r="64" spans="1:11" ht="16.5" customHeight="1">
      <c r="A64" s="310" t="s">
        <v>1421</v>
      </c>
      <c r="B64" s="310">
        <v>51</v>
      </c>
      <c r="C64" s="311" t="s">
        <v>259</v>
      </c>
      <c r="D64" s="311">
        <v>50</v>
      </c>
      <c r="E64" s="311">
        <v>530</v>
      </c>
      <c r="F64" s="312" t="s">
        <v>1422</v>
      </c>
      <c r="G64" s="297">
        <v>238</v>
      </c>
      <c r="H64" s="297">
        <v>129</v>
      </c>
      <c r="I64" s="297">
        <v>223</v>
      </c>
      <c r="J64" s="298">
        <f>(Moura!G18)</f>
        <v>90253.891350000005</v>
      </c>
      <c r="K64" s="299">
        <f t="shared" ref="K64:K82" si="5">(J64*1.105)</f>
        <v>99730.54994175001</v>
      </c>
    </row>
    <row r="65" spans="1:11">
      <c r="A65" s="295" t="s">
        <v>1423</v>
      </c>
      <c r="B65" s="295">
        <v>99</v>
      </c>
      <c r="C65" s="296" t="s">
        <v>257</v>
      </c>
      <c r="D65" s="296">
        <v>45</v>
      </c>
      <c r="E65" s="296">
        <v>380</v>
      </c>
      <c r="F65" s="300" t="s">
        <v>1424</v>
      </c>
      <c r="G65" s="297">
        <v>212</v>
      </c>
      <c r="H65" s="297">
        <v>175</v>
      </c>
      <c r="I65" s="297">
        <v>175</v>
      </c>
      <c r="J65" s="298">
        <f>(Moura!G5)</f>
        <v>80802.119999999981</v>
      </c>
      <c r="K65" s="299">
        <f t="shared" si="5"/>
        <v>89286.342599999974</v>
      </c>
    </row>
    <row r="66" spans="1:11">
      <c r="A66" s="295" t="s">
        <v>1425</v>
      </c>
      <c r="B66" s="295" t="s">
        <v>2368</v>
      </c>
      <c r="C66" s="296" t="s">
        <v>1426</v>
      </c>
      <c r="D66" s="296">
        <v>50</v>
      </c>
      <c r="E66" s="296">
        <v>390</v>
      </c>
      <c r="F66" s="300" t="s">
        <v>1427</v>
      </c>
      <c r="G66" s="297">
        <v>212</v>
      </c>
      <c r="H66" s="297">
        <v>175</v>
      </c>
      <c r="I66" s="297">
        <v>190</v>
      </c>
      <c r="J66" s="298">
        <f>(Moura!G6)</f>
        <v>86088.239999999991</v>
      </c>
      <c r="K66" s="299">
        <f t="shared" si="5"/>
        <v>95127.505199999985</v>
      </c>
    </row>
    <row r="67" spans="1:11">
      <c r="A67" s="295" t="s">
        <v>1428</v>
      </c>
      <c r="B67" s="295">
        <v>42</v>
      </c>
      <c r="C67" s="296" t="s">
        <v>108</v>
      </c>
      <c r="D67" s="296">
        <v>48</v>
      </c>
      <c r="E67" s="296">
        <v>350</v>
      </c>
      <c r="F67" s="300" t="s">
        <v>1429</v>
      </c>
      <c r="G67" s="297">
        <v>246</v>
      </c>
      <c r="H67" s="297">
        <v>175</v>
      </c>
      <c r="I67" s="297">
        <v>175</v>
      </c>
      <c r="J67" s="298">
        <f>(Moura!G7)</f>
        <v>86088.239999999991</v>
      </c>
      <c r="K67" s="299">
        <f t="shared" si="5"/>
        <v>95127.505199999985</v>
      </c>
    </row>
    <row r="68" spans="1:11">
      <c r="A68" s="295" t="s">
        <v>1430</v>
      </c>
      <c r="B68" s="295">
        <v>42</v>
      </c>
      <c r="C68" s="296" t="s">
        <v>1431</v>
      </c>
      <c r="D68" s="296">
        <v>60</v>
      </c>
      <c r="E68" s="296">
        <v>450</v>
      </c>
      <c r="F68" s="300" t="s">
        <v>1432</v>
      </c>
      <c r="G68" s="297">
        <v>246</v>
      </c>
      <c r="H68" s="297">
        <v>175</v>
      </c>
      <c r="I68" s="297">
        <v>175</v>
      </c>
      <c r="J68" s="298">
        <f>(Moura!G8)</f>
        <v>95666.689440000002</v>
      </c>
      <c r="K68" s="299">
        <f t="shared" si="5"/>
        <v>105711.69183120001</v>
      </c>
    </row>
    <row r="69" spans="1:11">
      <c r="A69" s="295" t="s">
        <v>1434</v>
      </c>
      <c r="B69" s="295">
        <v>47</v>
      </c>
      <c r="C69" s="296" t="s">
        <v>110</v>
      </c>
      <c r="D69" s="296">
        <v>60</v>
      </c>
      <c r="E69" s="296">
        <v>470</v>
      </c>
      <c r="F69" s="300" t="s">
        <v>1435</v>
      </c>
      <c r="G69" s="297">
        <v>242</v>
      </c>
      <c r="H69" s="297">
        <v>175</v>
      </c>
      <c r="I69" s="297">
        <v>190</v>
      </c>
      <c r="J69" s="298">
        <f>(Moura!G9)</f>
        <v>95666.689440000002</v>
      </c>
      <c r="K69" s="299">
        <f t="shared" si="5"/>
        <v>105711.69183120001</v>
      </c>
    </row>
    <row r="70" spans="1:11">
      <c r="A70" s="295" t="s">
        <v>1436</v>
      </c>
      <c r="B70" s="295">
        <v>41</v>
      </c>
      <c r="C70" s="296" t="s">
        <v>110</v>
      </c>
      <c r="D70" s="296">
        <v>65</v>
      </c>
      <c r="E70" s="296">
        <v>530</v>
      </c>
      <c r="F70" s="300" t="s">
        <v>1437</v>
      </c>
      <c r="G70" s="297">
        <v>282</v>
      </c>
      <c r="H70" s="297">
        <v>175</v>
      </c>
      <c r="I70" s="297">
        <v>175</v>
      </c>
      <c r="J70" s="298">
        <f>(Moura!G12)</f>
        <v>109026.22499999999</v>
      </c>
      <c r="K70" s="299">
        <f t="shared" si="5"/>
        <v>120473.97862499999</v>
      </c>
    </row>
    <row r="71" spans="1:11">
      <c r="A71" s="295" t="s">
        <v>1438</v>
      </c>
      <c r="B71" s="295">
        <v>41</v>
      </c>
      <c r="C71" s="296" t="s">
        <v>110</v>
      </c>
      <c r="D71" s="296">
        <v>70</v>
      </c>
      <c r="E71" s="296">
        <v>620</v>
      </c>
      <c r="F71" s="300" t="s">
        <v>1439</v>
      </c>
      <c r="G71" s="297">
        <v>282</v>
      </c>
      <c r="H71" s="297">
        <v>175</v>
      </c>
      <c r="I71" s="297">
        <v>175</v>
      </c>
      <c r="J71" s="298">
        <f>(Moura!G13)</f>
        <v>116658.06075</v>
      </c>
      <c r="K71" s="299">
        <f t="shared" si="5"/>
        <v>128907.15712875</v>
      </c>
    </row>
    <row r="72" spans="1:11">
      <c r="A72" s="295" t="s">
        <v>1440</v>
      </c>
      <c r="B72" s="295">
        <v>41</v>
      </c>
      <c r="C72" s="296" t="s">
        <v>1441</v>
      </c>
      <c r="D72" s="296">
        <v>70</v>
      </c>
      <c r="E72" s="296">
        <v>600</v>
      </c>
      <c r="F72" s="300" t="s">
        <v>1442</v>
      </c>
      <c r="G72" s="297">
        <v>282</v>
      </c>
      <c r="H72" s="297">
        <v>175</v>
      </c>
      <c r="I72" s="297">
        <v>190</v>
      </c>
      <c r="J72" s="298">
        <f>(Moura!G15)</f>
        <v>122940.42558000001</v>
      </c>
      <c r="K72" s="299">
        <f t="shared" si="5"/>
        <v>135849.1702659</v>
      </c>
    </row>
    <row r="73" spans="1:11">
      <c r="A73" s="295" t="s">
        <v>1443</v>
      </c>
      <c r="B73" s="295">
        <v>41</v>
      </c>
      <c r="C73" s="296" t="s">
        <v>1444</v>
      </c>
      <c r="D73" s="296">
        <v>80</v>
      </c>
      <c r="E73" s="296">
        <v>690</v>
      </c>
      <c r="F73" s="300" t="s">
        <v>1445</v>
      </c>
      <c r="G73" s="297">
        <v>310</v>
      </c>
      <c r="H73" s="297">
        <v>175</v>
      </c>
      <c r="I73" s="297">
        <v>190</v>
      </c>
      <c r="J73" s="298">
        <f>(Moura!G21)</f>
        <v>134312.29231404958</v>
      </c>
      <c r="K73" s="299">
        <f t="shared" si="5"/>
        <v>148415.08300702478</v>
      </c>
    </row>
    <row r="74" spans="1:11">
      <c r="A74" s="295" t="s">
        <v>1446</v>
      </c>
      <c r="B74" s="295">
        <v>41</v>
      </c>
      <c r="C74" s="296" t="s">
        <v>1444</v>
      </c>
      <c r="D74" s="296">
        <v>80</v>
      </c>
      <c r="E74" s="296">
        <v>690</v>
      </c>
      <c r="F74" s="300" t="s">
        <v>1447</v>
      </c>
      <c r="G74" s="297">
        <v>310</v>
      </c>
      <c r="H74" s="297">
        <v>175</v>
      </c>
      <c r="I74" s="297">
        <v>190</v>
      </c>
      <c r="J74" s="298">
        <f>(Moura!G33)</f>
        <v>246468.66421487604</v>
      </c>
      <c r="K74" s="299">
        <f t="shared" si="5"/>
        <v>272347.87395743805</v>
      </c>
    </row>
    <row r="75" spans="1:11">
      <c r="A75" s="295" t="s">
        <v>1448</v>
      </c>
      <c r="B75" s="295">
        <v>41</v>
      </c>
      <c r="C75" s="296" t="s">
        <v>1444</v>
      </c>
      <c r="D75" s="296">
        <v>72</v>
      </c>
      <c r="E75" s="296">
        <v>720</v>
      </c>
      <c r="F75" s="300" t="s">
        <v>1449</v>
      </c>
      <c r="G75" s="297">
        <v>282</v>
      </c>
      <c r="H75" s="297">
        <v>175</v>
      </c>
      <c r="I75" s="297">
        <v>190</v>
      </c>
      <c r="J75" s="298">
        <f>(Moura!G32)</f>
        <v>199045.07279999999</v>
      </c>
      <c r="K75" s="299">
        <f t="shared" si="5"/>
        <v>219944.805444</v>
      </c>
    </row>
    <row r="76" spans="1:11">
      <c r="A76" s="295" t="s">
        <v>1452</v>
      </c>
      <c r="B76" s="295">
        <v>49</v>
      </c>
      <c r="C76" s="296" t="s">
        <v>1453</v>
      </c>
      <c r="D76" s="296">
        <v>95</v>
      </c>
      <c r="E76" s="296">
        <v>850</v>
      </c>
      <c r="F76" s="300" t="s">
        <v>1454</v>
      </c>
      <c r="G76" s="297">
        <v>350</v>
      </c>
      <c r="H76" s="297">
        <v>173</v>
      </c>
      <c r="I76" s="297">
        <v>192</v>
      </c>
      <c r="J76" s="298">
        <f>(Moura!G24)</f>
        <v>153372.99599999998</v>
      </c>
      <c r="K76" s="299">
        <f t="shared" si="5"/>
        <v>169477.16057999997</v>
      </c>
    </row>
    <row r="77" spans="1:11">
      <c r="A77" s="295" t="s">
        <v>1455</v>
      </c>
      <c r="B77" s="295" t="s">
        <v>2369</v>
      </c>
      <c r="C77" s="296" t="s">
        <v>275</v>
      </c>
      <c r="D77" s="296">
        <v>100</v>
      </c>
      <c r="E77" s="296">
        <v>900</v>
      </c>
      <c r="F77" s="300" t="s">
        <v>1456</v>
      </c>
      <c r="G77" s="297">
        <v>329</v>
      </c>
      <c r="H77" s="297">
        <v>172</v>
      </c>
      <c r="I77" s="297">
        <v>237</v>
      </c>
      <c r="J77" s="298">
        <f>(Moura!G25)</f>
        <v>177198.29399999999</v>
      </c>
      <c r="K77" s="299">
        <f t="shared" si="5"/>
        <v>195804.11486999999</v>
      </c>
    </row>
    <row r="78" spans="1:11">
      <c r="A78" s="295" t="s">
        <v>1457</v>
      </c>
      <c r="B78" s="295">
        <v>41</v>
      </c>
      <c r="C78" s="296" t="s">
        <v>1444</v>
      </c>
      <c r="D78" s="296">
        <v>75</v>
      </c>
      <c r="E78" s="296">
        <v>530</v>
      </c>
      <c r="F78" s="300" t="s">
        <v>1458</v>
      </c>
      <c r="G78" s="297">
        <v>260</v>
      </c>
      <c r="H78" s="297">
        <v>172</v>
      </c>
      <c r="I78" s="297">
        <v>225</v>
      </c>
      <c r="J78" s="298">
        <f>(Moura!G19)</f>
        <v>148898.67300000001</v>
      </c>
      <c r="K78" s="299">
        <f t="shared" si="5"/>
        <v>164533.033665</v>
      </c>
    </row>
    <row r="79" spans="1:11">
      <c r="A79" s="295" t="s">
        <v>2370</v>
      </c>
      <c r="B79" s="295">
        <v>41</v>
      </c>
      <c r="C79" s="296" t="s">
        <v>269</v>
      </c>
      <c r="D79" s="296">
        <v>90</v>
      </c>
      <c r="E79" s="296">
        <v>720</v>
      </c>
      <c r="F79" s="300" t="s">
        <v>1460</v>
      </c>
      <c r="G79" s="297">
        <v>296</v>
      </c>
      <c r="H79" s="297">
        <v>172</v>
      </c>
      <c r="I79" s="297">
        <v>232</v>
      </c>
      <c r="J79" s="313">
        <f>(Moura!G22)</f>
        <v>148898.67300000001</v>
      </c>
      <c r="K79" s="299">
        <f t="shared" si="5"/>
        <v>164533.033665</v>
      </c>
    </row>
    <row r="80" spans="1:11">
      <c r="A80" s="295" t="s">
        <v>1462</v>
      </c>
      <c r="B80" s="295" t="s">
        <v>2371</v>
      </c>
      <c r="C80" s="296" t="s">
        <v>1463</v>
      </c>
      <c r="D80" s="296">
        <v>135</v>
      </c>
      <c r="E80" s="296">
        <v>890</v>
      </c>
      <c r="F80" s="300" t="s">
        <v>1464</v>
      </c>
      <c r="G80" s="297">
        <v>512</v>
      </c>
      <c r="H80" s="297">
        <v>211</v>
      </c>
      <c r="I80" s="297">
        <v>235</v>
      </c>
      <c r="J80" s="313">
        <f>(Moura!G26)</f>
        <v>218261.67247933883</v>
      </c>
      <c r="K80" s="299">
        <f t="shared" si="5"/>
        <v>241179.14808966941</v>
      </c>
    </row>
    <row r="81" spans="1:11">
      <c r="A81" s="295" t="s">
        <v>1465</v>
      </c>
      <c r="B81" s="295" t="s">
        <v>2371</v>
      </c>
      <c r="C81" s="296" t="s">
        <v>111</v>
      </c>
      <c r="D81" s="296">
        <v>180</v>
      </c>
      <c r="E81" s="296">
        <v>1050</v>
      </c>
      <c r="F81" s="300" t="s">
        <v>1466</v>
      </c>
      <c r="G81" s="297">
        <v>512</v>
      </c>
      <c r="H81" s="297">
        <v>211</v>
      </c>
      <c r="I81" s="297">
        <v>235</v>
      </c>
      <c r="J81" s="298">
        <f>(Moura!G28)</f>
        <v>268557.55079999997</v>
      </c>
      <c r="K81" s="299">
        <f t="shared" si="5"/>
        <v>296756.09363399993</v>
      </c>
    </row>
    <row r="82" spans="1:11">
      <c r="A82" s="295" t="s">
        <v>1467</v>
      </c>
      <c r="B82" s="295" t="s">
        <v>2372</v>
      </c>
      <c r="C82" s="296" t="s">
        <v>1468</v>
      </c>
      <c r="D82" s="296">
        <v>23</v>
      </c>
      <c r="E82" s="296">
        <v>275</v>
      </c>
      <c r="F82" s="300" t="s">
        <v>1469</v>
      </c>
      <c r="G82" s="297">
        <v>197</v>
      </c>
      <c r="H82" s="297">
        <v>130</v>
      </c>
      <c r="I82" s="297">
        <v>186</v>
      </c>
      <c r="J82" s="298">
        <f>(Moura!G35)</f>
        <v>91123.048429752074</v>
      </c>
      <c r="K82" s="299">
        <f t="shared" si="5"/>
        <v>100690.96851487605</v>
      </c>
    </row>
    <row r="85" spans="1:11">
      <c r="A85" s="318" t="s">
        <v>651</v>
      </c>
      <c r="B85" s="921"/>
      <c r="C85" s="921"/>
      <c r="D85" s="921"/>
      <c r="E85" s="921"/>
      <c r="F85" s="921"/>
      <c r="G85" s="921"/>
      <c r="H85" s="921"/>
      <c r="I85" s="921"/>
      <c r="J85" s="921"/>
      <c r="K85" s="921"/>
    </row>
    <row r="86" spans="1:11">
      <c r="A86" s="993" t="s">
        <v>1470</v>
      </c>
      <c r="B86" s="967" t="s">
        <v>1471</v>
      </c>
      <c r="C86" s="967">
        <v>2</v>
      </c>
      <c r="D86" s="967" t="s">
        <v>1472</v>
      </c>
      <c r="E86" s="995" t="s">
        <v>1473</v>
      </c>
      <c r="F86" s="995"/>
      <c r="G86" s="995"/>
      <c r="H86" s="995"/>
      <c r="I86" s="991" t="s">
        <v>1345</v>
      </c>
      <c r="J86" s="991"/>
      <c r="K86" s="921"/>
    </row>
    <row r="87" spans="1:11">
      <c r="A87" s="993"/>
      <c r="B87" s="967" t="s">
        <v>1474</v>
      </c>
      <c r="C87" s="967" t="s">
        <v>1475</v>
      </c>
      <c r="D87" s="316" t="s">
        <v>1476</v>
      </c>
      <c r="E87" s="291" t="s">
        <v>1351</v>
      </c>
      <c r="F87" s="291" t="s">
        <v>1352</v>
      </c>
      <c r="G87" s="291" t="s">
        <v>1353</v>
      </c>
      <c r="H87" s="291" t="s">
        <v>1477</v>
      </c>
      <c r="I87" s="293" t="s">
        <v>1354</v>
      </c>
      <c r="J87" s="293" t="s">
        <v>1355</v>
      </c>
      <c r="K87" s="921"/>
    </row>
    <row r="88" spans="1:11">
      <c r="A88" s="295" t="s">
        <v>172</v>
      </c>
      <c r="B88" s="296">
        <v>520</v>
      </c>
      <c r="C88" s="296">
        <v>51</v>
      </c>
      <c r="D88" s="317" t="s">
        <v>1426</v>
      </c>
      <c r="E88" s="297">
        <v>207</v>
      </c>
      <c r="F88" s="297">
        <v>175</v>
      </c>
      <c r="G88" s="297">
        <v>188</v>
      </c>
      <c r="H88" s="297">
        <v>188</v>
      </c>
      <c r="I88" s="298">
        <f>('Willard - Elpra'!I7)</f>
        <v>118276.39276991997</v>
      </c>
      <c r="J88" s="299">
        <f>(+I88*1.105)</f>
        <v>130695.41401076157</v>
      </c>
      <c r="K88" s="921"/>
    </row>
    <row r="89" spans="1:11">
      <c r="A89" s="295" t="s">
        <v>173</v>
      </c>
      <c r="B89" s="296">
        <v>490</v>
      </c>
      <c r="C89" s="296">
        <v>51</v>
      </c>
      <c r="D89" s="296" t="s">
        <v>108</v>
      </c>
      <c r="E89" s="297">
        <v>242</v>
      </c>
      <c r="F89" s="297">
        <v>175</v>
      </c>
      <c r="G89" s="297">
        <v>173</v>
      </c>
      <c r="H89" s="297">
        <v>173</v>
      </c>
      <c r="I89" s="298">
        <f>('Willard - Elpra'!I8)</f>
        <v>101867.30819999998</v>
      </c>
      <c r="J89" s="299">
        <f t="shared" ref="J89:J95" si="6">(+I89*1.105)</f>
        <v>112563.37556099998</v>
      </c>
      <c r="K89" s="921"/>
    </row>
    <row r="90" spans="1:11">
      <c r="A90" s="295" t="s">
        <v>174</v>
      </c>
      <c r="B90" s="296">
        <v>590</v>
      </c>
      <c r="C90" s="296">
        <v>62</v>
      </c>
      <c r="D90" s="296" t="s">
        <v>110</v>
      </c>
      <c r="E90" s="297">
        <v>242</v>
      </c>
      <c r="F90" s="297">
        <v>175</v>
      </c>
      <c r="G90" s="297">
        <v>188</v>
      </c>
      <c r="H90" s="297">
        <v>188</v>
      </c>
      <c r="I90" s="298">
        <f>('Willard - Elpra'!I9)</f>
        <v>126394.905</v>
      </c>
      <c r="J90" s="299">
        <f t="shared" si="6"/>
        <v>139666.37002499998</v>
      </c>
      <c r="K90" s="921"/>
    </row>
    <row r="91" spans="1:11">
      <c r="A91" s="295" t="s">
        <v>175</v>
      </c>
      <c r="B91" s="296">
        <v>590</v>
      </c>
      <c r="C91" s="296">
        <v>62</v>
      </c>
      <c r="D91" s="296" t="s">
        <v>110</v>
      </c>
      <c r="E91" s="297">
        <v>276</v>
      </c>
      <c r="F91" s="297">
        <v>175</v>
      </c>
      <c r="G91" s="297">
        <v>173</v>
      </c>
      <c r="H91" s="297">
        <v>173</v>
      </c>
      <c r="I91" s="298">
        <f>('Willard - Elpra'!I10)</f>
        <v>130831.46999999999</v>
      </c>
      <c r="J91" s="299">
        <f t="shared" si="6"/>
        <v>144568.77434999999</v>
      </c>
      <c r="K91" s="921"/>
    </row>
    <row r="92" spans="1:11">
      <c r="A92" s="295" t="s">
        <v>176</v>
      </c>
      <c r="B92" s="296">
        <v>709</v>
      </c>
      <c r="C92" s="296">
        <v>75</v>
      </c>
      <c r="D92" s="296" t="s">
        <v>1444</v>
      </c>
      <c r="E92" s="297">
        <v>276</v>
      </c>
      <c r="F92" s="297">
        <v>175</v>
      </c>
      <c r="G92" s="297">
        <v>188</v>
      </c>
      <c r="H92" s="297">
        <v>188</v>
      </c>
      <c r="I92" s="298">
        <f>('Willard - Elpra'!I11)</f>
        <v>149366.87220000001</v>
      </c>
      <c r="J92" s="299">
        <f t="shared" si="6"/>
        <v>165050.39378100002</v>
      </c>
      <c r="K92" s="921"/>
    </row>
    <row r="93" spans="1:11">
      <c r="A93" s="295" t="s">
        <v>177</v>
      </c>
      <c r="B93" s="296">
        <v>810</v>
      </c>
      <c r="C93" s="296">
        <v>110</v>
      </c>
      <c r="D93" s="296" t="s">
        <v>275</v>
      </c>
      <c r="E93" s="297">
        <v>331</v>
      </c>
      <c r="F93" s="297">
        <v>174</v>
      </c>
      <c r="G93" s="297">
        <v>220</v>
      </c>
      <c r="H93" s="297">
        <v>243</v>
      </c>
      <c r="I93" s="298">
        <f>('Willard - Elpra'!I12)</f>
        <v>212637.9528</v>
      </c>
      <c r="J93" s="299">
        <f t="shared" si="6"/>
        <v>234964.937844</v>
      </c>
      <c r="K93" s="921"/>
    </row>
    <row r="94" spans="1:11">
      <c r="A94" s="295" t="s">
        <v>2373</v>
      </c>
      <c r="B94" s="296">
        <v>800</v>
      </c>
      <c r="C94" s="296">
        <v>93</v>
      </c>
      <c r="D94" s="296" t="s">
        <v>1453</v>
      </c>
      <c r="E94" s="297">
        <v>350</v>
      </c>
      <c r="F94" s="297">
        <v>175</v>
      </c>
      <c r="G94" s="297">
        <v>190</v>
      </c>
      <c r="H94" s="297">
        <v>190</v>
      </c>
      <c r="I94" s="298">
        <f>('Willard - Elpra'!I13)</f>
        <v>201279.89542121999</v>
      </c>
      <c r="J94" s="299">
        <f t="shared" si="6"/>
        <v>222414.28444044807</v>
      </c>
      <c r="K94" s="921"/>
    </row>
    <row r="95" spans="1:11">
      <c r="A95" s="295" t="s">
        <v>181</v>
      </c>
      <c r="B95" s="296">
        <v>1200</v>
      </c>
      <c r="C95" s="296">
        <v>155</v>
      </c>
      <c r="D95" s="296" t="s">
        <v>111</v>
      </c>
      <c r="E95" s="297">
        <v>517</v>
      </c>
      <c r="F95" s="297">
        <v>226</v>
      </c>
      <c r="G95" s="297">
        <v>195</v>
      </c>
      <c r="H95" s="297">
        <v>215</v>
      </c>
      <c r="I95" s="298">
        <f>('Willard - Elpra'!I16)</f>
        <v>287005.16565000004</v>
      </c>
      <c r="J95" s="299">
        <f t="shared" si="6"/>
        <v>317140.70804325002</v>
      </c>
      <c r="K95" s="921"/>
    </row>
  </sheetData>
  <mergeCells count="36">
    <mergeCell ref="G61:I61"/>
    <mergeCell ref="J61:K61"/>
    <mergeCell ref="A86:A87"/>
    <mergeCell ref="E86:H86"/>
    <mergeCell ref="I86:J86"/>
    <mergeCell ref="A61:A62"/>
    <mergeCell ref="B61:B62"/>
    <mergeCell ref="C61:C62"/>
    <mergeCell ref="D61:D62"/>
    <mergeCell ref="E61:E62"/>
    <mergeCell ref="F61:F62"/>
    <mergeCell ref="A38:D39"/>
    <mergeCell ref="E39:G39"/>
    <mergeCell ref="H39:I39"/>
    <mergeCell ref="J39:J40"/>
    <mergeCell ref="A45:A46"/>
    <mergeCell ref="B45:B46"/>
    <mergeCell ref="C45:C46"/>
    <mergeCell ref="D45:F45"/>
    <mergeCell ref="G45:H45"/>
    <mergeCell ref="A24:D24"/>
    <mergeCell ref="E24:G24"/>
    <mergeCell ref="H24:I24"/>
    <mergeCell ref="J24:J25"/>
    <mergeCell ref="A31:D31"/>
    <mergeCell ref="E31:G31"/>
    <mergeCell ref="H31:I31"/>
    <mergeCell ref="J31:J32"/>
    <mergeCell ref="A2:D2"/>
    <mergeCell ref="E2:G2"/>
    <mergeCell ref="H2:I2"/>
    <mergeCell ref="J2:J3"/>
    <mergeCell ref="A8:D8"/>
    <mergeCell ref="E8:G8"/>
    <mergeCell ref="H8:I8"/>
    <mergeCell ref="J8:J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6"/>
  <sheetViews>
    <sheetView workbookViewId="0">
      <selection activeCell="L34" sqref="L34"/>
    </sheetView>
  </sheetViews>
  <sheetFormatPr baseColWidth="10" defaultColWidth="11.44140625" defaultRowHeight="14.4"/>
  <cols>
    <col min="1" max="1" width="23.6640625" bestFit="1" customWidth="1"/>
    <col min="2" max="2" width="10.6640625" bestFit="1" customWidth="1"/>
    <col min="4" max="4" width="5" style="1" customWidth="1"/>
    <col min="7" max="7" width="3.44140625" customWidth="1"/>
  </cols>
  <sheetData>
    <row r="1" spans="1:12" ht="15" thickBot="1">
      <c r="A1" s="921"/>
      <c r="B1" s="921"/>
      <c r="C1" s="921"/>
      <c r="E1" s="921"/>
      <c r="F1" s="921"/>
      <c r="G1" s="921"/>
      <c r="H1" s="921"/>
      <c r="I1" s="921"/>
      <c r="J1" s="921"/>
      <c r="K1" s="921"/>
      <c r="L1" s="921"/>
    </row>
    <row r="2" spans="1:12">
      <c r="A2" s="157" t="s">
        <v>2047</v>
      </c>
      <c r="B2" s="156"/>
      <c r="C2" s="36"/>
      <c r="E2" s="36"/>
      <c r="F2" s="36"/>
      <c r="G2" s="921"/>
      <c r="H2" s="216">
        <v>45385</v>
      </c>
      <c r="I2" s="414"/>
      <c r="J2" s="921"/>
      <c r="K2" s="113" t="s">
        <v>16</v>
      </c>
      <c r="L2" s="448" t="s">
        <v>17</v>
      </c>
    </row>
    <row r="3" spans="1:12">
      <c r="A3" s="155" t="s">
        <v>2049</v>
      </c>
      <c r="B3" s="158">
        <v>698.4</v>
      </c>
      <c r="C3" s="251">
        <f>(B3/1.21)</f>
        <v>577.19008264462809</v>
      </c>
      <c r="D3" s="250"/>
      <c r="E3" s="252">
        <f>(C3*1.8)</f>
        <v>1038.9421487603306</v>
      </c>
      <c r="F3" s="253">
        <f>(E3*1.21)</f>
        <v>1257.1199999999999</v>
      </c>
      <c r="G3" s="200"/>
      <c r="H3" s="117">
        <v>1440</v>
      </c>
      <c r="I3" s="440">
        <f t="shared" ref="I3:I14" si="0">CEILING(H3,50)</f>
        <v>1450</v>
      </c>
      <c r="J3" s="116">
        <f>(I3/1.21)</f>
        <v>1198.3471074380166</v>
      </c>
      <c r="K3" s="44">
        <f>(J3-C3)/C3</f>
        <v>1.0761741122565867</v>
      </c>
      <c r="L3" s="447">
        <f>(J3-C3)/J3</f>
        <v>0.51834482758620692</v>
      </c>
    </row>
    <row r="4" spans="1:12">
      <c r="A4" s="155" t="s">
        <v>2050</v>
      </c>
      <c r="B4" s="158">
        <v>693.17</v>
      </c>
      <c r="C4" s="251">
        <f t="shared" ref="C4:C14" si="1">(B4/1.21)</f>
        <v>572.8677685950413</v>
      </c>
      <c r="D4" s="250"/>
      <c r="E4" s="252">
        <f t="shared" ref="E4:E14" si="2">(C4*1.8)</f>
        <v>1031.1619834710743</v>
      </c>
      <c r="F4" s="253">
        <f t="shared" ref="F4:F14" si="3">(E4*1.21)</f>
        <v>1247.7059999999999</v>
      </c>
      <c r="G4" s="200"/>
      <c r="H4" s="117">
        <v>1440</v>
      </c>
      <c r="I4" s="440">
        <f t="shared" si="0"/>
        <v>1450</v>
      </c>
      <c r="J4" s="116">
        <f t="shared" ref="J4:J14" si="4">(I4/1.21)</f>
        <v>1198.3471074380166</v>
      </c>
      <c r="K4" s="44">
        <f t="shared" ref="K4:K14" si="5">(J4-C4)/C4</f>
        <v>1.0918389428278779</v>
      </c>
      <c r="L4" s="447">
        <f t="shared" ref="L4:L14" si="6">(J4-C4)/J4</f>
        <v>0.52195172413793112</v>
      </c>
    </row>
    <row r="5" spans="1:12">
      <c r="A5" s="155" t="s">
        <v>2051</v>
      </c>
      <c r="B5" s="158">
        <v>3037.2</v>
      </c>
      <c r="C5" s="251">
        <f t="shared" si="1"/>
        <v>2510.0826446280989</v>
      </c>
      <c r="D5" s="250"/>
      <c r="E5" s="252">
        <f t="shared" si="2"/>
        <v>4518.1487603305786</v>
      </c>
      <c r="F5" s="253">
        <f t="shared" si="3"/>
        <v>5466.96</v>
      </c>
      <c r="G5" s="200"/>
      <c r="H5" s="117">
        <v>6000</v>
      </c>
      <c r="I5" s="440">
        <f t="shared" si="0"/>
        <v>6000</v>
      </c>
      <c r="J5" s="116">
        <f t="shared" si="4"/>
        <v>4958.6776859504134</v>
      </c>
      <c r="K5" s="44">
        <f t="shared" si="5"/>
        <v>0.97550375345713181</v>
      </c>
      <c r="L5" s="447">
        <f t="shared" si="6"/>
        <v>0.49380000000000007</v>
      </c>
    </row>
    <row r="6" spans="1:12">
      <c r="A6" s="155" t="s">
        <v>2052</v>
      </c>
      <c r="B6" s="158">
        <v>3037.2</v>
      </c>
      <c r="C6" s="251">
        <f t="shared" si="1"/>
        <v>2510.0826446280989</v>
      </c>
      <c r="D6" s="250"/>
      <c r="E6" s="252">
        <f t="shared" si="2"/>
        <v>4518.1487603305786</v>
      </c>
      <c r="F6" s="253">
        <f t="shared" si="3"/>
        <v>5466.96</v>
      </c>
      <c r="G6" s="200"/>
      <c r="H6" s="117">
        <v>6000</v>
      </c>
      <c r="I6" s="440">
        <f t="shared" si="0"/>
        <v>6000</v>
      </c>
      <c r="J6" s="116">
        <f t="shared" si="4"/>
        <v>4958.6776859504134</v>
      </c>
      <c r="K6" s="44">
        <f t="shared" si="5"/>
        <v>0.97550375345713181</v>
      </c>
      <c r="L6" s="447">
        <f t="shared" si="6"/>
        <v>0.49380000000000007</v>
      </c>
    </row>
    <row r="7" spans="1:12">
      <c r="A7" s="155" t="s">
        <v>850</v>
      </c>
      <c r="B7" s="158"/>
      <c r="C7" s="251">
        <f t="shared" si="1"/>
        <v>0</v>
      </c>
      <c r="D7" s="250"/>
      <c r="E7" s="252">
        <f t="shared" si="2"/>
        <v>0</v>
      </c>
      <c r="F7" s="253">
        <f t="shared" si="3"/>
        <v>0</v>
      </c>
      <c r="G7" s="200"/>
      <c r="H7" s="117">
        <v>3000</v>
      </c>
      <c r="I7" s="440">
        <f t="shared" si="0"/>
        <v>3000</v>
      </c>
      <c r="J7" s="116">
        <f t="shared" si="4"/>
        <v>2479.3388429752067</v>
      </c>
      <c r="K7" s="44" t="e">
        <f t="shared" si="5"/>
        <v>#DIV/0!</v>
      </c>
      <c r="L7" s="447">
        <f t="shared" si="6"/>
        <v>1</v>
      </c>
    </row>
    <row r="8" spans="1:12">
      <c r="A8" s="155" t="s">
        <v>852</v>
      </c>
      <c r="B8" s="158"/>
      <c r="C8" s="251">
        <f t="shared" si="1"/>
        <v>0</v>
      </c>
      <c r="D8" s="250"/>
      <c r="E8" s="252">
        <f t="shared" si="2"/>
        <v>0</v>
      </c>
      <c r="F8" s="253">
        <f t="shared" si="3"/>
        <v>0</v>
      </c>
      <c r="G8" s="200"/>
      <c r="H8" s="117">
        <v>3600</v>
      </c>
      <c r="I8" s="440">
        <f t="shared" si="0"/>
        <v>3600</v>
      </c>
      <c r="J8" s="116">
        <f t="shared" si="4"/>
        <v>2975.2066115702482</v>
      </c>
      <c r="K8" s="44" t="e">
        <f t="shared" si="5"/>
        <v>#DIV/0!</v>
      </c>
      <c r="L8" s="447">
        <f t="shared" si="6"/>
        <v>1</v>
      </c>
    </row>
    <row r="9" spans="1:12">
      <c r="A9" s="321" t="s">
        <v>2374</v>
      </c>
      <c r="B9" s="158">
        <v>679.47</v>
      </c>
      <c r="C9" s="251">
        <f t="shared" si="1"/>
        <v>561.54545454545462</v>
      </c>
      <c r="D9" s="250"/>
      <c r="E9" s="252">
        <f t="shared" si="2"/>
        <v>1010.7818181818184</v>
      </c>
      <c r="F9" s="253">
        <f t="shared" si="3"/>
        <v>1223.0460000000003</v>
      </c>
      <c r="G9" s="200"/>
      <c r="H9" s="117">
        <v>1440</v>
      </c>
      <c r="I9" s="440">
        <f t="shared" si="0"/>
        <v>1450</v>
      </c>
      <c r="J9" s="116">
        <f t="shared" si="4"/>
        <v>1198.3471074380166</v>
      </c>
      <c r="K9" s="44">
        <f t="shared" si="5"/>
        <v>1.1340162185232605</v>
      </c>
      <c r="L9" s="447">
        <f t="shared" si="6"/>
        <v>0.53139999999999998</v>
      </c>
    </row>
    <row r="10" spans="1:12">
      <c r="A10" s="155" t="s">
        <v>856</v>
      </c>
      <c r="B10" s="158">
        <v>623.46</v>
      </c>
      <c r="C10" s="251">
        <f t="shared" si="1"/>
        <v>515.25619834710744</v>
      </c>
      <c r="D10" s="250"/>
      <c r="E10" s="252">
        <f t="shared" si="2"/>
        <v>927.46115702479347</v>
      </c>
      <c r="F10" s="253">
        <f t="shared" si="3"/>
        <v>1122.2280000000001</v>
      </c>
      <c r="G10" s="200"/>
      <c r="H10" s="117">
        <v>1560</v>
      </c>
      <c r="I10" s="440">
        <f t="shared" si="0"/>
        <v>1600</v>
      </c>
      <c r="J10" s="116">
        <f t="shared" si="4"/>
        <v>1322.3140495867769</v>
      </c>
      <c r="K10" s="44">
        <f t="shared" si="5"/>
        <v>1.5663234209091201</v>
      </c>
      <c r="L10" s="447">
        <f t="shared" si="6"/>
        <v>0.61033749999999998</v>
      </c>
    </row>
    <row r="11" spans="1:12">
      <c r="A11" s="155" t="s">
        <v>858</v>
      </c>
      <c r="B11" s="158">
        <v>623.46</v>
      </c>
      <c r="C11" s="251">
        <f t="shared" si="1"/>
        <v>515.25619834710744</v>
      </c>
      <c r="D11" s="250"/>
      <c r="E11" s="252">
        <f t="shared" si="2"/>
        <v>927.46115702479347</v>
      </c>
      <c r="F11" s="253">
        <f t="shared" si="3"/>
        <v>1122.2280000000001</v>
      </c>
      <c r="G11" s="200"/>
      <c r="H11" s="117">
        <v>1560</v>
      </c>
      <c r="I11" s="440">
        <f t="shared" si="0"/>
        <v>1600</v>
      </c>
      <c r="J11" s="116">
        <f t="shared" si="4"/>
        <v>1322.3140495867769</v>
      </c>
      <c r="K11" s="44">
        <f t="shared" si="5"/>
        <v>1.5663234209091201</v>
      </c>
      <c r="L11" s="447">
        <f t="shared" si="6"/>
        <v>0.61033749999999998</v>
      </c>
    </row>
    <row r="12" spans="1:12">
      <c r="A12" s="155" t="s">
        <v>860</v>
      </c>
      <c r="B12" s="158">
        <v>2194.5</v>
      </c>
      <c r="C12" s="251">
        <f t="shared" si="1"/>
        <v>1813.6363636363637</v>
      </c>
      <c r="D12" s="250"/>
      <c r="E12" s="252">
        <f t="shared" si="2"/>
        <v>3264.545454545455</v>
      </c>
      <c r="F12" s="253">
        <f t="shared" si="3"/>
        <v>3950.1000000000004</v>
      </c>
      <c r="G12" s="200"/>
      <c r="H12" s="117">
        <v>4320</v>
      </c>
      <c r="I12" s="440">
        <f t="shared" si="0"/>
        <v>4350</v>
      </c>
      <c r="J12" s="116">
        <f t="shared" si="4"/>
        <v>3595.0413223140495</v>
      </c>
      <c r="K12" s="44">
        <f t="shared" si="5"/>
        <v>0.98222829801777156</v>
      </c>
      <c r="L12" s="447">
        <f t="shared" si="6"/>
        <v>0.4955172413793103</v>
      </c>
    </row>
    <row r="13" spans="1:12">
      <c r="A13" s="155" t="s">
        <v>2053</v>
      </c>
      <c r="B13" s="158"/>
      <c r="C13" s="251">
        <f t="shared" si="1"/>
        <v>0</v>
      </c>
      <c r="D13" s="250"/>
      <c r="E13" s="252">
        <f t="shared" si="2"/>
        <v>0</v>
      </c>
      <c r="F13" s="253">
        <f t="shared" si="3"/>
        <v>0</v>
      </c>
      <c r="G13" s="200"/>
      <c r="H13" s="117">
        <v>5502.75</v>
      </c>
      <c r="I13" s="440">
        <f t="shared" si="0"/>
        <v>5550</v>
      </c>
      <c r="J13" s="116">
        <f t="shared" si="4"/>
        <v>4586.7768595041325</v>
      </c>
      <c r="K13" s="44" t="e">
        <f t="shared" si="5"/>
        <v>#DIV/0!</v>
      </c>
      <c r="L13" s="447">
        <f t="shared" si="6"/>
        <v>1</v>
      </c>
    </row>
    <row r="14" spans="1:12">
      <c r="A14" s="155" t="s">
        <v>864</v>
      </c>
      <c r="B14" s="158"/>
      <c r="C14" s="251">
        <f t="shared" si="1"/>
        <v>0</v>
      </c>
      <c r="D14" s="250"/>
      <c r="E14" s="252">
        <f t="shared" si="2"/>
        <v>0</v>
      </c>
      <c r="F14" s="253">
        <f t="shared" si="3"/>
        <v>0</v>
      </c>
      <c r="G14" s="200"/>
      <c r="H14" s="117">
        <v>4554</v>
      </c>
      <c r="I14" s="440">
        <f t="shared" si="0"/>
        <v>4600</v>
      </c>
      <c r="J14" s="116">
        <f t="shared" si="4"/>
        <v>3801.6528925619837</v>
      </c>
      <c r="K14" s="44" t="e">
        <f t="shared" si="5"/>
        <v>#DIV/0!</v>
      </c>
      <c r="L14" s="447">
        <f t="shared" si="6"/>
        <v>1</v>
      </c>
    </row>
    <row r="16" spans="1:12">
      <c r="A16" s="921"/>
      <c r="B16" s="921"/>
      <c r="C16" s="921"/>
      <c r="E16" s="921"/>
      <c r="F16" s="921"/>
      <c r="G16" s="921"/>
      <c r="H16" s="146"/>
      <c r="I16" s="146"/>
      <c r="J16" s="921"/>
      <c r="K16" s="921"/>
      <c r="L16" s="9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B9C6-4AD7-4DD1-938C-2202ED82C8F7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W12"/>
  <sheetViews>
    <sheetView workbookViewId="0">
      <selection activeCell="O3" sqref="O3:O5"/>
    </sheetView>
  </sheetViews>
  <sheetFormatPr baseColWidth="10" defaultColWidth="11.44140625" defaultRowHeight="14.4"/>
  <cols>
    <col min="1" max="1" width="23.109375" bestFit="1" customWidth="1"/>
    <col min="4" max="4" width="14" bestFit="1" customWidth="1"/>
    <col min="10" max="10" width="3.6640625" customWidth="1"/>
    <col min="11" max="12" width="12.44140625" bestFit="1" customWidth="1"/>
    <col min="13" max="13" width="3.33203125" customWidth="1"/>
    <col min="14" max="14" width="12.44140625" bestFit="1" customWidth="1"/>
    <col min="15" max="15" width="12.44140625" customWidth="1"/>
  </cols>
  <sheetData>
    <row r="1" spans="1:23" ht="15" thickBot="1">
      <c r="A1" s="33"/>
      <c r="B1" s="1"/>
      <c r="C1" s="921"/>
      <c r="D1" s="91" t="s">
        <v>369</v>
      </c>
      <c r="E1" s="1"/>
      <c r="F1" s="7"/>
      <c r="G1" s="1"/>
      <c r="H1" s="1"/>
      <c r="I1" s="41"/>
      <c r="J1" s="41"/>
      <c r="K1" s="41"/>
      <c r="L1" s="10"/>
      <c r="M1" s="10"/>
      <c r="N1" s="40"/>
      <c r="O1" s="40"/>
      <c r="P1" s="40"/>
      <c r="Q1" s="1"/>
      <c r="R1" s="1"/>
      <c r="S1" s="921"/>
      <c r="T1" s="921"/>
      <c r="U1" s="367" t="s">
        <v>25</v>
      </c>
      <c r="V1" s="453"/>
      <c r="W1" s="454">
        <v>10000</v>
      </c>
    </row>
    <row r="2" spans="1:23" ht="15" thickBot="1">
      <c r="A2" s="33" t="s">
        <v>2375</v>
      </c>
      <c r="B2" s="1"/>
      <c r="C2" s="921"/>
      <c r="D2" s="99">
        <v>1060</v>
      </c>
      <c r="E2" s="101">
        <v>45180</v>
      </c>
      <c r="F2" s="7"/>
      <c r="G2" s="1"/>
      <c r="H2" s="47" t="s">
        <v>65</v>
      </c>
      <c r="I2" s="36" t="s">
        <v>66</v>
      </c>
      <c r="J2" s="1"/>
      <c r="K2" s="223">
        <v>1</v>
      </c>
      <c r="L2" s="80"/>
      <c r="M2" s="1"/>
      <c r="N2" s="216">
        <v>45224</v>
      </c>
      <c r="O2" s="414"/>
      <c r="P2" s="10"/>
      <c r="Q2" s="40"/>
      <c r="R2" s="40"/>
      <c r="S2" s="921"/>
      <c r="T2" s="921"/>
      <c r="U2" s="501" t="s">
        <v>27</v>
      </c>
      <c r="V2" s="183"/>
      <c r="W2" s="184">
        <v>14000</v>
      </c>
    </row>
    <row r="3" spans="1:23" ht="18">
      <c r="A3" s="37" t="s">
        <v>2376</v>
      </c>
      <c r="B3" s="38" t="s">
        <v>2377</v>
      </c>
      <c r="C3" s="663">
        <v>235</v>
      </c>
      <c r="D3" s="664">
        <f>(C3*D$2)</f>
        <v>249100</v>
      </c>
      <c r="E3" s="73"/>
      <c r="F3" s="72"/>
      <c r="G3" s="73"/>
      <c r="H3" s="46"/>
      <c r="I3" s="410"/>
      <c r="J3" s="50"/>
      <c r="K3" s="224">
        <f>(D3*2)</f>
        <v>498200</v>
      </c>
      <c r="L3" s="224">
        <f>(K3*1.21)</f>
        <v>602822</v>
      </c>
      <c r="M3" s="189"/>
      <c r="N3" s="117">
        <v>490000</v>
      </c>
      <c r="O3" s="440">
        <f>CEILING(N3,50)</f>
        <v>490000</v>
      </c>
      <c r="P3" s="42">
        <f>(O3/1.21)</f>
        <v>404958.67768595042</v>
      </c>
      <c r="Q3" s="190">
        <f>(P3-D3)/D3</f>
        <v>0.6256871846083919</v>
      </c>
      <c r="R3" s="191">
        <f>(P3-D3)/P3</f>
        <v>0.38487551020408162</v>
      </c>
      <c r="S3" s="650">
        <f>(O3+W2)</f>
        <v>504000</v>
      </c>
      <c r="T3" s="921"/>
      <c r="U3" s="637" t="s">
        <v>29</v>
      </c>
      <c r="V3" s="638"/>
      <c r="W3" s="639">
        <v>19000</v>
      </c>
    </row>
    <row r="4" spans="1:23" ht="18">
      <c r="A4" s="37" t="s">
        <v>2378</v>
      </c>
      <c r="B4" s="38" t="s">
        <v>1515</v>
      </c>
      <c r="C4" s="663">
        <v>295</v>
      </c>
      <c r="D4" s="664">
        <f t="shared" ref="D4:D5" si="0">(C4*D$2)</f>
        <v>312700</v>
      </c>
      <c r="E4" s="73">
        <v>212739.64949951999</v>
      </c>
      <c r="F4" s="72">
        <f>E4-(E4*Varta!H$3)</f>
        <v>202102.66702454397</v>
      </c>
      <c r="G4" s="73">
        <f>(F4-(F4*Varta!I$3))</f>
        <v>196039.58701380764</v>
      </c>
      <c r="H4" s="46">
        <f>(G4-D4)/D4</f>
        <v>-0.37307455384135707</v>
      </c>
      <c r="I4" s="46">
        <f>(G4-D4)/G4</f>
        <v>-0.59508599647261873</v>
      </c>
      <c r="J4" s="50"/>
      <c r="K4" s="224">
        <f t="shared" ref="K4:K7" si="1">(D4*2)</f>
        <v>625400</v>
      </c>
      <c r="L4" s="224">
        <f t="shared" ref="L4:L7" si="2">(K4*1.21)</f>
        <v>756734</v>
      </c>
      <c r="M4" s="189"/>
      <c r="N4" s="117">
        <v>570000</v>
      </c>
      <c r="O4" s="440">
        <f t="shared" ref="O4:O7" si="3">CEILING(N4,50)</f>
        <v>570000</v>
      </c>
      <c r="P4" s="42">
        <f t="shared" ref="P4:P7" si="4">(O4/1.21)</f>
        <v>471074.38016528927</v>
      </c>
      <c r="Q4" s="190">
        <f>(P4-D4)/D4</f>
        <v>0.50647387325004567</v>
      </c>
      <c r="R4" s="191">
        <f>(P4-D4)/P4</f>
        <v>0.33619824561403511</v>
      </c>
      <c r="S4" s="650">
        <f t="shared" ref="S4" si="5">(O4+W3)</f>
        <v>589000</v>
      </c>
      <c r="T4" s="921"/>
      <c r="U4" s="921"/>
      <c r="V4" s="921"/>
      <c r="W4" s="921"/>
    </row>
    <row r="5" spans="1:23" ht="18">
      <c r="A5" s="37" t="s">
        <v>2379</v>
      </c>
      <c r="B5" s="38"/>
      <c r="C5" s="663">
        <v>379</v>
      </c>
      <c r="D5" s="664">
        <f t="shared" si="0"/>
        <v>401740</v>
      </c>
      <c r="E5" s="73"/>
      <c r="F5" s="72"/>
      <c r="G5" s="73"/>
      <c r="H5" s="46"/>
      <c r="I5" s="46"/>
      <c r="J5" s="50"/>
      <c r="K5" s="224">
        <f t="shared" si="1"/>
        <v>803480</v>
      </c>
      <c r="L5" s="224">
        <f t="shared" si="2"/>
        <v>972210.79999999993</v>
      </c>
      <c r="M5" s="189"/>
      <c r="N5" s="117">
        <v>690000</v>
      </c>
      <c r="O5" s="440">
        <f t="shared" si="3"/>
        <v>690000</v>
      </c>
      <c r="P5" s="42">
        <f t="shared" si="4"/>
        <v>570247.9338842975</v>
      </c>
      <c r="Q5" s="190">
        <f>(P5-D5)/D5</f>
        <v>0.41944524788245507</v>
      </c>
      <c r="R5" s="191">
        <f>(P5-D5)/P5</f>
        <v>0.29549942028985504</v>
      </c>
      <c r="S5" s="650">
        <f>(O5+W3)</f>
        <v>709000</v>
      </c>
      <c r="T5" s="921"/>
      <c r="U5" s="921"/>
      <c r="V5" s="921"/>
      <c r="W5" s="921"/>
    </row>
    <row r="6" spans="1:23" ht="18">
      <c r="A6" s="37" t="s">
        <v>2380</v>
      </c>
      <c r="B6" s="104"/>
      <c r="C6" s="663"/>
      <c r="D6" s="36"/>
      <c r="E6" s="73"/>
      <c r="F6" s="72"/>
      <c r="G6" s="73"/>
      <c r="H6" s="46"/>
      <c r="I6" s="46"/>
      <c r="J6" s="50"/>
      <c r="K6" s="224">
        <f t="shared" si="1"/>
        <v>0</v>
      </c>
      <c r="L6" s="224">
        <f t="shared" si="2"/>
        <v>0</v>
      </c>
      <c r="M6" s="189"/>
      <c r="N6" s="117"/>
      <c r="O6" s="440">
        <f t="shared" si="3"/>
        <v>0</v>
      </c>
      <c r="P6" s="42">
        <f t="shared" si="4"/>
        <v>0</v>
      </c>
      <c r="Q6" s="190" t="e">
        <f>(P6-D6)/D6</f>
        <v>#DIV/0!</v>
      </c>
      <c r="R6" s="191" t="e">
        <f>(P6-D6)/P6</f>
        <v>#DIV/0!</v>
      </c>
      <c r="S6" s="113"/>
      <c r="T6" s="921"/>
      <c r="U6" s="921"/>
      <c r="V6" s="921"/>
      <c r="W6" s="921"/>
    </row>
    <row r="7" spans="1:23" ht="18">
      <c r="A7" s="37" t="s">
        <v>2381</v>
      </c>
      <c r="B7" s="104"/>
      <c r="C7" s="663"/>
      <c r="D7" s="36"/>
      <c r="E7" s="73"/>
      <c r="F7" s="72"/>
      <c r="G7" s="73"/>
      <c r="H7" s="46"/>
      <c r="I7" s="46"/>
      <c r="J7" s="50"/>
      <c r="K7" s="224">
        <f t="shared" si="1"/>
        <v>0</v>
      </c>
      <c r="L7" s="224">
        <f t="shared" si="2"/>
        <v>0</v>
      </c>
      <c r="M7" s="189"/>
      <c r="N7" s="117"/>
      <c r="O7" s="440">
        <f t="shared" si="3"/>
        <v>0</v>
      </c>
      <c r="P7" s="42">
        <f t="shared" si="4"/>
        <v>0</v>
      </c>
      <c r="Q7" s="190" t="e">
        <f>(P7-D7)/D7</f>
        <v>#DIV/0!</v>
      </c>
      <c r="R7" s="191" t="e">
        <f>(P7-D7)/P7</f>
        <v>#DIV/0!</v>
      </c>
      <c r="S7" s="113"/>
      <c r="T7" s="921"/>
      <c r="U7" s="921"/>
      <c r="V7" s="921"/>
      <c r="W7" s="921"/>
    </row>
    <row r="9" spans="1:23">
      <c r="A9" s="921"/>
      <c r="B9" s="921"/>
      <c r="C9" s="921"/>
      <c r="D9" s="921"/>
      <c r="E9" s="146">
        <v>0.1</v>
      </c>
      <c r="F9" s="921"/>
      <c r="G9" s="921"/>
      <c r="H9" s="921"/>
      <c r="I9" s="921"/>
      <c r="J9" s="921"/>
      <c r="K9" s="921"/>
      <c r="L9" s="921"/>
      <c r="M9" s="921"/>
      <c r="N9" s="146"/>
      <c r="O9" s="146"/>
      <c r="P9" s="921"/>
      <c r="Q9" s="921"/>
      <c r="R9" s="921"/>
      <c r="S9" s="921"/>
      <c r="T9" s="921"/>
      <c r="U9" s="921"/>
      <c r="V9" s="921"/>
      <c r="W9" s="921"/>
    </row>
    <row r="12" spans="1:23">
      <c r="A12" s="921"/>
      <c r="B12" s="921"/>
      <c r="C12" s="921"/>
      <c r="D12" s="146"/>
      <c r="E12" s="921"/>
      <c r="F12" s="921"/>
      <c r="G12" s="921"/>
      <c r="H12" s="921"/>
      <c r="I12" s="921"/>
      <c r="J12" s="921"/>
      <c r="K12" s="921"/>
      <c r="L12" s="921"/>
      <c r="M12" s="921"/>
      <c r="N12" s="921"/>
      <c r="O12" s="921"/>
      <c r="P12" s="146"/>
      <c r="Q12" s="921"/>
      <c r="R12" s="921"/>
      <c r="S12" s="921"/>
      <c r="T12" s="921"/>
      <c r="U12" s="921"/>
      <c r="V12" s="921"/>
      <c r="W12" s="92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C6E3-C89A-4AEF-918D-35892E439490}">
  <dimension ref="A1:H540"/>
  <sheetViews>
    <sheetView topLeftCell="A70" workbookViewId="0">
      <selection activeCell="A81" sqref="A81"/>
    </sheetView>
  </sheetViews>
  <sheetFormatPr baseColWidth="10" defaultColWidth="9.109375" defaultRowHeight="14.4"/>
  <cols>
    <col min="1" max="1" width="36.5546875" bestFit="1" customWidth="1"/>
    <col min="2" max="2" width="43.44140625" customWidth="1"/>
    <col min="3" max="3" width="20" bestFit="1" customWidth="1"/>
    <col min="4" max="4" width="22.33203125" bestFit="1" customWidth="1"/>
    <col min="5" max="5" width="20.44140625" bestFit="1" customWidth="1"/>
    <col min="6" max="6" width="24.6640625" bestFit="1" customWidth="1"/>
    <col min="7" max="7" width="21.109375" customWidth="1"/>
    <col min="8" max="8" width="38.6640625" bestFit="1" customWidth="1"/>
  </cols>
  <sheetData>
    <row r="1" spans="1:8">
      <c r="A1" s="747" t="s">
        <v>2382</v>
      </c>
      <c r="B1" s="747"/>
      <c r="C1" s="747"/>
      <c r="D1" s="747"/>
      <c r="E1" s="747"/>
      <c r="F1" s="747"/>
      <c r="G1" s="747"/>
      <c r="H1" s="748">
        <v>45807</v>
      </c>
    </row>
    <row r="2" spans="1:8">
      <c r="A2" s="747"/>
      <c r="B2" s="747"/>
      <c r="C2" s="747"/>
      <c r="D2" s="747"/>
      <c r="E2" s="747"/>
      <c r="F2" s="747"/>
      <c r="G2" s="747"/>
      <c r="H2" s="747"/>
    </row>
    <row r="3" spans="1:8">
      <c r="A3" s="909" t="s">
        <v>2383</v>
      </c>
      <c r="B3" s="909" t="s">
        <v>2384</v>
      </c>
      <c r="C3" s="909" t="s">
        <v>2385</v>
      </c>
      <c r="D3" s="909" t="s">
        <v>2386</v>
      </c>
      <c r="E3" s="909" t="s">
        <v>2387</v>
      </c>
      <c r="F3" s="909" t="s">
        <v>370</v>
      </c>
      <c r="G3" s="909" t="s">
        <v>2388</v>
      </c>
      <c r="H3" s="909" t="s">
        <v>2389</v>
      </c>
    </row>
    <row r="4" spans="1:8">
      <c r="A4" s="910" t="str">
        <f>Tabla1[[#This Row],[Codigo articulo]]</f>
        <v>EJEMPLO21</v>
      </c>
      <c r="B4" s="907" t="s">
        <v>2390</v>
      </c>
      <c r="C4" s="903">
        <v>1</v>
      </c>
      <c r="D4" s="904" t="s">
        <v>2391</v>
      </c>
      <c r="E4" s="904" t="s">
        <v>2372</v>
      </c>
      <c r="F4" s="903" t="s">
        <v>2392</v>
      </c>
      <c r="G4" s="903" t="s">
        <v>2392</v>
      </c>
      <c r="H4" s="903" t="s">
        <v>2393</v>
      </c>
    </row>
    <row r="5" spans="1:8">
      <c r="A5" s="910" t="str">
        <f>Tabla1[[#This Row],[Codigo articulo]]</f>
        <v>EJEMPLO10.5</v>
      </c>
      <c r="B5" s="907" t="s">
        <v>2394</v>
      </c>
      <c r="C5" s="903">
        <v>2</v>
      </c>
      <c r="D5" s="904" t="s">
        <v>2391</v>
      </c>
      <c r="E5" s="904" t="s">
        <v>2372</v>
      </c>
      <c r="F5" s="903" t="s">
        <v>2392</v>
      </c>
      <c r="G5" s="903" t="s">
        <v>2392</v>
      </c>
      <c r="H5" s="905" t="s">
        <v>2395</v>
      </c>
    </row>
    <row r="6" spans="1:8">
      <c r="A6" s="910" t="str">
        <f>Tabla1[[#This Row],[Codigo articulo]]</f>
        <v>SERVICIO10.5</v>
      </c>
      <c r="B6" s="907" t="s">
        <v>2396</v>
      </c>
      <c r="C6" s="903">
        <v>4</v>
      </c>
      <c r="D6" s="904" t="s">
        <v>2391</v>
      </c>
      <c r="E6" s="904" t="s">
        <v>2372</v>
      </c>
      <c r="F6" s="903" t="s">
        <v>2392</v>
      </c>
      <c r="G6" s="903" t="s">
        <v>2392</v>
      </c>
      <c r="H6" s="903" t="s">
        <v>2397</v>
      </c>
    </row>
    <row r="7" spans="1:8">
      <c r="A7" s="910" t="str">
        <f>Tabla1[[#This Row],[Codigo articulo]]</f>
        <v>FABRICADO</v>
      </c>
      <c r="B7" s="907" t="s">
        <v>2398</v>
      </c>
      <c r="C7" s="903">
        <v>5</v>
      </c>
      <c r="D7" s="904" t="s">
        <v>2391</v>
      </c>
      <c r="E7" s="904" t="s">
        <v>2372</v>
      </c>
      <c r="F7" s="903" t="s">
        <v>2392</v>
      </c>
      <c r="G7" s="903" t="s">
        <v>2392</v>
      </c>
      <c r="H7" s="905" t="s">
        <v>2399</v>
      </c>
    </row>
    <row r="8" spans="1:8">
      <c r="A8" s="910" t="str">
        <f>Tabla1[[#This Row],[Codigo articulo]]</f>
        <v>ANTICIPO</v>
      </c>
      <c r="B8" s="907" t="s">
        <v>2400</v>
      </c>
      <c r="C8" s="903">
        <v>6</v>
      </c>
      <c r="D8" s="904" t="s">
        <v>2391</v>
      </c>
      <c r="E8" s="904" t="s">
        <v>2372</v>
      </c>
      <c r="F8" s="903" t="s">
        <v>2401</v>
      </c>
      <c r="G8" s="903" t="s">
        <v>2402</v>
      </c>
      <c r="H8" s="903" t="s">
        <v>2403</v>
      </c>
    </row>
    <row r="9" spans="1:8">
      <c r="A9" s="910" t="str">
        <f>Tabla1[[#This Row],[Codigo articulo]]</f>
        <v>RECARGO</v>
      </c>
      <c r="B9" s="907" t="s">
        <v>2404</v>
      </c>
      <c r="C9" s="903">
        <v>319</v>
      </c>
      <c r="D9" s="904" t="s">
        <v>2391</v>
      </c>
      <c r="E9" s="904" t="s">
        <v>2372</v>
      </c>
      <c r="F9" s="903" t="s">
        <v>2405</v>
      </c>
      <c r="G9" s="903" t="s">
        <v>2406</v>
      </c>
      <c r="H9" s="905" t="s">
        <v>2407</v>
      </c>
    </row>
    <row r="10" spans="1:8">
      <c r="A10" s="910" t="str">
        <f>Tabla1[[#This Row],[Codigo articulo]]</f>
        <v>GASTOSIMP</v>
      </c>
      <c r="B10" s="907" t="s">
        <v>2408</v>
      </c>
      <c r="C10" s="903">
        <v>466</v>
      </c>
      <c r="D10" s="904" t="s">
        <v>2391</v>
      </c>
      <c r="E10" s="904" t="s">
        <v>2372</v>
      </c>
      <c r="F10" s="903" t="s">
        <v>2405</v>
      </c>
      <c r="G10" s="903" t="s">
        <v>2406</v>
      </c>
      <c r="H10" s="903" t="s">
        <v>2409</v>
      </c>
    </row>
    <row r="11" spans="1:8">
      <c r="A11" s="910" t="str">
        <f>Tabla1[[#This Row],[Codigo articulo]]</f>
        <v>DOMIMOTO</v>
      </c>
      <c r="B11" s="907" t="s">
        <v>2410</v>
      </c>
      <c r="C11" s="903">
        <v>467</v>
      </c>
      <c r="D11" s="903" t="s">
        <v>2411</v>
      </c>
      <c r="E11" s="903">
        <v>2</v>
      </c>
      <c r="F11" s="903" t="s">
        <v>2405</v>
      </c>
      <c r="G11" s="903" t="s">
        <v>2406</v>
      </c>
      <c r="H11" s="905" t="s">
        <v>2412</v>
      </c>
    </row>
    <row r="12" spans="1:8">
      <c r="A12" s="910" t="str">
        <f>Tabla1[[#This Row],[Codigo articulo]]</f>
        <v>LQ50-04N</v>
      </c>
      <c r="B12" s="907" t="s">
        <v>489</v>
      </c>
      <c r="C12" s="903">
        <v>468</v>
      </c>
      <c r="D12" s="903" t="s">
        <v>2411</v>
      </c>
      <c r="E12" s="903">
        <v>2</v>
      </c>
      <c r="F12" s="903" t="s">
        <v>388</v>
      </c>
      <c r="G12" s="903" t="s">
        <v>2413</v>
      </c>
      <c r="H12" s="903" t="s">
        <v>490</v>
      </c>
    </row>
    <row r="13" spans="1:8">
      <c r="A13" s="910" t="str">
        <f>Tabla1[[#This Row],[Codigo articulo]]</f>
        <v>SB14</v>
      </c>
      <c r="B13" s="907" t="s">
        <v>1212</v>
      </c>
      <c r="C13" s="903">
        <v>469</v>
      </c>
      <c r="D13" s="903" t="s">
        <v>2411</v>
      </c>
      <c r="E13" s="903">
        <v>2</v>
      </c>
      <c r="F13" s="903" t="s">
        <v>1211</v>
      </c>
      <c r="G13" s="903" t="s">
        <v>2413</v>
      </c>
      <c r="H13" s="905" t="s">
        <v>1213</v>
      </c>
    </row>
    <row r="14" spans="1:8">
      <c r="A14" s="910" t="str">
        <f>Tabla1[[#This Row],[Codigo articulo]]</f>
        <v>SB15</v>
      </c>
      <c r="B14" s="907" t="s">
        <v>1214</v>
      </c>
      <c r="C14" s="903">
        <v>470</v>
      </c>
      <c r="D14" s="903" t="s">
        <v>2411</v>
      </c>
      <c r="E14" s="903">
        <v>2</v>
      </c>
      <c r="F14" s="903" t="s">
        <v>1211</v>
      </c>
      <c r="G14" s="903" t="s">
        <v>2413</v>
      </c>
      <c r="H14" s="903" t="s">
        <v>1215</v>
      </c>
    </row>
    <row r="15" spans="1:8">
      <c r="A15" s="910" t="str">
        <f>Tabla1[[#This Row],[Codigo articulo]]</f>
        <v>SB16</v>
      </c>
      <c r="B15" s="907" t="s">
        <v>1216</v>
      </c>
      <c r="C15" s="903">
        <v>471</v>
      </c>
      <c r="D15" s="903" t="s">
        <v>2411</v>
      </c>
      <c r="E15" s="903">
        <v>2</v>
      </c>
      <c r="F15" s="903" t="s">
        <v>1211</v>
      </c>
      <c r="G15" s="903" t="s">
        <v>2413</v>
      </c>
      <c r="H15" s="905" t="s">
        <v>1217</v>
      </c>
    </row>
    <row r="16" spans="1:8">
      <c r="A16" s="910" t="str">
        <f>Tabla1[[#This Row],[Codigo articulo]]</f>
        <v>SB17</v>
      </c>
      <c r="B16" s="907" t="s">
        <v>1218</v>
      </c>
      <c r="C16" s="903">
        <v>472</v>
      </c>
      <c r="D16" s="903" t="s">
        <v>2411</v>
      </c>
      <c r="E16" s="903">
        <v>2</v>
      </c>
      <c r="F16" s="903" t="s">
        <v>1211</v>
      </c>
      <c r="G16" s="903" t="s">
        <v>2413</v>
      </c>
      <c r="H16" s="903" t="s">
        <v>1219</v>
      </c>
    </row>
    <row r="17" spans="1:8">
      <c r="A17" s="910" t="str">
        <f>Tabla1[[#This Row],[Codigo articulo]]</f>
        <v>SB18</v>
      </c>
      <c r="B17" s="907" t="s">
        <v>1220</v>
      </c>
      <c r="C17" s="903">
        <v>473</v>
      </c>
      <c r="D17" s="903" t="s">
        <v>2411</v>
      </c>
      <c r="E17" s="903">
        <v>2</v>
      </c>
      <c r="F17" s="903" t="s">
        <v>1211</v>
      </c>
      <c r="G17" s="903" t="s">
        <v>2413</v>
      </c>
      <c r="H17" s="905" t="s">
        <v>1221</v>
      </c>
    </row>
    <row r="18" spans="1:8">
      <c r="A18" s="910" t="str">
        <f>Tabla1[[#This Row],[Codigo articulo]]</f>
        <v>SB19</v>
      </c>
      <c r="B18" s="907" t="s">
        <v>1222</v>
      </c>
      <c r="C18" s="903">
        <v>474</v>
      </c>
      <c r="D18" s="903" t="s">
        <v>2411</v>
      </c>
      <c r="E18" s="903">
        <v>2</v>
      </c>
      <c r="F18" s="903" t="s">
        <v>1211</v>
      </c>
      <c r="G18" s="903" t="s">
        <v>2413</v>
      </c>
      <c r="H18" s="903" t="s">
        <v>1223</v>
      </c>
    </row>
    <row r="19" spans="1:8">
      <c r="A19" s="910" t="str">
        <f>Tabla1[[#This Row],[Codigo articulo]]</f>
        <v>SB20</v>
      </c>
      <c r="B19" s="907" t="s">
        <v>1224</v>
      </c>
      <c r="C19" s="903">
        <v>475</v>
      </c>
      <c r="D19" s="903" t="s">
        <v>2411</v>
      </c>
      <c r="E19" s="903">
        <v>2</v>
      </c>
      <c r="F19" s="903" t="s">
        <v>1211</v>
      </c>
      <c r="G19" s="903" t="s">
        <v>2413</v>
      </c>
      <c r="H19" s="905" t="s">
        <v>1225</v>
      </c>
    </row>
    <row r="20" spans="1:8">
      <c r="A20" s="910" t="str">
        <f>Tabla1[[#This Row],[Codigo articulo]]</f>
        <v>SB21</v>
      </c>
      <c r="B20" s="907" t="s">
        <v>1226</v>
      </c>
      <c r="C20" s="903">
        <v>476</v>
      </c>
      <c r="D20" s="903" t="s">
        <v>2411</v>
      </c>
      <c r="E20" s="903">
        <v>2</v>
      </c>
      <c r="F20" s="903" t="s">
        <v>1211</v>
      </c>
      <c r="G20" s="903" t="s">
        <v>2413</v>
      </c>
      <c r="H20" s="903" t="s">
        <v>1227</v>
      </c>
    </row>
    <row r="21" spans="1:8">
      <c r="A21" s="910" t="str">
        <f>Tabla1[[#This Row],[Codigo articulo]]</f>
        <v>SB22</v>
      </c>
      <c r="B21" s="907" t="s">
        <v>1228</v>
      </c>
      <c r="C21" s="903">
        <v>477</v>
      </c>
      <c r="D21" s="903" t="s">
        <v>2411</v>
      </c>
      <c r="E21" s="903">
        <v>2</v>
      </c>
      <c r="F21" s="903" t="s">
        <v>1211</v>
      </c>
      <c r="G21" s="903" t="s">
        <v>2413</v>
      </c>
      <c r="H21" s="905" t="s">
        <v>1229</v>
      </c>
    </row>
    <row r="22" spans="1:8">
      <c r="A22" s="910" t="str">
        <f>Tabla1[[#This Row],[Codigo articulo]]</f>
        <v>SB24</v>
      </c>
      <c r="B22" s="907" t="s">
        <v>1230</v>
      </c>
      <c r="C22" s="903">
        <v>478</v>
      </c>
      <c r="D22" s="903" t="s">
        <v>2411</v>
      </c>
      <c r="E22" s="903">
        <v>2</v>
      </c>
      <c r="F22" s="903" t="s">
        <v>1211</v>
      </c>
      <c r="G22" s="903" t="s">
        <v>2413</v>
      </c>
      <c r="H22" s="903" t="s">
        <v>1231</v>
      </c>
    </row>
    <row r="23" spans="1:8">
      <c r="A23" s="910" t="str">
        <f>Tabla1[[#This Row],[Codigo articulo]]</f>
        <v>SB26</v>
      </c>
      <c r="B23" s="907" t="s">
        <v>1232</v>
      </c>
      <c r="C23" s="903">
        <v>479</v>
      </c>
      <c r="D23" s="903" t="s">
        <v>2411</v>
      </c>
      <c r="E23" s="903">
        <v>2</v>
      </c>
      <c r="F23" s="903" t="s">
        <v>1211</v>
      </c>
      <c r="G23" s="903" t="s">
        <v>2413</v>
      </c>
      <c r="H23" s="905" t="s">
        <v>1233</v>
      </c>
    </row>
    <row r="24" spans="1:8">
      <c r="A24" s="910" t="str">
        <f>Tabla1[[#This Row],[Codigo articulo]]</f>
        <v>SB28</v>
      </c>
      <c r="B24" s="907" t="s">
        <v>1234</v>
      </c>
      <c r="C24" s="903">
        <v>480</v>
      </c>
      <c r="D24" s="903" t="s">
        <v>2411</v>
      </c>
      <c r="E24" s="903">
        <v>2</v>
      </c>
      <c r="F24" s="903" t="s">
        <v>1211</v>
      </c>
      <c r="G24" s="903" t="s">
        <v>2413</v>
      </c>
      <c r="H24" s="903" t="s">
        <v>1235</v>
      </c>
    </row>
    <row r="25" spans="1:8">
      <c r="A25" s="910" t="str">
        <f>Tabla1[[#This Row],[Codigo articulo]]</f>
        <v>SB30</v>
      </c>
      <c r="B25" s="907" t="s">
        <v>1236</v>
      </c>
      <c r="C25" s="903">
        <v>481</v>
      </c>
      <c r="D25" s="903" t="s">
        <v>2411</v>
      </c>
      <c r="E25" s="903">
        <v>2</v>
      </c>
      <c r="F25" s="903" t="s">
        <v>1211</v>
      </c>
      <c r="G25" s="903" t="s">
        <v>2413</v>
      </c>
      <c r="H25" s="905" t="s">
        <v>1237</v>
      </c>
    </row>
    <row r="26" spans="1:8">
      <c r="A26" s="910" t="str">
        <f>Tabla1[[#This Row],[Codigo articulo]]</f>
        <v>SB32</v>
      </c>
      <c r="B26" s="907" t="s">
        <v>1238</v>
      </c>
      <c r="C26" s="903">
        <v>482</v>
      </c>
      <c r="D26" s="903" t="s">
        <v>2411</v>
      </c>
      <c r="E26" s="903">
        <v>2</v>
      </c>
      <c r="F26" s="903" t="s">
        <v>1211</v>
      </c>
      <c r="G26" s="903" t="s">
        <v>2413</v>
      </c>
      <c r="H26" s="903" t="s">
        <v>1239</v>
      </c>
    </row>
    <row r="27" spans="1:8">
      <c r="A27" s="910" t="str">
        <f>Tabla1[[#This Row],[Codigo articulo]]</f>
        <v>T9</v>
      </c>
      <c r="B27" s="907" t="s">
        <v>1240</v>
      </c>
      <c r="C27" s="903">
        <v>483</v>
      </c>
      <c r="D27" s="903" t="s">
        <v>2411</v>
      </c>
      <c r="E27" s="903">
        <v>2</v>
      </c>
      <c r="F27" s="903" t="s">
        <v>1211</v>
      </c>
      <c r="G27" s="903" t="s">
        <v>2413</v>
      </c>
      <c r="H27" s="905" t="s">
        <v>1241</v>
      </c>
    </row>
    <row r="28" spans="1:8">
      <c r="A28" s="910" t="str">
        <f>Tabla1[[#This Row],[Codigo articulo]]</f>
        <v>T10</v>
      </c>
      <c r="B28" s="907" t="s">
        <v>1242</v>
      </c>
      <c r="C28" s="903">
        <v>484</v>
      </c>
      <c r="D28" s="903" t="s">
        <v>2411</v>
      </c>
      <c r="E28" s="903">
        <v>2</v>
      </c>
      <c r="F28" s="903" t="s">
        <v>1211</v>
      </c>
      <c r="G28" s="903" t="s">
        <v>2413</v>
      </c>
      <c r="H28" s="903" t="s">
        <v>1243</v>
      </c>
    </row>
    <row r="29" spans="1:8">
      <c r="A29" s="910" t="str">
        <f>Tabla1[[#This Row],[Codigo articulo]]</f>
        <v>T11</v>
      </c>
      <c r="B29" s="907" t="s">
        <v>1244</v>
      </c>
      <c r="C29" s="903">
        <v>485</v>
      </c>
      <c r="D29" s="903" t="s">
        <v>2411</v>
      </c>
      <c r="E29" s="903">
        <v>2</v>
      </c>
      <c r="F29" s="903" t="s">
        <v>1211</v>
      </c>
      <c r="G29" s="903" t="s">
        <v>2413</v>
      </c>
      <c r="H29" s="905" t="s">
        <v>1245</v>
      </c>
    </row>
    <row r="30" spans="1:8">
      <c r="A30" s="910" t="str">
        <f>Tabla1[[#This Row],[Codigo articulo]]</f>
        <v>T12</v>
      </c>
      <c r="B30" s="907" t="s">
        <v>1246</v>
      </c>
      <c r="C30" s="903">
        <v>486</v>
      </c>
      <c r="D30" s="903" t="s">
        <v>2411</v>
      </c>
      <c r="E30" s="903">
        <v>2</v>
      </c>
      <c r="F30" s="903" t="s">
        <v>1211</v>
      </c>
      <c r="G30" s="903" t="s">
        <v>2413</v>
      </c>
      <c r="H30" s="903" t="s">
        <v>1247</v>
      </c>
    </row>
    <row r="31" spans="1:8">
      <c r="A31" s="910" t="str">
        <f>Tabla1[[#This Row],[Codigo articulo]]</f>
        <v>T13</v>
      </c>
      <c r="B31" s="907" t="s">
        <v>1248</v>
      </c>
      <c r="C31" s="903">
        <v>487</v>
      </c>
      <c r="D31" s="903" t="s">
        <v>2411</v>
      </c>
      <c r="E31" s="903">
        <v>2</v>
      </c>
      <c r="F31" s="903" t="s">
        <v>1211</v>
      </c>
      <c r="G31" s="903" t="s">
        <v>2413</v>
      </c>
      <c r="H31" s="905" t="s">
        <v>1249</v>
      </c>
    </row>
    <row r="32" spans="1:8">
      <c r="A32" s="910" t="str">
        <f>Tabla1[[#This Row],[Codigo articulo]]</f>
        <v>T14</v>
      </c>
      <c r="B32" s="907" t="s">
        <v>1250</v>
      </c>
      <c r="C32" s="903">
        <v>488</v>
      </c>
      <c r="D32" s="903" t="s">
        <v>2411</v>
      </c>
      <c r="E32" s="903">
        <v>2</v>
      </c>
      <c r="F32" s="903" t="s">
        <v>1211</v>
      </c>
      <c r="G32" s="903" t="s">
        <v>2413</v>
      </c>
      <c r="H32" s="903" t="s">
        <v>1251</v>
      </c>
    </row>
    <row r="33" spans="1:8">
      <c r="A33" s="910" t="str">
        <f>Tabla1[[#This Row],[Codigo articulo]]</f>
        <v>T15</v>
      </c>
      <c r="B33" s="907" t="s">
        <v>1252</v>
      </c>
      <c r="C33" s="903">
        <v>489</v>
      </c>
      <c r="D33" s="903" t="s">
        <v>2411</v>
      </c>
      <c r="E33" s="903">
        <v>2</v>
      </c>
      <c r="F33" s="903" t="s">
        <v>1211</v>
      </c>
      <c r="G33" s="903" t="s">
        <v>2413</v>
      </c>
      <c r="H33" s="905" t="s">
        <v>1253</v>
      </c>
    </row>
    <row r="34" spans="1:8">
      <c r="A34" s="910" t="str">
        <f>Tabla1[[#This Row],[Codigo articulo]]</f>
        <v>T16</v>
      </c>
      <c r="B34" s="907" t="s">
        <v>1254</v>
      </c>
      <c r="C34" s="903">
        <v>490</v>
      </c>
      <c r="D34" s="903" t="s">
        <v>2411</v>
      </c>
      <c r="E34" s="903">
        <v>2</v>
      </c>
      <c r="F34" s="903" t="s">
        <v>1211</v>
      </c>
      <c r="G34" s="903" t="s">
        <v>2413</v>
      </c>
      <c r="H34" s="903" t="s">
        <v>1255</v>
      </c>
    </row>
    <row r="35" spans="1:8">
      <c r="A35" s="910" t="str">
        <f>Tabla1[[#This Row],[Codigo articulo]]</f>
        <v>BA73226</v>
      </c>
      <c r="B35" s="907" t="s">
        <v>1256</v>
      </c>
      <c r="C35" s="903">
        <v>491</v>
      </c>
      <c r="D35" s="903" t="s">
        <v>2411</v>
      </c>
      <c r="E35" s="903">
        <v>2</v>
      </c>
      <c r="F35" s="903" t="s">
        <v>1211</v>
      </c>
      <c r="G35" s="903" t="s">
        <v>2413</v>
      </c>
      <c r="H35" s="905" t="s">
        <v>1257</v>
      </c>
    </row>
    <row r="36" spans="1:8">
      <c r="A36" s="910" t="str">
        <f>Tabla1[[#This Row],[Codigo articulo]]</f>
        <v>BA63224</v>
      </c>
      <c r="B36" s="907" t="s">
        <v>1258</v>
      </c>
      <c r="C36" s="903">
        <v>492</v>
      </c>
      <c r="D36" s="903" t="s">
        <v>2411</v>
      </c>
      <c r="E36" s="903">
        <v>2</v>
      </c>
      <c r="F36" s="903" t="s">
        <v>1211</v>
      </c>
      <c r="G36" s="903" t="s">
        <v>2413</v>
      </c>
      <c r="H36" s="903" t="s">
        <v>1259</v>
      </c>
    </row>
    <row r="37" spans="1:8">
      <c r="A37" s="910" t="str">
        <f>Tabla1[[#This Row],[Codigo articulo]]</f>
        <v>BA46307</v>
      </c>
      <c r="B37" s="907" t="s">
        <v>1260</v>
      </c>
      <c r="C37" s="903">
        <v>493</v>
      </c>
      <c r="D37" s="903" t="s">
        <v>2411</v>
      </c>
      <c r="E37" s="903">
        <v>2</v>
      </c>
      <c r="F37" s="903" t="s">
        <v>1211</v>
      </c>
      <c r="G37" s="903" t="s">
        <v>2413</v>
      </c>
      <c r="H37" s="905" t="s">
        <v>1261</v>
      </c>
    </row>
    <row r="38" spans="1:8">
      <c r="A38" s="910" t="str">
        <f>Tabla1[[#This Row],[Codigo articulo]]</f>
        <v>BA46231</v>
      </c>
      <c r="B38" s="907" t="s">
        <v>1262</v>
      </c>
      <c r="C38" s="903">
        <v>494</v>
      </c>
      <c r="D38" s="903" t="s">
        <v>2411</v>
      </c>
      <c r="E38" s="903">
        <v>2</v>
      </c>
      <c r="F38" s="903" t="s">
        <v>1211</v>
      </c>
      <c r="G38" s="903" t="s">
        <v>2413</v>
      </c>
      <c r="H38" s="903" t="s">
        <v>1263</v>
      </c>
    </row>
    <row r="39" spans="1:8">
      <c r="A39" s="910" t="str">
        <f>Tabla1[[#This Row],[Codigo articulo]]</f>
        <v>BA74438</v>
      </c>
      <c r="B39" s="907" t="s">
        <v>1264</v>
      </c>
      <c r="C39" s="903">
        <v>495</v>
      </c>
      <c r="D39" s="903" t="s">
        <v>2411</v>
      </c>
      <c r="E39" s="903">
        <v>2</v>
      </c>
      <c r="F39" s="903" t="s">
        <v>1211</v>
      </c>
      <c r="G39" s="903" t="s">
        <v>2413</v>
      </c>
      <c r="H39" s="905" t="s">
        <v>1265</v>
      </c>
    </row>
    <row r="40" spans="1:8">
      <c r="A40" s="910" t="str">
        <f>Tabla1[[#This Row],[Codigo articulo]]</f>
        <v>BA72228</v>
      </c>
      <c r="B40" s="907" t="s">
        <v>1266</v>
      </c>
      <c r="C40" s="903">
        <v>496</v>
      </c>
      <c r="D40" s="903" t="s">
        <v>2411</v>
      </c>
      <c r="E40" s="903">
        <v>2</v>
      </c>
      <c r="F40" s="903" t="s">
        <v>1211</v>
      </c>
      <c r="G40" s="903" t="s">
        <v>2413</v>
      </c>
      <c r="H40" s="903" t="s">
        <v>1267</v>
      </c>
    </row>
    <row r="41" spans="1:8">
      <c r="A41" s="910" t="str">
        <f>Tabla1[[#This Row],[Codigo articulo]]</f>
        <v>2T</v>
      </c>
      <c r="B41" s="907" t="s">
        <v>1268</v>
      </c>
      <c r="C41" s="903">
        <v>497</v>
      </c>
      <c r="D41" s="903" t="s">
        <v>2411</v>
      </c>
      <c r="E41" s="903">
        <v>2</v>
      </c>
      <c r="F41" s="903" t="s">
        <v>1211</v>
      </c>
      <c r="G41" s="903" t="s">
        <v>2413</v>
      </c>
      <c r="H41" s="905" t="s">
        <v>2414</v>
      </c>
    </row>
    <row r="42" spans="1:8">
      <c r="A42" s="910" t="str">
        <f>Tabla1[[#This Row],[Codigo articulo]]</f>
        <v>4T</v>
      </c>
      <c r="B42" s="907" t="s">
        <v>1270</v>
      </c>
      <c r="C42" s="903">
        <v>498</v>
      </c>
      <c r="D42" s="903" t="s">
        <v>2411</v>
      </c>
      <c r="E42" s="903">
        <v>2</v>
      </c>
      <c r="F42" s="903" t="s">
        <v>1211</v>
      </c>
      <c r="G42" s="903" t="s">
        <v>2413</v>
      </c>
      <c r="H42" s="903" t="s">
        <v>2415</v>
      </c>
    </row>
    <row r="43" spans="1:8">
      <c r="A43" s="910" t="str">
        <f>Tabla1[[#This Row],[Codigo articulo]]</f>
        <v>AML115-9BK</v>
      </c>
      <c r="B43" s="907" t="s">
        <v>2416</v>
      </c>
      <c r="C43" s="903">
        <v>501</v>
      </c>
      <c r="D43" s="903" t="s">
        <v>2411</v>
      </c>
      <c r="E43" s="903">
        <v>2</v>
      </c>
      <c r="F43" s="903" t="s">
        <v>388</v>
      </c>
      <c r="G43" s="903" t="s">
        <v>2413</v>
      </c>
      <c r="H43" s="905" t="s">
        <v>466</v>
      </c>
    </row>
    <row r="44" spans="1:8">
      <c r="A44" s="910" t="str">
        <f>Tabla1[[#This Row],[Codigo articulo]]</f>
        <v>MML40-9BK</v>
      </c>
      <c r="B44" s="907" t="s">
        <v>473</v>
      </c>
      <c r="C44" s="903">
        <v>502</v>
      </c>
      <c r="D44" s="903" t="s">
        <v>2411</v>
      </c>
      <c r="E44" s="903">
        <v>2</v>
      </c>
      <c r="F44" s="903" t="s">
        <v>388</v>
      </c>
      <c r="G44" s="903" t="s">
        <v>2413</v>
      </c>
      <c r="H44" s="903" t="s">
        <v>474</v>
      </c>
    </row>
    <row r="45" spans="1:8">
      <c r="A45" s="910" t="str">
        <f>Tabla1[[#This Row],[Codigo articulo]]</f>
        <v>CGNL4-8</v>
      </c>
      <c r="B45" s="907" t="s">
        <v>491</v>
      </c>
      <c r="C45" s="903">
        <v>503</v>
      </c>
      <c r="D45" s="903" t="s">
        <v>2411</v>
      </c>
      <c r="E45" s="903">
        <v>2</v>
      </c>
      <c r="F45" s="903" t="s">
        <v>388</v>
      </c>
      <c r="G45" s="903" t="s">
        <v>2413</v>
      </c>
      <c r="H45" s="905" t="s">
        <v>492</v>
      </c>
    </row>
    <row r="46" spans="1:8">
      <c r="A46" s="910">
        <f>Tabla1[[#This Row],[Codigo articulo]]</f>
        <v>49622</v>
      </c>
      <c r="B46" s="907" t="s">
        <v>387</v>
      </c>
      <c r="C46" s="903">
        <v>504</v>
      </c>
      <c r="D46" s="903" t="s">
        <v>2411</v>
      </c>
      <c r="E46" s="903">
        <v>2</v>
      </c>
      <c r="F46" s="903" t="s">
        <v>388</v>
      </c>
      <c r="G46" s="903" t="s">
        <v>2413</v>
      </c>
      <c r="H46" s="903">
        <v>49622</v>
      </c>
    </row>
    <row r="47" spans="1:8">
      <c r="A47" s="910">
        <f>Tabla1[[#This Row],[Codigo articulo]]</f>
        <v>15480</v>
      </c>
      <c r="B47" s="907" t="s">
        <v>2417</v>
      </c>
      <c r="C47" s="903">
        <v>505</v>
      </c>
      <c r="D47" s="903" t="s">
        <v>2411</v>
      </c>
      <c r="E47" s="903">
        <v>2</v>
      </c>
      <c r="F47" s="903" t="s">
        <v>388</v>
      </c>
      <c r="G47" s="903" t="s">
        <v>2413</v>
      </c>
      <c r="H47" s="905">
        <v>15480</v>
      </c>
    </row>
    <row r="48" spans="1:8">
      <c r="A48" s="910" t="str">
        <f>Tabla1[[#This Row],[Codigo articulo]]</f>
        <v>EXPQS040</v>
      </c>
      <c r="B48" s="907" t="s">
        <v>1273</v>
      </c>
      <c r="C48" s="903">
        <v>506</v>
      </c>
      <c r="D48" s="903" t="s">
        <v>2411</v>
      </c>
      <c r="E48" s="903">
        <v>2</v>
      </c>
      <c r="F48" s="903" t="s">
        <v>2098</v>
      </c>
      <c r="G48" s="903" t="s">
        <v>2413</v>
      </c>
      <c r="H48" s="903" t="s">
        <v>1274</v>
      </c>
    </row>
    <row r="49" spans="1:8">
      <c r="A49" s="910" t="str">
        <f>Tabla1[[#This Row],[Codigo articulo]]</f>
        <v>EXPQS041</v>
      </c>
      <c r="B49" s="907" t="s">
        <v>1275</v>
      </c>
      <c r="C49" s="903">
        <v>507</v>
      </c>
      <c r="D49" s="903" t="s">
        <v>2411</v>
      </c>
      <c r="E49" s="903">
        <v>2</v>
      </c>
      <c r="F49" s="903" t="s">
        <v>2098</v>
      </c>
      <c r="G49" s="903" t="s">
        <v>2413</v>
      </c>
      <c r="H49" s="905" t="s">
        <v>1276</v>
      </c>
    </row>
    <row r="50" spans="1:8">
      <c r="A50" s="910" t="str">
        <f>Tabla1[[#This Row],[Codigo articulo]]</f>
        <v>IL150-8</v>
      </c>
      <c r="B50" s="907" t="s">
        <v>1208</v>
      </c>
      <c r="C50" s="903">
        <v>450</v>
      </c>
      <c r="D50" s="903" t="s">
        <v>2411</v>
      </c>
      <c r="E50" s="903">
        <v>2</v>
      </c>
      <c r="F50" s="903" t="s">
        <v>388</v>
      </c>
      <c r="G50" s="903" t="s">
        <v>2413</v>
      </c>
      <c r="H50" s="903" t="s">
        <v>416</v>
      </c>
    </row>
    <row r="51" spans="1:8">
      <c r="A51" s="910" t="str">
        <f>Tabla1[[#This Row],[Codigo articulo]]</f>
        <v>TC-1350</v>
      </c>
      <c r="B51" s="907" t="s">
        <v>1207</v>
      </c>
      <c r="C51" s="903">
        <v>451</v>
      </c>
      <c r="D51" s="903" t="s">
        <v>2411</v>
      </c>
      <c r="E51" s="903">
        <v>2</v>
      </c>
      <c r="F51" s="903" t="s">
        <v>388</v>
      </c>
      <c r="G51" s="903" t="s">
        <v>2413</v>
      </c>
      <c r="H51" s="905" t="s">
        <v>444</v>
      </c>
    </row>
    <row r="52" spans="1:8">
      <c r="A52" s="910">
        <f>Tabla1[[#This Row],[Codigo articulo]]</f>
        <v>19286</v>
      </c>
      <c r="B52" s="907" t="s">
        <v>1206</v>
      </c>
      <c r="C52" s="903">
        <v>453</v>
      </c>
      <c r="D52" s="903" t="s">
        <v>2411</v>
      </c>
      <c r="E52" s="903">
        <v>2</v>
      </c>
      <c r="F52" s="903" t="s">
        <v>388</v>
      </c>
      <c r="G52" s="903" t="s">
        <v>2413</v>
      </c>
      <c r="H52" s="903">
        <v>19286</v>
      </c>
    </row>
    <row r="53" spans="1:8">
      <c r="A53" s="910" t="str">
        <f>Tabla1[[#This Row],[Codigo articulo]]</f>
        <v>LBC1820-8</v>
      </c>
      <c r="B53" s="907" t="s">
        <v>2418</v>
      </c>
      <c r="C53" s="903">
        <v>533</v>
      </c>
      <c r="D53" s="903" t="s">
        <v>2411</v>
      </c>
      <c r="E53" s="903">
        <v>2</v>
      </c>
      <c r="F53" s="903" t="s">
        <v>388</v>
      </c>
      <c r="G53" s="903" t="s">
        <v>2413</v>
      </c>
      <c r="H53" s="905" t="s">
        <v>506</v>
      </c>
    </row>
    <row r="54" spans="1:8">
      <c r="A54" s="910" t="str">
        <f>Tabla1[[#This Row],[Codigo articulo]]</f>
        <v>RL30-9B</v>
      </c>
      <c r="B54" s="907" t="s">
        <v>2419</v>
      </c>
      <c r="C54" s="903">
        <v>534</v>
      </c>
      <c r="D54" s="903" t="s">
        <v>2411</v>
      </c>
      <c r="E54" s="903">
        <v>2</v>
      </c>
      <c r="F54" s="903" t="s">
        <v>388</v>
      </c>
      <c r="G54" s="903" t="s">
        <v>2413</v>
      </c>
      <c r="H54" s="903" t="s">
        <v>488</v>
      </c>
    </row>
    <row r="55" spans="1:8">
      <c r="A55" s="910" t="str">
        <f>Tabla1[[#This Row],[Codigo articulo]]</f>
        <v>RLQIONSOLR03</v>
      </c>
      <c r="B55" s="907" t="s">
        <v>2420</v>
      </c>
      <c r="C55" s="903">
        <v>535</v>
      </c>
      <c r="D55" s="903" t="s">
        <v>2411</v>
      </c>
      <c r="E55" s="903">
        <v>2</v>
      </c>
      <c r="F55" s="903" t="s">
        <v>388</v>
      </c>
      <c r="G55" s="903" t="s">
        <v>2413</v>
      </c>
      <c r="H55" s="905" t="s">
        <v>2421</v>
      </c>
    </row>
    <row r="56" spans="1:8">
      <c r="A56" s="910" t="str">
        <f>Tabla1[[#This Row],[Codigo articulo]]</f>
        <v>LCT-7000</v>
      </c>
      <c r="B56" s="907" t="s">
        <v>2422</v>
      </c>
      <c r="C56" s="903">
        <v>538</v>
      </c>
      <c r="D56" s="903" t="s">
        <v>2411</v>
      </c>
      <c r="E56" s="903">
        <v>2</v>
      </c>
      <c r="F56" s="903" t="s">
        <v>388</v>
      </c>
      <c r="G56" s="903" t="s">
        <v>2413</v>
      </c>
      <c r="H56" s="903" t="s">
        <v>502</v>
      </c>
    </row>
    <row r="57" spans="1:8">
      <c r="A57" s="910" t="str">
        <f>Tabla1[[#This Row],[Codigo articulo]]</f>
        <v>L1039</v>
      </c>
      <c r="B57" s="907" t="s">
        <v>2423</v>
      </c>
      <c r="C57" s="903">
        <v>539</v>
      </c>
      <c r="D57" s="903" t="s">
        <v>2411</v>
      </c>
      <c r="E57" s="903">
        <v>2</v>
      </c>
      <c r="F57" s="903" t="s">
        <v>388</v>
      </c>
      <c r="G57" s="903" t="s">
        <v>2413</v>
      </c>
      <c r="H57" s="905" t="s">
        <v>504</v>
      </c>
    </row>
    <row r="58" spans="1:8">
      <c r="A58" s="910" t="str">
        <f>Tabla1[[#This Row],[Codigo articulo]]</f>
        <v>MATYBOM1</v>
      </c>
      <c r="B58" s="907" t="s">
        <v>2424</v>
      </c>
      <c r="C58" s="903">
        <v>540</v>
      </c>
      <c r="D58" s="903" t="s">
        <v>2411</v>
      </c>
      <c r="E58" s="903">
        <v>2</v>
      </c>
      <c r="F58" s="903" t="s">
        <v>388</v>
      </c>
      <c r="G58" s="903" t="s">
        <v>2413</v>
      </c>
      <c r="H58" s="903" t="s">
        <v>2425</v>
      </c>
    </row>
    <row r="59" spans="1:8">
      <c r="A59" s="910">
        <f>Tabla1[[#This Row],[Codigo articulo]]</f>
        <v>2505</v>
      </c>
      <c r="B59" s="907" t="s">
        <v>2426</v>
      </c>
      <c r="C59" s="903">
        <v>545</v>
      </c>
      <c r="D59" s="903" t="s">
        <v>2411</v>
      </c>
      <c r="E59" s="903">
        <v>2</v>
      </c>
      <c r="F59" s="903" t="s">
        <v>2267</v>
      </c>
      <c r="G59" s="903" t="s">
        <v>2413</v>
      </c>
      <c r="H59" s="905">
        <v>2505</v>
      </c>
    </row>
    <row r="60" spans="1:8">
      <c r="A60" s="910">
        <f>Tabla1[[#This Row],[Codigo articulo]]</f>
        <v>3040</v>
      </c>
      <c r="B60" s="907" t="s">
        <v>1339</v>
      </c>
      <c r="C60" s="903">
        <v>547</v>
      </c>
      <c r="D60" s="903" t="s">
        <v>2411</v>
      </c>
      <c r="E60" s="903">
        <v>2</v>
      </c>
      <c r="F60" s="903" t="s">
        <v>2267</v>
      </c>
      <c r="G60" s="903" t="s">
        <v>2413</v>
      </c>
      <c r="H60" s="903">
        <v>3040</v>
      </c>
    </row>
    <row r="61" spans="1:8">
      <c r="A61" s="910" t="str">
        <f>Tabla1[[#This Row],[Codigo articulo]]</f>
        <v>MATLV-8B</v>
      </c>
      <c r="B61" s="907" t="s">
        <v>509</v>
      </c>
      <c r="C61" s="903">
        <v>548</v>
      </c>
      <c r="D61" s="903" t="s">
        <v>2411</v>
      </c>
      <c r="E61" s="903">
        <v>2</v>
      </c>
      <c r="F61" s="903" t="s">
        <v>388</v>
      </c>
      <c r="G61" s="903" t="s">
        <v>2413</v>
      </c>
      <c r="H61" s="905" t="s">
        <v>510</v>
      </c>
    </row>
    <row r="62" spans="1:8">
      <c r="A62" s="910">
        <f>Tabla1[[#This Row],[Codigo articulo]]</f>
        <v>2657</v>
      </c>
      <c r="B62" s="907" t="s">
        <v>1338</v>
      </c>
      <c r="C62" s="903">
        <v>546</v>
      </c>
      <c r="D62" s="903" t="s">
        <v>2411</v>
      </c>
      <c r="E62" s="903">
        <v>2</v>
      </c>
      <c r="F62" s="903" t="s">
        <v>2267</v>
      </c>
      <c r="G62" s="903" t="s">
        <v>2413</v>
      </c>
      <c r="H62" s="903">
        <v>2657</v>
      </c>
    </row>
    <row r="63" spans="1:8">
      <c r="A63" s="910" t="str">
        <f>Tabla1[[#This Row],[Codigo articulo]]</f>
        <v>VTL430-8</v>
      </c>
      <c r="B63" s="907" t="s">
        <v>1142</v>
      </c>
      <c r="C63" s="903">
        <v>396</v>
      </c>
      <c r="D63" s="903" t="s">
        <v>2411</v>
      </c>
      <c r="E63" s="903">
        <v>2</v>
      </c>
      <c r="F63" s="903" t="s">
        <v>388</v>
      </c>
      <c r="G63" s="903" t="s">
        <v>2413</v>
      </c>
      <c r="H63" s="905" t="s">
        <v>1143</v>
      </c>
    </row>
    <row r="64" spans="1:8">
      <c r="A64" s="910" t="str">
        <f>Tabla1[[#This Row],[Codigo articulo]]</f>
        <v>SHL150-9</v>
      </c>
      <c r="B64" s="907" t="s">
        <v>1144</v>
      </c>
      <c r="C64" s="903">
        <v>397</v>
      </c>
      <c r="D64" s="903" t="s">
        <v>2411</v>
      </c>
      <c r="E64" s="903">
        <v>2</v>
      </c>
      <c r="F64" s="903" t="s">
        <v>388</v>
      </c>
      <c r="G64" s="903" t="s">
        <v>2413</v>
      </c>
      <c r="H64" s="903" t="s">
        <v>442</v>
      </c>
    </row>
    <row r="65" spans="1:8">
      <c r="A65" s="910" t="str">
        <f>Tabla1[[#This Row],[Codigo articulo]]</f>
        <v>LG3000</v>
      </c>
      <c r="B65" s="907" t="s">
        <v>467</v>
      </c>
      <c r="C65" s="903">
        <v>398</v>
      </c>
      <c r="D65" s="903" t="s">
        <v>2411</v>
      </c>
      <c r="E65" s="903">
        <v>2</v>
      </c>
      <c r="F65" s="903" t="s">
        <v>388</v>
      </c>
      <c r="G65" s="903" t="s">
        <v>2413</v>
      </c>
      <c r="H65" s="905" t="s">
        <v>468</v>
      </c>
    </row>
    <row r="66" spans="1:8">
      <c r="A66" s="910" t="str">
        <f>Tabla1[[#This Row],[Codigo articulo]]</f>
        <v>LC2025</v>
      </c>
      <c r="B66" s="907" t="s">
        <v>469</v>
      </c>
      <c r="C66" s="903">
        <v>399</v>
      </c>
      <c r="D66" s="903" t="s">
        <v>2411</v>
      </c>
      <c r="E66" s="903">
        <v>2</v>
      </c>
      <c r="F66" s="903" t="s">
        <v>388</v>
      </c>
      <c r="G66" s="903" t="s">
        <v>2413</v>
      </c>
      <c r="H66" s="903" t="s">
        <v>1145</v>
      </c>
    </row>
    <row r="67" spans="1:8">
      <c r="A67" s="910">
        <f>Tabla1[[#This Row],[Codigo articulo]]</f>
        <v>21646</v>
      </c>
      <c r="B67" s="907" t="s">
        <v>1154</v>
      </c>
      <c r="C67" s="903">
        <v>404</v>
      </c>
      <c r="D67" s="903" t="s">
        <v>2411</v>
      </c>
      <c r="E67" s="903">
        <v>2</v>
      </c>
      <c r="F67" s="903" t="s">
        <v>2267</v>
      </c>
      <c r="G67" s="903" t="s">
        <v>2413</v>
      </c>
      <c r="H67" s="905">
        <v>21646</v>
      </c>
    </row>
    <row r="68" spans="1:8">
      <c r="A68" s="910" t="str">
        <f>Tabla1[[#This Row],[Codigo articulo]]</f>
        <v>AJUSTE</v>
      </c>
      <c r="B68" s="907" t="s">
        <v>2427</v>
      </c>
      <c r="C68" s="903">
        <v>382</v>
      </c>
      <c r="D68" s="903" t="s">
        <v>2411</v>
      </c>
      <c r="E68" s="903">
        <v>2</v>
      </c>
      <c r="F68" s="903" t="s">
        <v>2405</v>
      </c>
      <c r="G68" s="903" t="s">
        <v>2406</v>
      </c>
      <c r="H68" s="903" t="s">
        <v>2428</v>
      </c>
    </row>
    <row r="69" spans="1:8">
      <c r="A69" s="910" t="str">
        <f>Tabla1[[#This Row],[Codigo articulo]]</f>
        <v>LQE6013-200</v>
      </c>
      <c r="B69" s="907" t="s">
        <v>2429</v>
      </c>
      <c r="C69" s="903">
        <v>312</v>
      </c>
      <c r="D69" s="903" t="s">
        <v>2411</v>
      </c>
      <c r="E69" s="903">
        <v>2</v>
      </c>
      <c r="F69" s="903" t="s">
        <v>388</v>
      </c>
      <c r="G69" s="903" t="s">
        <v>2413</v>
      </c>
      <c r="H69" s="905" t="s">
        <v>453</v>
      </c>
    </row>
    <row r="70" spans="1:8">
      <c r="A70" s="910" t="str">
        <f>Tabla1[[#This Row],[Codigo articulo]]</f>
        <v>KITSOLDADOR1</v>
      </c>
      <c r="B70" s="907" t="s">
        <v>1049</v>
      </c>
      <c r="C70" s="903">
        <v>313</v>
      </c>
      <c r="D70" s="903" t="s">
        <v>2411</v>
      </c>
      <c r="E70" s="903">
        <v>2</v>
      </c>
      <c r="F70" s="903" t="s">
        <v>388</v>
      </c>
      <c r="G70" s="903" t="s">
        <v>2413</v>
      </c>
      <c r="H70" s="903" t="s">
        <v>1050</v>
      </c>
    </row>
    <row r="71" spans="1:8">
      <c r="A71" s="910" t="str">
        <f>Tabla1[[#This Row],[Codigo articulo]]</f>
        <v>FIXITMOTO</v>
      </c>
      <c r="B71" s="907" t="s">
        <v>1157</v>
      </c>
      <c r="C71" s="903">
        <v>418</v>
      </c>
      <c r="D71" s="903" t="s">
        <v>2411</v>
      </c>
      <c r="E71" s="903">
        <v>2</v>
      </c>
      <c r="F71" s="903" t="s">
        <v>2430</v>
      </c>
      <c r="G71" s="903" t="s">
        <v>2413</v>
      </c>
      <c r="H71" s="905" t="s">
        <v>1158</v>
      </c>
    </row>
    <row r="72" spans="1:8">
      <c r="A72" s="910" t="str">
        <f>Tabla1[[#This Row],[Codigo articulo]]</f>
        <v>FIXITAUTO</v>
      </c>
      <c r="B72" s="907" t="s">
        <v>1159</v>
      </c>
      <c r="C72" s="903">
        <v>419</v>
      </c>
      <c r="D72" s="903" t="s">
        <v>2411</v>
      </c>
      <c r="E72" s="903">
        <v>2</v>
      </c>
      <c r="F72" s="903" t="s">
        <v>2430</v>
      </c>
      <c r="G72" s="903" t="s">
        <v>2413</v>
      </c>
      <c r="H72" s="903" t="s">
        <v>1160</v>
      </c>
    </row>
    <row r="73" spans="1:8">
      <c r="A73" s="910" t="str">
        <f>Tabla1[[#This Row],[Codigo articulo]]</f>
        <v>TL1.3-9</v>
      </c>
      <c r="B73" s="907" t="s">
        <v>1183</v>
      </c>
      <c r="C73" s="903">
        <v>423</v>
      </c>
      <c r="D73" s="903" t="s">
        <v>2411</v>
      </c>
      <c r="E73" s="903">
        <v>2</v>
      </c>
      <c r="F73" s="903" t="s">
        <v>388</v>
      </c>
      <c r="G73" s="903" t="s">
        <v>2413</v>
      </c>
      <c r="H73" s="905" t="s">
        <v>422</v>
      </c>
    </row>
    <row r="74" spans="1:8">
      <c r="A74" s="910" t="str">
        <f>Tabla1[[#This Row],[Codigo articulo]]</f>
        <v>BOTL750-9</v>
      </c>
      <c r="B74" s="907" t="s">
        <v>429</v>
      </c>
      <c r="C74" s="903">
        <v>424</v>
      </c>
      <c r="D74" s="903" t="s">
        <v>2411</v>
      </c>
      <c r="E74" s="903">
        <v>2</v>
      </c>
      <c r="F74" s="903" t="s">
        <v>388</v>
      </c>
      <c r="G74" s="903" t="s">
        <v>2413</v>
      </c>
      <c r="H74" s="903" t="s">
        <v>430</v>
      </c>
    </row>
    <row r="75" spans="1:8">
      <c r="A75" s="910" t="str">
        <f>Tabla1[[#This Row],[Codigo articulo]]</f>
        <v>VTL530-9B</v>
      </c>
      <c r="B75" s="907" t="s">
        <v>1184</v>
      </c>
      <c r="C75" s="903">
        <v>425</v>
      </c>
      <c r="D75" s="903" t="s">
        <v>2411</v>
      </c>
      <c r="E75" s="903">
        <v>2</v>
      </c>
      <c r="F75" s="903" t="s">
        <v>388</v>
      </c>
      <c r="G75" s="903" t="s">
        <v>2413</v>
      </c>
      <c r="H75" s="905" t="s">
        <v>432</v>
      </c>
    </row>
    <row r="76" spans="1:8">
      <c r="A76" s="910">
        <f>Tabla1[[#This Row],[Codigo articulo]]</f>
        <v>20628</v>
      </c>
      <c r="B76" s="907" t="s">
        <v>1185</v>
      </c>
      <c r="C76" s="903">
        <v>426</v>
      </c>
      <c r="D76" s="903" t="s">
        <v>2411</v>
      </c>
      <c r="E76" s="903">
        <v>2</v>
      </c>
      <c r="F76" s="903" t="s">
        <v>2267</v>
      </c>
      <c r="G76" s="903" t="s">
        <v>2413</v>
      </c>
      <c r="H76" s="903">
        <v>20628</v>
      </c>
    </row>
    <row r="77" spans="1:8">
      <c r="A77" s="910">
        <f>Tabla1[[#This Row],[Codigo articulo]]</f>
        <v>8931</v>
      </c>
      <c r="B77" s="907" t="s">
        <v>1186</v>
      </c>
      <c r="C77" s="903">
        <v>427</v>
      </c>
      <c r="D77" s="903" t="s">
        <v>2411</v>
      </c>
      <c r="E77" s="903">
        <v>2</v>
      </c>
      <c r="F77" s="903" t="s">
        <v>2267</v>
      </c>
      <c r="G77" s="903" t="s">
        <v>2413</v>
      </c>
      <c r="H77" s="905">
        <v>8931</v>
      </c>
    </row>
    <row r="78" spans="1:8">
      <c r="A78" s="910">
        <f>Tabla1[[#This Row],[Codigo articulo]]</f>
        <v>2506</v>
      </c>
      <c r="B78" s="907" t="s">
        <v>1187</v>
      </c>
      <c r="C78" s="903">
        <v>428</v>
      </c>
      <c r="D78" s="903" t="s">
        <v>2411</v>
      </c>
      <c r="E78" s="903">
        <v>2</v>
      </c>
      <c r="F78" s="903" t="s">
        <v>2267</v>
      </c>
      <c r="G78" s="903" t="s">
        <v>2413</v>
      </c>
      <c r="H78" s="903">
        <v>2506</v>
      </c>
    </row>
    <row r="79" spans="1:8">
      <c r="A79" s="910" t="str">
        <f>Tabla1[[#This Row],[Codigo articulo]]</f>
        <v>ARMOTL-8</v>
      </c>
      <c r="B79" s="907" t="s">
        <v>2431</v>
      </c>
      <c r="C79" s="903">
        <v>429</v>
      </c>
      <c r="D79" s="903" t="s">
        <v>2411</v>
      </c>
      <c r="E79" s="903">
        <v>2</v>
      </c>
      <c r="F79" s="903" t="s">
        <v>388</v>
      </c>
      <c r="G79" s="903" t="s">
        <v>2413</v>
      </c>
      <c r="H79" s="905" t="s">
        <v>1190</v>
      </c>
    </row>
    <row r="80" spans="1:8">
      <c r="A80" s="910" t="str">
        <f>Tabla1[[#This Row],[Codigo articulo]]</f>
        <v>YAL250N-9K</v>
      </c>
      <c r="B80" s="907" t="s">
        <v>495</v>
      </c>
      <c r="C80" s="903">
        <v>430</v>
      </c>
      <c r="D80" s="903" t="s">
        <v>2411</v>
      </c>
      <c r="E80" s="903">
        <v>2</v>
      </c>
      <c r="F80" s="903" t="s">
        <v>388</v>
      </c>
      <c r="G80" s="903" t="s">
        <v>2413</v>
      </c>
      <c r="H80" s="903" t="s">
        <v>1191</v>
      </c>
    </row>
    <row r="81" spans="1:8">
      <c r="A81" s="910">
        <f>Tabla1[[#This Row],[Codigo articulo]]</f>
        <v>27168</v>
      </c>
      <c r="B81" s="907" t="s">
        <v>392</v>
      </c>
      <c r="C81" s="903">
        <v>433</v>
      </c>
      <c r="D81" s="903" t="s">
        <v>2411</v>
      </c>
      <c r="E81" s="903">
        <v>2</v>
      </c>
      <c r="F81" s="903" t="s">
        <v>388</v>
      </c>
      <c r="G81" s="903" t="s">
        <v>2413</v>
      </c>
      <c r="H81" s="905">
        <v>27168</v>
      </c>
    </row>
    <row r="82" spans="1:8">
      <c r="A82" s="910" t="str">
        <f>Tabla1[[#This Row],[Codigo articulo]]</f>
        <v>MATYBOM</v>
      </c>
      <c r="B82" s="907" t="s">
        <v>1194</v>
      </c>
      <c r="C82" s="903">
        <v>436</v>
      </c>
      <c r="D82" s="903" t="s">
        <v>2411</v>
      </c>
      <c r="E82" s="903">
        <v>2</v>
      </c>
      <c r="F82" s="903" t="s">
        <v>388</v>
      </c>
      <c r="G82" s="903" t="s">
        <v>2413</v>
      </c>
      <c r="H82" s="903" t="s">
        <v>1195</v>
      </c>
    </row>
    <row r="83" spans="1:8">
      <c r="A83" s="910" t="str">
        <f>Tabla1[[#This Row],[Codigo articulo]]</f>
        <v>VFL700-8N</v>
      </c>
      <c r="B83" s="907" t="s">
        <v>435</v>
      </c>
      <c r="C83" s="903">
        <v>441</v>
      </c>
      <c r="D83" s="903" t="s">
        <v>2411</v>
      </c>
      <c r="E83" s="903">
        <v>2</v>
      </c>
      <c r="F83" s="903" t="s">
        <v>388</v>
      </c>
      <c r="G83" s="903" t="s">
        <v>2413</v>
      </c>
      <c r="H83" s="905" t="s">
        <v>436</v>
      </c>
    </row>
    <row r="84" spans="1:8">
      <c r="A84" s="910" t="str">
        <f>Tabla1[[#This Row],[Codigo articulo]]</f>
        <v>BOTL500-8V</v>
      </c>
      <c r="B84" s="907" t="s">
        <v>427</v>
      </c>
      <c r="C84" s="903">
        <v>442</v>
      </c>
      <c r="D84" s="903" t="s">
        <v>2411</v>
      </c>
      <c r="E84" s="903">
        <v>2</v>
      </c>
      <c r="F84" s="903" t="s">
        <v>388</v>
      </c>
      <c r="G84" s="903" t="s">
        <v>2413</v>
      </c>
      <c r="H84" s="903" t="s">
        <v>428</v>
      </c>
    </row>
    <row r="85" spans="1:8">
      <c r="A85" s="910" t="str">
        <f>Tabla1[[#This Row],[Codigo articulo]]</f>
        <v>JMPL100-8</v>
      </c>
      <c r="B85" s="907" t="s">
        <v>481</v>
      </c>
      <c r="C85" s="903">
        <v>443</v>
      </c>
      <c r="D85" s="903" t="s">
        <v>2411</v>
      </c>
      <c r="E85" s="903">
        <v>2</v>
      </c>
      <c r="F85" s="903" t="s">
        <v>388</v>
      </c>
      <c r="G85" s="903" t="s">
        <v>2413</v>
      </c>
      <c r="H85" s="905" t="s">
        <v>482</v>
      </c>
    </row>
    <row r="86" spans="1:8">
      <c r="A86" s="910" t="str">
        <f>Tabla1[[#This Row],[Codigo articulo]]</f>
        <v>LA-1500MM</v>
      </c>
      <c r="B86" s="907" t="s">
        <v>399</v>
      </c>
      <c r="C86" s="903">
        <v>444</v>
      </c>
      <c r="D86" s="903" t="s">
        <v>2411</v>
      </c>
      <c r="E86" s="903">
        <v>2</v>
      </c>
      <c r="F86" s="903" t="s">
        <v>388</v>
      </c>
      <c r="G86" s="903" t="s">
        <v>2413</v>
      </c>
      <c r="H86" s="903" t="s">
        <v>400</v>
      </c>
    </row>
    <row r="87" spans="1:8">
      <c r="A87" s="910">
        <f>Tabla1[[#This Row],[Codigo articulo]]</f>
        <v>25046</v>
      </c>
      <c r="B87" s="907" t="s">
        <v>1204</v>
      </c>
      <c r="C87" s="903">
        <v>445</v>
      </c>
      <c r="D87" s="903" t="s">
        <v>2411</v>
      </c>
      <c r="E87" s="903">
        <v>2</v>
      </c>
      <c r="F87" s="903" t="s">
        <v>388</v>
      </c>
      <c r="G87" s="903" t="s">
        <v>2413</v>
      </c>
      <c r="H87" s="905">
        <v>25046</v>
      </c>
    </row>
    <row r="88" spans="1:8">
      <c r="A88" s="910">
        <f>Tabla1[[#This Row],[Codigo articulo]]</f>
        <v>49621</v>
      </c>
      <c r="B88" s="907" t="s">
        <v>1205</v>
      </c>
      <c r="C88" s="903">
        <v>446</v>
      </c>
      <c r="D88" s="903" t="s">
        <v>2411</v>
      </c>
      <c r="E88" s="903">
        <v>2</v>
      </c>
      <c r="F88" s="903" t="s">
        <v>388</v>
      </c>
      <c r="G88" s="903" t="s">
        <v>2413</v>
      </c>
      <c r="H88" s="903">
        <v>49621</v>
      </c>
    </row>
    <row r="89" spans="1:8">
      <c r="A89" s="910" t="str">
        <f>Tabla1[[#This Row],[Codigo articulo]]</f>
        <v>LQ-C2</v>
      </c>
      <c r="B89" s="907" t="s">
        <v>475</v>
      </c>
      <c r="C89" s="903">
        <v>447</v>
      </c>
      <c r="D89" s="903" t="s">
        <v>2411</v>
      </c>
      <c r="E89" s="903">
        <v>2</v>
      </c>
      <c r="F89" s="903" t="s">
        <v>388</v>
      </c>
      <c r="G89" s="903" t="s">
        <v>2413</v>
      </c>
      <c r="H89" s="905" t="s">
        <v>476</v>
      </c>
    </row>
    <row r="90" spans="1:8">
      <c r="A90" s="910" t="str">
        <f>Tabla1[[#This Row],[Codigo articulo]]</f>
        <v>SAL3TON-7</v>
      </c>
      <c r="B90" s="907" t="s">
        <v>477</v>
      </c>
      <c r="C90" s="903">
        <v>448</v>
      </c>
      <c r="D90" s="903" t="s">
        <v>2411</v>
      </c>
      <c r="E90" s="903">
        <v>2</v>
      </c>
      <c r="F90" s="903" t="s">
        <v>388</v>
      </c>
      <c r="G90" s="903" t="s">
        <v>2413</v>
      </c>
      <c r="H90" s="903" t="s">
        <v>478</v>
      </c>
    </row>
    <row r="91" spans="1:8">
      <c r="A91" s="910" t="str">
        <f>Tabla1[[#This Row],[Codigo articulo]]</f>
        <v>AML2200-9</v>
      </c>
      <c r="B91" s="907" t="s">
        <v>463</v>
      </c>
      <c r="C91" s="903">
        <v>455</v>
      </c>
      <c r="D91" s="903" t="s">
        <v>2411</v>
      </c>
      <c r="E91" s="903">
        <v>2</v>
      </c>
      <c r="F91" s="903" t="s">
        <v>388</v>
      </c>
      <c r="G91" s="903" t="s">
        <v>2413</v>
      </c>
      <c r="H91" s="905" t="s">
        <v>464</v>
      </c>
    </row>
    <row r="92" spans="1:8">
      <c r="A92" s="910" t="str">
        <f>Tabla1[[#This Row],[Codigo articulo]]</f>
        <v>PROMOMOTOS</v>
      </c>
      <c r="B92" s="907" t="s">
        <v>2432</v>
      </c>
      <c r="C92" s="903">
        <v>456</v>
      </c>
      <c r="D92" s="903" t="s">
        <v>2411</v>
      </c>
      <c r="E92" s="903">
        <v>2</v>
      </c>
      <c r="F92" s="903" t="s">
        <v>2405</v>
      </c>
      <c r="G92" s="903" t="s">
        <v>2406</v>
      </c>
      <c r="H92" s="903" t="s">
        <v>2433</v>
      </c>
    </row>
    <row r="93" spans="1:8">
      <c r="A93" s="910" t="str">
        <f>Tabla1[[#This Row],[Codigo articulo]]</f>
        <v>LIL800-9BK</v>
      </c>
      <c r="B93" s="907" t="s">
        <v>471</v>
      </c>
      <c r="C93" s="903">
        <v>457</v>
      </c>
      <c r="D93" s="903" t="s">
        <v>2411</v>
      </c>
      <c r="E93" s="903">
        <v>2</v>
      </c>
      <c r="F93" s="903" t="s">
        <v>388</v>
      </c>
      <c r="G93" s="903" t="s">
        <v>2413</v>
      </c>
      <c r="H93" s="905" t="s">
        <v>472</v>
      </c>
    </row>
    <row r="94" spans="1:8">
      <c r="A94" s="910" t="str">
        <f>Tabla1[[#This Row],[Codigo articulo]]</f>
        <v>LA3.8-8B</v>
      </c>
      <c r="B94" s="907" t="s">
        <v>401</v>
      </c>
      <c r="C94" s="903">
        <v>458</v>
      </c>
      <c r="D94" s="903" t="s">
        <v>2411</v>
      </c>
      <c r="E94" s="903">
        <v>2</v>
      </c>
      <c r="F94" s="903" t="s">
        <v>388</v>
      </c>
      <c r="G94" s="903" t="s">
        <v>2413</v>
      </c>
      <c r="H94" s="903" t="s">
        <v>402</v>
      </c>
    </row>
    <row r="95" spans="1:8">
      <c r="A95" s="910" t="str">
        <f>Tabla1[[#This Row],[Codigo articulo]]</f>
        <v>LQC-100</v>
      </c>
      <c r="B95" s="907" t="s">
        <v>483</v>
      </c>
      <c r="C95" s="903">
        <v>459</v>
      </c>
      <c r="D95" s="903" t="s">
        <v>2411</v>
      </c>
      <c r="E95" s="903">
        <v>2</v>
      </c>
      <c r="F95" s="903" t="s">
        <v>388</v>
      </c>
      <c r="G95" s="903" t="s">
        <v>2413</v>
      </c>
      <c r="H95" s="905" t="s">
        <v>484</v>
      </c>
    </row>
    <row r="96" spans="1:8">
      <c r="A96" s="910" t="str">
        <f>Tabla1[[#This Row],[Codigo articulo]]</f>
        <v>MCL150-8</v>
      </c>
      <c r="B96" s="907" t="s">
        <v>2434</v>
      </c>
      <c r="C96" s="903">
        <v>460</v>
      </c>
      <c r="D96" s="903" t="s">
        <v>2411</v>
      </c>
      <c r="E96" s="903">
        <v>2</v>
      </c>
      <c r="F96" s="903" t="s">
        <v>388</v>
      </c>
      <c r="G96" s="903" t="s">
        <v>2413</v>
      </c>
      <c r="H96" s="903" t="s">
        <v>397</v>
      </c>
    </row>
    <row r="97" spans="1:8">
      <c r="A97" s="910" t="str">
        <f>Tabla1[[#This Row],[Codigo articulo]]</f>
        <v>GRCL800-10</v>
      </c>
      <c r="B97" s="907" t="s">
        <v>1209</v>
      </c>
      <c r="C97" s="903">
        <v>461</v>
      </c>
      <c r="D97" s="903" t="s">
        <v>2411</v>
      </c>
      <c r="E97" s="903">
        <v>2</v>
      </c>
      <c r="F97" s="903" t="s">
        <v>388</v>
      </c>
      <c r="G97" s="903" t="s">
        <v>2413</v>
      </c>
      <c r="H97" s="905" t="s">
        <v>498</v>
      </c>
    </row>
    <row r="98" spans="1:8">
      <c r="A98" s="910" t="str">
        <f>Tabla1[[#This Row],[Codigo articulo]]</f>
        <v>TL750-9</v>
      </c>
      <c r="B98" s="907" t="s">
        <v>417</v>
      </c>
      <c r="C98" s="903">
        <v>462</v>
      </c>
      <c r="D98" s="903" t="s">
        <v>2411</v>
      </c>
      <c r="E98" s="903">
        <v>2</v>
      </c>
      <c r="F98" s="903" t="s">
        <v>388</v>
      </c>
      <c r="G98" s="903" t="s">
        <v>2413</v>
      </c>
      <c r="H98" s="903" t="s">
        <v>418</v>
      </c>
    </row>
    <row r="99" spans="1:8">
      <c r="A99" s="910" t="str">
        <f>Tabla1[[#This Row],[Codigo articulo]]</f>
        <v>MEGAIRON140-9</v>
      </c>
      <c r="B99" s="907" t="s">
        <v>450</v>
      </c>
      <c r="C99" s="903">
        <v>463</v>
      </c>
      <c r="D99" s="903" t="s">
        <v>2411</v>
      </c>
      <c r="E99" s="903">
        <v>2</v>
      </c>
      <c r="F99" s="903" t="s">
        <v>388</v>
      </c>
      <c r="G99" s="903" t="s">
        <v>2413</v>
      </c>
      <c r="H99" s="905" t="s">
        <v>451</v>
      </c>
    </row>
    <row r="100" spans="1:8">
      <c r="A100" s="910" t="str">
        <f>Tabla1[[#This Row],[Codigo articulo]]</f>
        <v>ACL40</v>
      </c>
      <c r="B100" s="907" t="s">
        <v>1210</v>
      </c>
      <c r="C100" s="903">
        <v>464</v>
      </c>
      <c r="D100" s="903" t="s">
        <v>2411</v>
      </c>
      <c r="E100" s="903">
        <v>2</v>
      </c>
      <c r="F100" s="903" t="s">
        <v>388</v>
      </c>
      <c r="G100" s="903" t="s">
        <v>2435</v>
      </c>
      <c r="H100" s="903" t="s">
        <v>500</v>
      </c>
    </row>
    <row r="101" spans="1:8">
      <c r="A101" s="910" t="str">
        <f>Tabla1[[#This Row],[Codigo articulo]]</f>
        <v>MEGAIRON100-8</v>
      </c>
      <c r="B101" s="907" t="s">
        <v>448</v>
      </c>
      <c r="C101" s="903">
        <v>465</v>
      </c>
      <c r="D101" s="903" t="s">
        <v>2411</v>
      </c>
      <c r="E101" s="903">
        <v>2</v>
      </c>
      <c r="F101" s="903" t="s">
        <v>388</v>
      </c>
      <c r="G101" s="903" t="s">
        <v>2413</v>
      </c>
      <c r="H101" s="905" t="s">
        <v>449</v>
      </c>
    </row>
    <row r="102" spans="1:8">
      <c r="A102" s="910" t="str">
        <f>Tabla1[[#This Row],[Codigo articulo]]</f>
        <v>SD1</v>
      </c>
      <c r="B102" s="907" t="s">
        <v>485</v>
      </c>
      <c r="C102" s="903">
        <v>531</v>
      </c>
      <c r="D102" s="903" t="s">
        <v>2411</v>
      </c>
      <c r="E102" s="903">
        <v>2</v>
      </c>
      <c r="F102" s="903" t="s">
        <v>388</v>
      </c>
      <c r="G102" s="903" t="s">
        <v>2413</v>
      </c>
      <c r="H102" s="903" t="s">
        <v>486</v>
      </c>
    </row>
    <row r="103" spans="1:8">
      <c r="A103" s="910" t="str">
        <f>Tabla1[[#This Row],[Codigo articulo]]</f>
        <v>BOT</v>
      </c>
      <c r="B103" s="907" t="s">
        <v>894</v>
      </c>
      <c r="C103" s="903">
        <v>293</v>
      </c>
      <c r="D103" s="903" t="s">
        <v>2411</v>
      </c>
      <c r="E103" s="903">
        <v>2</v>
      </c>
      <c r="F103" s="903" t="s">
        <v>2405</v>
      </c>
      <c r="G103" s="903" t="s">
        <v>2413</v>
      </c>
      <c r="H103" s="905" t="s">
        <v>895</v>
      </c>
    </row>
    <row r="104" spans="1:8">
      <c r="A104" s="910" t="str">
        <f>Tabla1[[#This Row],[Codigo articulo]]</f>
        <v>INSTADOMICILIO</v>
      </c>
      <c r="B104" s="907" t="s">
        <v>2436</v>
      </c>
      <c r="C104" s="903">
        <v>349</v>
      </c>
      <c r="D104" s="903" t="s">
        <v>2411</v>
      </c>
      <c r="E104" s="903">
        <v>2</v>
      </c>
      <c r="F104" s="903" t="s">
        <v>2405</v>
      </c>
      <c r="G104" s="903" t="s">
        <v>2406</v>
      </c>
      <c r="H104" s="903" t="s">
        <v>2437</v>
      </c>
    </row>
    <row r="105" spans="1:8">
      <c r="A105" s="910" t="str">
        <f>Tabla1[[#This Row],[Codigo articulo]]</f>
        <v>kitsoldador2</v>
      </c>
      <c r="B105" s="907" t="s">
        <v>1090</v>
      </c>
      <c r="C105" s="903">
        <v>350</v>
      </c>
      <c r="D105" s="903" t="s">
        <v>2411</v>
      </c>
      <c r="E105" s="903">
        <v>2</v>
      </c>
      <c r="F105" s="903" t="s">
        <v>388</v>
      </c>
      <c r="G105" s="903" t="s">
        <v>2413</v>
      </c>
      <c r="H105" s="905" t="s">
        <v>1091</v>
      </c>
    </row>
    <row r="106" spans="1:8">
      <c r="A106" s="910" t="str">
        <f>Tabla1[[#This Row],[Codigo articulo]]</f>
        <v>juh44</v>
      </c>
      <c r="B106" s="907" t="s">
        <v>1092</v>
      </c>
      <c r="C106" s="903">
        <v>351</v>
      </c>
      <c r="D106" s="903" t="s">
        <v>2411</v>
      </c>
      <c r="E106" s="903">
        <v>2</v>
      </c>
      <c r="F106" s="903" t="s">
        <v>2438</v>
      </c>
      <c r="G106" s="903" t="s">
        <v>2413</v>
      </c>
      <c r="H106" s="903" t="s">
        <v>1093</v>
      </c>
    </row>
    <row r="107" spans="1:8">
      <c r="A107" s="910">
        <f>Tabla1[[#This Row],[Codigo articulo]]</f>
        <v>2124</v>
      </c>
      <c r="B107" s="907" t="s">
        <v>1110</v>
      </c>
      <c r="C107" s="903">
        <v>352</v>
      </c>
      <c r="D107" s="903" t="s">
        <v>2411</v>
      </c>
      <c r="E107" s="903">
        <v>2</v>
      </c>
      <c r="F107" s="903" t="s">
        <v>2267</v>
      </c>
      <c r="G107" s="903" t="s">
        <v>2413</v>
      </c>
      <c r="H107" s="905">
        <v>2124</v>
      </c>
    </row>
    <row r="108" spans="1:8">
      <c r="A108" s="910">
        <f>Tabla1[[#This Row],[Codigo articulo]]</f>
        <v>2504</v>
      </c>
      <c r="B108" s="907" t="s">
        <v>1111</v>
      </c>
      <c r="C108" s="903">
        <v>353</v>
      </c>
      <c r="D108" s="903" t="s">
        <v>2411</v>
      </c>
      <c r="E108" s="903">
        <v>2</v>
      </c>
      <c r="F108" s="903" t="s">
        <v>2267</v>
      </c>
      <c r="G108" s="903" t="s">
        <v>2413</v>
      </c>
      <c r="H108" s="903">
        <v>2504</v>
      </c>
    </row>
    <row r="109" spans="1:8">
      <c r="A109" s="910">
        <f>Tabla1[[#This Row],[Codigo articulo]]</f>
        <v>8357</v>
      </c>
      <c r="B109" s="907" t="s">
        <v>1112</v>
      </c>
      <c r="C109" s="903">
        <v>354</v>
      </c>
      <c r="D109" s="903" t="s">
        <v>2411</v>
      </c>
      <c r="E109" s="903">
        <v>2</v>
      </c>
      <c r="F109" s="903" t="s">
        <v>2267</v>
      </c>
      <c r="G109" s="903" t="s">
        <v>2413</v>
      </c>
      <c r="H109" s="905">
        <v>8357</v>
      </c>
    </row>
    <row r="110" spans="1:8">
      <c r="A110" s="910">
        <f>Tabla1[[#This Row],[Codigo articulo]]</f>
        <v>21644</v>
      </c>
      <c r="B110" s="907" t="s">
        <v>1113</v>
      </c>
      <c r="C110" s="903">
        <v>355</v>
      </c>
      <c r="D110" s="903" t="s">
        <v>2411</v>
      </c>
      <c r="E110" s="903">
        <v>2</v>
      </c>
      <c r="F110" s="903" t="s">
        <v>2267</v>
      </c>
      <c r="G110" s="903" t="s">
        <v>2413</v>
      </c>
      <c r="H110" s="903">
        <v>21644</v>
      </c>
    </row>
    <row r="111" spans="1:8">
      <c r="A111" s="910">
        <f>Tabla1[[#This Row],[Codigo articulo]]</f>
        <v>7386</v>
      </c>
      <c r="B111" s="907" t="s">
        <v>1114</v>
      </c>
      <c r="C111" s="903">
        <v>356</v>
      </c>
      <c r="D111" s="903" t="s">
        <v>2411</v>
      </c>
      <c r="E111" s="903">
        <v>2</v>
      </c>
      <c r="F111" s="903" t="s">
        <v>2267</v>
      </c>
      <c r="G111" s="903" t="s">
        <v>2413</v>
      </c>
      <c r="H111" s="905">
        <v>7386</v>
      </c>
    </row>
    <row r="112" spans="1:8">
      <c r="A112" s="910">
        <f>Tabla1[[#This Row],[Codigo articulo]]</f>
        <v>1602</v>
      </c>
      <c r="B112" s="907" t="s">
        <v>1115</v>
      </c>
      <c r="C112" s="903">
        <v>357</v>
      </c>
      <c r="D112" s="903" t="s">
        <v>2411</v>
      </c>
      <c r="E112" s="903">
        <v>2</v>
      </c>
      <c r="F112" s="903" t="s">
        <v>2267</v>
      </c>
      <c r="G112" s="903" t="s">
        <v>2413</v>
      </c>
      <c r="H112" s="903">
        <v>1602</v>
      </c>
    </row>
    <row r="113" spans="1:8">
      <c r="A113" s="910" t="str">
        <f>Tabla1[[#This Row],[Codigo articulo]]</f>
        <v>generador</v>
      </c>
      <c r="B113" s="907" t="s">
        <v>379</v>
      </c>
      <c r="C113" s="903">
        <v>341</v>
      </c>
      <c r="D113" s="903" t="s">
        <v>2411</v>
      </c>
      <c r="E113" s="903">
        <v>2</v>
      </c>
      <c r="F113" s="903" t="s">
        <v>374</v>
      </c>
      <c r="G113" s="903" t="s">
        <v>2413</v>
      </c>
      <c r="H113" s="905" t="s">
        <v>1089</v>
      </c>
    </row>
    <row r="114" spans="1:8">
      <c r="A114" s="910" t="str">
        <f>Tabla1[[#This Row],[Codigo articulo]]</f>
        <v>MEGAIRON100</v>
      </c>
      <c r="B114" s="907" t="s">
        <v>445</v>
      </c>
      <c r="C114" s="903">
        <v>342</v>
      </c>
      <c r="D114" s="903" t="s">
        <v>2411</v>
      </c>
      <c r="E114" s="903">
        <v>2</v>
      </c>
      <c r="F114" s="903" t="s">
        <v>388</v>
      </c>
      <c r="G114" s="903" t="s">
        <v>2413</v>
      </c>
      <c r="H114" s="903" t="s">
        <v>446</v>
      </c>
    </row>
    <row r="115" spans="1:8">
      <c r="A115" s="910" t="str">
        <f>Tabla1[[#This Row],[Codigo articulo]]</f>
        <v>tubos</v>
      </c>
      <c r="B115" s="907" t="s">
        <v>377</v>
      </c>
      <c r="C115" s="903">
        <v>343</v>
      </c>
      <c r="D115" s="903" t="s">
        <v>2411</v>
      </c>
      <c r="E115" s="903">
        <v>2</v>
      </c>
      <c r="F115" s="903" t="s">
        <v>374</v>
      </c>
      <c r="G115" s="903" t="s">
        <v>2413</v>
      </c>
      <c r="H115" s="905" t="s">
        <v>1116</v>
      </c>
    </row>
    <row r="116" spans="1:8">
      <c r="A116" s="910" t="str">
        <f>Tabla1[[#This Row],[Codigo articulo]]</f>
        <v>generador3100</v>
      </c>
      <c r="B116" s="907" t="s">
        <v>380</v>
      </c>
      <c r="C116" s="903">
        <v>344</v>
      </c>
      <c r="D116" s="903" t="s">
        <v>2411</v>
      </c>
      <c r="E116" s="903">
        <v>2</v>
      </c>
      <c r="F116" s="903" t="s">
        <v>374</v>
      </c>
      <c r="G116" s="903" t="s">
        <v>2413</v>
      </c>
      <c r="H116" s="903" t="s">
        <v>1094</v>
      </c>
    </row>
    <row r="117" spans="1:8">
      <c r="A117" s="910" t="str">
        <f>Tabla1[[#This Row],[Codigo articulo]]</f>
        <v>generador750</v>
      </c>
      <c r="B117" s="907" t="s">
        <v>381</v>
      </c>
      <c r="C117" s="903">
        <v>345</v>
      </c>
      <c r="D117" s="903" t="s">
        <v>2411</v>
      </c>
      <c r="E117" s="903">
        <v>2</v>
      </c>
      <c r="F117" s="903" t="s">
        <v>374</v>
      </c>
      <c r="G117" s="903" t="s">
        <v>2413</v>
      </c>
      <c r="H117" s="905" t="s">
        <v>1095</v>
      </c>
    </row>
    <row r="118" spans="1:8">
      <c r="A118" s="910" t="str">
        <f>Tabla1[[#This Row],[Codigo articulo]]</f>
        <v>pist</v>
      </c>
      <c r="B118" s="907" t="s">
        <v>479</v>
      </c>
      <c r="C118" s="903">
        <v>346</v>
      </c>
      <c r="D118" s="903" t="s">
        <v>2411</v>
      </c>
      <c r="E118" s="903">
        <v>2</v>
      </c>
      <c r="F118" s="903" t="s">
        <v>2438</v>
      </c>
      <c r="G118" s="903" t="s">
        <v>2413</v>
      </c>
      <c r="H118" s="903" t="s">
        <v>1098</v>
      </c>
    </row>
    <row r="119" spans="1:8">
      <c r="A119" s="910" t="str">
        <f>Tabla1[[#This Row],[Codigo articulo]]</f>
        <v>TPL710-8</v>
      </c>
      <c r="B119" s="907" t="s">
        <v>459</v>
      </c>
      <c r="C119" s="903">
        <v>347</v>
      </c>
      <c r="D119" s="903" t="s">
        <v>2411</v>
      </c>
      <c r="E119" s="903">
        <v>2</v>
      </c>
      <c r="F119" s="903" t="s">
        <v>388</v>
      </c>
      <c r="G119" s="903" t="s">
        <v>2413</v>
      </c>
      <c r="H119" s="905" t="s">
        <v>460</v>
      </c>
    </row>
    <row r="120" spans="1:8">
      <c r="A120" s="910" t="str">
        <f>Tabla1[[#This Row],[Codigo articulo]]</f>
        <v>ACCES. Y OTROS</v>
      </c>
      <c r="B120" s="907" t="s">
        <v>2439</v>
      </c>
      <c r="C120" s="903">
        <v>373</v>
      </c>
      <c r="D120" s="903" t="s">
        <v>2411</v>
      </c>
      <c r="E120" s="903">
        <v>2</v>
      </c>
      <c r="F120" s="903" t="s">
        <v>2401</v>
      </c>
      <c r="G120" s="903" t="s">
        <v>2413</v>
      </c>
      <c r="H120" s="903" t="s">
        <v>2440</v>
      </c>
    </row>
    <row r="121" spans="1:8">
      <c r="A121" s="910" t="str">
        <f>Tabla1[[#This Row],[Codigo articulo]]</f>
        <v>DOMICILIOCABA</v>
      </c>
      <c r="B121" s="907" t="s">
        <v>2441</v>
      </c>
      <c r="C121" s="903">
        <v>378</v>
      </c>
      <c r="D121" s="903" t="s">
        <v>2411</v>
      </c>
      <c r="E121" s="903">
        <v>2</v>
      </c>
      <c r="F121" s="903" t="s">
        <v>2405</v>
      </c>
      <c r="G121" s="903" t="s">
        <v>2406</v>
      </c>
      <c r="H121" s="905" t="s">
        <v>1121</v>
      </c>
    </row>
    <row r="122" spans="1:8">
      <c r="A122" s="910" t="str">
        <f>Tabla1[[#This Row],[Codigo articulo]]</f>
        <v>DOMICILIOGBA</v>
      </c>
      <c r="B122" s="907" t="s">
        <v>2442</v>
      </c>
      <c r="C122" s="903">
        <v>379</v>
      </c>
      <c r="D122" s="903" t="s">
        <v>2411</v>
      </c>
      <c r="E122" s="903">
        <v>2</v>
      </c>
      <c r="F122" s="903" t="s">
        <v>2405</v>
      </c>
      <c r="G122" s="903" t="s">
        <v>2406</v>
      </c>
      <c r="H122" s="903" t="s">
        <v>1123</v>
      </c>
    </row>
    <row r="123" spans="1:8">
      <c r="A123" s="910" t="str">
        <f>Tabla1[[#This Row],[Codigo articulo]]</f>
        <v>tc</v>
      </c>
      <c r="B123" s="907" t="s">
        <v>915</v>
      </c>
      <c r="C123" s="903">
        <v>200</v>
      </c>
      <c r="D123" s="903" t="s">
        <v>2411</v>
      </c>
      <c r="E123" s="903">
        <v>2</v>
      </c>
      <c r="F123" s="903" t="s">
        <v>2443</v>
      </c>
      <c r="G123" s="903" t="s">
        <v>2413</v>
      </c>
      <c r="H123" s="905" t="s">
        <v>916</v>
      </c>
    </row>
    <row r="124" spans="1:8">
      <c r="A124" s="910" t="str">
        <f>Tabla1[[#This Row],[Codigo articulo]]</f>
        <v>tm</v>
      </c>
      <c r="B124" s="907" t="s">
        <v>917</v>
      </c>
      <c r="C124" s="903">
        <v>201</v>
      </c>
      <c r="D124" s="903" t="s">
        <v>2411</v>
      </c>
      <c r="E124" s="903">
        <v>2</v>
      </c>
      <c r="F124" s="903" t="s">
        <v>2443</v>
      </c>
      <c r="G124" s="903" t="s">
        <v>2413</v>
      </c>
      <c r="H124" s="903" t="s">
        <v>918</v>
      </c>
    </row>
    <row r="125" spans="1:8">
      <c r="A125" s="910" t="str">
        <f>Tabla1[[#This Row],[Codigo articulo]]</f>
        <v>tg</v>
      </c>
      <c r="B125" s="907" t="s">
        <v>919</v>
      </c>
      <c r="C125" s="903">
        <v>202</v>
      </c>
      <c r="D125" s="903" t="s">
        <v>2411</v>
      </c>
      <c r="E125" s="903">
        <v>2</v>
      </c>
      <c r="F125" s="903" t="s">
        <v>2443</v>
      </c>
      <c r="G125" s="903" t="s">
        <v>2413</v>
      </c>
      <c r="H125" s="905" t="s">
        <v>920</v>
      </c>
    </row>
    <row r="126" spans="1:8">
      <c r="A126" s="910" t="str">
        <f>Tabla1[[#This Row],[Codigo articulo]]</f>
        <v>tma</v>
      </c>
      <c r="B126" s="907" t="s">
        <v>921</v>
      </c>
      <c r="C126" s="903">
        <v>203</v>
      </c>
      <c r="D126" s="903" t="s">
        <v>2411</v>
      </c>
      <c r="E126" s="903">
        <v>2</v>
      </c>
      <c r="F126" s="903" t="s">
        <v>2443</v>
      </c>
      <c r="G126" s="903" t="s">
        <v>2413</v>
      </c>
      <c r="H126" s="903" t="s">
        <v>922</v>
      </c>
    </row>
    <row r="127" spans="1:8">
      <c r="A127" s="910" t="str">
        <f>Tabla1[[#This Row],[Codigo articulo]]</f>
        <v>tc+</v>
      </c>
      <c r="B127" s="907" t="s">
        <v>923</v>
      </c>
      <c r="C127" s="903">
        <v>204</v>
      </c>
      <c r="D127" s="903" t="s">
        <v>2411</v>
      </c>
      <c r="E127" s="903">
        <v>2</v>
      </c>
      <c r="F127" s="903" t="s">
        <v>2443</v>
      </c>
      <c r="G127" s="903" t="s">
        <v>2413</v>
      </c>
      <c r="H127" s="905" t="s">
        <v>924</v>
      </c>
    </row>
    <row r="128" spans="1:8">
      <c r="A128" s="910" t="str">
        <f>Tabla1[[#This Row],[Codigo articulo]]</f>
        <v>tm+</v>
      </c>
      <c r="B128" s="907" t="s">
        <v>925</v>
      </c>
      <c r="C128" s="903">
        <v>205</v>
      </c>
      <c r="D128" s="903" t="s">
        <v>2411</v>
      </c>
      <c r="E128" s="903">
        <v>2</v>
      </c>
      <c r="F128" s="903" t="s">
        <v>2443</v>
      </c>
      <c r="G128" s="903" t="s">
        <v>2413</v>
      </c>
      <c r="H128" s="903" t="s">
        <v>926</v>
      </c>
    </row>
    <row r="129" spans="1:8">
      <c r="A129" s="910" t="str">
        <f>Tabla1[[#This Row],[Codigo articulo]]</f>
        <v>tg+</v>
      </c>
      <c r="B129" s="907" t="s">
        <v>927</v>
      </c>
      <c r="C129" s="903">
        <v>206</v>
      </c>
      <c r="D129" s="903" t="s">
        <v>2411</v>
      </c>
      <c r="E129" s="903">
        <v>2</v>
      </c>
      <c r="F129" s="903" t="s">
        <v>2443</v>
      </c>
      <c r="G129" s="903" t="s">
        <v>2413</v>
      </c>
      <c r="H129" s="905" t="s">
        <v>928</v>
      </c>
    </row>
    <row r="130" spans="1:8">
      <c r="A130" s="910" t="str">
        <f>Tabla1[[#This Row],[Codigo articulo]]</f>
        <v>tma+</v>
      </c>
      <c r="B130" s="907" t="s">
        <v>929</v>
      </c>
      <c r="C130" s="903">
        <v>207</v>
      </c>
      <c r="D130" s="903" t="s">
        <v>2411</v>
      </c>
      <c r="E130" s="903">
        <v>2</v>
      </c>
      <c r="F130" s="903" t="s">
        <v>2443</v>
      </c>
      <c r="G130" s="903" t="s">
        <v>2413</v>
      </c>
      <c r="H130" s="903" t="s">
        <v>930</v>
      </c>
    </row>
    <row r="131" spans="1:8">
      <c r="A131" s="910">
        <f>Tabla1[[#This Row],[Codigo articulo]]</f>
        <v>19999</v>
      </c>
      <c r="B131" s="907" t="s">
        <v>2444</v>
      </c>
      <c r="C131" s="903">
        <v>208</v>
      </c>
      <c r="D131" s="903" t="s">
        <v>2411</v>
      </c>
      <c r="E131" s="903">
        <v>2</v>
      </c>
      <c r="F131" s="903" t="s">
        <v>388</v>
      </c>
      <c r="G131" s="903" t="s">
        <v>2413</v>
      </c>
      <c r="H131" s="905">
        <v>19999</v>
      </c>
    </row>
    <row r="132" spans="1:8">
      <c r="A132" s="910" t="str">
        <f>Tabla1[[#This Row],[Codigo articulo]]</f>
        <v>C25</v>
      </c>
      <c r="B132" s="907" t="s">
        <v>931</v>
      </c>
      <c r="C132" s="903">
        <v>209</v>
      </c>
      <c r="D132" s="903" t="s">
        <v>2411</v>
      </c>
      <c r="E132" s="903">
        <v>2</v>
      </c>
      <c r="F132" s="903" t="s">
        <v>374</v>
      </c>
      <c r="G132" s="903" t="s">
        <v>2413</v>
      </c>
      <c r="H132" s="903" t="s">
        <v>932</v>
      </c>
    </row>
    <row r="133" spans="1:8">
      <c r="A133" s="910" t="str">
        <f>Tabla1[[#This Row],[Codigo articulo]]</f>
        <v>C120</v>
      </c>
      <c r="B133" s="907" t="s">
        <v>934</v>
      </c>
      <c r="C133" s="903">
        <v>210</v>
      </c>
      <c r="D133" s="903" t="s">
        <v>2411</v>
      </c>
      <c r="E133" s="903">
        <v>2</v>
      </c>
      <c r="F133" s="903" t="s">
        <v>374</v>
      </c>
      <c r="G133" s="903" t="s">
        <v>2413</v>
      </c>
      <c r="H133" s="905" t="s">
        <v>935</v>
      </c>
    </row>
    <row r="134" spans="1:8">
      <c r="A134" s="910" t="str">
        <f>Tabla1[[#This Row],[Codigo articulo]]</f>
        <v>PQ-500</v>
      </c>
      <c r="B134" s="907" t="s">
        <v>411</v>
      </c>
      <c r="C134" s="903">
        <v>211</v>
      </c>
      <c r="D134" s="903" t="s">
        <v>2411</v>
      </c>
      <c r="E134" s="903">
        <v>2</v>
      </c>
      <c r="F134" s="903" t="s">
        <v>388</v>
      </c>
      <c r="G134" s="903" t="s">
        <v>2413</v>
      </c>
      <c r="H134" s="903" t="s">
        <v>412</v>
      </c>
    </row>
    <row r="135" spans="1:8">
      <c r="A135" s="910" t="str">
        <f>Tabla1[[#This Row],[Codigo articulo]]</f>
        <v>PI-300</v>
      </c>
      <c r="B135" s="907" t="s">
        <v>409</v>
      </c>
      <c r="C135" s="903">
        <v>212</v>
      </c>
      <c r="D135" s="903" t="s">
        <v>2411</v>
      </c>
      <c r="E135" s="903">
        <v>2</v>
      </c>
      <c r="F135" s="903" t="s">
        <v>388</v>
      </c>
      <c r="G135" s="903" t="s">
        <v>2413</v>
      </c>
      <c r="H135" s="905" t="s">
        <v>410</v>
      </c>
    </row>
    <row r="136" spans="1:8">
      <c r="A136" s="910" t="str">
        <f>Tabla1[[#This Row],[Codigo articulo]]</f>
        <v>PB-100</v>
      </c>
      <c r="B136" s="907" t="s">
        <v>407</v>
      </c>
      <c r="C136" s="903">
        <v>213</v>
      </c>
      <c r="D136" s="903" t="s">
        <v>2411</v>
      </c>
      <c r="E136" s="903">
        <v>2</v>
      </c>
      <c r="F136" s="903" t="s">
        <v>388</v>
      </c>
      <c r="G136" s="903" t="s">
        <v>2413</v>
      </c>
      <c r="H136" s="903" t="s">
        <v>408</v>
      </c>
    </row>
    <row r="137" spans="1:8">
      <c r="A137" s="910" t="str">
        <f>Tabla1[[#This Row],[Codigo articulo]]</f>
        <v>LCC-45</v>
      </c>
      <c r="B137" s="907" t="s">
        <v>936</v>
      </c>
      <c r="C137" s="903">
        <v>214</v>
      </c>
      <c r="D137" s="903" t="s">
        <v>2411</v>
      </c>
      <c r="E137" s="903">
        <v>2</v>
      </c>
      <c r="F137" s="903" t="s">
        <v>388</v>
      </c>
      <c r="G137" s="903" t="s">
        <v>2413</v>
      </c>
      <c r="H137" s="905" t="s">
        <v>406</v>
      </c>
    </row>
    <row r="138" spans="1:8">
      <c r="A138" s="910" t="str">
        <f>Tabla1[[#This Row],[Codigo articulo]]</f>
        <v>LCC-20</v>
      </c>
      <c r="B138" s="907" t="s">
        <v>937</v>
      </c>
      <c r="C138" s="903">
        <v>215</v>
      </c>
      <c r="D138" s="903" t="s">
        <v>2411</v>
      </c>
      <c r="E138" s="903">
        <v>2</v>
      </c>
      <c r="F138" s="903" t="s">
        <v>388</v>
      </c>
      <c r="G138" s="903" t="s">
        <v>2413</v>
      </c>
      <c r="H138" s="903" t="s">
        <v>404</v>
      </c>
    </row>
    <row r="139" spans="1:8">
      <c r="A139" s="910" t="str">
        <f>Tabla1[[#This Row],[Codigo articulo]]</f>
        <v>arranque</v>
      </c>
      <c r="B139" s="907" t="s">
        <v>938</v>
      </c>
      <c r="C139" s="903">
        <v>216</v>
      </c>
      <c r="D139" s="903" t="s">
        <v>2411</v>
      </c>
      <c r="E139" s="903">
        <v>2</v>
      </c>
      <c r="F139" s="903" t="s">
        <v>2443</v>
      </c>
      <c r="G139" s="903" t="s">
        <v>2413</v>
      </c>
      <c r="H139" s="905" t="s">
        <v>939</v>
      </c>
    </row>
    <row r="140" spans="1:8">
      <c r="A140" s="910">
        <f>Tabla1[[#This Row],[Codigo articulo]]</f>
        <v>45</v>
      </c>
      <c r="B140" s="907" t="s">
        <v>950</v>
      </c>
      <c r="C140" s="903">
        <v>217</v>
      </c>
      <c r="D140" s="903" t="s">
        <v>2411</v>
      </c>
      <c r="E140" s="903">
        <v>2</v>
      </c>
      <c r="F140" s="903" t="s">
        <v>2443</v>
      </c>
      <c r="G140" s="903" t="s">
        <v>2413</v>
      </c>
      <c r="H140" s="903">
        <v>45</v>
      </c>
    </row>
    <row r="141" spans="1:8">
      <c r="A141" s="910">
        <f>Tabla1[[#This Row],[Codigo articulo]]</f>
        <v>85</v>
      </c>
      <c r="B141" s="907" t="s">
        <v>951</v>
      </c>
      <c r="C141" s="903">
        <v>218</v>
      </c>
      <c r="D141" s="903" t="s">
        <v>2411</v>
      </c>
      <c r="E141" s="903">
        <v>2</v>
      </c>
      <c r="F141" s="903" t="s">
        <v>2443</v>
      </c>
      <c r="G141" s="903" t="s">
        <v>2413</v>
      </c>
      <c r="H141" s="905">
        <v>85</v>
      </c>
    </row>
    <row r="142" spans="1:8">
      <c r="A142" s="910">
        <f>Tabla1[[#This Row],[Codigo articulo]]</f>
        <v>100</v>
      </c>
      <c r="B142" s="907" t="s">
        <v>952</v>
      </c>
      <c r="C142" s="903">
        <v>219</v>
      </c>
      <c r="D142" s="903" t="s">
        <v>2411</v>
      </c>
      <c r="E142" s="903">
        <v>2</v>
      </c>
      <c r="F142" s="903" t="s">
        <v>2443</v>
      </c>
      <c r="G142" s="903" t="s">
        <v>2413</v>
      </c>
      <c r="H142" s="903">
        <v>100</v>
      </c>
    </row>
    <row r="143" spans="1:8">
      <c r="A143" s="910" t="str">
        <f>Tabla1[[#This Row],[Codigo articulo]]</f>
        <v>LQCT107-8K</v>
      </c>
      <c r="B143" s="907" t="s">
        <v>975</v>
      </c>
      <c r="C143" s="903">
        <v>220</v>
      </c>
      <c r="D143" s="903" t="s">
        <v>2411</v>
      </c>
      <c r="E143" s="903">
        <v>2</v>
      </c>
      <c r="F143" s="903" t="s">
        <v>388</v>
      </c>
      <c r="G143" s="903" t="s">
        <v>2413</v>
      </c>
      <c r="H143" s="905" t="s">
        <v>440</v>
      </c>
    </row>
    <row r="144" spans="1:8">
      <c r="A144" s="910" t="str">
        <f>Tabla1[[#This Row],[Codigo articulo]]</f>
        <v>SET129</v>
      </c>
      <c r="B144" s="907" t="s">
        <v>976</v>
      </c>
      <c r="C144" s="903">
        <v>221</v>
      </c>
      <c r="D144" s="903" t="s">
        <v>2411</v>
      </c>
      <c r="E144" s="903">
        <v>2</v>
      </c>
      <c r="F144" s="903" t="s">
        <v>388</v>
      </c>
      <c r="G144" s="903" t="s">
        <v>2413</v>
      </c>
      <c r="H144" s="903" t="s">
        <v>438</v>
      </c>
    </row>
    <row r="145" spans="1:8">
      <c r="A145" s="910" t="str">
        <f>Tabla1[[#This Row],[Codigo articulo]]</f>
        <v>ATL18-8B</v>
      </c>
      <c r="B145" s="907" t="s">
        <v>977</v>
      </c>
      <c r="C145" s="903">
        <v>222</v>
      </c>
      <c r="D145" s="903" t="s">
        <v>2411</v>
      </c>
      <c r="E145" s="903">
        <v>2</v>
      </c>
      <c r="F145" s="903" t="s">
        <v>388</v>
      </c>
      <c r="G145" s="903" t="s">
        <v>2413</v>
      </c>
      <c r="H145" s="905" t="s">
        <v>458</v>
      </c>
    </row>
    <row r="146" spans="1:8">
      <c r="A146" s="910" t="str">
        <f>Tabla1[[#This Row],[Codigo articulo]]</f>
        <v>TL1-9</v>
      </c>
      <c r="B146" s="907" t="s">
        <v>978</v>
      </c>
      <c r="C146" s="903">
        <v>223</v>
      </c>
      <c r="D146" s="903" t="s">
        <v>2411</v>
      </c>
      <c r="E146" s="903">
        <v>2</v>
      </c>
      <c r="F146" s="903" t="s">
        <v>388</v>
      </c>
      <c r="G146" s="903" t="s">
        <v>2413</v>
      </c>
      <c r="H146" s="903" t="s">
        <v>420</v>
      </c>
    </row>
    <row r="147" spans="1:8">
      <c r="A147" s="910">
        <f>Tabla1[[#This Row],[Codigo articulo]]</f>
        <v>100648</v>
      </c>
      <c r="B147" s="907" t="s">
        <v>979</v>
      </c>
      <c r="C147" s="903">
        <v>224</v>
      </c>
      <c r="D147" s="903" t="s">
        <v>2411</v>
      </c>
      <c r="E147" s="903">
        <v>2</v>
      </c>
      <c r="F147" s="903" t="s">
        <v>388</v>
      </c>
      <c r="G147" s="903" t="s">
        <v>2413</v>
      </c>
      <c r="H147" s="905">
        <v>100648</v>
      </c>
    </row>
    <row r="148" spans="1:8">
      <c r="A148" s="910" t="str">
        <f>Tabla1[[#This Row],[Codigo articulo]]</f>
        <v>zoc</v>
      </c>
      <c r="B148" s="907" t="s">
        <v>980</v>
      </c>
      <c r="C148" s="903">
        <v>225</v>
      </c>
      <c r="D148" s="903" t="s">
        <v>2411</v>
      </c>
      <c r="E148" s="903">
        <v>2</v>
      </c>
      <c r="F148" s="903" t="s">
        <v>2443</v>
      </c>
      <c r="G148" s="903" t="s">
        <v>2413</v>
      </c>
      <c r="H148" s="903" t="s">
        <v>981</v>
      </c>
    </row>
    <row r="149" spans="1:8">
      <c r="A149" s="910" t="str">
        <f>Tabla1[[#This Row],[Codigo articulo]]</f>
        <v>sop</v>
      </c>
      <c r="B149" s="907" t="s">
        <v>982</v>
      </c>
      <c r="C149" s="903">
        <v>226</v>
      </c>
      <c r="D149" s="903" t="s">
        <v>2411</v>
      </c>
      <c r="E149" s="903">
        <v>2</v>
      </c>
      <c r="F149" s="903" t="s">
        <v>2443</v>
      </c>
      <c r="G149" s="903" t="s">
        <v>2413</v>
      </c>
      <c r="H149" s="905" t="s">
        <v>983</v>
      </c>
    </row>
    <row r="150" spans="1:8">
      <c r="A150" s="910">
        <f>Tabla1[[#This Row],[Codigo articulo]]</f>
        <v>19282</v>
      </c>
      <c r="B150" s="907" t="s">
        <v>385</v>
      </c>
      <c r="C150" s="903">
        <v>227</v>
      </c>
      <c r="D150" s="903" t="s">
        <v>2411</v>
      </c>
      <c r="E150" s="903">
        <v>2</v>
      </c>
      <c r="F150" s="903" t="s">
        <v>388</v>
      </c>
      <c r="G150" s="903" t="s">
        <v>2413</v>
      </c>
      <c r="H150" s="903">
        <v>19282</v>
      </c>
    </row>
    <row r="151" spans="1:8">
      <c r="A151" s="910" t="str">
        <f>Tabla1[[#This Row],[Codigo articulo]]</f>
        <v>HL-120</v>
      </c>
      <c r="B151" s="907" t="s">
        <v>991</v>
      </c>
      <c r="C151" s="903">
        <v>228</v>
      </c>
      <c r="D151" s="903" t="s">
        <v>2411</v>
      </c>
      <c r="E151" s="903">
        <v>2</v>
      </c>
      <c r="F151" s="903" t="s">
        <v>388</v>
      </c>
      <c r="G151" s="903" t="s">
        <v>2413</v>
      </c>
      <c r="H151" s="905" t="s">
        <v>456</v>
      </c>
    </row>
    <row r="152" spans="1:8">
      <c r="A152" s="910" t="str">
        <f>Tabla1[[#This Row],[Codigo articulo]]</f>
        <v>MONOPATIN</v>
      </c>
      <c r="B152" s="907" t="s">
        <v>998</v>
      </c>
      <c r="C152" s="903">
        <v>229</v>
      </c>
      <c r="D152" s="903" t="s">
        <v>2411</v>
      </c>
      <c r="E152" s="903">
        <v>2</v>
      </c>
      <c r="F152" s="903" t="s">
        <v>374</v>
      </c>
      <c r="G152" s="903" t="s">
        <v>2413</v>
      </c>
      <c r="H152" s="903" t="s">
        <v>999</v>
      </c>
    </row>
    <row r="153" spans="1:8">
      <c r="A153" s="910" t="str">
        <f>Tabla1[[#This Row],[Codigo articulo]]</f>
        <v>CASCO</v>
      </c>
      <c r="B153" s="907" t="s">
        <v>190</v>
      </c>
      <c r="C153" s="903">
        <v>230</v>
      </c>
      <c r="D153" s="903" t="s">
        <v>2411</v>
      </c>
      <c r="E153" s="903">
        <v>2</v>
      </c>
      <c r="F153" s="903" t="s">
        <v>374</v>
      </c>
      <c r="G153" s="903" t="s">
        <v>2413</v>
      </c>
      <c r="H153" s="905" t="s">
        <v>2445</v>
      </c>
    </row>
    <row r="154" spans="1:8">
      <c r="A154" s="910">
        <f>Tabla1[[#This Row],[Codigo articulo]]</f>
        <v>18200</v>
      </c>
      <c r="B154" s="907" t="s">
        <v>1016</v>
      </c>
      <c r="C154" s="903">
        <v>231</v>
      </c>
      <c r="D154" s="903" t="s">
        <v>2411</v>
      </c>
      <c r="E154" s="903">
        <v>2</v>
      </c>
      <c r="F154" s="903" t="s">
        <v>388</v>
      </c>
      <c r="G154" s="903" t="s">
        <v>2413</v>
      </c>
      <c r="H154" s="903">
        <v>18200</v>
      </c>
    </row>
    <row r="155" spans="1:8">
      <c r="A155" s="910">
        <f>Tabla1[[#This Row],[Codigo articulo]]</f>
        <v>20220</v>
      </c>
      <c r="B155" s="907" t="s">
        <v>1017</v>
      </c>
      <c r="C155" s="903">
        <v>232</v>
      </c>
      <c r="D155" s="903" t="s">
        <v>2411</v>
      </c>
      <c r="E155" s="903">
        <v>2</v>
      </c>
      <c r="F155" s="903" t="s">
        <v>388</v>
      </c>
      <c r="G155" s="903" t="s">
        <v>2413</v>
      </c>
      <c r="H155" s="905">
        <v>20220</v>
      </c>
    </row>
    <row r="156" spans="1:8">
      <c r="A156" s="910" t="str">
        <f>Tabla1[[#This Row],[Codigo articulo]]</f>
        <v>AI150L-8K</v>
      </c>
      <c r="B156" s="907" t="s">
        <v>1018</v>
      </c>
      <c r="C156" s="903">
        <v>233</v>
      </c>
      <c r="D156" s="903" t="s">
        <v>2411</v>
      </c>
      <c r="E156" s="903">
        <v>2</v>
      </c>
      <c r="F156" s="903" t="s">
        <v>388</v>
      </c>
      <c r="G156" s="903" t="s">
        <v>2413</v>
      </c>
      <c r="H156" s="903" t="s">
        <v>1019</v>
      </c>
    </row>
    <row r="157" spans="1:8">
      <c r="A157" s="910" t="str">
        <f>Tabla1[[#This Row],[Codigo articulo]]</f>
        <v>MONO</v>
      </c>
      <c r="B157" s="907" t="s">
        <v>1024</v>
      </c>
      <c r="C157" s="903">
        <v>235</v>
      </c>
      <c r="D157" s="903" t="s">
        <v>2411</v>
      </c>
      <c r="E157" s="903">
        <v>2</v>
      </c>
      <c r="F157" s="903" t="s">
        <v>374</v>
      </c>
      <c r="G157" s="903" t="s">
        <v>2413</v>
      </c>
      <c r="H157" s="905" t="s">
        <v>1025</v>
      </c>
    </row>
    <row r="158" spans="1:8">
      <c r="A158" s="910" t="str">
        <f>Tabla1[[#This Row],[Codigo articulo]]</f>
        <v>AML850-8</v>
      </c>
      <c r="B158" s="907" t="s">
        <v>1026</v>
      </c>
      <c r="C158" s="903">
        <v>236</v>
      </c>
      <c r="D158" s="903" t="s">
        <v>2411</v>
      </c>
      <c r="E158" s="903">
        <v>2</v>
      </c>
      <c r="F158" s="903" t="s">
        <v>388</v>
      </c>
      <c r="G158" s="903" t="s">
        <v>2413</v>
      </c>
      <c r="H158" s="903" t="s">
        <v>462</v>
      </c>
    </row>
    <row r="159" spans="1:8">
      <c r="A159" s="910" t="str">
        <f>Tabla1[[#This Row],[Codigo articulo]]</f>
        <v>MUT-830</v>
      </c>
      <c r="B159" s="907" t="s">
        <v>1027</v>
      </c>
      <c r="C159" s="903">
        <v>237</v>
      </c>
      <c r="D159" s="903" t="s">
        <v>2411</v>
      </c>
      <c r="E159" s="903">
        <v>2</v>
      </c>
      <c r="F159" s="903" t="s">
        <v>388</v>
      </c>
      <c r="G159" s="903" t="s">
        <v>2413</v>
      </c>
      <c r="H159" s="905" t="s">
        <v>1028</v>
      </c>
    </row>
    <row r="160" spans="1:8">
      <c r="A160" s="910" t="str">
        <f>Tabla1[[#This Row],[Codigo articulo]]</f>
        <v>AA</v>
      </c>
      <c r="B160" s="907" t="s">
        <v>842</v>
      </c>
      <c r="C160" s="903">
        <v>238</v>
      </c>
      <c r="D160" s="903" t="s">
        <v>2411</v>
      </c>
      <c r="E160" s="903">
        <v>2</v>
      </c>
      <c r="F160" s="903" t="s">
        <v>2446</v>
      </c>
      <c r="G160" s="903" t="s">
        <v>2447</v>
      </c>
      <c r="H160" s="903" t="s">
        <v>843</v>
      </c>
    </row>
    <row r="161" spans="1:8">
      <c r="A161" s="910" t="str">
        <f>Tabla1[[#This Row],[Codigo articulo]]</f>
        <v>AAA</v>
      </c>
      <c r="B161" s="907" t="s">
        <v>844</v>
      </c>
      <c r="C161" s="903">
        <v>239</v>
      </c>
      <c r="D161" s="903" t="s">
        <v>2411</v>
      </c>
      <c r="E161" s="903">
        <v>2</v>
      </c>
      <c r="F161" s="903" t="s">
        <v>2446</v>
      </c>
      <c r="G161" s="903" t="s">
        <v>2447</v>
      </c>
      <c r="H161" s="905" t="s">
        <v>845</v>
      </c>
    </row>
    <row r="162" spans="1:8">
      <c r="A162" s="910" t="str">
        <f>Tabla1[[#This Row],[Codigo articulo]]</f>
        <v>RAA</v>
      </c>
      <c r="B162" s="907" t="s">
        <v>846</v>
      </c>
      <c r="C162" s="903">
        <v>240</v>
      </c>
      <c r="D162" s="903" t="s">
        <v>2411</v>
      </c>
      <c r="E162" s="903">
        <v>2</v>
      </c>
      <c r="F162" s="903" t="s">
        <v>2446</v>
      </c>
      <c r="G162" s="903" t="s">
        <v>2447</v>
      </c>
      <c r="H162" s="903" t="s">
        <v>847</v>
      </c>
    </row>
    <row r="163" spans="1:8">
      <c r="A163" s="910" t="str">
        <f>Tabla1[[#This Row],[Codigo articulo]]</f>
        <v>RAAA</v>
      </c>
      <c r="B163" s="907" t="s">
        <v>848</v>
      </c>
      <c r="C163" s="903">
        <v>241</v>
      </c>
      <c r="D163" s="903" t="s">
        <v>2411</v>
      </c>
      <c r="E163" s="903">
        <v>2</v>
      </c>
      <c r="F163" s="903" t="s">
        <v>2446</v>
      </c>
      <c r="G163" s="903" t="s">
        <v>2447</v>
      </c>
      <c r="H163" s="905" t="s">
        <v>849</v>
      </c>
    </row>
    <row r="164" spans="1:8">
      <c r="A164" s="910" t="str">
        <f>Tabla1[[#This Row],[Codigo articulo]]</f>
        <v>LAAA</v>
      </c>
      <c r="B164" s="907" t="s">
        <v>850</v>
      </c>
      <c r="C164" s="903">
        <v>242</v>
      </c>
      <c r="D164" s="903" t="s">
        <v>2411</v>
      </c>
      <c r="E164" s="903">
        <v>2</v>
      </c>
      <c r="F164" s="903" t="s">
        <v>2446</v>
      </c>
      <c r="G164" s="903" t="s">
        <v>2447</v>
      </c>
      <c r="H164" s="903" t="s">
        <v>851</v>
      </c>
    </row>
    <row r="165" spans="1:8">
      <c r="A165" s="910" t="str">
        <f>Tabla1[[#This Row],[Codigo articulo]]</f>
        <v>L123</v>
      </c>
      <c r="B165" s="907" t="s">
        <v>852</v>
      </c>
      <c r="C165" s="903">
        <v>243</v>
      </c>
      <c r="D165" s="903" t="s">
        <v>2411</v>
      </c>
      <c r="E165" s="903">
        <v>2</v>
      </c>
      <c r="F165" s="903" t="s">
        <v>2446</v>
      </c>
      <c r="G165" s="903" t="s">
        <v>2447</v>
      </c>
      <c r="H165" s="905" t="s">
        <v>853</v>
      </c>
    </row>
    <row r="166" spans="1:8">
      <c r="A166" s="910" t="str">
        <f>Tabla1[[#This Row],[Codigo articulo]]</f>
        <v>L2032</v>
      </c>
      <c r="B166" s="907" t="s">
        <v>854</v>
      </c>
      <c r="C166" s="903">
        <v>244</v>
      </c>
      <c r="D166" s="903" t="s">
        <v>2411</v>
      </c>
      <c r="E166" s="903">
        <v>2</v>
      </c>
      <c r="F166" s="903" t="s">
        <v>2446</v>
      </c>
      <c r="G166" s="903" t="s">
        <v>2447</v>
      </c>
      <c r="H166" s="903" t="s">
        <v>855</v>
      </c>
    </row>
    <row r="167" spans="1:8">
      <c r="A167" s="910" t="str">
        <f>Tabla1[[#This Row],[Codigo articulo]]</f>
        <v>L2025</v>
      </c>
      <c r="B167" s="907" t="s">
        <v>856</v>
      </c>
      <c r="C167" s="903">
        <v>245</v>
      </c>
      <c r="D167" s="903" t="s">
        <v>2411</v>
      </c>
      <c r="E167" s="903">
        <v>2</v>
      </c>
      <c r="F167" s="903" t="s">
        <v>2446</v>
      </c>
      <c r="G167" s="903" t="s">
        <v>2447</v>
      </c>
      <c r="H167" s="905" t="s">
        <v>857</v>
      </c>
    </row>
    <row r="168" spans="1:8">
      <c r="A168" s="910" t="str">
        <f>Tabla1[[#This Row],[Codigo articulo]]</f>
        <v>L2016</v>
      </c>
      <c r="B168" s="907" t="s">
        <v>858</v>
      </c>
      <c r="C168" s="903">
        <v>246</v>
      </c>
      <c r="D168" s="903" t="s">
        <v>2411</v>
      </c>
      <c r="E168" s="903">
        <v>2</v>
      </c>
      <c r="F168" s="903" t="s">
        <v>2446</v>
      </c>
      <c r="G168" s="903" t="s">
        <v>2447</v>
      </c>
      <c r="H168" s="903" t="s">
        <v>859</v>
      </c>
    </row>
    <row r="169" spans="1:8">
      <c r="A169" s="910" t="str">
        <f>Tabla1[[#This Row],[Codigo articulo]]</f>
        <v>L2450</v>
      </c>
      <c r="B169" s="907" t="s">
        <v>860</v>
      </c>
      <c r="C169" s="903">
        <v>247</v>
      </c>
      <c r="D169" s="903" t="s">
        <v>2411</v>
      </c>
      <c r="E169" s="903">
        <v>2</v>
      </c>
      <c r="F169" s="903" t="s">
        <v>2446</v>
      </c>
      <c r="G169" s="903" t="s">
        <v>2447</v>
      </c>
      <c r="H169" s="905" t="s">
        <v>861</v>
      </c>
    </row>
    <row r="170" spans="1:8">
      <c r="A170" s="910" t="str">
        <f>Tabla1[[#This Row],[Codigo articulo]]</f>
        <v>CARG</v>
      </c>
      <c r="B170" s="907" t="s">
        <v>862</v>
      </c>
      <c r="C170" s="903">
        <v>248</v>
      </c>
      <c r="D170" s="903" t="s">
        <v>2411</v>
      </c>
      <c r="E170" s="903">
        <v>2</v>
      </c>
      <c r="F170" s="903" t="s">
        <v>2446</v>
      </c>
      <c r="G170" s="903" t="s">
        <v>2447</v>
      </c>
      <c r="H170" s="903" t="s">
        <v>863</v>
      </c>
    </row>
    <row r="171" spans="1:8">
      <c r="A171" s="910" t="str">
        <f>Tabla1[[#This Row],[Codigo articulo]]</f>
        <v>LINT</v>
      </c>
      <c r="B171" s="907" t="s">
        <v>864</v>
      </c>
      <c r="C171" s="903">
        <v>249</v>
      </c>
      <c r="D171" s="903" t="s">
        <v>2411</v>
      </c>
      <c r="E171" s="903">
        <v>2</v>
      </c>
      <c r="F171" s="903" t="s">
        <v>2446</v>
      </c>
      <c r="G171" s="903" t="s">
        <v>2447</v>
      </c>
      <c r="H171" s="905" t="s">
        <v>865</v>
      </c>
    </row>
    <row r="172" spans="1:8">
      <c r="A172" s="910" t="str">
        <f>Tabla1[[#This Row],[Codigo articulo]]</f>
        <v>E2032</v>
      </c>
      <c r="B172" s="907" t="s">
        <v>953</v>
      </c>
      <c r="C172" s="903">
        <v>250</v>
      </c>
      <c r="D172" s="903" t="s">
        <v>2411</v>
      </c>
      <c r="E172" s="903">
        <v>2</v>
      </c>
      <c r="F172" s="903" t="s">
        <v>2446</v>
      </c>
      <c r="G172" s="903" t="s">
        <v>2447</v>
      </c>
      <c r="H172" s="903" t="s">
        <v>954</v>
      </c>
    </row>
    <row r="173" spans="1:8">
      <c r="A173" s="910">
        <f>Tabla1[[#This Row],[Codigo articulo]]</f>
        <v>1</v>
      </c>
      <c r="B173" s="907" t="s">
        <v>867</v>
      </c>
      <c r="C173" s="903">
        <v>251</v>
      </c>
      <c r="D173" s="903" t="s">
        <v>2411</v>
      </c>
      <c r="E173" s="903">
        <v>2</v>
      </c>
      <c r="F173" s="903" t="s">
        <v>2448</v>
      </c>
      <c r="G173" s="903" t="s">
        <v>866</v>
      </c>
      <c r="H173" s="905">
        <v>1</v>
      </c>
    </row>
    <row r="174" spans="1:8">
      <c r="A174" s="910">
        <f>Tabla1[[#This Row],[Codigo articulo]]</f>
        <v>2</v>
      </c>
      <c r="B174" s="907" t="s">
        <v>868</v>
      </c>
      <c r="C174" s="903">
        <v>252</v>
      </c>
      <c r="D174" s="903" t="s">
        <v>2411</v>
      </c>
      <c r="E174" s="903">
        <v>2</v>
      </c>
      <c r="F174" s="903" t="s">
        <v>2448</v>
      </c>
      <c r="G174" s="903" t="s">
        <v>866</v>
      </c>
      <c r="H174" s="903">
        <v>2</v>
      </c>
    </row>
    <row r="175" spans="1:8">
      <c r="A175" s="910">
        <f>Tabla1[[#This Row],[Codigo articulo]]</f>
        <v>3</v>
      </c>
      <c r="B175" s="907" t="s">
        <v>869</v>
      </c>
      <c r="C175" s="903">
        <v>253</v>
      </c>
      <c r="D175" s="903" t="s">
        <v>2411</v>
      </c>
      <c r="E175" s="903">
        <v>2</v>
      </c>
      <c r="F175" s="903" t="s">
        <v>2448</v>
      </c>
      <c r="G175" s="903" t="s">
        <v>866</v>
      </c>
      <c r="H175" s="905">
        <v>3</v>
      </c>
    </row>
    <row r="176" spans="1:8">
      <c r="A176" s="910">
        <f>Tabla1[[#This Row],[Codigo articulo]]</f>
        <v>4</v>
      </c>
      <c r="B176" s="907" t="s">
        <v>870</v>
      </c>
      <c r="C176" s="903">
        <v>254</v>
      </c>
      <c r="D176" s="903" t="s">
        <v>2411</v>
      </c>
      <c r="E176" s="903">
        <v>2</v>
      </c>
      <c r="F176" s="903" t="s">
        <v>2448</v>
      </c>
      <c r="G176" s="903" t="s">
        <v>866</v>
      </c>
      <c r="H176" s="903">
        <v>4</v>
      </c>
    </row>
    <row r="177" spans="1:8">
      <c r="A177" s="910">
        <f>Tabla1[[#This Row],[Codigo articulo]]</f>
        <v>5</v>
      </c>
      <c r="B177" s="907" t="s">
        <v>871</v>
      </c>
      <c r="C177" s="903">
        <v>255</v>
      </c>
      <c r="D177" s="903" t="s">
        <v>2411</v>
      </c>
      <c r="E177" s="903">
        <v>2</v>
      </c>
      <c r="F177" s="903" t="s">
        <v>2448</v>
      </c>
      <c r="G177" s="903" t="s">
        <v>866</v>
      </c>
      <c r="H177" s="905">
        <v>5</v>
      </c>
    </row>
    <row r="178" spans="1:8">
      <c r="A178" s="910">
        <f>Tabla1[[#This Row],[Codigo articulo]]</f>
        <v>6</v>
      </c>
      <c r="B178" s="907" t="s">
        <v>872</v>
      </c>
      <c r="C178" s="903">
        <v>256</v>
      </c>
      <c r="D178" s="903" t="s">
        <v>2411</v>
      </c>
      <c r="E178" s="903">
        <v>2</v>
      </c>
      <c r="F178" s="903" t="s">
        <v>2448</v>
      </c>
      <c r="G178" s="903" t="s">
        <v>866</v>
      </c>
      <c r="H178" s="903">
        <v>6</v>
      </c>
    </row>
    <row r="179" spans="1:8">
      <c r="A179" s="910">
        <f>Tabla1[[#This Row],[Codigo articulo]]</f>
        <v>7</v>
      </c>
      <c r="B179" s="907" t="s">
        <v>873</v>
      </c>
      <c r="C179" s="903">
        <v>257</v>
      </c>
      <c r="D179" s="903" t="s">
        <v>2411</v>
      </c>
      <c r="E179" s="903">
        <v>2</v>
      </c>
      <c r="F179" s="903" t="s">
        <v>2448</v>
      </c>
      <c r="G179" s="903" t="s">
        <v>866</v>
      </c>
      <c r="H179" s="905">
        <v>7</v>
      </c>
    </row>
    <row r="180" spans="1:8">
      <c r="A180" s="910">
        <f>Tabla1[[#This Row],[Codigo articulo]]</f>
        <v>8</v>
      </c>
      <c r="B180" s="907" t="s">
        <v>874</v>
      </c>
      <c r="C180" s="903">
        <v>258</v>
      </c>
      <c r="D180" s="903" t="s">
        <v>2411</v>
      </c>
      <c r="E180" s="903">
        <v>2</v>
      </c>
      <c r="F180" s="903" t="s">
        <v>2448</v>
      </c>
      <c r="G180" s="903" t="s">
        <v>866</v>
      </c>
      <c r="H180" s="903">
        <v>8</v>
      </c>
    </row>
    <row r="181" spans="1:8">
      <c r="A181" s="910">
        <f>Tabla1[[#This Row],[Codigo articulo]]</f>
        <v>9</v>
      </c>
      <c r="B181" s="907" t="s">
        <v>875</v>
      </c>
      <c r="C181" s="903">
        <v>259</v>
      </c>
      <c r="D181" s="903" t="s">
        <v>2411</v>
      </c>
      <c r="E181" s="903">
        <v>2</v>
      </c>
      <c r="F181" s="903" t="s">
        <v>2448</v>
      </c>
      <c r="G181" s="903" t="s">
        <v>866</v>
      </c>
      <c r="H181" s="905">
        <v>9</v>
      </c>
    </row>
    <row r="182" spans="1:8">
      <c r="A182" s="910">
        <f>Tabla1[[#This Row],[Codigo articulo]]</f>
        <v>10</v>
      </c>
      <c r="B182" s="907" t="s">
        <v>876</v>
      </c>
      <c r="C182" s="903">
        <v>260</v>
      </c>
      <c r="D182" s="903" t="s">
        <v>2411</v>
      </c>
      <c r="E182" s="903">
        <v>2</v>
      </c>
      <c r="F182" s="903" t="s">
        <v>2448</v>
      </c>
      <c r="G182" s="903" t="s">
        <v>866</v>
      </c>
      <c r="H182" s="903">
        <v>10</v>
      </c>
    </row>
    <row r="183" spans="1:8">
      <c r="A183" s="910">
        <f>Tabla1[[#This Row],[Codigo articulo]]</f>
        <v>11</v>
      </c>
      <c r="B183" s="907" t="s">
        <v>877</v>
      </c>
      <c r="C183" s="903">
        <v>261</v>
      </c>
      <c r="D183" s="903" t="s">
        <v>2411</v>
      </c>
      <c r="E183" s="903">
        <v>2</v>
      </c>
      <c r="F183" s="903" t="s">
        <v>2448</v>
      </c>
      <c r="G183" s="903" t="s">
        <v>866</v>
      </c>
      <c r="H183" s="905">
        <v>11</v>
      </c>
    </row>
    <row r="184" spans="1:8">
      <c r="A184" s="910">
        <f>Tabla1[[#This Row],[Codigo articulo]]</f>
        <v>12</v>
      </c>
      <c r="B184" s="907" t="s">
        <v>878</v>
      </c>
      <c r="C184" s="903">
        <v>262</v>
      </c>
      <c r="D184" s="903" t="s">
        <v>2411</v>
      </c>
      <c r="E184" s="903">
        <v>2</v>
      </c>
      <c r="F184" s="903" t="s">
        <v>2448</v>
      </c>
      <c r="G184" s="903" t="s">
        <v>866</v>
      </c>
      <c r="H184" s="903">
        <v>12</v>
      </c>
    </row>
    <row r="185" spans="1:8">
      <c r="A185" s="910">
        <f>Tabla1[[#This Row],[Codigo articulo]]</f>
        <v>13</v>
      </c>
      <c r="B185" s="907" t="s">
        <v>879</v>
      </c>
      <c r="C185" s="903">
        <v>263</v>
      </c>
      <c r="D185" s="903" t="s">
        <v>2411</v>
      </c>
      <c r="E185" s="903">
        <v>2</v>
      </c>
      <c r="F185" s="903" t="s">
        <v>2448</v>
      </c>
      <c r="G185" s="903" t="s">
        <v>866</v>
      </c>
      <c r="H185" s="905">
        <v>13</v>
      </c>
    </row>
    <row r="186" spans="1:8">
      <c r="A186" s="910">
        <f>Tabla1[[#This Row],[Codigo articulo]]</f>
        <v>14</v>
      </c>
      <c r="B186" s="907" t="s">
        <v>880</v>
      </c>
      <c r="C186" s="903">
        <v>264</v>
      </c>
      <c r="D186" s="903" t="s">
        <v>2411</v>
      </c>
      <c r="E186" s="903">
        <v>2</v>
      </c>
      <c r="F186" s="903" t="s">
        <v>2448</v>
      </c>
      <c r="G186" s="903" t="s">
        <v>866</v>
      </c>
      <c r="H186" s="903">
        <v>14</v>
      </c>
    </row>
    <row r="187" spans="1:8">
      <c r="A187" s="910">
        <f>Tabla1[[#This Row],[Codigo articulo]]</f>
        <v>15</v>
      </c>
      <c r="B187" s="907" t="s">
        <v>881</v>
      </c>
      <c r="C187" s="903">
        <v>265</v>
      </c>
      <c r="D187" s="903" t="s">
        <v>2411</v>
      </c>
      <c r="E187" s="903">
        <v>2</v>
      </c>
      <c r="F187" s="903" t="s">
        <v>2448</v>
      </c>
      <c r="G187" s="903" t="s">
        <v>866</v>
      </c>
      <c r="H187" s="905">
        <v>15</v>
      </c>
    </row>
    <row r="188" spans="1:8">
      <c r="A188" s="910">
        <f>Tabla1[[#This Row],[Codigo articulo]]</f>
        <v>16</v>
      </c>
      <c r="B188" s="907" t="s">
        <v>882</v>
      </c>
      <c r="C188" s="903">
        <v>266</v>
      </c>
      <c r="D188" s="903" t="s">
        <v>2411</v>
      </c>
      <c r="E188" s="903">
        <v>2</v>
      </c>
      <c r="F188" s="903" t="s">
        <v>2448</v>
      </c>
      <c r="G188" s="903" t="s">
        <v>866</v>
      </c>
      <c r="H188" s="903">
        <v>16</v>
      </c>
    </row>
    <row r="189" spans="1:8">
      <c r="A189" s="910">
        <f>Tabla1[[#This Row],[Codigo articulo]]</f>
        <v>17</v>
      </c>
      <c r="B189" s="907" t="s">
        <v>883</v>
      </c>
      <c r="C189" s="903">
        <v>267</v>
      </c>
      <c r="D189" s="903" t="s">
        <v>2411</v>
      </c>
      <c r="E189" s="903">
        <v>2</v>
      </c>
      <c r="F189" s="903" t="s">
        <v>2448</v>
      </c>
      <c r="G189" s="903" t="s">
        <v>866</v>
      </c>
      <c r="H189" s="905">
        <v>17</v>
      </c>
    </row>
    <row r="190" spans="1:8">
      <c r="A190" s="910">
        <f>Tabla1[[#This Row],[Codigo articulo]]</f>
        <v>18</v>
      </c>
      <c r="B190" s="907" t="s">
        <v>884</v>
      </c>
      <c r="C190" s="903">
        <v>268</v>
      </c>
      <c r="D190" s="903" t="s">
        <v>2411</v>
      </c>
      <c r="E190" s="903">
        <v>2</v>
      </c>
      <c r="F190" s="903" t="s">
        <v>2448</v>
      </c>
      <c r="G190" s="903" t="s">
        <v>866</v>
      </c>
      <c r="H190" s="903">
        <v>18</v>
      </c>
    </row>
    <row r="191" spans="1:8">
      <c r="A191" s="910">
        <f>Tabla1[[#This Row],[Codigo articulo]]</f>
        <v>19</v>
      </c>
      <c r="B191" s="907" t="s">
        <v>885</v>
      </c>
      <c r="C191" s="903">
        <v>269</v>
      </c>
      <c r="D191" s="903" t="s">
        <v>2411</v>
      </c>
      <c r="E191" s="903">
        <v>2</v>
      </c>
      <c r="F191" s="903" t="s">
        <v>2448</v>
      </c>
      <c r="G191" s="903" t="s">
        <v>866</v>
      </c>
      <c r="H191" s="905">
        <v>19</v>
      </c>
    </row>
    <row r="192" spans="1:8">
      <c r="A192" s="910">
        <f>Tabla1[[#This Row],[Codigo articulo]]</f>
        <v>20</v>
      </c>
      <c r="B192" s="907" t="s">
        <v>886</v>
      </c>
      <c r="C192" s="903">
        <v>270</v>
      </c>
      <c r="D192" s="903" t="s">
        <v>2411</v>
      </c>
      <c r="E192" s="903">
        <v>2</v>
      </c>
      <c r="F192" s="903" t="s">
        <v>2448</v>
      </c>
      <c r="G192" s="903" t="s">
        <v>866</v>
      </c>
      <c r="H192" s="903">
        <v>20</v>
      </c>
    </row>
    <row r="193" spans="1:8">
      <c r="A193" s="910">
        <f>Tabla1[[#This Row],[Codigo articulo]]</f>
        <v>21</v>
      </c>
      <c r="B193" s="907" t="s">
        <v>887</v>
      </c>
      <c r="C193" s="903">
        <v>271</v>
      </c>
      <c r="D193" s="903" t="s">
        <v>2411</v>
      </c>
      <c r="E193" s="903">
        <v>2</v>
      </c>
      <c r="F193" s="903" t="s">
        <v>2448</v>
      </c>
      <c r="G193" s="903" t="s">
        <v>866</v>
      </c>
      <c r="H193" s="905">
        <v>21</v>
      </c>
    </row>
    <row r="194" spans="1:8">
      <c r="A194" s="910">
        <f>Tabla1[[#This Row],[Codigo articulo]]</f>
        <v>22</v>
      </c>
      <c r="B194" s="907" t="s">
        <v>888</v>
      </c>
      <c r="C194" s="903">
        <v>272</v>
      </c>
      <c r="D194" s="903" t="s">
        <v>2411</v>
      </c>
      <c r="E194" s="903">
        <v>2</v>
      </c>
      <c r="F194" s="903" t="s">
        <v>2448</v>
      </c>
      <c r="G194" s="903" t="s">
        <v>866</v>
      </c>
      <c r="H194" s="903">
        <v>22</v>
      </c>
    </row>
    <row r="195" spans="1:8">
      <c r="A195" s="910" t="str">
        <f>Tabla1[[#This Row],[Codigo articulo]]</f>
        <v>ac</v>
      </c>
      <c r="B195" s="907" t="s">
        <v>889</v>
      </c>
      <c r="C195" s="903">
        <v>273</v>
      </c>
      <c r="D195" s="903" t="s">
        <v>2411</v>
      </c>
      <c r="E195" s="903">
        <v>2</v>
      </c>
      <c r="F195" s="903" t="s">
        <v>2448</v>
      </c>
      <c r="G195" s="903" t="s">
        <v>866</v>
      </c>
      <c r="H195" s="905" t="s">
        <v>890</v>
      </c>
    </row>
    <row r="196" spans="1:8">
      <c r="A196" s="910" t="str">
        <f>Tabla1[[#This Row],[Codigo articulo]]</f>
        <v>EN50IP</v>
      </c>
      <c r="B196" s="907" t="s">
        <v>2449</v>
      </c>
      <c r="C196" s="903">
        <v>358</v>
      </c>
      <c r="D196" s="903" t="s">
        <v>2450</v>
      </c>
      <c r="E196" s="903">
        <v>1</v>
      </c>
      <c r="F196" s="903" t="s">
        <v>2451</v>
      </c>
      <c r="G196" s="903" t="s">
        <v>2452</v>
      </c>
      <c r="H196" s="903" t="s">
        <v>2453</v>
      </c>
    </row>
    <row r="197" spans="1:8">
      <c r="A197" s="910" t="str">
        <f>Tabla1[[#This Row],[Codigo articulo]]</f>
        <v>620I</v>
      </c>
      <c r="B197" s="907" t="s">
        <v>1012</v>
      </c>
      <c r="C197" s="903">
        <v>359</v>
      </c>
      <c r="D197" s="903" t="s">
        <v>2450</v>
      </c>
      <c r="E197" s="903">
        <v>1</v>
      </c>
      <c r="F197" s="903" t="s">
        <v>651</v>
      </c>
      <c r="G197" s="903" t="s">
        <v>2452</v>
      </c>
      <c r="H197" s="905" t="s">
        <v>1013</v>
      </c>
    </row>
    <row r="198" spans="1:8">
      <c r="A198" s="910" t="str">
        <f>Tabla1[[#This Row],[Codigo articulo]]</f>
        <v>730I</v>
      </c>
      <c r="B198" s="907" t="s">
        <v>1014</v>
      </c>
      <c r="C198" s="903">
        <v>360</v>
      </c>
      <c r="D198" s="903" t="s">
        <v>2450</v>
      </c>
      <c r="E198" s="903">
        <v>1</v>
      </c>
      <c r="F198" s="903" t="s">
        <v>651</v>
      </c>
      <c r="G198" s="903" t="s">
        <v>2452</v>
      </c>
      <c r="H198" s="903" t="s">
        <v>1015</v>
      </c>
    </row>
    <row r="199" spans="1:8">
      <c r="A199" s="910" t="str">
        <f>Tabla1[[#This Row],[Codigo articulo]]</f>
        <v>57agm</v>
      </c>
      <c r="B199" s="907" t="s">
        <v>1105</v>
      </c>
      <c r="C199" s="903">
        <v>361</v>
      </c>
      <c r="D199" s="903" t="s">
        <v>2450</v>
      </c>
      <c r="E199" s="903">
        <v>1</v>
      </c>
      <c r="F199" s="903" t="s">
        <v>521</v>
      </c>
      <c r="G199" s="903" t="s">
        <v>2452</v>
      </c>
      <c r="H199" s="905" t="s">
        <v>1106</v>
      </c>
    </row>
    <row r="200" spans="1:8">
      <c r="A200" s="910" t="str">
        <f>Tabla1[[#This Row],[Codigo articulo]]</f>
        <v>88agm</v>
      </c>
      <c r="B200" s="907" t="s">
        <v>1107</v>
      </c>
      <c r="C200" s="903">
        <v>362</v>
      </c>
      <c r="D200" s="903" t="s">
        <v>2450</v>
      </c>
      <c r="E200" s="903">
        <v>1</v>
      </c>
      <c r="F200" s="903" t="s">
        <v>521</v>
      </c>
      <c r="G200" s="903" t="s">
        <v>2452</v>
      </c>
      <c r="H200" s="903" t="s">
        <v>1108</v>
      </c>
    </row>
    <row r="201" spans="1:8">
      <c r="A201" s="910" t="str">
        <f>Tabla1[[#This Row],[Codigo articulo]]</f>
        <v>UB1400</v>
      </c>
      <c r="B201" s="907" t="s">
        <v>1117</v>
      </c>
      <c r="C201" s="903">
        <v>363</v>
      </c>
      <c r="D201" s="903" t="s">
        <v>2450</v>
      </c>
      <c r="E201" s="903">
        <v>1</v>
      </c>
      <c r="F201" s="903" t="s">
        <v>651</v>
      </c>
      <c r="G201" s="903" t="s">
        <v>29</v>
      </c>
      <c r="H201" s="905" t="s">
        <v>182</v>
      </c>
    </row>
    <row r="202" spans="1:8">
      <c r="A202" s="910" t="str">
        <f>Tabla1[[#This Row],[Codigo articulo]]</f>
        <v>T105</v>
      </c>
      <c r="B202" s="907" t="s">
        <v>1086</v>
      </c>
      <c r="C202" s="903">
        <v>364</v>
      </c>
      <c r="D202" s="903" t="s">
        <v>2450</v>
      </c>
      <c r="E202" s="903">
        <v>1</v>
      </c>
      <c r="F202" s="903" t="s">
        <v>1085</v>
      </c>
      <c r="G202" s="903" t="s">
        <v>1523</v>
      </c>
      <c r="H202" s="903" t="s">
        <v>1087</v>
      </c>
    </row>
    <row r="203" spans="1:8">
      <c r="A203" s="910" t="str">
        <f>Tabla1[[#This Row],[Codigo articulo]]</f>
        <v>27tmx</v>
      </c>
      <c r="B203" s="907" t="s">
        <v>1096</v>
      </c>
      <c r="C203" s="903">
        <v>365</v>
      </c>
      <c r="D203" s="903" t="s">
        <v>2450</v>
      </c>
      <c r="E203" s="903">
        <v>1</v>
      </c>
      <c r="F203" s="903" t="s">
        <v>1085</v>
      </c>
      <c r="G203" s="903" t="s">
        <v>1523</v>
      </c>
      <c r="H203" s="905" t="s">
        <v>1097</v>
      </c>
    </row>
    <row r="204" spans="1:8">
      <c r="A204" s="910" t="str">
        <f>Tabla1[[#This Row],[Codigo articulo]]</f>
        <v>ytz10</v>
      </c>
      <c r="B204" s="907" t="s">
        <v>992</v>
      </c>
      <c r="C204" s="903">
        <v>366</v>
      </c>
      <c r="D204" s="903" t="s">
        <v>2450</v>
      </c>
      <c r="E204" s="903">
        <v>1</v>
      </c>
      <c r="F204" s="903" t="s">
        <v>306</v>
      </c>
      <c r="G204" s="903" t="s">
        <v>151</v>
      </c>
      <c r="H204" s="903" t="s">
        <v>301</v>
      </c>
    </row>
    <row r="205" spans="1:8">
      <c r="A205" s="910" t="str">
        <f>Tabla1[[#This Row],[Codigo articulo]]</f>
        <v>myb12a</v>
      </c>
      <c r="B205" s="907" t="s">
        <v>1051</v>
      </c>
      <c r="C205" s="903">
        <v>367</v>
      </c>
      <c r="D205" s="903" t="s">
        <v>2450</v>
      </c>
      <c r="E205" s="903">
        <v>1</v>
      </c>
      <c r="F205" s="903" t="s">
        <v>772</v>
      </c>
      <c r="G205" s="903" t="s">
        <v>151</v>
      </c>
      <c r="H205" s="905" t="s">
        <v>1052</v>
      </c>
    </row>
    <row r="206" spans="1:8">
      <c r="A206" s="910" t="str">
        <f>Tabla1[[#This Row],[Codigo articulo]]</f>
        <v>mytx5</v>
      </c>
      <c r="B206" s="907" t="s">
        <v>1055</v>
      </c>
      <c r="C206" s="903">
        <v>368</v>
      </c>
      <c r="D206" s="903" t="s">
        <v>2450</v>
      </c>
      <c r="E206" s="903">
        <v>1</v>
      </c>
      <c r="F206" s="903" t="s">
        <v>772</v>
      </c>
      <c r="G206" s="903" t="s">
        <v>151</v>
      </c>
      <c r="H206" s="903" t="s">
        <v>1056</v>
      </c>
    </row>
    <row r="207" spans="1:8">
      <c r="A207" s="910" t="str">
        <f>Tabla1[[#This Row],[Codigo articulo]]</f>
        <v>mytx14</v>
      </c>
      <c r="B207" s="907" t="s">
        <v>1057</v>
      </c>
      <c r="C207" s="903">
        <v>369</v>
      </c>
      <c r="D207" s="903" t="s">
        <v>2450</v>
      </c>
      <c r="E207" s="903">
        <v>1</v>
      </c>
      <c r="F207" s="903" t="s">
        <v>772</v>
      </c>
      <c r="G207" s="903" t="s">
        <v>151</v>
      </c>
      <c r="H207" s="905" t="s">
        <v>1058</v>
      </c>
    </row>
    <row r="208" spans="1:8">
      <c r="A208" s="910" t="str">
        <f>Tabla1[[#This Row],[Codigo articulo]]</f>
        <v>mytz7</v>
      </c>
      <c r="B208" s="907" t="s">
        <v>1059</v>
      </c>
      <c r="C208" s="903">
        <v>370</v>
      </c>
      <c r="D208" s="903" t="s">
        <v>2450</v>
      </c>
      <c r="E208" s="903">
        <v>1</v>
      </c>
      <c r="F208" s="903" t="s">
        <v>772</v>
      </c>
      <c r="G208" s="903" t="s">
        <v>151</v>
      </c>
      <c r="H208" s="903" t="s">
        <v>1060</v>
      </c>
    </row>
    <row r="209" spans="1:8">
      <c r="A209" s="910" t="str">
        <f>Tabla1[[#This Row],[Codigo articulo]]</f>
        <v>BATERIA MODELO</v>
      </c>
      <c r="B209" s="907" t="s">
        <v>2454</v>
      </c>
      <c r="C209" s="903">
        <v>371</v>
      </c>
      <c r="D209" s="903" t="s">
        <v>2450</v>
      </c>
      <c r="E209" s="903">
        <v>1</v>
      </c>
      <c r="F209" s="903" t="s">
        <v>588</v>
      </c>
      <c r="G209" s="903" t="s">
        <v>2452</v>
      </c>
      <c r="H209" s="905" t="s">
        <v>2455</v>
      </c>
    </row>
    <row r="210" spans="1:8">
      <c r="A210" s="910" t="str">
        <f>Tabla1[[#This Row],[Codigo articulo]]</f>
        <v>45E</v>
      </c>
      <c r="B210" s="907" t="s">
        <v>713</v>
      </c>
      <c r="C210" s="903">
        <v>321</v>
      </c>
      <c r="D210" s="903" t="s">
        <v>2450</v>
      </c>
      <c r="E210" s="903">
        <v>1</v>
      </c>
      <c r="F210" s="903" t="s">
        <v>712</v>
      </c>
      <c r="G210" s="903" t="s">
        <v>2452</v>
      </c>
      <c r="H210" s="903" t="s">
        <v>714</v>
      </c>
    </row>
    <row r="211" spans="1:8">
      <c r="A211" s="910" t="str">
        <f>Tabla1[[#This Row],[Codigo articulo]]</f>
        <v>350E</v>
      </c>
      <c r="B211" s="907" t="s">
        <v>715</v>
      </c>
      <c r="C211" s="903">
        <v>322</v>
      </c>
      <c r="D211" s="903" t="s">
        <v>2450</v>
      </c>
      <c r="E211" s="903">
        <v>1</v>
      </c>
      <c r="F211" s="903" t="s">
        <v>712</v>
      </c>
      <c r="G211" s="903" t="s">
        <v>2452</v>
      </c>
      <c r="H211" s="905" t="s">
        <v>716</v>
      </c>
    </row>
    <row r="212" spans="1:8">
      <c r="A212" s="910" t="str">
        <f>Tabla1[[#This Row],[Codigo articulo]]</f>
        <v>600E</v>
      </c>
      <c r="B212" s="907" t="s">
        <v>717</v>
      </c>
      <c r="C212" s="903">
        <v>323</v>
      </c>
      <c r="D212" s="903" t="s">
        <v>2450</v>
      </c>
      <c r="E212" s="903">
        <v>1</v>
      </c>
      <c r="F212" s="903" t="s">
        <v>712</v>
      </c>
      <c r="G212" s="903" t="s">
        <v>2452</v>
      </c>
      <c r="H212" s="903" t="s">
        <v>718</v>
      </c>
    </row>
    <row r="213" spans="1:8">
      <c r="A213" s="910" t="str">
        <f>Tabla1[[#This Row],[Codigo articulo]]</f>
        <v>110E</v>
      </c>
      <c r="B213" s="907" t="s">
        <v>719</v>
      </c>
      <c r="C213" s="903">
        <v>324</v>
      </c>
      <c r="D213" s="903" t="s">
        <v>2450</v>
      </c>
      <c r="E213" s="903">
        <v>1</v>
      </c>
      <c r="F213" s="903" t="s">
        <v>712</v>
      </c>
      <c r="G213" s="903" t="s">
        <v>2452</v>
      </c>
      <c r="H213" s="905" t="s">
        <v>720</v>
      </c>
    </row>
    <row r="214" spans="1:8">
      <c r="A214" s="910" t="str">
        <f>Tabla1[[#This Row],[Codigo articulo]]</f>
        <v>180E</v>
      </c>
      <c r="B214" s="907" t="s">
        <v>721</v>
      </c>
      <c r="C214" s="903">
        <v>325</v>
      </c>
      <c r="D214" s="903" t="s">
        <v>2450</v>
      </c>
      <c r="E214" s="903">
        <v>1</v>
      </c>
      <c r="F214" s="903" t="s">
        <v>712</v>
      </c>
      <c r="G214" s="903" t="s">
        <v>2452</v>
      </c>
      <c r="H214" s="903" t="s">
        <v>722</v>
      </c>
    </row>
    <row r="215" spans="1:8">
      <c r="A215" s="910" t="str">
        <f>Tabla1[[#This Row],[Codigo articulo]]</f>
        <v>MA80CD</v>
      </c>
      <c r="B215" s="907" t="s">
        <v>1779</v>
      </c>
      <c r="C215" s="903">
        <v>326</v>
      </c>
      <c r="D215" s="903" t="s">
        <v>2450</v>
      </c>
      <c r="E215" s="903">
        <v>1</v>
      </c>
      <c r="F215" s="903" t="s">
        <v>308</v>
      </c>
      <c r="G215" s="903" t="s">
        <v>2452</v>
      </c>
      <c r="H215" s="905" t="s">
        <v>1780</v>
      </c>
    </row>
    <row r="216" spans="1:8">
      <c r="A216" s="910" t="str">
        <f>Tabla1[[#This Row],[Codigo articulo]]</f>
        <v>l600g</v>
      </c>
      <c r="B216" s="907" t="s">
        <v>1099</v>
      </c>
      <c r="C216" s="903">
        <v>327</v>
      </c>
      <c r="D216" s="903" t="s">
        <v>2450</v>
      </c>
      <c r="E216" s="903">
        <v>1</v>
      </c>
      <c r="F216" s="903" t="s">
        <v>680</v>
      </c>
      <c r="G216" s="903" t="s">
        <v>2452</v>
      </c>
      <c r="H216" s="903" t="s">
        <v>1100</v>
      </c>
    </row>
    <row r="217" spans="1:8">
      <c r="A217" s="910" t="str">
        <f>Tabla1[[#This Row],[Codigo articulo]]</f>
        <v>l600ga</v>
      </c>
      <c r="B217" s="907" t="s">
        <v>1101</v>
      </c>
      <c r="C217" s="903">
        <v>328</v>
      </c>
      <c r="D217" s="903" t="s">
        <v>2450</v>
      </c>
      <c r="E217" s="903">
        <v>1</v>
      </c>
      <c r="F217" s="903" t="s">
        <v>680</v>
      </c>
      <c r="G217" s="903" t="s">
        <v>2452</v>
      </c>
      <c r="H217" s="905" t="s">
        <v>1102</v>
      </c>
    </row>
    <row r="218" spans="1:8">
      <c r="A218" s="910" t="str">
        <f>Tabla1[[#This Row],[Codigo articulo]]</f>
        <v>44l</v>
      </c>
      <c r="B218" s="907" t="s">
        <v>1103</v>
      </c>
      <c r="C218" s="903">
        <v>329</v>
      </c>
      <c r="D218" s="903" t="s">
        <v>2450</v>
      </c>
      <c r="E218" s="903">
        <v>1</v>
      </c>
      <c r="F218" s="903" t="s">
        <v>680</v>
      </c>
      <c r="G218" s="903" t="s">
        <v>2452</v>
      </c>
      <c r="H218" s="903" t="s">
        <v>1104</v>
      </c>
    </row>
    <row r="219" spans="1:8">
      <c r="A219" s="910" t="str">
        <f>Tabla1[[#This Row],[Codigo articulo]]</f>
        <v>y12n5</v>
      </c>
      <c r="B219" s="907" t="s">
        <v>1061</v>
      </c>
      <c r="C219" s="903">
        <v>330</v>
      </c>
      <c r="D219" s="903" t="s">
        <v>2450</v>
      </c>
      <c r="E219" s="903">
        <v>1</v>
      </c>
      <c r="F219" s="903" t="s">
        <v>796</v>
      </c>
      <c r="G219" s="903" t="s">
        <v>151</v>
      </c>
      <c r="H219" s="905" t="s">
        <v>1062</v>
      </c>
    </row>
    <row r="220" spans="1:8">
      <c r="A220" s="910" t="str">
        <f>Tabla1[[#This Row],[Codigo articulo]]</f>
        <v>y12n73b</v>
      </c>
      <c r="B220" s="907" t="s">
        <v>1063</v>
      </c>
      <c r="C220" s="903">
        <v>331</v>
      </c>
      <c r="D220" s="903" t="s">
        <v>2450</v>
      </c>
      <c r="E220" s="903">
        <v>1</v>
      </c>
      <c r="F220" s="903" t="s">
        <v>796</v>
      </c>
      <c r="G220" s="903" t="s">
        <v>151</v>
      </c>
      <c r="H220" s="903" t="s">
        <v>1064</v>
      </c>
    </row>
    <row r="221" spans="1:8">
      <c r="A221" s="910" t="str">
        <f>Tabla1[[#This Row],[Codigo articulo]]</f>
        <v>y12n9</v>
      </c>
      <c r="B221" s="907" t="s">
        <v>1065</v>
      </c>
      <c r="C221" s="903">
        <v>332</v>
      </c>
      <c r="D221" s="903" t="s">
        <v>2450</v>
      </c>
      <c r="E221" s="903">
        <v>1</v>
      </c>
      <c r="F221" s="903" t="s">
        <v>796</v>
      </c>
      <c r="G221" s="903" t="s">
        <v>151</v>
      </c>
      <c r="H221" s="905" t="s">
        <v>1066</v>
      </c>
    </row>
    <row r="222" spans="1:8">
      <c r="A222" s="910" t="str">
        <f>Tabla1[[#This Row],[Codigo articulo]]</f>
        <v>yytx7a</v>
      </c>
      <c r="B222" s="907" t="s">
        <v>1067</v>
      </c>
      <c r="C222" s="903">
        <v>333</v>
      </c>
      <c r="D222" s="903" t="s">
        <v>2450</v>
      </c>
      <c r="E222" s="903">
        <v>1</v>
      </c>
      <c r="F222" s="903" t="s">
        <v>796</v>
      </c>
      <c r="G222" s="903" t="s">
        <v>151</v>
      </c>
      <c r="H222" s="903" t="s">
        <v>1068</v>
      </c>
    </row>
    <row r="223" spans="1:8">
      <c r="A223" s="910" t="str">
        <f>Tabla1[[#This Row],[Codigo articulo]]</f>
        <v>yytx7l</v>
      </c>
      <c r="B223" s="907" t="s">
        <v>1069</v>
      </c>
      <c r="C223" s="903">
        <v>334</v>
      </c>
      <c r="D223" s="903" t="s">
        <v>2450</v>
      </c>
      <c r="E223" s="903">
        <v>1</v>
      </c>
      <c r="F223" s="903" t="s">
        <v>796</v>
      </c>
      <c r="G223" s="903" t="s">
        <v>151</v>
      </c>
      <c r="H223" s="905" t="s">
        <v>1070</v>
      </c>
    </row>
    <row r="224" spans="1:8">
      <c r="A224" s="910" t="str">
        <f>Tabla1[[#This Row],[Codigo articulo]]</f>
        <v>yytx9</v>
      </c>
      <c r="B224" s="907" t="s">
        <v>1071</v>
      </c>
      <c r="C224" s="903">
        <v>335</v>
      </c>
      <c r="D224" s="903" t="s">
        <v>2450</v>
      </c>
      <c r="E224" s="903">
        <v>1</v>
      </c>
      <c r="F224" s="903" t="s">
        <v>796</v>
      </c>
      <c r="G224" s="903" t="s">
        <v>151</v>
      </c>
      <c r="H224" s="903" t="s">
        <v>1072</v>
      </c>
    </row>
    <row r="225" spans="1:8">
      <c r="A225" s="910" t="str">
        <f>Tabla1[[#This Row],[Codigo articulo]]</f>
        <v>yytx14</v>
      </c>
      <c r="B225" s="907" t="s">
        <v>1073</v>
      </c>
      <c r="C225" s="903">
        <v>336</v>
      </c>
      <c r="D225" s="903" t="s">
        <v>2450</v>
      </c>
      <c r="E225" s="903">
        <v>1</v>
      </c>
      <c r="F225" s="903" t="s">
        <v>796</v>
      </c>
      <c r="G225" s="903" t="s">
        <v>151</v>
      </c>
      <c r="H225" s="905" t="s">
        <v>1074</v>
      </c>
    </row>
    <row r="226" spans="1:8">
      <c r="A226" s="910" t="str">
        <f>Tabla1[[#This Row],[Codigo articulo]]</f>
        <v>y12n10</v>
      </c>
      <c r="B226" s="907" t="s">
        <v>1077</v>
      </c>
      <c r="C226" s="903">
        <v>337</v>
      </c>
      <c r="D226" s="903" t="s">
        <v>2450</v>
      </c>
      <c r="E226" s="903">
        <v>1</v>
      </c>
      <c r="F226" s="903" t="s">
        <v>796</v>
      </c>
      <c r="G226" s="903" t="s">
        <v>151</v>
      </c>
      <c r="H226" s="903" t="s">
        <v>1078</v>
      </c>
    </row>
    <row r="227" spans="1:8">
      <c r="A227" s="910" t="str">
        <f>Tabla1[[#This Row],[Codigo articulo]]</f>
        <v>yyb12</v>
      </c>
      <c r="B227" s="907" t="s">
        <v>1079</v>
      </c>
      <c r="C227" s="903">
        <v>338</v>
      </c>
      <c r="D227" s="903" t="s">
        <v>2450</v>
      </c>
      <c r="E227" s="903">
        <v>1</v>
      </c>
      <c r="F227" s="903" t="s">
        <v>796</v>
      </c>
      <c r="G227" s="903" t="s">
        <v>151</v>
      </c>
      <c r="H227" s="905" t="s">
        <v>1080</v>
      </c>
    </row>
    <row r="228" spans="1:8">
      <c r="A228" s="910" t="str">
        <f>Tabla1[[#This Row],[Codigo articulo]]</f>
        <v>yytx12</v>
      </c>
      <c r="B228" s="907" t="s">
        <v>1081</v>
      </c>
      <c r="C228" s="903">
        <v>339</v>
      </c>
      <c r="D228" s="903" t="s">
        <v>2450</v>
      </c>
      <c r="E228" s="903">
        <v>1</v>
      </c>
      <c r="F228" s="903" t="s">
        <v>796</v>
      </c>
      <c r="G228" s="903" t="s">
        <v>151</v>
      </c>
      <c r="H228" s="903" t="s">
        <v>1082</v>
      </c>
    </row>
    <row r="229" spans="1:8">
      <c r="A229" s="910" t="str">
        <f>Tabla1[[#This Row],[Codigo articulo]]</f>
        <v>yytx5l</v>
      </c>
      <c r="B229" s="907" t="s">
        <v>1083</v>
      </c>
      <c r="C229" s="903">
        <v>340</v>
      </c>
      <c r="D229" s="903" t="s">
        <v>2450</v>
      </c>
      <c r="E229" s="903">
        <v>1</v>
      </c>
      <c r="F229" s="903" t="s">
        <v>796</v>
      </c>
      <c r="G229" s="903" t="s">
        <v>151</v>
      </c>
      <c r="H229" s="905" t="s">
        <v>1084</v>
      </c>
    </row>
    <row r="230" spans="1:8">
      <c r="A230" s="910" t="str">
        <f>Tabla1[[#This Row],[Codigo articulo]]</f>
        <v>350B</v>
      </c>
      <c r="B230" s="907" t="s">
        <v>522</v>
      </c>
      <c r="C230" s="903">
        <v>7</v>
      </c>
      <c r="D230" s="903" t="s">
        <v>2450</v>
      </c>
      <c r="E230" s="903">
        <v>1</v>
      </c>
      <c r="F230" s="903" t="s">
        <v>521</v>
      </c>
      <c r="G230" s="903" t="s">
        <v>2452</v>
      </c>
      <c r="H230" s="903" t="s">
        <v>523</v>
      </c>
    </row>
    <row r="231" spans="1:8">
      <c r="A231" s="910" t="str">
        <f>Tabla1[[#This Row],[Codigo articulo]]</f>
        <v>450b</v>
      </c>
      <c r="B231" s="907" t="s">
        <v>524</v>
      </c>
      <c r="C231" s="903">
        <v>8</v>
      </c>
      <c r="D231" s="903" t="s">
        <v>2450</v>
      </c>
      <c r="E231" s="903">
        <v>1</v>
      </c>
      <c r="F231" s="903" t="s">
        <v>521</v>
      </c>
      <c r="G231" s="903" t="s">
        <v>2452</v>
      </c>
      <c r="H231" s="905" t="s">
        <v>525</v>
      </c>
    </row>
    <row r="232" spans="1:8">
      <c r="A232" s="910" t="str">
        <f>Tabla1[[#This Row],[Codigo articulo]]</f>
        <v>600b</v>
      </c>
      <c r="B232" s="907" t="s">
        <v>526</v>
      </c>
      <c r="C232" s="903">
        <v>9</v>
      </c>
      <c r="D232" s="903" t="s">
        <v>2450</v>
      </c>
      <c r="E232" s="903">
        <v>1</v>
      </c>
      <c r="F232" s="903" t="s">
        <v>521</v>
      </c>
      <c r="G232" s="903" t="s">
        <v>2452</v>
      </c>
      <c r="H232" s="903" t="s">
        <v>527</v>
      </c>
    </row>
    <row r="233" spans="1:8">
      <c r="A233" s="910" t="str">
        <f>Tabla1[[#This Row],[Codigo articulo]]</f>
        <v>VA38JD</v>
      </c>
      <c r="B233" s="907" t="s">
        <v>1597</v>
      </c>
      <c r="C233" s="903">
        <v>10</v>
      </c>
      <c r="D233" s="903" t="s">
        <v>2450</v>
      </c>
      <c r="E233" s="903">
        <v>1</v>
      </c>
      <c r="F233" s="903" t="s">
        <v>521</v>
      </c>
      <c r="G233" s="903" t="s">
        <v>2452</v>
      </c>
      <c r="H233" s="905" t="s">
        <v>33</v>
      </c>
    </row>
    <row r="234" spans="1:8">
      <c r="A234" s="910" t="str">
        <f>Tabla1[[#This Row],[Codigo articulo]]</f>
        <v>VA45JD</v>
      </c>
      <c r="B234" s="907" t="s">
        <v>1599</v>
      </c>
      <c r="C234" s="903">
        <v>11</v>
      </c>
      <c r="D234" s="903" t="s">
        <v>2450</v>
      </c>
      <c r="E234" s="903">
        <v>1</v>
      </c>
      <c r="F234" s="903" t="s">
        <v>521</v>
      </c>
      <c r="G234" s="903" t="s">
        <v>2452</v>
      </c>
      <c r="H234" s="903" t="s">
        <v>1600</v>
      </c>
    </row>
    <row r="235" spans="1:8">
      <c r="A235" s="910" t="str">
        <f>Tabla1[[#This Row],[Codigo articulo]]</f>
        <v>VA45JE</v>
      </c>
      <c r="B235" s="907" t="s">
        <v>1601</v>
      </c>
      <c r="C235" s="903">
        <v>12</v>
      </c>
      <c r="D235" s="903" t="s">
        <v>2450</v>
      </c>
      <c r="E235" s="903">
        <v>1</v>
      </c>
      <c r="F235" s="903" t="s">
        <v>521</v>
      </c>
      <c r="G235" s="903" t="s">
        <v>2452</v>
      </c>
      <c r="H235" s="905" t="s">
        <v>1602</v>
      </c>
    </row>
    <row r="236" spans="1:8">
      <c r="A236" s="910" t="str">
        <f>Tabla1[[#This Row],[Codigo articulo]]</f>
        <v>VA40FD</v>
      </c>
      <c r="B236" s="907" t="s">
        <v>1603</v>
      </c>
      <c r="C236" s="903">
        <v>13</v>
      </c>
      <c r="D236" s="903" t="s">
        <v>2450</v>
      </c>
      <c r="E236" s="903">
        <v>1</v>
      </c>
      <c r="F236" s="903" t="s">
        <v>521</v>
      </c>
      <c r="G236" s="903" t="s">
        <v>2452</v>
      </c>
      <c r="H236" s="903" t="s">
        <v>1570</v>
      </c>
    </row>
    <row r="237" spans="1:8">
      <c r="A237" s="910" t="str">
        <f>Tabla1[[#This Row],[Codigo articulo]]</f>
        <v>VA45BD</v>
      </c>
      <c r="B237" s="907" t="s">
        <v>1604</v>
      </c>
      <c r="C237" s="903">
        <v>14</v>
      </c>
      <c r="D237" s="903" t="s">
        <v>2450</v>
      </c>
      <c r="E237" s="903">
        <v>1</v>
      </c>
      <c r="F237" s="903" t="s">
        <v>521</v>
      </c>
      <c r="G237" s="903" t="s">
        <v>2452</v>
      </c>
      <c r="H237" s="905" t="s">
        <v>37</v>
      </c>
    </row>
    <row r="238" spans="1:8">
      <c r="A238" s="910" t="str">
        <f>Tabla1[[#This Row],[Codigo articulo]]</f>
        <v>VA50GD</v>
      </c>
      <c r="B238" s="907" t="s">
        <v>1605</v>
      </c>
      <c r="C238" s="903">
        <v>15</v>
      </c>
      <c r="D238" s="903" t="s">
        <v>2450</v>
      </c>
      <c r="E238" s="903">
        <v>1</v>
      </c>
      <c r="F238" s="903" t="s">
        <v>521</v>
      </c>
      <c r="G238" s="903" t="s">
        <v>2452</v>
      </c>
      <c r="H238" s="903" t="s">
        <v>41</v>
      </c>
    </row>
    <row r="239" spans="1:8">
      <c r="A239" s="910" t="str">
        <f>Tabla1[[#This Row],[Codigo articulo]]</f>
        <v>VA60DD</v>
      </c>
      <c r="B239" s="907" t="s">
        <v>1606</v>
      </c>
      <c r="C239" s="903">
        <v>16</v>
      </c>
      <c r="D239" s="903" t="s">
        <v>2450</v>
      </c>
      <c r="E239" s="903">
        <v>1</v>
      </c>
      <c r="F239" s="903" t="s">
        <v>521</v>
      </c>
      <c r="G239" s="903" t="s">
        <v>2452</v>
      </c>
      <c r="H239" s="905" t="s">
        <v>1607</v>
      </c>
    </row>
    <row r="240" spans="1:8">
      <c r="A240" s="910" t="str">
        <f>Tabla1[[#This Row],[Codigo articulo]]</f>
        <v>VA60DE</v>
      </c>
      <c r="B240" s="907" t="s">
        <v>1608</v>
      </c>
      <c r="C240" s="903">
        <v>17</v>
      </c>
      <c r="D240" s="903" t="s">
        <v>2450</v>
      </c>
      <c r="E240" s="903">
        <v>1</v>
      </c>
      <c r="F240" s="903" t="s">
        <v>521</v>
      </c>
      <c r="G240" s="903" t="s">
        <v>2452</v>
      </c>
      <c r="H240" s="903" t="s">
        <v>1609</v>
      </c>
    </row>
    <row r="241" spans="1:8">
      <c r="A241" s="910" t="str">
        <f>Tabla1[[#This Row],[Codigo articulo]]</f>
        <v>VA60HD</v>
      </c>
      <c r="B241" s="907" t="s">
        <v>1610</v>
      </c>
      <c r="C241" s="903">
        <v>18</v>
      </c>
      <c r="D241" s="903" t="s">
        <v>2450</v>
      </c>
      <c r="E241" s="903">
        <v>1</v>
      </c>
      <c r="F241" s="903" t="s">
        <v>521</v>
      </c>
      <c r="G241" s="903" t="s">
        <v>2452</v>
      </c>
      <c r="H241" s="905" t="s">
        <v>1611</v>
      </c>
    </row>
    <row r="242" spans="1:8">
      <c r="A242" s="910" t="str">
        <f>Tabla1[[#This Row],[Codigo articulo]]</f>
        <v>VA60HE</v>
      </c>
      <c r="B242" s="907" t="s">
        <v>1612</v>
      </c>
      <c r="C242" s="903">
        <v>19</v>
      </c>
      <c r="D242" s="903" t="s">
        <v>2450</v>
      </c>
      <c r="E242" s="903">
        <v>1</v>
      </c>
      <c r="F242" s="903" t="s">
        <v>521</v>
      </c>
      <c r="G242" s="903" t="s">
        <v>2452</v>
      </c>
      <c r="H242" s="903" t="s">
        <v>1613</v>
      </c>
    </row>
    <row r="243" spans="1:8">
      <c r="A243" s="910" t="str">
        <f>Tabla1[[#This Row],[Codigo articulo]]</f>
        <v>VA70ND</v>
      </c>
      <c r="B243" s="907" t="s">
        <v>1614</v>
      </c>
      <c r="C243" s="903">
        <v>20</v>
      </c>
      <c r="D243" s="903" t="s">
        <v>2450</v>
      </c>
      <c r="E243" s="903">
        <v>1</v>
      </c>
      <c r="F243" s="903" t="s">
        <v>521</v>
      </c>
      <c r="G243" s="903" t="s">
        <v>2452</v>
      </c>
      <c r="H243" s="905" t="s">
        <v>1615</v>
      </c>
    </row>
    <row r="244" spans="1:8">
      <c r="A244" s="910" t="str">
        <f>Tabla1[[#This Row],[Codigo articulo]]</f>
        <v>VA70NE</v>
      </c>
      <c r="B244" s="907" t="s">
        <v>1616</v>
      </c>
      <c r="C244" s="903">
        <v>21</v>
      </c>
      <c r="D244" s="903" t="s">
        <v>2450</v>
      </c>
      <c r="E244" s="903">
        <v>1</v>
      </c>
      <c r="F244" s="903" t="s">
        <v>521</v>
      </c>
      <c r="G244" s="903" t="s">
        <v>2452</v>
      </c>
      <c r="H244" s="903" t="s">
        <v>1617</v>
      </c>
    </row>
    <row r="245" spans="1:8">
      <c r="A245" s="910" t="str">
        <f>Tabla1[[#This Row],[Codigo articulo]]</f>
        <v>VGM60HD</v>
      </c>
      <c r="B245" s="907" t="s">
        <v>1618</v>
      </c>
      <c r="C245" s="903">
        <v>22</v>
      </c>
      <c r="D245" s="903" t="s">
        <v>2450</v>
      </c>
      <c r="E245" s="903">
        <v>1</v>
      </c>
      <c r="F245" s="903" t="s">
        <v>521</v>
      </c>
      <c r="G245" s="903" t="s">
        <v>2452</v>
      </c>
      <c r="H245" s="905" t="s">
        <v>1619</v>
      </c>
    </row>
    <row r="246" spans="1:8">
      <c r="A246" s="910" t="str">
        <f>Tabla1[[#This Row],[Codigo articulo]]</f>
        <v>VGM60HE</v>
      </c>
      <c r="B246" s="907" t="s">
        <v>1620</v>
      </c>
      <c r="C246" s="903">
        <v>23</v>
      </c>
      <c r="D246" s="903" t="s">
        <v>2450</v>
      </c>
      <c r="E246" s="903">
        <v>1</v>
      </c>
      <c r="F246" s="903" t="s">
        <v>521</v>
      </c>
      <c r="G246" s="903" t="s">
        <v>2452</v>
      </c>
      <c r="H246" s="903" t="s">
        <v>1621</v>
      </c>
    </row>
    <row r="247" spans="1:8">
      <c r="A247" s="910" t="str">
        <f>Tabla1[[#This Row],[Codigo articulo]]</f>
        <v>VFB60HD</v>
      </c>
      <c r="B247" s="907" t="s">
        <v>1622</v>
      </c>
      <c r="C247" s="903">
        <v>24</v>
      </c>
      <c r="D247" s="903" t="s">
        <v>2450</v>
      </c>
      <c r="E247" s="903">
        <v>1</v>
      </c>
      <c r="F247" s="903" t="s">
        <v>521</v>
      </c>
      <c r="G247" s="903" t="s">
        <v>2452</v>
      </c>
      <c r="H247" s="905" t="s">
        <v>60</v>
      </c>
    </row>
    <row r="248" spans="1:8">
      <c r="A248" s="910" t="str">
        <f>Tabla1[[#This Row],[Codigo articulo]]</f>
        <v>VDA75ND</v>
      </c>
      <c r="B248" s="907" t="s">
        <v>1623</v>
      </c>
      <c r="C248" s="903">
        <v>25</v>
      </c>
      <c r="D248" s="903" t="s">
        <v>2450</v>
      </c>
      <c r="E248" s="903">
        <v>1</v>
      </c>
      <c r="F248" s="903" t="s">
        <v>521</v>
      </c>
      <c r="G248" s="903" t="s">
        <v>2452</v>
      </c>
      <c r="H248" s="903" t="s">
        <v>1624</v>
      </c>
    </row>
    <row r="249" spans="1:8">
      <c r="A249" s="910" t="str">
        <f>Tabla1[[#This Row],[Codigo articulo]]</f>
        <v>VDA75NE</v>
      </c>
      <c r="B249" s="907" t="s">
        <v>1625</v>
      </c>
      <c r="C249" s="903">
        <v>26</v>
      </c>
      <c r="D249" s="903" t="s">
        <v>2450</v>
      </c>
      <c r="E249" s="903">
        <v>1</v>
      </c>
      <c r="F249" s="903" t="s">
        <v>521</v>
      </c>
      <c r="G249" s="903" t="s">
        <v>2452</v>
      </c>
      <c r="H249" s="905" t="s">
        <v>1626</v>
      </c>
    </row>
    <row r="250" spans="1:8">
      <c r="A250" s="910" t="str">
        <f>Tabla1[[#This Row],[Codigo articulo]]</f>
        <v>VDA75PD</v>
      </c>
      <c r="B250" s="907" t="s">
        <v>2456</v>
      </c>
      <c r="C250" s="903">
        <v>27</v>
      </c>
      <c r="D250" s="903" t="s">
        <v>2450</v>
      </c>
      <c r="E250" s="903">
        <v>1</v>
      </c>
      <c r="F250" s="903" t="s">
        <v>521</v>
      </c>
      <c r="G250" s="903" t="s">
        <v>2452</v>
      </c>
      <c r="H250" s="903" t="s">
        <v>30</v>
      </c>
    </row>
    <row r="251" spans="1:8">
      <c r="A251" s="910" t="str">
        <f>Tabla1[[#This Row],[Codigo articulo]]</f>
        <v>VA75LD</v>
      </c>
      <c r="B251" s="907" t="s">
        <v>1628</v>
      </c>
      <c r="C251" s="903">
        <v>28</v>
      </c>
      <c r="D251" s="903" t="s">
        <v>2450</v>
      </c>
      <c r="E251" s="903">
        <v>1</v>
      </c>
      <c r="F251" s="903" t="s">
        <v>521</v>
      </c>
      <c r="G251" s="903" t="s">
        <v>2452</v>
      </c>
      <c r="H251" s="905" t="s">
        <v>1629</v>
      </c>
    </row>
    <row r="252" spans="1:8">
      <c r="A252" s="910" t="str">
        <f>Tabla1[[#This Row],[Codigo articulo]]</f>
        <v>VA75LE</v>
      </c>
      <c r="B252" s="907" t="s">
        <v>1630</v>
      </c>
      <c r="C252" s="903">
        <v>29</v>
      </c>
      <c r="D252" s="903" t="s">
        <v>2450</v>
      </c>
      <c r="E252" s="903">
        <v>1</v>
      </c>
      <c r="F252" s="903" t="s">
        <v>521</v>
      </c>
      <c r="G252" s="903" t="s">
        <v>2452</v>
      </c>
      <c r="H252" s="903" t="s">
        <v>1631</v>
      </c>
    </row>
    <row r="253" spans="1:8">
      <c r="A253" s="910" t="str">
        <f>Tabla1[[#This Row],[Codigo articulo]]</f>
        <v>VA90LD</v>
      </c>
      <c r="B253" s="907" t="s">
        <v>1632</v>
      </c>
      <c r="C253" s="903">
        <v>30</v>
      </c>
      <c r="D253" s="903" t="s">
        <v>2450</v>
      </c>
      <c r="E253" s="903">
        <v>1</v>
      </c>
      <c r="F253" s="903" t="s">
        <v>521</v>
      </c>
      <c r="G253" s="903" t="s">
        <v>2452</v>
      </c>
      <c r="H253" s="905" t="s">
        <v>1633</v>
      </c>
    </row>
    <row r="254" spans="1:8">
      <c r="A254" s="910" t="str">
        <f>Tabla1[[#This Row],[Codigo articulo]]</f>
        <v>VA90LE</v>
      </c>
      <c r="B254" s="907" t="s">
        <v>1634</v>
      </c>
      <c r="C254" s="903">
        <v>31</v>
      </c>
      <c r="D254" s="903" t="s">
        <v>2450</v>
      </c>
      <c r="E254" s="903">
        <v>1</v>
      </c>
      <c r="F254" s="903" t="s">
        <v>521</v>
      </c>
      <c r="G254" s="903" t="s">
        <v>2452</v>
      </c>
      <c r="H254" s="903" t="s">
        <v>1635</v>
      </c>
    </row>
    <row r="255" spans="1:8">
      <c r="A255" s="910" t="str">
        <f>Tabla1[[#This Row],[Codigo articulo]]</f>
        <v>VA90MD</v>
      </c>
      <c r="B255" s="907" t="s">
        <v>1636</v>
      </c>
      <c r="C255" s="903">
        <v>32</v>
      </c>
      <c r="D255" s="903" t="s">
        <v>2450</v>
      </c>
      <c r="E255" s="903">
        <v>1</v>
      </c>
      <c r="F255" s="903" t="s">
        <v>521</v>
      </c>
      <c r="G255" s="903" t="s">
        <v>2452</v>
      </c>
      <c r="H255" s="905" t="s">
        <v>1370</v>
      </c>
    </row>
    <row r="256" spans="1:8">
      <c r="A256" s="910" t="str">
        <f>Tabla1[[#This Row],[Codigo articulo]]</f>
        <v>VDA95MD</v>
      </c>
      <c r="B256" s="907" t="s">
        <v>1637</v>
      </c>
      <c r="C256" s="903">
        <v>33</v>
      </c>
      <c r="D256" s="903" t="s">
        <v>2450</v>
      </c>
      <c r="E256" s="903">
        <v>1</v>
      </c>
      <c r="F256" s="903" t="s">
        <v>521</v>
      </c>
      <c r="G256" s="903" t="s">
        <v>2452</v>
      </c>
      <c r="H256" s="903" t="s">
        <v>31</v>
      </c>
    </row>
    <row r="257" spans="1:8">
      <c r="A257" s="910" t="str">
        <f>Tabla1[[#This Row],[Codigo articulo]]</f>
        <v>VPA100LE</v>
      </c>
      <c r="B257" s="907" t="s">
        <v>1638</v>
      </c>
      <c r="C257" s="903">
        <v>34</v>
      </c>
      <c r="D257" s="903" t="s">
        <v>2450</v>
      </c>
      <c r="E257" s="903">
        <v>1</v>
      </c>
      <c r="F257" s="903" t="s">
        <v>521</v>
      </c>
      <c r="G257" s="903" t="s">
        <v>2452</v>
      </c>
      <c r="H257" s="905" t="s">
        <v>50</v>
      </c>
    </row>
    <row r="258" spans="1:8">
      <c r="A258" s="910" t="str">
        <f>Tabla1[[#This Row],[Codigo articulo]]</f>
        <v>VA150TD</v>
      </c>
      <c r="B258" s="907" t="s">
        <v>1639</v>
      </c>
      <c r="C258" s="903">
        <v>35</v>
      </c>
      <c r="D258" s="903" t="s">
        <v>2450</v>
      </c>
      <c r="E258" s="903">
        <v>1</v>
      </c>
      <c r="F258" s="903" t="s">
        <v>521</v>
      </c>
      <c r="G258" s="903" t="s">
        <v>29</v>
      </c>
      <c r="H258" s="903" t="s">
        <v>51</v>
      </c>
    </row>
    <row r="259" spans="1:8">
      <c r="A259" s="910" t="str">
        <f>Tabla1[[#This Row],[Codigo articulo]]</f>
        <v>VA180TD</v>
      </c>
      <c r="B259" s="907" t="s">
        <v>1640</v>
      </c>
      <c r="C259" s="903">
        <v>36</v>
      </c>
      <c r="D259" s="903" t="s">
        <v>2450</v>
      </c>
      <c r="E259" s="903">
        <v>1</v>
      </c>
      <c r="F259" s="903" t="s">
        <v>521</v>
      </c>
      <c r="G259" s="903" t="s">
        <v>29</v>
      </c>
      <c r="H259" s="905" t="s">
        <v>53</v>
      </c>
    </row>
    <row r="260" spans="1:8">
      <c r="A260" s="910" t="str">
        <f>Tabla1[[#This Row],[Codigo articulo]]</f>
        <v>VPA180TD</v>
      </c>
      <c r="B260" s="907" t="s">
        <v>1641</v>
      </c>
      <c r="C260" s="903">
        <v>37</v>
      </c>
      <c r="D260" s="903" t="s">
        <v>2450</v>
      </c>
      <c r="E260" s="903">
        <v>1</v>
      </c>
      <c r="F260" s="903" t="s">
        <v>521</v>
      </c>
      <c r="G260" s="903" t="s">
        <v>29</v>
      </c>
      <c r="H260" s="903" t="s">
        <v>54</v>
      </c>
    </row>
    <row r="261" spans="1:8">
      <c r="A261" s="910" t="str">
        <f>Tabla1[[#This Row],[Codigo articulo]]</f>
        <v>VFA180TE</v>
      </c>
      <c r="B261" s="907" t="s">
        <v>1642</v>
      </c>
      <c r="C261" s="903">
        <v>38</v>
      </c>
      <c r="D261" s="903" t="s">
        <v>2450</v>
      </c>
      <c r="E261" s="903">
        <v>1</v>
      </c>
      <c r="F261" s="903" t="s">
        <v>521</v>
      </c>
      <c r="G261" s="903" t="s">
        <v>29</v>
      </c>
      <c r="H261" s="905" t="s">
        <v>56</v>
      </c>
    </row>
    <row r="262" spans="1:8">
      <c r="A262" s="910" t="str">
        <f>Tabla1[[#This Row],[Codigo articulo]]</f>
        <v>VA200TD</v>
      </c>
      <c r="B262" s="907" t="s">
        <v>1643</v>
      </c>
      <c r="C262" s="903">
        <v>39</v>
      </c>
      <c r="D262" s="903" t="s">
        <v>2450</v>
      </c>
      <c r="E262" s="903">
        <v>1</v>
      </c>
      <c r="F262" s="903" t="s">
        <v>521</v>
      </c>
      <c r="G262" s="903" t="s">
        <v>29</v>
      </c>
      <c r="H262" s="903" t="s">
        <v>57</v>
      </c>
    </row>
    <row r="263" spans="1:8">
      <c r="A263" s="910" t="str">
        <f>Tabla1[[#This Row],[Codigo articulo]]</f>
        <v>VA225TE</v>
      </c>
      <c r="B263" s="907" t="s">
        <v>1644</v>
      </c>
      <c r="C263" s="903">
        <v>40</v>
      </c>
      <c r="D263" s="903" t="s">
        <v>2450</v>
      </c>
      <c r="E263" s="903">
        <v>1</v>
      </c>
      <c r="F263" s="903" t="s">
        <v>521</v>
      </c>
      <c r="G263" s="903" t="s">
        <v>29</v>
      </c>
      <c r="H263" s="905" t="s">
        <v>58</v>
      </c>
    </row>
    <row r="264" spans="1:8">
      <c r="A264" s="910" t="str">
        <f>Tabla1[[#This Row],[Codigo articulo]]</f>
        <v>ns40a</v>
      </c>
      <c r="B264" s="907" t="s">
        <v>589</v>
      </c>
      <c r="C264" s="903">
        <v>41</v>
      </c>
      <c r="D264" s="903" t="s">
        <v>2450</v>
      </c>
      <c r="E264" s="903">
        <v>1</v>
      </c>
      <c r="F264" s="903" t="s">
        <v>588</v>
      </c>
      <c r="G264" s="903" t="s">
        <v>2452</v>
      </c>
      <c r="H264" s="903" t="s">
        <v>590</v>
      </c>
    </row>
    <row r="265" spans="1:8">
      <c r="A265" s="910" t="str">
        <f>Tabla1[[#This Row],[Codigo articulo]]</f>
        <v>en50a</v>
      </c>
      <c r="B265" s="907" t="s">
        <v>591</v>
      </c>
      <c r="C265" s="903">
        <v>42</v>
      </c>
      <c r="D265" s="903" t="s">
        <v>2450</v>
      </c>
      <c r="E265" s="903">
        <v>1</v>
      </c>
      <c r="F265" s="903" t="s">
        <v>588</v>
      </c>
      <c r="G265" s="903" t="s">
        <v>2452</v>
      </c>
      <c r="H265" s="905" t="s">
        <v>592</v>
      </c>
    </row>
    <row r="266" spans="1:8">
      <c r="A266" s="910" t="str">
        <f>Tabla1[[#This Row],[Codigo articulo]]</f>
        <v>300A</v>
      </c>
      <c r="B266" s="907" t="s">
        <v>593</v>
      </c>
      <c r="C266" s="903">
        <v>43</v>
      </c>
      <c r="D266" s="903" t="s">
        <v>2450</v>
      </c>
      <c r="E266" s="903">
        <v>1</v>
      </c>
      <c r="F266" s="903" t="s">
        <v>588</v>
      </c>
      <c r="G266" s="903" t="s">
        <v>2452</v>
      </c>
      <c r="H266" s="903" t="s">
        <v>594</v>
      </c>
    </row>
    <row r="267" spans="1:8">
      <c r="A267" s="910" t="str">
        <f>Tabla1[[#This Row],[Codigo articulo]]</f>
        <v>350a</v>
      </c>
      <c r="B267" s="907" t="s">
        <v>595</v>
      </c>
      <c r="C267" s="903">
        <v>44</v>
      </c>
      <c r="D267" s="903" t="s">
        <v>2450</v>
      </c>
      <c r="E267" s="903">
        <v>1</v>
      </c>
      <c r="F267" s="903" t="s">
        <v>588</v>
      </c>
      <c r="G267" s="903" t="s">
        <v>2452</v>
      </c>
      <c r="H267" s="905" t="s">
        <v>596</v>
      </c>
    </row>
    <row r="268" spans="1:8">
      <c r="A268" s="910" t="str">
        <f>Tabla1[[#This Row],[Codigo articulo]]</f>
        <v>350ag</v>
      </c>
      <c r="B268" s="907" t="s">
        <v>597</v>
      </c>
      <c r="C268" s="903">
        <v>45</v>
      </c>
      <c r="D268" s="903" t="s">
        <v>2450</v>
      </c>
      <c r="E268" s="903">
        <v>1</v>
      </c>
      <c r="F268" s="903" t="s">
        <v>2457</v>
      </c>
      <c r="G268" s="903" t="s">
        <v>2452</v>
      </c>
      <c r="H268" s="903" t="s">
        <v>598</v>
      </c>
    </row>
    <row r="269" spans="1:8">
      <c r="A269" s="910" t="str">
        <f>Tabla1[[#This Row],[Codigo articulo]]</f>
        <v>44a</v>
      </c>
      <c r="B269" s="907" t="s">
        <v>944</v>
      </c>
      <c r="C269" s="903">
        <v>46</v>
      </c>
      <c r="D269" s="903" t="s">
        <v>2450</v>
      </c>
      <c r="E269" s="903">
        <v>1</v>
      </c>
      <c r="F269" s="903" t="s">
        <v>588</v>
      </c>
      <c r="G269" s="903" t="s">
        <v>2452</v>
      </c>
      <c r="H269" s="905" t="s">
        <v>945</v>
      </c>
    </row>
    <row r="270" spans="1:8">
      <c r="A270" s="910" t="str">
        <f>Tabla1[[#This Row],[Codigo articulo]]</f>
        <v>600ag</v>
      </c>
      <c r="B270" s="907" t="s">
        <v>946</v>
      </c>
      <c r="C270" s="903">
        <v>47</v>
      </c>
      <c r="D270" s="903" t="s">
        <v>2450</v>
      </c>
      <c r="E270" s="903">
        <v>1</v>
      </c>
      <c r="F270" s="903" t="s">
        <v>2457</v>
      </c>
      <c r="G270" s="903" t="s">
        <v>2452</v>
      </c>
      <c r="H270" s="903" t="s">
        <v>947</v>
      </c>
    </row>
    <row r="271" spans="1:8">
      <c r="A271" s="910" t="str">
        <f>Tabla1[[#This Row],[Codigo articulo]]</f>
        <v>600ga</v>
      </c>
      <c r="B271" s="907" t="s">
        <v>948</v>
      </c>
      <c r="C271" s="903">
        <v>48</v>
      </c>
      <c r="D271" s="903" t="s">
        <v>2450</v>
      </c>
      <c r="E271" s="903">
        <v>1</v>
      </c>
      <c r="F271" s="903" t="s">
        <v>2457</v>
      </c>
      <c r="G271" s="903" t="s">
        <v>2452</v>
      </c>
      <c r="H271" s="905" t="s">
        <v>949</v>
      </c>
    </row>
    <row r="272" spans="1:8">
      <c r="A272" s="910" t="str">
        <f>Tabla1[[#This Row],[Codigo articulo]]</f>
        <v>57a</v>
      </c>
      <c r="B272" s="907" t="s">
        <v>599</v>
      </c>
      <c r="C272" s="903">
        <v>49</v>
      </c>
      <c r="D272" s="903" t="s">
        <v>2450</v>
      </c>
      <c r="E272" s="903">
        <v>1</v>
      </c>
      <c r="F272" s="903" t="s">
        <v>588</v>
      </c>
      <c r="G272" s="903" t="s">
        <v>2452</v>
      </c>
      <c r="H272" s="903" t="s">
        <v>600</v>
      </c>
    </row>
    <row r="273" spans="1:8">
      <c r="A273" s="910" t="str">
        <f>Tabla1[[#This Row],[Codigo articulo]]</f>
        <v>600A</v>
      </c>
      <c r="B273" s="907" t="s">
        <v>601</v>
      </c>
      <c r="C273" s="903">
        <v>50</v>
      </c>
      <c r="D273" s="903" t="s">
        <v>2450</v>
      </c>
      <c r="E273" s="903">
        <v>1</v>
      </c>
      <c r="F273" s="903" t="s">
        <v>588</v>
      </c>
      <c r="G273" s="903" t="s">
        <v>2452</v>
      </c>
      <c r="H273" s="905" t="s">
        <v>1650</v>
      </c>
    </row>
    <row r="274" spans="1:8">
      <c r="A274" s="910" t="str">
        <f>Tabla1[[#This Row],[Codigo articulo]]</f>
        <v>88a</v>
      </c>
      <c r="B274" s="907" t="s">
        <v>603</v>
      </c>
      <c r="C274" s="903">
        <v>51</v>
      </c>
      <c r="D274" s="903" t="s">
        <v>2450</v>
      </c>
      <c r="E274" s="903">
        <v>1</v>
      </c>
      <c r="F274" s="903" t="s">
        <v>588</v>
      </c>
      <c r="G274" s="903" t="s">
        <v>2452</v>
      </c>
      <c r="H274" s="903" t="s">
        <v>604</v>
      </c>
    </row>
    <row r="275" spans="1:8">
      <c r="A275" s="910" t="str">
        <f>Tabla1[[#This Row],[Codigo articulo]]</f>
        <v>110A</v>
      </c>
      <c r="B275" s="907" t="s">
        <v>605</v>
      </c>
      <c r="C275" s="903">
        <v>52</v>
      </c>
      <c r="D275" s="903" t="s">
        <v>2450</v>
      </c>
      <c r="E275" s="903">
        <v>1</v>
      </c>
      <c r="F275" s="903" t="s">
        <v>588</v>
      </c>
      <c r="G275" s="903" t="s">
        <v>2452</v>
      </c>
      <c r="H275" s="905" t="s">
        <v>606</v>
      </c>
    </row>
    <row r="276" spans="1:8">
      <c r="A276" s="910" t="str">
        <f>Tabla1[[#This Row],[Codigo articulo]]</f>
        <v>160A</v>
      </c>
      <c r="B276" s="907" t="s">
        <v>607</v>
      </c>
      <c r="C276" s="903">
        <v>53</v>
      </c>
      <c r="D276" s="903" t="s">
        <v>2450</v>
      </c>
      <c r="E276" s="903">
        <v>1</v>
      </c>
      <c r="F276" s="903" t="s">
        <v>588</v>
      </c>
      <c r="G276" s="903" t="s">
        <v>29</v>
      </c>
      <c r="H276" s="903" t="s">
        <v>608</v>
      </c>
    </row>
    <row r="277" spans="1:8">
      <c r="A277" s="910" t="str">
        <f>Tabla1[[#This Row],[Codigo articulo]]</f>
        <v>180A</v>
      </c>
      <c r="B277" s="907" t="s">
        <v>609</v>
      </c>
      <c r="C277" s="903">
        <v>54</v>
      </c>
      <c r="D277" s="903" t="s">
        <v>2450</v>
      </c>
      <c r="E277" s="903">
        <v>1</v>
      </c>
      <c r="F277" s="903" t="s">
        <v>588</v>
      </c>
      <c r="G277" s="903" t="s">
        <v>29</v>
      </c>
      <c r="H277" s="905" t="s">
        <v>1652</v>
      </c>
    </row>
    <row r="278" spans="1:8">
      <c r="A278" s="910" t="str">
        <f>Tabla1[[#This Row],[Codigo articulo]]</f>
        <v>6-160a</v>
      </c>
      <c r="B278" s="907" t="s">
        <v>611</v>
      </c>
      <c r="C278" s="903">
        <v>55</v>
      </c>
      <c r="D278" s="903" t="s">
        <v>2450</v>
      </c>
      <c r="E278" s="903">
        <v>1</v>
      </c>
      <c r="F278" s="903" t="s">
        <v>588</v>
      </c>
      <c r="G278" s="903" t="s">
        <v>29</v>
      </c>
      <c r="H278" s="903" t="s">
        <v>612</v>
      </c>
    </row>
    <row r="279" spans="1:8">
      <c r="A279" s="910" t="str">
        <f>Tabla1[[#This Row],[Codigo articulo]]</f>
        <v>6-200a</v>
      </c>
      <c r="B279" s="907" t="s">
        <v>613</v>
      </c>
      <c r="C279" s="903">
        <v>56</v>
      </c>
      <c r="D279" s="903" t="s">
        <v>2450</v>
      </c>
      <c r="E279" s="903">
        <v>1</v>
      </c>
      <c r="F279" s="903" t="s">
        <v>588</v>
      </c>
      <c r="G279" s="903" t="s">
        <v>29</v>
      </c>
      <c r="H279" s="905" t="s">
        <v>614</v>
      </c>
    </row>
    <row r="280" spans="1:8">
      <c r="A280" s="910" t="str">
        <f>Tabla1[[#This Row],[Codigo articulo]]</f>
        <v>M18SD</v>
      </c>
      <c r="B280" s="907" t="s">
        <v>1653</v>
      </c>
      <c r="C280" s="903">
        <v>57</v>
      </c>
      <c r="D280" s="903" t="s">
        <v>2450</v>
      </c>
      <c r="E280" s="903">
        <v>1</v>
      </c>
      <c r="F280" s="903" t="s">
        <v>308</v>
      </c>
      <c r="G280" s="903" t="s">
        <v>2452</v>
      </c>
      <c r="H280" s="903" t="s">
        <v>1419</v>
      </c>
    </row>
    <row r="281" spans="1:8">
      <c r="A281" s="910" t="str">
        <f>Tabla1[[#This Row],[Codigo articulo]]</f>
        <v>M22JD</v>
      </c>
      <c r="B281" s="907" t="s">
        <v>1654</v>
      </c>
      <c r="C281" s="903">
        <v>58</v>
      </c>
      <c r="D281" s="903" t="s">
        <v>2450</v>
      </c>
      <c r="E281" s="903">
        <v>1</v>
      </c>
      <c r="F281" s="903" t="s">
        <v>308</v>
      </c>
      <c r="G281" s="903" t="s">
        <v>2452</v>
      </c>
      <c r="H281" s="905" t="s">
        <v>1421</v>
      </c>
    </row>
    <row r="282" spans="1:8">
      <c r="A282" s="910" t="str">
        <f>Tabla1[[#This Row],[Codigo articulo]]</f>
        <v>M18FD</v>
      </c>
      <c r="B282" s="907" t="s">
        <v>1655</v>
      </c>
      <c r="C282" s="903">
        <v>59</v>
      </c>
      <c r="D282" s="903" t="s">
        <v>2450</v>
      </c>
      <c r="E282" s="903">
        <v>1</v>
      </c>
      <c r="F282" s="903" t="s">
        <v>308</v>
      </c>
      <c r="G282" s="903" t="s">
        <v>2452</v>
      </c>
      <c r="H282" s="903" t="s">
        <v>1423</v>
      </c>
    </row>
    <row r="283" spans="1:8">
      <c r="A283" s="910" t="str">
        <f>Tabla1[[#This Row],[Codigo articulo]]</f>
        <v>M22ED</v>
      </c>
      <c r="B283" s="907" t="s">
        <v>1656</v>
      </c>
      <c r="C283" s="903">
        <v>60</v>
      </c>
      <c r="D283" s="903" t="s">
        <v>2450</v>
      </c>
      <c r="E283" s="903">
        <v>1</v>
      </c>
      <c r="F283" s="903" t="s">
        <v>308</v>
      </c>
      <c r="G283" s="903" t="s">
        <v>2452</v>
      </c>
      <c r="H283" s="905" t="s">
        <v>1425</v>
      </c>
    </row>
    <row r="284" spans="1:8">
      <c r="A284" s="910" t="str">
        <f>Tabla1[[#This Row],[Codigo articulo]]</f>
        <v>M20GD</v>
      </c>
      <c r="B284" s="907" t="s">
        <v>1657</v>
      </c>
      <c r="C284" s="903">
        <v>61</v>
      </c>
      <c r="D284" s="903" t="s">
        <v>2450</v>
      </c>
      <c r="E284" s="903">
        <v>1</v>
      </c>
      <c r="F284" s="903" t="s">
        <v>308</v>
      </c>
      <c r="G284" s="903" t="s">
        <v>2452</v>
      </c>
      <c r="H284" s="903" t="s">
        <v>1428</v>
      </c>
    </row>
    <row r="285" spans="1:8">
      <c r="A285" s="910" t="str">
        <f>Tabla1[[#This Row],[Codigo articulo]]</f>
        <v>M22GD</v>
      </c>
      <c r="B285" s="907" t="s">
        <v>1658</v>
      </c>
      <c r="C285" s="903">
        <v>62</v>
      </c>
      <c r="D285" s="903" t="s">
        <v>2450</v>
      </c>
      <c r="E285" s="903">
        <v>1</v>
      </c>
      <c r="F285" s="903" t="s">
        <v>308</v>
      </c>
      <c r="G285" s="903" t="s">
        <v>2452</v>
      </c>
      <c r="H285" s="905" t="s">
        <v>1430</v>
      </c>
    </row>
    <row r="286" spans="1:8">
      <c r="A286" s="910" t="str">
        <f>Tabla1[[#This Row],[Codigo articulo]]</f>
        <v>M26AD</v>
      </c>
      <c r="B286" s="907" t="s">
        <v>1659</v>
      </c>
      <c r="C286" s="903">
        <v>63</v>
      </c>
      <c r="D286" s="903" t="s">
        <v>2450</v>
      </c>
      <c r="E286" s="903">
        <v>1</v>
      </c>
      <c r="F286" s="903" t="s">
        <v>308</v>
      </c>
      <c r="G286" s="903" t="s">
        <v>2452</v>
      </c>
      <c r="H286" s="903" t="s">
        <v>1434</v>
      </c>
    </row>
    <row r="287" spans="1:8">
      <c r="A287" s="910" t="str">
        <f>Tabla1[[#This Row],[Codigo articulo]]</f>
        <v>M24KD</v>
      </c>
      <c r="B287" s="907" t="s">
        <v>1660</v>
      </c>
      <c r="C287" s="903">
        <v>64</v>
      </c>
      <c r="D287" s="903" t="s">
        <v>2450</v>
      </c>
      <c r="E287" s="903">
        <v>1</v>
      </c>
      <c r="F287" s="903" t="s">
        <v>308</v>
      </c>
      <c r="G287" s="903" t="s">
        <v>2452</v>
      </c>
      <c r="H287" s="905" t="s">
        <v>1436</v>
      </c>
    </row>
    <row r="288" spans="1:8">
      <c r="A288" s="910" t="str">
        <f>Tabla1[[#This Row],[Codigo articulo]]</f>
        <v>M30LD</v>
      </c>
      <c r="B288" s="907" t="s">
        <v>1661</v>
      </c>
      <c r="C288" s="903">
        <v>65</v>
      </c>
      <c r="D288" s="903" t="s">
        <v>2450</v>
      </c>
      <c r="E288" s="903">
        <v>1</v>
      </c>
      <c r="F288" s="903" t="s">
        <v>308</v>
      </c>
      <c r="G288" s="903" t="s">
        <v>2452</v>
      </c>
      <c r="H288" s="903" t="s">
        <v>1440</v>
      </c>
    </row>
    <row r="289" spans="1:8">
      <c r="A289" s="910" t="str">
        <f>Tabla1[[#This Row],[Codigo articulo]]</f>
        <v>ME80CD</v>
      </c>
      <c r="B289" s="907" t="s">
        <v>1662</v>
      </c>
      <c r="C289" s="903">
        <v>66</v>
      </c>
      <c r="D289" s="903" t="s">
        <v>2450</v>
      </c>
      <c r="E289" s="903">
        <v>1</v>
      </c>
      <c r="F289" s="903" t="s">
        <v>308</v>
      </c>
      <c r="G289" s="903" t="s">
        <v>2452</v>
      </c>
      <c r="H289" s="905" t="s">
        <v>1443</v>
      </c>
    </row>
    <row r="290" spans="1:8">
      <c r="A290" s="910" t="str">
        <f>Tabla1[[#This Row],[Codigo articulo]]</f>
        <v>MF60AD</v>
      </c>
      <c r="B290" s="907" t="s">
        <v>1663</v>
      </c>
      <c r="C290" s="903">
        <v>67</v>
      </c>
      <c r="D290" s="903" t="s">
        <v>2450</v>
      </c>
      <c r="E290" s="903">
        <v>1</v>
      </c>
      <c r="F290" s="903" t="s">
        <v>308</v>
      </c>
      <c r="G290" s="903" t="s">
        <v>2452</v>
      </c>
      <c r="H290" s="903" t="s">
        <v>1664</v>
      </c>
    </row>
    <row r="291" spans="1:8">
      <c r="A291" s="910" t="str">
        <f>Tabla1[[#This Row],[Codigo articulo]]</f>
        <v>MF72LD</v>
      </c>
      <c r="B291" s="907" t="s">
        <v>1665</v>
      </c>
      <c r="C291" s="903">
        <v>68</v>
      </c>
      <c r="D291" s="903" t="s">
        <v>2450</v>
      </c>
      <c r="E291" s="903">
        <v>1</v>
      </c>
      <c r="F291" s="903" t="s">
        <v>308</v>
      </c>
      <c r="G291" s="903" t="s">
        <v>2452</v>
      </c>
      <c r="H291" s="905" t="s">
        <v>1666</v>
      </c>
    </row>
    <row r="292" spans="1:8">
      <c r="A292" s="910" t="str">
        <f>Tabla1[[#This Row],[Codigo articulo]]</f>
        <v>ME95QD</v>
      </c>
      <c r="B292" s="907" t="s">
        <v>1667</v>
      </c>
      <c r="C292" s="903">
        <v>69</v>
      </c>
      <c r="D292" s="903" t="s">
        <v>2450</v>
      </c>
      <c r="E292" s="903">
        <v>1</v>
      </c>
      <c r="F292" s="903" t="s">
        <v>308</v>
      </c>
      <c r="G292" s="903" t="s">
        <v>2452</v>
      </c>
      <c r="H292" s="903" t="s">
        <v>1452</v>
      </c>
    </row>
    <row r="293" spans="1:8">
      <c r="A293" s="910" t="str">
        <f>Tabla1[[#This Row],[Codigo articulo]]</f>
        <v>ME100HA</v>
      </c>
      <c r="B293" s="907" t="s">
        <v>1668</v>
      </c>
      <c r="C293" s="903">
        <v>70</v>
      </c>
      <c r="D293" s="903" t="s">
        <v>2450</v>
      </c>
      <c r="E293" s="903">
        <v>1</v>
      </c>
      <c r="F293" s="903" t="s">
        <v>308</v>
      </c>
      <c r="G293" s="903" t="s">
        <v>2452</v>
      </c>
      <c r="H293" s="905" t="s">
        <v>1455</v>
      </c>
    </row>
    <row r="294" spans="1:8">
      <c r="A294" s="910" t="str">
        <f>Tabla1[[#This Row],[Codigo articulo]]</f>
        <v>M22RD</v>
      </c>
      <c r="B294" s="907" t="s">
        <v>643</v>
      </c>
      <c r="C294" s="903">
        <v>71</v>
      </c>
      <c r="D294" s="903" t="s">
        <v>2450</v>
      </c>
      <c r="E294" s="903">
        <v>1</v>
      </c>
      <c r="F294" s="903" t="s">
        <v>308</v>
      </c>
      <c r="G294" s="903" t="s">
        <v>2452</v>
      </c>
      <c r="H294" s="903" t="s">
        <v>1669</v>
      </c>
    </row>
    <row r="295" spans="1:8">
      <c r="A295" s="910" t="str">
        <f>Tabla1[[#This Row],[Codigo articulo]]</f>
        <v>M22RI</v>
      </c>
      <c r="B295" s="907" t="s">
        <v>645</v>
      </c>
      <c r="C295" s="903">
        <v>72</v>
      </c>
      <c r="D295" s="903" t="s">
        <v>2450</v>
      </c>
      <c r="E295" s="903">
        <v>1</v>
      </c>
      <c r="F295" s="903" t="s">
        <v>308</v>
      </c>
      <c r="G295" s="903" t="s">
        <v>2452</v>
      </c>
      <c r="H295" s="905" t="s">
        <v>1670</v>
      </c>
    </row>
    <row r="296" spans="1:8">
      <c r="A296" s="910" t="str">
        <f>Tabla1[[#This Row],[Codigo articulo]]</f>
        <v>ME90TD</v>
      </c>
      <c r="B296" s="907" t="s">
        <v>647</v>
      </c>
      <c r="C296" s="903">
        <v>73</v>
      </c>
      <c r="D296" s="903" t="s">
        <v>2450</v>
      </c>
      <c r="E296" s="903">
        <v>1</v>
      </c>
      <c r="F296" s="903" t="s">
        <v>308</v>
      </c>
      <c r="G296" s="903" t="s">
        <v>2452</v>
      </c>
      <c r="H296" s="903" t="s">
        <v>1459</v>
      </c>
    </row>
    <row r="297" spans="1:8">
      <c r="A297" s="910" t="str">
        <f>Tabla1[[#This Row],[Codigo articulo]]</f>
        <v>ME90TI</v>
      </c>
      <c r="B297" s="907" t="s">
        <v>649</v>
      </c>
      <c r="C297" s="903">
        <v>74</v>
      </c>
      <c r="D297" s="903" t="s">
        <v>2450</v>
      </c>
      <c r="E297" s="903">
        <v>1</v>
      </c>
      <c r="F297" s="903" t="s">
        <v>308</v>
      </c>
      <c r="G297" s="903" t="s">
        <v>2452</v>
      </c>
      <c r="H297" s="905" t="s">
        <v>1461</v>
      </c>
    </row>
    <row r="298" spans="1:8">
      <c r="A298" s="910" t="str">
        <f>Tabla1[[#This Row],[Codigo articulo]]</f>
        <v>ub325</v>
      </c>
      <c r="B298" s="907" t="s">
        <v>652</v>
      </c>
      <c r="C298" s="903">
        <v>75</v>
      </c>
      <c r="D298" s="903" t="s">
        <v>2450</v>
      </c>
      <c r="E298" s="903">
        <v>1</v>
      </c>
      <c r="F298" s="903" t="s">
        <v>651</v>
      </c>
      <c r="G298" s="903" t="s">
        <v>2452</v>
      </c>
      <c r="H298" s="903" t="s">
        <v>653</v>
      </c>
    </row>
    <row r="299" spans="1:8">
      <c r="A299" s="910" t="str">
        <f>Tabla1[[#This Row],[Codigo articulo]]</f>
        <v>ub425</v>
      </c>
      <c r="B299" s="907" t="s">
        <v>654</v>
      </c>
      <c r="C299" s="903">
        <v>76</v>
      </c>
      <c r="D299" s="903" t="s">
        <v>2450</v>
      </c>
      <c r="E299" s="903">
        <v>1</v>
      </c>
      <c r="F299" s="903" t="s">
        <v>651</v>
      </c>
      <c r="G299" s="903" t="s">
        <v>2452</v>
      </c>
      <c r="H299" s="905" t="s">
        <v>655</v>
      </c>
    </row>
    <row r="300" spans="1:8">
      <c r="A300" s="910" t="str">
        <f>Tabla1[[#This Row],[Codigo articulo]]</f>
        <v>ub670</v>
      </c>
      <c r="B300" s="907" t="s">
        <v>656</v>
      </c>
      <c r="C300" s="903">
        <v>77</v>
      </c>
      <c r="D300" s="903" t="s">
        <v>2450</v>
      </c>
      <c r="E300" s="903">
        <v>1</v>
      </c>
      <c r="F300" s="903" t="s">
        <v>651</v>
      </c>
      <c r="G300" s="903" t="s">
        <v>2452</v>
      </c>
      <c r="H300" s="903" t="s">
        <v>657</v>
      </c>
    </row>
    <row r="301" spans="1:8">
      <c r="A301" s="910" t="str">
        <f>Tabla1[[#This Row],[Codigo articulo]]</f>
        <v>ub620</v>
      </c>
      <c r="B301" s="907" t="s">
        <v>658</v>
      </c>
      <c r="C301" s="903">
        <v>78</v>
      </c>
      <c r="D301" s="903" t="s">
        <v>2450</v>
      </c>
      <c r="E301" s="903">
        <v>1</v>
      </c>
      <c r="F301" s="903" t="s">
        <v>651</v>
      </c>
      <c r="G301" s="903" t="s">
        <v>2452</v>
      </c>
      <c r="H301" s="905" t="s">
        <v>659</v>
      </c>
    </row>
    <row r="302" spans="1:8">
      <c r="A302" s="910" t="str">
        <f>Tabla1[[#This Row],[Codigo articulo]]</f>
        <v>ub730</v>
      </c>
      <c r="B302" s="907" t="s">
        <v>660</v>
      </c>
      <c r="C302" s="903">
        <v>79</v>
      </c>
      <c r="D302" s="903" t="s">
        <v>2450</v>
      </c>
      <c r="E302" s="903">
        <v>1</v>
      </c>
      <c r="F302" s="903" t="s">
        <v>651</v>
      </c>
      <c r="G302" s="903" t="s">
        <v>2452</v>
      </c>
      <c r="H302" s="903" t="s">
        <v>661</v>
      </c>
    </row>
    <row r="303" spans="1:8">
      <c r="A303" s="910" t="str">
        <f>Tabla1[[#This Row],[Codigo articulo]]</f>
        <v>ub740</v>
      </c>
      <c r="B303" s="907" t="s">
        <v>664</v>
      </c>
      <c r="C303" s="903">
        <v>80</v>
      </c>
      <c r="D303" s="903" t="s">
        <v>2450</v>
      </c>
      <c r="E303" s="903">
        <v>1</v>
      </c>
      <c r="F303" s="903" t="s">
        <v>651</v>
      </c>
      <c r="G303" s="903" t="s">
        <v>2452</v>
      </c>
      <c r="H303" s="905" t="s">
        <v>665</v>
      </c>
    </row>
    <row r="304" spans="1:8">
      <c r="A304" s="910" t="str">
        <f>Tabla1[[#This Row],[Codigo articulo]]</f>
        <v>ub840</v>
      </c>
      <c r="B304" s="907" t="s">
        <v>668</v>
      </c>
      <c r="C304" s="903">
        <v>81</v>
      </c>
      <c r="D304" s="903" t="s">
        <v>2450</v>
      </c>
      <c r="E304" s="903">
        <v>1</v>
      </c>
      <c r="F304" s="903" t="s">
        <v>651</v>
      </c>
      <c r="G304" s="903" t="s">
        <v>2452</v>
      </c>
      <c r="H304" s="903" t="s">
        <v>669</v>
      </c>
    </row>
    <row r="305" spans="1:8">
      <c r="A305" s="910" t="str">
        <f>Tabla1[[#This Row],[Codigo articulo]]</f>
        <v>ub840i</v>
      </c>
      <c r="B305" s="907" t="s">
        <v>670</v>
      </c>
      <c r="C305" s="903">
        <v>82</v>
      </c>
      <c r="D305" s="903" t="s">
        <v>2450</v>
      </c>
      <c r="E305" s="903">
        <v>1</v>
      </c>
      <c r="F305" s="903" t="s">
        <v>651</v>
      </c>
      <c r="G305" s="903" t="s">
        <v>2452</v>
      </c>
      <c r="H305" s="905" t="s">
        <v>671</v>
      </c>
    </row>
    <row r="306" spans="1:8">
      <c r="A306" s="910" t="str">
        <f>Tabla1[[#This Row],[Codigo articulo]]</f>
        <v>ub1030</v>
      </c>
      <c r="B306" s="907" t="s">
        <v>674</v>
      </c>
      <c r="C306" s="903">
        <v>83</v>
      </c>
      <c r="D306" s="903" t="s">
        <v>2450</v>
      </c>
      <c r="E306" s="903">
        <v>1</v>
      </c>
      <c r="F306" s="903" t="s">
        <v>651</v>
      </c>
      <c r="G306" s="903" t="s">
        <v>2452</v>
      </c>
      <c r="H306" s="903" t="s">
        <v>675</v>
      </c>
    </row>
    <row r="307" spans="1:8">
      <c r="A307" s="910" t="str">
        <f>Tabla1[[#This Row],[Codigo articulo]]</f>
        <v>ub920</v>
      </c>
      <c r="B307" s="907" t="s">
        <v>676</v>
      </c>
      <c r="C307" s="903">
        <v>84</v>
      </c>
      <c r="D307" s="903" t="s">
        <v>2450</v>
      </c>
      <c r="E307" s="903">
        <v>1</v>
      </c>
      <c r="F307" s="903" t="s">
        <v>651</v>
      </c>
      <c r="G307" s="903" t="s">
        <v>2452</v>
      </c>
      <c r="H307" s="905" t="s">
        <v>677</v>
      </c>
    </row>
    <row r="308" spans="1:8">
      <c r="A308" s="910" t="str">
        <f>Tabla1[[#This Row],[Codigo articulo]]</f>
        <v>ub1240</v>
      </c>
      <c r="B308" s="907" t="s">
        <v>678</v>
      </c>
      <c r="C308" s="903">
        <v>85</v>
      </c>
      <c r="D308" s="903" t="s">
        <v>2450</v>
      </c>
      <c r="E308" s="903">
        <v>1</v>
      </c>
      <c r="F308" s="903" t="s">
        <v>651</v>
      </c>
      <c r="G308" s="903" t="s">
        <v>29</v>
      </c>
      <c r="H308" s="903" t="s">
        <v>679</v>
      </c>
    </row>
    <row r="309" spans="1:8">
      <c r="A309" s="910" t="str">
        <f>Tabla1[[#This Row],[Codigo articulo]]</f>
        <v>ns40l</v>
      </c>
      <c r="B309" s="907" t="s">
        <v>681</v>
      </c>
      <c r="C309" s="903">
        <v>86</v>
      </c>
      <c r="D309" s="903" t="s">
        <v>2450</v>
      </c>
      <c r="E309" s="903">
        <v>1</v>
      </c>
      <c r="F309" s="903" t="s">
        <v>680</v>
      </c>
      <c r="G309" s="903" t="s">
        <v>2452</v>
      </c>
      <c r="H309" s="905" t="s">
        <v>682</v>
      </c>
    </row>
    <row r="310" spans="1:8">
      <c r="A310" s="910" t="str">
        <f>Tabla1[[#This Row],[Codigo articulo]]</f>
        <v>en50l</v>
      </c>
      <c r="B310" s="907" t="s">
        <v>683</v>
      </c>
      <c r="C310" s="903">
        <v>87</v>
      </c>
      <c r="D310" s="903" t="s">
        <v>2450</v>
      </c>
      <c r="E310" s="903">
        <v>1</v>
      </c>
      <c r="F310" s="903" t="s">
        <v>680</v>
      </c>
      <c r="G310" s="903" t="s">
        <v>2452</v>
      </c>
      <c r="H310" s="903" t="s">
        <v>684</v>
      </c>
    </row>
    <row r="311" spans="1:8">
      <c r="A311" s="910" t="str">
        <f>Tabla1[[#This Row],[Codigo articulo]]</f>
        <v>300l</v>
      </c>
      <c r="B311" s="907" t="s">
        <v>685</v>
      </c>
      <c r="C311" s="903">
        <v>88</v>
      </c>
      <c r="D311" s="903" t="s">
        <v>2450</v>
      </c>
      <c r="E311" s="903">
        <v>1</v>
      </c>
      <c r="F311" s="903" t="s">
        <v>680</v>
      </c>
      <c r="G311" s="903" t="s">
        <v>2452</v>
      </c>
      <c r="H311" s="905" t="s">
        <v>686</v>
      </c>
    </row>
    <row r="312" spans="1:8">
      <c r="A312" s="910" t="str">
        <f>Tabla1[[#This Row],[Codigo articulo]]</f>
        <v>350l</v>
      </c>
      <c r="B312" s="907" t="s">
        <v>687</v>
      </c>
      <c r="C312" s="903">
        <v>89</v>
      </c>
      <c r="D312" s="903" t="s">
        <v>2450</v>
      </c>
      <c r="E312" s="903">
        <v>1</v>
      </c>
      <c r="F312" s="903" t="s">
        <v>680</v>
      </c>
      <c r="G312" s="903" t="s">
        <v>2452</v>
      </c>
      <c r="H312" s="903" t="s">
        <v>688</v>
      </c>
    </row>
    <row r="313" spans="1:8">
      <c r="A313" s="910" t="str">
        <f>Tabla1[[#This Row],[Codigo articulo]]</f>
        <v>350g</v>
      </c>
      <c r="B313" s="907" t="s">
        <v>689</v>
      </c>
      <c r="C313" s="903">
        <v>90</v>
      </c>
      <c r="D313" s="903" t="s">
        <v>2450</v>
      </c>
      <c r="E313" s="903">
        <v>1</v>
      </c>
      <c r="F313" s="903" t="s">
        <v>680</v>
      </c>
      <c r="G313" s="903" t="s">
        <v>2452</v>
      </c>
      <c r="H313" s="905" t="s">
        <v>690</v>
      </c>
    </row>
    <row r="314" spans="1:8">
      <c r="A314" s="910" t="str">
        <f>Tabla1[[#This Row],[Codigo articulo]]</f>
        <v>57l</v>
      </c>
      <c r="B314" s="907" t="s">
        <v>691</v>
      </c>
      <c r="C314" s="903">
        <v>91</v>
      </c>
      <c r="D314" s="903" t="s">
        <v>2450</v>
      </c>
      <c r="E314" s="903">
        <v>1</v>
      </c>
      <c r="F314" s="903" t="s">
        <v>680</v>
      </c>
      <c r="G314" s="903" t="s">
        <v>2452</v>
      </c>
      <c r="H314" s="903" t="s">
        <v>692</v>
      </c>
    </row>
    <row r="315" spans="1:8">
      <c r="A315" s="910" t="str">
        <f>Tabla1[[#This Row],[Codigo articulo]]</f>
        <v>600l</v>
      </c>
      <c r="B315" s="907" t="s">
        <v>693</v>
      </c>
      <c r="C315" s="903">
        <v>92</v>
      </c>
      <c r="D315" s="903" t="s">
        <v>2450</v>
      </c>
      <c r="E315" s="903">
        <v>1</v>
      </c>
      <c r="F315" s="903" t="s">
        <v>680</v>
      </c>
      <c r="G315" s="903" t="s">
        <v>2452</v>
      </c>
      <c r="H315" s="905" t="s">
        <v>694</v>
      </c>
    </row>
    <row r="316" spans="1:8">
      <c r="A316" s="910" t="str">
        <f>Tabla1[[#This Row],[Codigo articulo]]</f>
        <v>88l</v>
      </c>
      <c r="B316" s="907" t="s">
        <v>695</v>
      </c>
      <c r="C316" s="903">
        <v>93</v>
      </c>
      <c r="D316" s="903" t="s">
        <v>2450</v>
      </c>
      <c r="E316" s="903">
        <v>1</v>
      </c>
      <c r="F316" s="903" t="s">
        <v>680</v>
      </c>
      <c r="G316" s="903" t="s">
        <v>2452</v>
      </c>
      <c r="H316" s="903" t="s">
        <v>696</v>
      </c>
    </row>
    <row r="317" spans="1:8">
      <c r="A317" s="910" t="str">
        <f>Tabla1[[#This Row],[Codigo articulo]]</f>
        <v>110l</v>
      </c>
      <c r="B317" s="907" t="s">
        <v>697</v>
      </c>
      <c r="C317" s="903">
        <v>94</v>
      </c>
      <c r="D317" s="903" t="s">
        <v>2450</v>
      </c>
      <c r="E317" s="903">
        <v>1</v>
      </c>
      <c r="F317" s="903" t="s">
        <v>680</v>
      </c>
      <c r="G317" s="903" t="s">
        <v>2452</v>
      </c>
      <c r="H317" s="905" t="s">
        <v>698</v>
      </c>
    </row>
    <row r="318" spans="1:8">
      <c r="A318" s="910" t="str">
        <f>Tabla1[[#This Row],[Codigo articulo]]</f>
        <v>160l</v>
      </c>
      <c r="B318" s="907" t="s">
        <v>699</v>
      </c>
      <c r="C318" s="903">
        <v>95</v>
      </c>
      <c r="D318" s="903" t="s">
        <v>2450</v>
      </c>
      <c r="E318" s="903">
        <v>1</v>
      </c>
      <c r="F318" s="903" t="s">
        <v>680</v>
      </c>
      <c r="G318" s="903" t="s">
        <v>29</v>
      </c>
      <c r="H318" s="903" t="s">
        <v>700</v>
      </c>
    </row>
    <row r="319" spans="1:8">
      <c r="A319" s="910" t="str">
        <f>Tabla1[[#This Row],[Codigo articulo]]</f>
        <v>180l</v>
      </c>
      <c r="B319" s="907" t="s">
        <v>701</v>
      </c>
      <c r="C319" s="903">
        <v>96</v>
      </c>
      <c r="D319" s="903" t="s">
        <v>2450</v>
      </c>
      <c r="E319" s="903">
        <v>1</v>
      </c>
      <c r="F319" s="903" t="s">
        <v>680</v>
      </c>
      <c r="G319" s="903" t="s">
        <v>29</v>
      </c>
      <c r="H319" s="905" t="s">
        <v>702</v>
      </c>
    </row>
    <row r="320" spans="1:8">
      <c r="A320" s="910" t="str">
        <f>Tabla1[[#This Row],[Codigo articulo]]</f>
        <v>6-160l</v>
      </c>
      <c r="B320" s="907" t="s">
        <v>703</v>
      </c>
      <c r="C320" s="903">
        <v>97</v>
      </c>
      <c r="D320" s="903" t="s">
        <v>2450</v>
      </c>
      <c r="E320" s="903">
        <v>1</v>
      </c>
      <c r="F320" s="903" t="s">
        <v>680</v>
      </c>
      <c r="G320" s="903" t="s">
        <v>29</v>
      </c>
      <c r="H320" s="903" t="s">
        <v>704</v>
      </c>
    </row>
    <row r="321" spans="1:8">
      <c r="A321" s="910" t="str">
        <f>Tabla1[[#This Row],[Codigo articulo]]</f>
        <v>6-200l</v>
      </c>
      <c r="B321" s="907" t="s">
        <v>705</v>
      </c>
      <c r="C321" s="903">
        <v>98</v>
      </c>
      <c r="D321" s="903" t="s">
        <v>2450</v>
      </c>
      <c r="E321" s="903">
        <v>1</v>
      </c>
      <c r="F321" s="903" t="s">
        <v>680</v>
      </c>
      <c r="G321" s="903" t="s">
        <v>29</v>
      </c>
      <c r="H321" s="905" t="s">
        <v>706</v>
      </c>
    </row>
    <row r="322" spans="1:8">
      <c r="A322" s="910" t="str">
        <f>Tabla1[[#This Row],[Codigo articulo]]</f>
        <v>red</v>
      </c>
      <c r="B322" s="907" t="s">
        <v>708</v>
      </c>
      <c r="C322" s="903">
        <v>99</v>
      </c>
      <c r="D322" s="903" t="s">
        <v>2450</v>
      </c>
      <c r="E322" s="903">
        <v>1</v>
      </c>
      <c r="F322" s="903" t="s">
        <v>707</v>
      </c>
      <c r="G322" s="903" t="s">
        <v>2452</v>
      </c>
      <c r="H322" s="903" t="s">
        <v>709</v>
      </c>
    </row>
    <row r="323" spans="1:8">
      <c r="A323" s="910" t="str">
        <f>Tabla1[[#This Row],[Codigo articulo]]</f>
        <v>yell</v>
      </c>
      <c r="B323" s="907" t="s">
        <v>710</v>
      </c>
      <c r="C323" s="903">
        <v>100</v>
      </c>
      <c r="D323" s="903" t="s">
        <v>2450</v>
      </c>
      <c r="E323" s="903">
        <v>1</v>
      </c>
      <c r="F323" s="903" t="s">
        <v>707</v>
      </c>
      <c r="G323" s="903" t="s">
        <v>2452</v>
      </c>
      <c r="H323" s="905" t="s">
        <v>711</v>
      </c>
    </row>
    <row r="324" spans="1:8">
      <c r="A324" s="910" t="str">
        <f>Tabla1[[#This Row],[Codigo articulo]]</f>
        <v>350f</v>
      </c>
      <c r="B324" s="907" t="s">
        <v>724</v>
      </c>
      <c r="C324" s="903">
        <v>101</v>
      </c>
      <c r="D324" s="903" t="s">
        <v>2450</v>
      </c>
      <c r="E324" s="903">
        <v>1</v>
      </c>
      <c r="F324" s="903" t="s">
        <v>723</v>
      </c>
      <c r="G324" s="903" t="s">
        <v>2458</v>
      </c>
      <c r="H324" s="903" t="s">
        <v>725</v>
      </c>
    </row>
    <row r="325" spans="1:8">
      <c r="A325" s="910" t="str">
        <f>Tabla1[[#This Row],[Codigo articulo]]</f>
        <v>110f</v>
      </c>
      <c r="B325" s="907" t="s">
        <v>726</v>
      </c>
      <c r="C325" s="903">
        <v>102</v>
      </c>
      <c r="D325" s="903" t="s">
        <v>2450</v>
      </c>
      <c r="E325" s="903">
        <v>1</v>
      </c>
      <c r="F325" s="903" t="s">
        <v>723</v>
      </c>
      <c r="G325" s="903" t="s">
        <v>2458</v>
      </c>
      <c r="H325" s="905" t="s">
        <v>727</v>
      </c>
    </row>
    <row r="326" spans="1:8">
      <c r="A326" s="910" t="str">
        <f>Tabla1[[#This Row],[Codigo articulo]]</f>
        <v>nt1275</v>
      </c>
      <c r="B326" s="907" t="s">
        <v>729</v>
      </c>
      <c r="C326" s="903">
        <v>103</v>
      </c>
      <c r="D326" s="903" t="s">
        <v>2450</v>
      </c>
      <c r="E326" s="903">
        <v>1</v>
      </c>
      <c r="F326" s="903" t="s">
        <v>728</v>
      </c>
      <c r="G326" s="903" t="s">
        <v>1523</v>
      </c>
      <c r="H326" s="903" t="s">
        <v>730</v>
      </c>
    </row>
    <row r="327" spans="1:8">
      <c r="A327" s="910" t="str">
        <f>Tabla1[[#This Row],[Codigo articulo]]</f>
        <v>nt105</v>
      </c>
      <c r="B327" s="907" t="s">
        <v>731</v>
      </c>
      <c r="C327" s="903">
        <v>104</v>
      </c>
      <c r="D327" s="903" t="s">
        <v>2450</v>
      </c>
      <c r="E327" s="903">
        <v>1</v>
      </c>
      <c r="F327" s="903" t="s">
        <v>728</v>
      </c>
      <c r="G327" s="903" t="s">
        <v>1523</v>
      </c>
      <c r="H327" s="905" t="s">
        <v>732</v>
      </c>
    </row>
    <row r="328" spans="1:8">
      <c r="A328" s="910" t="str">
        <f>Tabla1[[#This Row],[Codigo articulo]]</f>
        <v>sg120</v>
      </c>
      <c r="B328" s="907" t="s">
        <v>733</v>
      </c>
      <c r="C328" s="903">
        <v>105</v>
      </c>
      <c r="D328" s="903" t="s">
        <v>2450</v>
      </c>
      <c r="E328" s="903">
        <v>1</v>
      </c>
      <c r="F328" s="903" t="s">
        <v>728</v>
      </c>
      <c r="G328" s="903" t="s">
        <v>1523</v>
      </c>
      <c r="H328" s="903" t="s">
        <v>734</v>
      </c>
    </row>
    <row r="329" spans="1:8">
      <c r="A329" s="910" t="str">
        <f>Tabla1[[#This Row],[Codigo articulo]]</f>
        <v>sg200</v>
      </c>
      <c r="B329" s="907" t="s">
        <v>735</v>
      </c>
      <c r="C329" s="903">
        <v>106</v>
      </c>
      <c r="D329" s="903" t="s">
        <v>2450</v>
      </c>
      <c r="E329" s="903">
        <v>1</v>
      </c>
      <c r="F329" s="903" t="s">
        <v>728</v>
      </c>
      <c r="G329" s="903" t="s">
        <v>1523</v>
      </c>
      <c r="H329" s="905" t="s">
        <v>736</v>
      </c>
    </row>
    <row r="330" spans="1:8">
      <c r="A330" s="910" t="str">
        <f>Tabla1[[#This Row],[Codigo articulo]]</f>
        <v>b12-100</v>
      </c>
      <c r="B330" s="907" t="s">
        <v>737</v>
      </c>
      <c r="C330" s="903">
        <v>107</v>
      </c>
      <c r="D330" s="903" t="s">
        <v>2450</v>
      </c>
      <c r="E330" s="903">
        <v>1</v>
      </c>
      <c r="F330" s="903" t="s">
        <v>306</v>
      </c>
      <c r="G330" s="903" t="s">
        <v>1523</v>
      </c>
      <c r="H330" s="903" t="s">
        <v>738</v>
      </c>
    </row>
    <row r="331" spans="1:8">
      <c r="A331" s="910" t="str">
        <f>Tabla1[[#This Row],[Codigo articulo]]</f>
        <v>12n5</v>
      </c>
      <c r="B331" s="907" t="s">
        <v>739</v>
      </c>
      <c r="C331" s="903">
        <v>108</v>
      </c>
      <c r="D331" s="903" t="s">
        <v>2450</v>
      </c>
      <c r="E331" s="903">
        <v>1</v>
      </c>
      <c r="F331" s="903" t="s">
        <v>306</v>
      </c>
      <c r="G331" s="903" t="s">
        <v>151</v>
      </c>
      <c r="H331" s="905" t="s">
        <v>281</v>
      </c>
    </row>
    <row r="332" spans="1:8">
      <c r="A332" s="910" t="str">
        <f>Tabla1[[#This Row],[Codigo articulo]]</f>
        <v>12n74b</v>
      </c>
      <c r="B332" s="907" t="s">
        <v>740</v>
      </c>
      <c r="C332" s="903">
        <v>109</v>
      </c>
      <c r="D332" s="903" t="s">
        <v>2450</v>
      </c>
      <c r="E332" s="903">
        <v>1</v>
      </c>
      <c r="F332" s="903" t="s">
        <v>306</v>
      </c>
      <c r="G332" s="903" t="s">
        <v>151</v>
      </c>
      <c r="H332" s="903" t="s">
        <v>741</v>
      </c>
    </row>
    <row r="333" spans="1:8">
      <c r="A333" s="910" t="str">
        <f>Tabla1[[#This Row],[Codigo articulo]]</f>
        <v>m12n74a</v>
      </c>
      <c r="B333" s="907" t="s">
        <v>742</v>
      </c>
      <c r="C333" s="903">
        <v>110</v>
      </c>
      <c r="D333" s="903" t="s">
        <v>2450</v>
      </c>
      <c r="E333" s="903">
        <v>1</v>
      </c>
      <c r="F333" s="903" t="s">
        <v>772</v>
      </c>
      <c r="G333" s="903" t="s">
        <v>151</v>
      </c>
      <c r="H333" s="905" t="s">
        <v>743</v>
      </c>
    </row>
    <row r="334" spans="1:8">
      <c r="A334" s="910" t="str">
        <f>Tabla1[[#This Row],[Codigo articulo]]</f>
        <v>12n73a</v>
      </c>
      <c r="B334" s="907" t="s">
        <v>744</v>
      </c>
      <c r="C334" s="903">
        <v>111</v>
      </c>
      <c r="D334" s="903" t="s">
        <v>2450</v>
      </c>
      <c r="E334" s="903">
        <v>1</v>
      </c>
      <c r="F334" s="903" t="s">
        <v>306</v>
      </c>
      <c r="G334" s="903" t="s">
        <v>151</v>
      </c>
      <c r="H334" s="903" t="s">
        <v>745</v>
      </c>
    </row>
    <row r="335" spans="1:8">
      <c r="A335" s="910" t="str">
        <f>Tabla1[[#This Row],[Codigo articulo]]</f>
        <v>12n9</v>
      </c>
      <c r="B335" s="907" t="s">
        <v>746</v>
      </c>
      <c r="C335" s="903">
        <v>112</v>
      </c>
      <c r="D335" s="903" t="s">
        <v>2450</v>
      </c>
      <c r="E335" s="903">
        <v>1</v>
      </c>
      <c r="F335" s="903" t="s">
        <v>306</v>
      </c>
      <c r="G335" s="903" t="s">
        <v>151</v>
      </c>
      <c r="H335" s="905" t="s">
        <v>747</v>
      </c>
    </row>
    <row r="336" spans="1:8">
      <c r="A336" s="910" t="str">
        <f>Tabla1[[#This Row],[Codigo articulo]]</f>
        <v>12n10</v>
      </c>
      <c r="B336" s="907" t="s">
        <v>748</v>
      </c>
      <c r="C336" s="903">
        <v>113</v>
      </c>
      <c r="D336" s="903" t="s">
        <v>2450</v>
      </c>
      <c r="E336" s="903">
        <v>1</v>
      </c>
      <c r="F336" s="903" t="s">
        <v>306</v>
      </c>
      <c r="G336" s="903" t="s">
        <v>151</v>
      </c>
      <c r="H336" s="903" t="s">
        <v>749</v>
      </c>
    </row>
    <row r="337" spans="1:8">
      <c r="A337" s="910" t="str">
        <f>Tabla1[[#This Row],[Codigo articulo]]</f>
        <v>yb12</v>
      </c>
      <c r="B337" s="907" t="s">
        <v>750</v>
      </c>
      <c r="C337" s="903">
        <v>114</v>
      </c>
      <c r="D337" s="903" t="s">
        <v>2450</v>
      </c>
      <c r="E337" s="903">
        <v>1</v>
      </c>
      <c r="F337" s="903" t="s">
        <v>306</v>
      </c>
      <c r="G337" s="903" t="s">
        <v>151</v>
      </c>
      <c r="H337" s="905" t="s">
        <v>751</v>
      </c>
    </row>
    <row r="338" spans="1:8">
      <c r="A338" s="910" t="str">
        <f>Tabla1[[#This Row],[Codigo articulo]]</f>
        <v>yt12</v>
      </c>
      <c r="B338" s="907" t="s">
        <v>752</v>
      </c>
      <c r="C338" s="903">
        <v>115</v>
      </c>
      <c r="D338" s="903" t="s">
        <v>2450</v>
      </c>
      <c r="E338" s="903">
        <v>1</v>
      </c>
      <c r="F338" s="903" t="s">
        <v>306</v>
      </c>
      <c r="G338" s="903" t="s">
        <v>151</v>
      </c>
      <c r="H338" s="903" t="s">
        <v>753</v>
      </c>
    </row>
    <row r="339" spans="1:8">
      <c r="A339" s="910" t="str">
        <f>Tabla1[[#This Row],[Codigo articulo]]</f>
        <v>12n14</v>
      </c>
      <c r="B339" s="907" t="s">
        <v>754</v>
      </c>
      <c r="C339" s="903">
        <v>116</v>
      </c>
      <c r="D339" s="903" t="s">
        <v>2450</v>
      </c>
      <c r="E339" s="903">
        <v>1</v>
      </c>
      <c r="F339" s="903" t="s">
        <v>306</v>
      </c>
      <c r="G339" s="903" t="s">
        <v>151</v>
      </c>
      <c r="H339" s="905" t="s">
        <v>755</v>
      </c>
    </row>
    <row r="340" spans="1:8">
      <c r="A340" s="910" t="str">
        <f>Tabla1[[#This Row],[Codigo articulo]]</f>
        <v>cb16</v>
      </c>
      <c r="B340" s="907" t="s">
        <v>756</v>
      </c>
      <c r="C340" s="903">
        <v>117</v>
      </c>
      <c r="D340" s="903" t="s">
        <v>2450</v>
      </c>
      <c r="E340" s="903">
        <v>1</v>
      </c>
      <c r="F340" s="903" t="s">
        <v>306</v>
      </c>
      <c r="G340" s="903" t="s">
        <v>151</v>
      </c>
      <c r="H340" s="903" t="s">
        <v>757</v>
      </c>
    </row>
    <row r="341" spans="1:8">
      <c r="A341" s="910" t="str">
        <f>Tabla1[[#This Row],[Codigo articulo]]</f>
        <v>ytx4</v>
      </c>
      <c r="B341" s="907" t="s">
        <v>758</v>
      </c>
      <c r="C341" s="903">
        <v>118</v>
      </c>
      <c r="D341" s="903" t="s">
        <v>2450</v>
      </c>
      <c r="E341" s="903">
        <v>1</v>
      </c>
      <c r="F341" s="903" t="s">
        <v>306</v>
      </c>
      <c r="G341" s="903" t="s">
        <v>151</v>
      </c>
      <c r="H341" s="905" t="s">
        <v>759</v>
      </c>
    </row>
    <row r="342" spans="1:8">
      <c r="A342" s="910" t="str">
        <f>Tabla1[[#This Row],[Codigo articulo]]</f>
        <v>ytx5</v>
      </c>
      <c r="B342" s="907" t="s">
        <v>760</v>
      </c>
      <c r="C342" s="903">
        <v>119</v>
      </c>
      <c r="D342" s="903" t="s">
        <v>2450</v>
      </c>
      <c r="E342" s="903">
        <v>1</v>
      </c>
      <c r="F342" s="903" t="s">
        <v>306</v>
      </c>
      <c r="G342" s="903" t="s">
        <v>151</v>
      </c>
      <c r="H342" s="903" t="s">
        <v>283</v>
      </c>
    </row>
    <row r="343" spans="1:8">
      <c r="A343" s="910" t="str">
        <f>Tabla1[[#This Row],[Codigo articulo]]</f>
        <v>ytx6.5</v>
      </c>
      <c r="B343" s="907" t="s">
        <v>761</v>
      </c>
      <c r="C343" s="903">
        <v>120</v>
      </c>
      <c r="D343" s="903" t="s">
        <v>2450</v>
      </c>
      <c r="E343" s="903">
        <v>1</v>
      </c>
      <c r="F343" s="903" t="s">
        <v>306</v>
      </c>
      <c r="G343" s="903" t="s">
        <v>151</v>
      </c>
      <c r="H343" s="905" t="s">
        <v>762</v>
      </c>
    </row>
    <row r="344" spans="1:8">
      <c r="A344" s="910" t="str">
        <f>Tabla1[[#This Row],[Codigo articulo]]</f>
        <v>ytx7l</v>
      </c>
      <c r="B344" s="907" t="s">
        <v>763</v>
      </c>
      <c r="C344" s="903">
        <v>121</v>
      </c>
      <c r="D344" s="903" t="s">
        <v>2450</v>
      </c>
      <c r="E344" s="903">
        <v>1</v>
      </c>
      <c r="F344" s="903" t="s">
        <v>306</v>
      </c>
      <c r="G344" s="903" t="s">
        <v>151</v>
      </c>
      <c r="H344" s="903" t="s">
        <v>287</v>
      </c>
    </row>
    <row r="345" spans="1:8">
      <c r="A345" s="910" t="str">
        <f>Tabla1[[#This Row],[Codigo articulo]]</f>
        <v>ytx7a</v>
      </c>
      <c r="B345" s="907" t="s">
        <v>764</v>
      </c>
      <c r="C345" s="903">
        <v>122</v>
      </c>
      <c r="D345" s="903" t="s">
        <v>2450</v>
      </c>
      <c r="E345" s="903">
        <v>1</v>
      </c>
      <c r="F345" s="903" t="s">
        <v>306</v>
      </c>
      <c r="G345" s="903" t="s">
        <v>151</v>
      </c>
      <c r="H345" s="905" t="s">
        <v>285</v>
      </c>
    </row>
    <row r="346" spans="1:8">
      <c r="A346" s="910" t="str">
        <f>Tabla1[[#This Row],[Codigo articulo]]</f>
        <v>ytx9</v>
      </c>
      <c r="B346" s="907" t="s">
        <v>765</v>
      </c>
      <c r="C346" s="903">
        <v>123</v>
      </c>
      <c r="D346" s="903" t="s">
        <v>2450</v>
      </c>
      <c r="E346" s="903">
        <v>1</v>
      </c>
      <c r="F346" s="903" t="s">
        <v>306</v>
      </c>
      <c r="G346" s="903" t="s">
        <v>151</v>
      </c>
      <c r="H346" s="903" t="s">
        <v>289</v>
      </c>
    </row>
    <row r="347" spans="1:8">
      <c r="A347" s="910" t="str">
        <f>Tabla1[[#This Row],[Codigo articulo]]</f>
        <v>ytx12</v>
      </c>
      <c r="B347" s="907" t="s">
        <v>766</v>
      </c>
      <c r="C347" s="903">
        <v>124</v>
      </c>
      <c r="D347" s="903" t="s">
        <v>2450</v>
      </c>
      <c r="E347" s="903">
        <v>1</v>
      </c>
      <c r="F347" s="903" t="s">
        <v>306</v>
      </c>
      <c r="G347" s="903" t="s">
        <v>151</v>
      </c>
      <c r="H347" s="905" t="s">
        <v>291</v>
      </c>
    </row>
    <row r="348" spans="1:8">
      <c r="A348" s="910" t="str">
        <f>Tabla1[[#This Row],[Codigo articulo]]</f>
        <v>ytx14</v>
      </c>
      <c r="B348" s="907" t="s">
        <v>767</v>
      </c>
      <c r="C348" s="903">
        <v>125</v>
      </c>
      <c r="D348" s="903" t="s">
        <v>2450</v>
      </c>
      <c r="E348" s="903">
        <v>1</v>
      </c>
      <c r="F348" s="903" t="s">
        <v>306</v>
      </c>
      <c r="G348" s="903" t="s">
        <v>151</v>
      </c>
      <c r="H348" s="903" t="s">
        <v>293</v>
      </c>
    </row>
    <row r="349" spans="1:8">
      <c r="A349" s="910" t="str">
        <f>Tabla1[[#This Row],[Codigo articulo]]</f>
        <v>ytx16</v>
      </c>
      <c r="B349" s="907" t="s">
        <v>768</v>
      </c>
      <c r="C349" s="903">
        <v>126</v>
      </c>
      <c r="D349" s="903" t="s">
        <v>2450</v>
      </c>
      <c r="E349" s="903">
        <v>1</v>
      </c>
      <c r="F349" s="903" t="s">
        <v>306</v>
      </c>
      <c r="G349" s="903" t="s">
        <v>151</v>
      </c>
      <c r="H349" s="905" t="s">
        <v>295</v>
      </c>
    </row>
    <row r="350" spans="1:8">
      <c r="A350" s="910" t="str">
        <f>Tabla1[[#This Row],[Codigo articulo]]</f>
        <v>ytx20</v>
      </c>
      <c r="B350" s="907" t="s">
        <v>769</v>
      </c>
      <c r="C350" s="903">
        <v>127</v>
      </c>
      <c r="D350" s="903" t="s">
        <v>2450</v>
      </c>
      <c r="E350" s="903">
        <v>1</v>
      </c>
      <c r="F350" s="903" t="s">
        <v>306</v>
      </c>
      <c r="G350" s="903" t="s">
        <v>151</v>
      </c>
      <c r="H350" s="903" t="s">
        <v>297</v>
      </c>
    </row>
    <row r="351" spans="1:8">
      <c r="A351" s="910" t="str">
        <f>Tabla1[[#This Row],[Codigo articulo]]</f>
        <v>ytx20l</v>
      </c>
      <c r="B351" s="907" t="s">
        <v>770</v>
      </c>
      <c r="C351" s="903">
        <v>128</v>
      </c>
      <c r="D351" s="903" t="s">
        <v>2450</v>
      </c>
      <c r="E351" s="903">
        <v>1</v>
      </c>
      <c r="F351" s="903" t="s">
        <v>306</v>
      </c>
      <c r="G351" s="903" t="s">
        <v>151</v>
      </c>
      <c r="H351" s="905" t="s">
        <v>771</v>
      </c>
    </row>
    <row r="352" spans="1:8">
      <c r="A352" s="910" t="str">
        <f>Tabla1[[#This Row],[Codigo articulo]]</f>
        <v>mytx20l</v>
      </c>
      <c r="B352" s="907" t="s">
        <v>773</v>
      </c>
      <c r="C352" s="903">
        <v>129</v>
      </c>
      <c r="D352" s="903" t="s">
        <v>2450</v>
      </c>
      <c r="E352" s="903">
        <v>1</v>
      </c>
      <c r="F352" s="903" t="s">
        <v>772</v>
      </c>
      <c r="G352" s="903" t="s">
        <v>151</v>
      </c>
      <c r="H352" s="903" t="s">
        <v>774</v>
      </c>
    </row>
    <row r="353" spans="1:8">
      <c r="A353" s="910" t="str">
        <f>Tabla1[[#This Row],[Codigo articulo]]</f>
        <v>ytz7</v>
      </c>
      <c r="B353" s="907" t="s">
        <v>775</v>
      </c>
      <c r="C353" s="903">
        <v>130</v>
      </c>
      <c r="D353" s="903" t="s">
        <v>2450</v>
      </c>
      <c r="E353" s="903">
        <v>1</v>
      </c>
      <c r="F353" s="903" t="s">
        <v>306</v>
      </c>
      <c r="G353" s="903" t="s">
        <v>151</v>
      </c>
      <c r="H353" s="905" t="s">
        <v>776</v>
      </c>
    </row>
    <row r="354" spans="1:8">
      <c r="A354" s="910" t="str">
        <f>Tabla1[[#This Row],[Codigo articulo]]</f>
        <v>ytz12</v>
      </c>
      <c r="B354" s="907" t="s">
        <v>777</v>
      </c>
      <c r="C354" s="903">
        <v>131</v>
      </c>
      <c r="D354" s="903" t="s">
        <v>2450</v>
      </c>
      <c r="E354" s="903">
        <v>1</v>
      </c>
      <c r="F354" s="903" t="s">
        <v>306</v>
      </c>
      <c r="G354" s="903" t="s">
        <v>151</v>
      </c>
      <c r="H354" s="903" t="s">
        <v>778</v>
      </c>
    </row>
    <row r="355" spans="1:8">
      <c r="A355" s="910" t="str">
        <f>Tabla1[[#This Row],[Codigo articulo]]</f>
        <v>ytz14</v>
      </c>
      <c r="B355" s="907" t="s">
        <v>779</v>
      </c>
      <c r="C355" s="903">
        <v>132</v>
      </c>
      <c r="D355" s="903" t="s">
        <v>2450</v>
      </c>
      <c r="E355" s="903">
        <v>1</v>
      </c>
      <c r="F355" s="903" t="s">
        <v>306</v>
      </c>
      <c r="G355" s="903" t="s">
        <v>151</v>
      </c>
      <c r="H355" s="905" t="s">
        <v>780</v>
      </c>
    </row>
    <row r="356" spans="1:8">
      <c r="A356" s="910" t="str">
        <f>Tabla1[[#This Row],[Codigo articulo]]</f>
        <v>12n24d</v>
      </c>
      <c r="B356" s="907" t="s">
        <v>781</v>
      </c>
      <c r="C356" s="903">
        <v>133</v>
      </c>
      <c r="D356" s="903" t="s">
        <v>2450</v>
      </c>
      <c r="E356" s="903">
        <v>1</v>
      </c>
      <c r="F356" s="903" t="s">
        <v>306</v>
      </c>
      <c r="G356" s="903" t="s">
        <v>151</v>
      </c>
      <c r="H356" s="903" t="s">
        <v>782</v>
      </c>
    </row>
    <row r="357" spans="1:8">
      <c r="A357" s="910" t="str">
        <f>Tabla1[[#This Row],[Codigo articulo]]</f>
        <v>a12n24d</v>
      </c>
      <c r="B357" s="907" t="s">
        <v>783</v>
      </c>
      <c r="C357" s="903">
        <v>134</v>
      </c>
      <c r="D357" s="903" t="s">
        <v>2450</v>
      </c>
      <c r="E357" s="903">
        <v>1</v>
      </c>
      <c r="F357" s="903" t="s">
        <v>588</v>
      </c>
      <c r="G357" s="903" t="s">
        <v>151</v>
      </c>
      <c r="H357" s="905" t="s">
        <v>784</v>
      </c>
    </row>
    <row r="358" spans="1:8">
      <c r="A358" s="910" t="str">
        <f>Tabla1[[#This Row],[Codigo articulo]]</f>
        <v>m12n24d</v>
      </c>
      <c r="B358" s="907" t="s">
        <v>785</v>
      </c>
      <c r="C358" s="903">
        <v>135</v>
      </c>
      <c r="D358" s="903" t="s">
        <v>2450</v>
      </c>
      <c r="E358" s="903">
        <v>1</v>
      </c>
      <c r="F358" s="903" t="s">
        <v>772</v>
      </c>
      <c r="G358" s="903" t="s">
        <v>151</v>
      </c>
      <c r="H358" s="903" t="s">
        <v>786</v>
      </c>
    </row>
    <row r="359" spans="1:8">
      <c r="A359" s="910" t="str">
        <f>Tabla1[[#This Row],[Codigo articulo]]</f>
        <v>12n24i</v>
      </c>
      <c r="B359" s="907" t="s">
        <v>787</v>
      </c>
      <c r="C359" s="903">
        <v>136</v>
      </c>
      <c r="D359" s="903" t="s">
        <v>2450</v>
      </c>
      <c r="E359" s="903">
        <v>1</v>
      </c>
      <c r="F359" s="903" t="s">
        <v>306</v>
      </c>
      <c r="G359" s="903" t="s">
        <v>151</v>
      </c>
      <c r="H359" s="905" t="s">
        <v>788</v>
      </c>
    </row>
    <row r="360" spans="1:8">
      <c r="A360" s="910" t="str">
        <f>Tabla1[[#This Row],[Codigo articulo]]</f>
        <v>ME23UI</v>
      </c>
      <c r="B360" s="907" t="s">
        <v>1702</v>
      </c>
      <c r="C360" s="903">
        <v>137</v>
      </c>
      <c r="D360" s="903" t="s">
        <v>2450</v>
      </c>
      <c r="E360" s="903">
        <v>1</v>
      </c>
      <c r="F360" s="903" t="s">
        <v>308</v>
      </c>
      <c r="G360" s="903" t="s">
        <v>151</v>
      </c>
      <c r="H360" s="903" t="s">
        <v>1467</v>
      </c>
    </row>
    <row r="361" spans="1:8">
      <c r="A361" s="910" t="str">
        <f>Tabla1[[#This Row],[Codigo articulo]]</f>
        <v>gs12n73a</v>
      </c>
      <c r="B361" s="907" t="s">
        <v>794</v>
      </c>
      <c r="C361" s="903">
        <v>138</v>
      </c>
      <c r="D361" s="903" t="s">
        <v>2450</v>
      </c>
      <c r="E361" s="903">
        <v>1</v>
      </c>
      <c r="F361" s="903" t="s">
        <v>1124</v>
      </c>
      <c r="G361" s="903" t="s">
        <v>151</v>
      </c>
      <c r="H361" s="905" t="s">
        <v>795</v>
      </c>
    </row>
    <row r="362" spans="1:8">
      <c r="A362" s="910" t="str">
        <f>Tabla1[[#This Row],[Codigo articulo]]</f>
        <v>y6-4</v>
      </c>
      <c r="B362" s="907" t="s">
        <v>797</v>
      </c>
      <c r="C362" s="903">
        <v>139</v>
      </c>
      <c r="D362" s="903" t="s">
        <v>2450</v>
      </c>
      <c r="E362" s="903">
        <v>1</v>
      </c>
      <c r="F362" s="903" t="s">
        <v>796</v>
      </c>
      <c r="G362" s="903" t="s">
        <v>2459</v>
      </c>
      <c r="H362" s="903" t="s">
        <v>798</v>
      </c>
    </row>
    <row r="363" spans="1:8">
      <c r="A363" s="910" t="str">
        <f>Tabla1[[#This Row],[Codigo articulo]]</f>
        <v>b6-4</v>
      </c>
      <c r="B363" s="907" t="s">
        <v>799</v>
      </c>
      <c r="C363" s="903">
        <v>140</v>
      </c>
      <c r="D363" s="903" t="s">
        <v>2450</v>
      </c>
      <c r="E363" s="903">
        <v>1</v>
      </c>
      <c r="F363" s="903" t="s">
        <v>306</v>
      </c>
      <c r="G363" s="903" t="s">
        <v>2459</v>
      </c>
      <c r="H363" s="905" t="s">
        <v>800</v>
      </c>
    </row>
    <row r="364" spans="1:8">
      <c r="A364" s="910" t="str">
        <f>Tabla1[[#This Row],[Codigo articulo]]</f>
        <v>y6-10</v>
      </c>
      <c r="B364" s="907" t="s">
        <v>801</v>
      </c>
      <c r="C364" s="903">
        <v>141</v>
      </c>
      <c r="D364" s="903" t="s">
        <v>2450</v>
      </c>
      <c r="E364" s="903">
        <v>1</v>
      </c>
      <c r="F364" s="903" t="s">
        <v>796</v>
      </c>
      <c r="G364" s="903" t="s">
        <v>2459</v>
      </c>
      <c r="H364" s="903" t="s">
        <v>802</v>
      </c>
    </row>
    <row r="365" spans="1:8">
      <c r="A365" s="910" t="str">
        <f>Tabla1[[#This Row],[Codigo articulo]]</f>
        <v>b6-10</v>
      </c>
      <c r="B365" s="907" t="s">
        <v>803</v>
      </c>
      <c r="C365" s="903">
        <v>142</v>
      </c>
      <c r="D365" s="903" t="s">
        <v>2450</v>
      </c>
      <c r="E365" s="903">
        <v>1</v>
      </c>
      <c r="F365" s="903" t="s">
        <v>306</v>
      </c>
      <c r="G365" s="903" t="s">
        <v>2459</v>
      </c>
      <c r="H365" s="905" t="s">
        <v>804</v>
      </c>
    </row>
    <row r="366" spans="1:8">
      <c r="A366" s="910" t="str">
        <f>Tabla1[[#This Row],[Codigo articulo]]</f>
        <v>y12-4</v>
      </c>
      <c r="B366" s="907" t="s">
        <v>805</v>
      </c>
      <c r="C366" s="903">
        <v>143</v>
      </c>
      <c r="D366" s="903" t="s">
        <v>2450</v>
      </c>
      <c r="E366" s="903">
        <v>1</v>
      </c>
      <c r="F366" s="903" t="s">
        <v>796</v>
      </c>
      <c r="G366" s="903" t="s">
        <v>2459</v>
      </c>
      <c r="H366" s="903" t="s">
        <v>806</v>
      </c>
    </row>
    <row r="367" spans="1:8">
      <c r="A367" s="910" t="str">
        <f>Tabla1[[#This Row],[Codigo articulo]]</f>
        <v>b12-4</v>
      </c>
      <c r="B367" s="907" t="s">
        <v>807</v>
      </c>
      <c r="C367" s="903">
        <v>144</v>
      </c>
      <c r="D367" s="903" t="s">
        <v>2450</v>
      </c>
      <c r="E367" s="903">
        <v>1</v>
      </c>
      <c r="F367" s="903" t="s">
        <v>306</v>
      </c>
      <c r="G367" s="903" t="s">
        <v>2459</v>
      </c>
      <c r="H367" s="905" t="s">
        <v>808</v>
      </c>
    </row>
    <row r="368" spans="1:8">
      <c r="A368" s="910" t="str">
        <f>Tabla1[[#This Row],[Codigo articulo]]</f>
        <v>y12-7</v>
      </c>
      <c r="B368" s="907" t="s">
        <v>809</v>
      </c>
      <c r="C368" s="903">
        <v>145</v>
      </c>
      <c r="D368" s="903" t="s">
        <v>2450</v>
      </c>
      <c r="E368" s="903">
        <v>1</v>
      </c>
      <c r="F368" s="903" t="s">
        <v>796</v>
      </c>
      <c r="G368" s="903" t="s">
        <v>2459</v>
      </c>
      <c r="H368" s="903" t="s">
        <v>810</v>
      </c>
    </row>
    <row r="369" spans="1:8">
      <c r="A369" s="910" t="str">
        <f>Tabla1[[#This Row],[Codigo articulo]]</f>
        <v>b12-7</v>
      </c>
      <c r="B369" s="907" t="s">
        <v>811</v>
      </c>
      <c r="C369" s="903">
        <v>146</v>
      </c>
      <c r="D369" s="903" t="s">
        <v>2450</v>
      </c>
      <c r="E369" s="903">
        <v>1</v>
      </c>
      <c r="F369" s="903" t="s">
        <v>306</v>
      </c>
      <c r="G369" s="903" t="s">
        <v>2459</v>
      </c>
      <c r="H369" s="905" t="s">
        <v>812</v>
      </c>
    </row>
    <row r="370" spans="1:8">
      <c r="A370" s="910" t="str">
        <f>Tabla1[[#This Row],[Codigo articulo]]</f>
        <v>m12-7</v>
      </c>
      <c r="B370" s="907" t="s">
        <v>813</v>
      </c>
      <c r="C370" s="903">
        <v>147</v>
      </c>
      <c r="D370" s="903" t="s">
        <v>2450</v>
      </c>
      <c r="E370" s="903">
        <v>1</v>
      </c>
      <c r="F370" s="903" t="s">
        <v>2460</v>
      </c>
      <c r="G370" s="903" t="s">
        <v>2459</v>
      </c>
      <c r="H370" s="903" t="s">
        <v>814</v>
      </c>
    </row>
    <row r="371" spans="1:8">
      <c r="A371" s="910" t="str">
        <f>Tabla1[[#This Row],[Codigo articulo]]</f>
        <v>y12-12</v>
      </c>
      <c r="B371" s="907" t="s">
        <v>815</v>
      </c>
      <c r="C371" s="903">
        <v>148</v>
      </c>
      <c r="D371" s="903" t="s">
        <v>2450</v>
      </c>
      <c r="E371" s="903">
        <v>1</v>
      </c>
      <c r="F371" s="903" t="s">
        <v>796</v>
      </c>
      <c r="G371" s="903" t="s">
        <v>2459</v>
      </c>
      <c r="H371" s="905" t="s">
        <v>816</v>
      </c>
    </row>
    <row r="372" spans="1:8">
      <c r="A372" s="910" t="str">
        <f>Tabla1[[#This Row],[Codigo articulo]]</f>
        <v>b12-12</v>
      </c>
      <c r="B372" s="907" t="s">
        <v>817</v>
      </c>
      <c r="C372" s="903">
        <v>149</v>
      </c>
      <c r="D372" s="903" t="s">
        <v>2450</v>
      </c>
      <c r="E372" s="903">
        <v>1</v>
      </c>
      <c r="F372" s="903" t="s">
        <v>306</v>
      </c>
      <c r="G372" s="903" t="s">
        <v>2459</v>
      </c>
      <c r="H372" s="903" t="s">
        <v>818</v>
      </c>
    </row>
    <row r="373" spans="1:8">
      <c r="A373" s="910" t="str">
        <f>Tabla1[[#This Row],[Codigo articulo]]</f>
        <v>m12-12</v>
      </c>
      <c r="B373" s="907" t="s">
        <v>819</v>
      </c>
      <c r="C373" s="903">
        <v>150</v>
      </c>
      <c r="D373" s="903" t="s">
        <v>2450</v>
      </c>
      <c r="E373" s="903">
        <v>1</v>
      </c>
      <c r="F373" s="903" t="s">
        <v>2460</v>
      </c>
      <c r="G373" s="903" t="s">
        <v>2459</v>
      </c>
      <c r="H373" s="905" t="s">
        <v>820</v>
      </c>
    </row>
    <row r="374" spans="1:8">
      <c r="A374" s="910" t="str">
        <f>Tabla1[[#This Row],[Codigo articulo]]</f>
        <v>y12-17</v>
      </c>
      <c r="B374" s="907" t="s">
        <v>821</v>
      </c>
      <c r="C374" s="903">
        <v>151</v>
      </c>
      <c r="D374" s="903" t="s">
        <v>2450</v>
      </c>
      <c r="E374" s="903">
        <v>1</v>
      </c>
      <c r="F374" s="903" t="s">
        <v>796</v>
      </c>
      <c r="G374" s="903" t="s">
        <v>2459</v>
      </c>
      <c r="H374" s="903" t="s">
        <v>822</v>
      </c>
    </row>
    <row r="375" spans="1:8">
      <c r="A375" s="910" t="str">
        <f>Tabla1[[#This Row],[Codigo articulo]]</f>
        <v>b12-18</v>
      </c>
      <c r="B375" s="907" t="s">
        <v>823</v>
      </c>
      <c r="C375" s="903">
        <v>152</v>
      </c>
      <c r="D375" s="903" t="s">
        <v>2450</v>
      </c>
      <c r="E375" s="903">
        <v>1</v>
      </c>
      <c r="F375" s="903" t="s">
        <v>306</v>
      </c>
      <c r="G375" s="903" t="s">
        <v>2459</v>
      </c>
      <c r="H375" s="905" t="s">
        <v>824</v>
      </c>
    </row>
    <row r="376" spans="1:8">
      <c r="A376" s="910" t="str">
        <f>Tabla1[[#This Row],[Codigo articulo]]</f>
        <v>m12-18</v>
      </c>
      <c r="B376" s="907" t="s">
        <v>825</v>
      </c>
      <c r="C376" s="903">
        <v>153</v>
      </c>
      <c r="D376" s="903" t="s">
        <v>2450</v>
      </c>
      <c r="E376" s="903">
        <v>1</v>
      </c>
      <c r="F376" s="903" t="s">
        <v>2460</v>
      </c>
      <c r="G376" s="903" t="s">
        <v>2459</v>
      </c>
      <c r="H376" s="903" t="s">
        <v>826</v>
      </c>
    </row>
    <row r="377" spans="1:8">
      <c r="A377" s="910" t="str">
        <f>Tabla1[[#This Row],[Codigo articulo]]</f>
        <v>y12-24</v>
      </c>
      <c r="B377" s="907" t="s">
        <v>827</v>
      </c>
      <c r="C377" s="903">
        <v>154</v>
      </c>
      <c r="D377" s="903" t="s">
        <v>2450</v>
      </c>
      <c r="E377" s="903">
        <v>1</v>
      </c>
      <c r="F377" s="903" t="s">
        <v>796</v>
      </c>
      <c r="G377" s="903" t="s">
        <v>2459</v>
      </c>
      <c r="H377" s="905" t="s">
        <v>828</v>
      </c>
    </row>
    <row r="378" spans="1:8">
      <c r="A378" s="910" t="str">
        <f>Tabla1[[#This Row],[Codigo articulo]]</f>
        <v>b12-26</v>
      </c>
      <c r="B378" s="907" t="s">
        <v>829</v>
      </c>
      <c r="C378" s="903">
        <v>155</v>
      </c>
      <c r="D378" s="903" t="s">
        <v>2450</v>
      </c>
      <c r="E378" s="903">
        <v>1</v>
      </c>
      <c r="F378" s="903" t="s">
        <v>306</v>
      </c>
      <c r="G378" s="903" t="s">
        <v>2459</v>
      </c>
      <c r="H378" s="903" t="s">
        <v>830</v>
      </c>
    </row>
    <row r="379" spans="1:8">
      <c r="A379" s="910" t="str">
        <f>Tabla1[[#This Row],[Codigo articulo]]</f>
        <v>m12-26</v>
      </c>
      <c r="B379" s="907" t="s">
        <v>831</v>
      </c>
      <c r="C379" s="903">
        <v>156</v>
      </c>
      <c r="D379" s="903" t="s">
        <v>2450</v>
      </c>
      <c r="E379" s="903">
        <v>1</v>
      </c>
      <c r="F379" s="903" t="s">
        <v>2460</v>
      </c>
      <c r="G379" s="903" t="s">
        <v>2459</v>
      </c>
      <c r="H379" s="905" t="s">
        <v>832</v>
      </c>
    </row>
    <row r="380" spans="1:8">
      <c r="A380" s="910" t="str">
        <f>Tabla1[[#This Row],[Codigo articulo]]</f>
        <v>y12-38</v>
      </c>
      <c r="B380" s="907" t="s">
        <v>833</v>
      </c>
      <c r="C380" s="903">
        <v>157</v>
      </c>
      <c r="D380" s="903" t="s">
        <v>2450</v>
      </c>
      <c r="E380" s="903">
        <v>1</v>
      </c>
      <c r="F380" s="903" t="s">
        <v>796</v>
      </c>
      <c r="G380" s="903" t="s">
        <v>2459</v>
      </c>
      <c r="H380" s="903" t="s">
        <v>834</v>
      </c>
    </row>
    <row r="381" spans="1:8">
      <c r="A381" s="910" t="str">
        <f>Tabla1[[#This Row],[Codigo articulo]]</f>
        <v>b12-38</v>
      </c>
      <c r="B381" s="907" t="s">
        <v>835</v>
      </c>
      <c r="C381" s="903">
        <v>158</v>
      </c>
      <c r="D381" s="903" t="s">
        <v>2450</v>
      </c>
      <c r="E381" s="903">
        <v>1</v>
      </c>
      <c r="F381" s="903" t="s">
        <v>306</v>
      </c>
      <c r="G381" s="903" t="s">
        <v>2459</v>
      </c>
      <c r="H381" s="905" t="s">
        <v>836</v>
      </c>
    </row>
    <row r="382" spans="1:8">
      <c r="A382" s="910" t="str">
        <f>Tabla1[[#This Row],[Codigo articulo]]</f>
        <v>cpc12-18</v>
      </c>
      <c r="B382" s="907" t="s">
        <v>837</v>
      </c>
      <c r="C382" s="903">
        <v>159</v>
      </c>
      <c r="D382" s="903" t="s">
        <v>2450</v>
      </c>
      <c r="E382" s="903">
        <v>1</v>
      </c>
      <c r="F382" s="903" t="s">
        <v>306</v>
      </c>
      <c r="G382" s="903" t="s">
        <v>2459</v>
      </c>
      <c r="H382" s="903" t="s">
        <v>838</v>
      </c>
    </row>
    <row r="383" spans="1:8">
      <c r="A383" s="910" t="str">
        <f>Tabla1[[#This Row],[Codigo articulo]]</f>
        <v>cpc12-26</v>
      </c>
      <c r="B383" s="907" t="s">
        <v>839</v>
      </c>
      <c r="C383" s="903">
        <v>160</v>
      </c>
      <c r="D383" s="903" t="s">
        <v>2450</v>
      </c>
      <c r="E383" s="903">
        <v>1</v>
      </c>
      <c r="F383" s="903" t="s">
        <v>306</v>
      </c>
      <c r="G383" s="903" t="s">
        <v>2459</v>
      </c>
      <c r="H383" s="905" t="s">
        <v>840</v>
      </c>
    </row>
    <row r="384" spans="1:8">
      <c r="A384" s="910" t="str">
        <f>Tabla1[[#This Row],[Codigo articulo]]</f>
        <v>ME135BD</v>
      </c>
      <c r="B384" s="907" t="s">
        <v>1721</v>
      </c>
      <c r="C384" s="903">
        <v>161</v>
      </c>
      <c r="D384" s="903" t="s">
        <v>2450</v>
      </c>
      <c r="E384" s="903">
        <v>1</v>
      </c>
      <c r="F384" s="903" t="s">
        <v>308</v>
      </c>
      <c r="G384" s="903" t="s">
        <v>29</v>
      </c>
      <c r="H384" s="903" t="s">
        <v>1722</v>
      </c>
    </row>
    <row r="385" spans="1:8">
      <c r="A385" s="910" t="str">
        <f>Tabla1[[#This Row],[Codigo articulo]]</f>
        <v>BA</v>
      </c>
      <c r="B385" s="907" t="s">
        <v>896</v>
      </c>
      <c r="C385" s="903">
        <v>162</v>
      </c>
      <c r="D385" s="903" t="s">
        <v>2450</v>
      </c>
      <c r="E385" s="903">
        <v>1</v>
      </c>
      <c r="F385" s="903" t="s">
        <v>2461</v>
      </c>
      <c r="G385" s="903" t="s">
        <v>2462</v>
      </c>
      <c r="H385" s="905" t="s">
        <v>897</v>
      </c>
    </row>
    <row r="386" spans="1:8">
      <c r="A386" s="910" t="str">
        <f>Tabla1[[#This Row],[Codigo articulo]]</f>
        <v>BU</v>
      </c>
      <c r="B386" s="907" t="s">
        <v>898</v>
      </c>
      <c r="C386" s="903">
        <v>163</v>
      </c>
      <c r="D386" s="903" t="s">
        <v>2450</v>
      </c>
      <c r="E386" s="903">
        <v>1</v>
      </c>
      <c r="F386" s="903" t="s">
        <v>2463</v>
      </c>
      <c r="G386" s="903" t="s">
        <v>2462</v>
      </c>
      <c r="H386" s="903" t="s">
        <v>899</v>
      </c>
    </row>
    <row r="387" spans="1:8">
      <c r="A387" s="910" t="str">
        <f>Tabla1[[#This Row],[Codigo articulo]]</f>
        <v>BC</v>
      </c>
      <c r="B387" s="907" t="s">
        <v>900</v>
      </c>
      <c r="C387" s="903">
        <v>164</v>
      </c>
      <c r="D387" s="903" t="s">
        <v>2450</v>
      </c>
      <c r="E387" s="903">
        <v>1</v>
      </c>
      <c r="F387" s="903" t="s">
        <v>2464</v>
      </c>
      <c r="G387" s="903" t="s">
        <v>2462</v>
      </c>
      <c r="H387" s="905" t="s">
        <v>901</v>
      </c>
    </row>
    <row r="388" spans="1:8">
      <c r="A388" s="910" t="str">
        <f>Tabla1[[#This Row],[Codigo articulo]]</f>
        <v>ME180BD</v>
      </c>
      <c r="B388" s="907" t="s">
        <v>1727</v>
      </c>
      <c r="C388" s="903">
        <v>165</v>
      </c>
      <c r="D388" s="903" t="s">
        <v>2450</v>
      </c>
      <c r="E388" s="903">
        <v>1</v>
      </c>
      <c r="F388" s="903" t="s">
        <v>308</v>
      </c>
      <c r="G388" s="903" t="s">
        <v>29</v>
      </c>
      <c r="H388" s="903" t="s">
        <v>1728</v>
      </c>
    </row>
    <row r="389" spans="1:8">
      <c r="A389" s="910" t="str">
        <f>Tabla1[[#This Row],[Codigo articulo]]</f>
        <v>cpc12-13</v>
      </c>
      <c r="B389" s="907" t="s">
        <v>904</v>
      </c>
      <c r="C389" s="903">
        <v>166</v>
      </c>
      <c r="D389" s="903" t="s">
        <v>2450</v>
      </c>
      <c r="E389" s="903">
        <v>1</v>
      </c>
      <c r="F389" s="903" t="s">
        <v>306</v>
      </c>
      <c r="G389" s="903" t="s">
        <v>2459</v>
      </c>
      <c r="H389" s="905" t="s">
        <v>905</v>
      </c>
    </row>
    <row r="390" spans="1:8">
      <c r="A390" s="910" t="str">
        <f>Tabla1[[#This Row],[Codigo articulo]]</f>
        <v>cpc12-33</v>
      </c>
      <c r="B390" s="907" t="s">
        <v>906</v>
      </c>
      <c r="C390" s="903">
        <v>167</v>
      </c>
      <c r="D390" s="903" t="s">
        <v>2450</v>
      </c>
      <c r="E390" s="903">
        <v>1</v>
      </c>
      <c r="F390" s="903" t="s">
        <v>306</v>
      </c>
      <c r="G390" s="903" t="s">
        <v>2459</v>
      </c>
      <c r="H390" s="903" t="s">
        <v>907</v>
      </c>
    </row>
    <row r="391" spans="1:8">
      <c r="A391" s="910" t="str">
        <f>Tabla1[[#This Row],[Codigo articulo]]</f>
        <v>mytx9</v>
      </c>
      <c r="B391" s="907" t="s">
        <v>908</v>
      </c>
      <c r="C391" s="903">
        <v>168</v>
      </c>
      <c r="D391" s="903" t="s">
        <v>2450</v>
      </c>
      <c r="E391" s="903">
        <v>1</v>
      </c>
      <c r="F391" s="903" t="s">
        <v>772</v>
      </c>
      <c r="G391" s="903" t="s">
        <v>151</v>
      </c>
      <c r="H391" s="905" t="s">
        <v>909</v>
      </c>
    </row>
    <row r="392" spans="1:8">
      <c r="A392" s="910" t="str">
        <f>Tabla1[[#This Row],[Codigo articulo]]</f>
        <v>ME220PD</v>
      </c>
      <c r="B392" s="907" t="s">
        <v>1729</v>
      </c>
      <c r="C392" s="903">
        <v>169</v>
      </c>
      <c r="D392" s="903" t="s">
        <v>2450</v>
      </c>
      <c r="E392" s="903">
        <v>1</v>
      </c>
      <c r="F392" s="903" t="s">
        <v>308</v>
      </c>
      <c r="G392" s="903" t="s">
        <v>29</v>
      </c>
      <c r="H392" s="903" t="s">
        <v>1730</v>
      </c>
    </row>
    <row r="393" spans="1:8">
      <c r="A393" s="910" t="str">
        <f>Tabla1[[#This Row],[Codigo articulo]]</f>
        <v>sg150</v>
      </c>
      <c r="B393" s="907" t="s">
        <v>912</v>
      </c>
      <c r="C393" s="903">
        <v>170</v>
      </c>
      <c r="D393" s="903" t="s">
        <v>2450</v>
      </c>
      <c r="E393" s="903">
        <v>1</v>
      </c>
      <c r="F393" s="903" t="s">
        <v>728</v>
      </c>
      <c r="G393" s="903" t="s">
        <v>1523</v>
      </c>
      <c r="H393" s="905" t="s">
        <v>913</v>
      </c>
    </row>
    <row r="394" spans="1:8">
      <c r="A394" s="910" t="str">
        <f>Tabla1[[#This Row],[Codigo articulo]]</f>
        <v>myb12</v>
      </c>
      <c r="B394" s="907" t="s">
        <v>940</v>
      </c>
      <c r="C394" s="903">
        <v>171</v>
      </c>
      <c r="D394" s="903" t="s">
        <v>2450</v>
      </c>
      <c r="E394" s="903">
        <v>1</v>
      </c>
      <c r="F394" s="903" t="s">
        <v>772</v>
      </c>
      <c r="G394" s="903" t="s">
        <v>151</v>
      </c>
      <c r="H394" s="903" t="s">
        <v>941</v>
      </c>
    </row>
    <row r="395" spans="1:8">
      <c r="A395" s="910" t="str">
        <f>Tabla1[[#This Row],[Codigo articulo]]</f>
        <v>mytx7a</v>
      </c>
      <c r="B395" s="907" t="s">
        <v>942</v>
      </c>
      <c r="C395" s="903">
        <v>172</v>
      </c>
      <c r="D395" s="903" t="s">
        <v>2450</v>
      </c>
      <c r="E395" s="903">
        <v>1</v>
      </c>
      <c r="F395" s="903" t="s">
        <v>772</v>
      </c>
      <c r="G395" s="903" t="s">
        <v>151</v>
      </c>
      <c r="H395" s="905" t="s">
        <v>943</v>
      </c>
    </row>
    <row r="396" spans="1:8">
      <c r="A396" s="910" t="str">
        <f>Tabla1[[#This Row],[Codigo articulo]]</f>
        <v>l6-4</v>
      </c>
      <c r="B396" s="907" t="s">
        <v>964</v>
      </c>
      <c r="C396" s="903">
        <v>173</v>
      </c>
      <c r="D396" s="903" t="s">
        <v>2450</v>
      </c>
      <c r="E396" s="903">
        <v>1</v>
      </c>
      <c r="F396" s="903" t="s">
        <v>963</v>
      </c>
      <c r="G396" s="903" t="s">
        <v>2459</v>
      </c>
      <c r="H396" s="903" t="s">
        <v>965</v>
      </c>
    </row>
    <row r="397" spans="1:8">
      <c r="A397" s="910" t="str">
        <f>Tabla1[[#This Row],[Codigo articulo]]</f>
        <v>k12-7</v>
      </c>
      <c r="B397" s="907" t="s">
        <v>967</v>
      </c>
      <c r="C397" s="903">
        <v>174</v>
      </c>
      <c r="D397" s="903" t="s">
        <v>2450</v>
      </c>
      <c r="E397" s="903">
        <v>1</v>
      </c>
      <c r="F397" s="903" t="s">
        <v>966</v>
      </c>
      <c r="G397" s="903" t="s">
        <v>2459</v>
      </c>
      <c r="H397" s="905" t="s">
        <v>968</v>
      </c>
    </row>
    <row r="398" spans="1:8">
      <c r="A398" s="910" t="str">
        <f>Tabla1[[#This Row],[Codigo articulo]]</f>
        <v>k12-12</v>
      </c>
      <c r="B398" s="907" t="s">
        <v>969</v>
      </c>
      <c r="C398" s="903">
        <v>175</v>
      </c>
      <c r="D398" s="903" t="s">
        <v>2450</v>
      </c>
      <c r="E398" s="903">
        <v>1</v>
      </c>
      <c r="F398" s="903" t="s">
        <v>966</v>
      </c>
      <c r="G398" s="903" t="s">
        <v>2459</v>
      </c>
      <c r="H398" s="903" t="s">
        <v>970</v>
      </c>
    </row>
    <row r="399" spans="1:8">
      <c r="A399" s="910" t="str">
        <f>Tabla1[[#This Row],[Codigo articulo]]</f>
        <v>k12-18</v>
      </c>
      <c r="B399" s="907" t="s">
        <v>971</v>
      </c>
      <c r="C399" s="903">
        <v>176</v>
      </c>
      <c r="D399" s="903" t="s">
        <v>2450</v>
      </c>
      <c r="E399" s="903">
        <v>1</v>
      </c>
      <c r="F399" s="903" t="s">
        <v>966</v>
      </c>
      <c r="G399" s="903" t="s">
        <v>2459</v>
      </c>
      <c r="H399" s="905" t="s">
        <v>972</v>
      </c>
    </row>
    <row r="400" spans="1:8">
      <c r="A400" s="910" t="str">
        <f>Tabla1[[#This Row],[Codigo articulo]]</f>
        <v>k12-26</v>
      </c>
      <c r="B400" s="907" t="s">
        <v>973</v>
      </c>
      <c r="C400" s="903">
        <v>177</v>
      </c>
      <c r="D400" s="903" t="s">
        <v>2450</v>
      </c>
      <c r="E400" s="903">
        <v>1</v>
      </c>
      <c r="F400" s="903" t="s">
        <v>966</v>
      </c>
      <c r="G400" s="903" t="s">
        <v>2459</v>
      </c>
      <c r="H400" s="903" t="s">
        <v>974</v>
      </c>
    </row>
    <row r="401" spans="1:8">
      <c r="A401" s="910" t="str">
        <f>Tabla1[[#This Row],[Codigo articulo]]</f>
        <v>A12-22</v>
      </c>
      <c r="B401" s="907" t="s">
        <v>993</v>
      </c>
      <c r="C401" s="903">
        <v>178</v>
      </c>
      <c r="D401" s="903" t="s">
        <v>2450</v>
      </c>
      <c r="E401" s="903">
        <v>1</v>
      </c>
      <c r="F401" s="903" t="s">
        <v>588</v>
      </c>
      <c r="G401" s="903" t="s">
        <v>2459</v>
      </c>
      <c r="H401" s="905" t="s">
        <v>994</v>
      </c>
    </row>
    <row r="402" spans="1:8">
      <c r="A402" s="910" t="str">
        <f>Tabla1[[#This Row],[Codigo articulo]]</f>
        <v>M12N5</v>
      </c>
      <c r="B402" s="907" t="s">
        <v>995</v>
      </c>
      <c r="C402" s="903">
        <v>179</v>
      </c>
      <c r="D402" s="903" t="s">
        <v>2450</v>
      </c>
      <c r="E402" s="903">
        <v>1</v>
      </c>
      <c r="F402" s="903" t="s">
        <v>772</v>
      </c>
      <c r="G402" s="903" t="s">
        <v>151</v>
      </c>
      <c r="H402" s="903" t="s">
        <v>996</v>
      </c>
    </row>
    <row r="403" spans="1:8">
      <c r="A403" s="910" t="str">
        <f>Tabla1[[#This Row],[Codigo articulo]]</f>
        <v>mytz12</v>
      </c>
      <c r="B403" s="907" t="s">
        <v>1002</v>
      </c>
      <c r="C403" s="903">
        <v>181</v>
      </c>
      <c r="D403" s="903" t="s">
        <v>2450</v>
      </c>
      <c r="E403" s="903">
        <v>1</v>
      </c>
      <c r="F403" s="903" t="s">
        <v>772</v>
      </c>
      <c r="G403" s="903" t="s">
        <v>151</v>
      </c>
      <c r="H403" s="905" t="s">
        <v>1003</v>
      </c>
    </row>
    <row r="404" spans="1:8">
      <c r="A404" s="910" t="str">
        <f>Tabla1[[#This Row],[Codigo articulo]]</f>
        <v>mytz14</v>
      </c>
      <c r="B404" s="907" t="s">
        <v>1004</v>
      </c>
      <c r="C404" s="903">
        <v>182</v>
      </c>
      <c r="D404" s="903" t="s">
        <v>2450</v>
      </c>
      <c r="E404" s="903">
        <v>1</v>
      </c>
      <c r="F404" s="903" t="s">
        <v>772</v>
      </c>
      <c r="G404" s="903" t="s">
        <v>151</v>
      </c>
      <c r="H404" s="903" t="s">
        <v>1005</v>
      </c>
    </row>
    <row r="405" spans="1:8">
      <c r="A405" s="910" t="str">
        <f>Tabla1[[#This Row],[Codigo articulo]]</f>
        <v>a12-12</v>
      </c>
      <c r="B405" s="907" t="s">
        <v>1006</v>
      </c>
      <c r="C405" s="903">
        <v>183</v>
      </c>
      <c r="D405" s="903" t="s">
        <v>2450</v>
      </c>
      <c r="E405" s="903">
        <v>1</v>
      </c>
      <c r="F405" s="903" t="s">
        <v>588</v>
      </c>
      <c r="G405" s="903" t="s">
        <v>2459</v>
      </c>
      <c r="H405" s="905" t="s">
        <v>1007</v>
      </c>
    </row>
    <row r="406" spans="1:8">
      <c r="A406" s="910" t="str">
        <f>Tabla1[[#This Row],[Codigo articulo]]</f>
        <v>a100</v>
      </c>
      <c r="B406" s="907" t="s">
        <v>1008</v>
      </c>
      <c r="C406" s="903">
        <v>184</v>
      </c>
      <c r="D406" s="903" t="s">
        <v>2450</v>
      </c>
      <c r="E406" s="903">
        <v>1</v>
      </c>
      <c r="F406" s="903" t="s">
        <v>588</v>
      </c>
      <c r="G406" s="903" t="s">
        <v>2458</v>
      </c>
      <c r="H406" s="903" t="s">
        <v>1009</v>
      </c>
    </row>
    <row r="407" spans="1:8">
      <c r="A407" s="910" t="str">
        <f>Tabla1[[#This Row],[Codigo articulo]]</f>
        <v>a120</v>
      </c>
      <c r="B407" s="907" t="s">
        <v>1010</v>
      </c>
      <c r="C407" s="903">
        <v>185</v>
      </c>
      <c r="D407" s="903" t="s">
        <v>2450</v>
      </c>
      <c r="E407" s="903">
        <v>1</v>
      </c>
      <c r="F407" s="903" t="s">
        <v>588</v>
      </c>
      <c r="G407" s="903" t="s">
        <v>1523</v>
      </c>
      <c r="H407" s="905" t="s">
        <v>1011</v>
      </c>
    </row>
    <row r="408" spans="1:8">
      <c r="A408" s="910" t="str">
        <f>Tabla1[[#This Row],[Codigo articulo]]</f>
        <v>a57efb</v>
      </c>
      <c r="B408" s="907" t="s">
        <v>984</v>
      </c>
      <c r="C408" s="903">
        <v>186</v>
      </c>
      <c r="D408" s="903" t="s">
        <v>2450</v>
      </c>
      <c r="E408" s="903">
        <v>1</v>
      </c>
      <c r="F408" s="903" t="s">
        <v>2457</v>
      </c>
      <c r="G408" s="903" t="s">
        <v>2452</v>
      </c>
      <c r="H408" s="903" t="s">
        <v>985</v>
      </c>
    </row>
    <row r="409" spans="1:8">
      <c r="A409" s="910" t="str">
        <f>Tabla1[[#This Row],[Codigo articulo]]</f>
        <v>a88efb</v>
      </c>
      <c r="B409" s="907" t="s">
        <v>986</v>
      </c>
      <c r="C409" s="903">
        <v>187</v>
      </c>
      <c r="D409" s="903" t="s">
        <v>2450</v>
      </c>
      <c r="E409" s="903">
        <v>1</v>
      </c>
      <c r="F409" s="903" t="s">
        <v>2457</v>
      </c>
      <c r="G409" s="903" t="s">
        <v>2452</v>
      </c>
      <c r="H409" s="905" t="s">
        <v>987</v>
      </c>
    </row>
    <row r="410" spans="1:8">
      <c r="A410" s="910" t="str">
        <f>Tabla1[[#This Row],[Codigo articulo]]</f>
        <v>12-17m</v>
      </c>
      <c r="B410" s="907" t="s">
        <v>989</v>
      </c>
      <c r="C410" s="903">
        <v>188</v>
      </c>
      <c r="D410" s="903" t="s">
        <v>2450</v>
      </c>
      <c r="E410" s="903">
        <v>1</v>
      </c>
      <c r="F410" s="903" t="s">
        <v>988</v>
      </c>
      <c r="G410" s="903" t="s">
        <v>2459</v>
      </c>
      <c r="H410" s="903" t="s">
        <v>990</v>
      </c>
    </row>
    <row r="411" spans="1:8">
      <c r="A411" s="910" t="str">
        <f>Tabla1[[#This Row],[Codigo articulo]]</f>
        <v>MF80CD</v>
      </c>
      <c r="B411" s="907" t="s">
        <v>1757</v>
      </c>
      <c r="C411" s="903">
        <v>191</v>
      </c>
      <c r="D411" s="903" t="s">
        <v>2450</v>
      </c>
      <c r="E411" s="903">
        <v>1</v>
      </c>
      <c r="F411" s="903" t="s">
        <v>308</v>
      </c>
      <c r="G411" s="903" t="s">
        <v>2452</v>
      </c>
      <c r="H411" s="905" t="s">
        <v>1446</v>
      </c>
    </row>
    <row r="412" spans="1:8">
      <c r="A412" s="910" t="str">
        <f>Tabla1[[#This Row],[Codigo articulo]]</f>
        <v>M28KD</v>
      </c>
      <c r="B412" s="907" t="s">
        <v>1766</v>
      </c>
      <c r="C412" s="903">
        <v>192</v>
      </c>
      <c r="D412" s="903" t="s">
        <v>2450</v>
      </c>
      <c r="E412" s="903">
        <v>1</v>
      </c>
      <c r="F412" s="903" t="s">
        <v>308</v>
      </c>
      <c r="G412" s="903" t="s">
        <v>2452</v>
      </c>
      <c r="H412" s="903" t="s">
        <v>1438</v>
      </c>
    </row>
    <row r="413" spans="1:8">
      <c r="A413" s="910" t="str">
        <f>Tabla1[[#This Row],[Codigo articulo]]</f>
        <v>ub930i</v>
      </c>
      <c r="B413" s="907" t="s">
        <v>1022</v>
      </c>
      <c r="C413" s="903">
        <v>193</v>
      </c>
      <c r="D413" s="903" t="s">
        <v>2450</v>
      </c>
      <c r="E413" s="903">
        <v>1</v>
      </c>
      <c r="F413" s="903" t="s">
        <v>651</v>
      </c>
      <c r="G413" s="903" t="s">
        <v>2452</v>
      </c>
      <c r="H413" s="905" t="s">
        <v>1023</v>
      </c>
    </row>
    <row r="414" spans="1:8">
      <c r="A414" s="910" t="str">
        <f>Tabla1[[#This Row],[Codigo articulo]]</f>
        <v>mytx7l</v>
      </c>
      <c r="B414" s="907" t="s">
        <v>1029</v>
      </c>
      <c r="C414" s="903">
        <v>194</v>
      </c>
      <c r="D414" s="903" t="s">
        <v>2450</v>
      </c>
      <c r="E414" s="903">
        <v>1</v>
      </c>
      <c r="F414" s="903" t="s">
        <v>772</v>
      </c>
      <c r="G414" s="903" t="s">
        <v>151</v>
      </c>
      <c r="H414" s="903" t="s">
        <v>1030</v>
      </c>
    </row>
    <row r="415" spans="1:8">
      <c r="A415" s="910" t="str">
        <f>Tabla1[[#This Row],[Codigo articulo]]</f>
        <v>MYTX12</v>
      </c>
      <c r="B415" s="907" t="s">
        <v>1031</v>
      </c>
      <c r="C415" s="903">
        <v>195</v>
      </c>
      <c r="D415" s="903" t="s">
        <v>2450</v>
      </c>
      <c r="E415" s="903">
        <v>1</v>
      </c>
      <c r="F415" s="903" t="s">
        <v>772</v>
      </c>
      <c r="G415" s="903" t="s">
        <v>151</v>
      </c>
      <c r="H415" s="905" t="s">
        <v>1032</v>
      </c>
    </row>
    <row r="416" spans="1:8">
      <c r="A416" s="910" t="str">
        <f>Tabla1[[#This Row],[Codigo articulo]]</f>
        <v>M22GI</v>
      </c>
      <c r="B416" s="907" t="s">
        <v>2465</v>
      </c>
      <c r="C416" s="903">
        <v>196</v>
      </c>
      <c r="D416" s="903" t="s">
        <v>2450</v>
      </c>
      <c r="E416" s="903">
        <v>1</v>
      </c>
      <c r="F416" s="903" t="s">
        <v>308</v>
      </c>
      <c r="G416" s="903" t="s">
        <v>2452</v>
      </c>
      <c r="H416" s="903" t="s">
        <v>1433</v>
      </c>
    </row>
    <row r="417" spans="1:8">
      <c r="A417" s="910" t="str">
        <f>Tabla1[[#This Row],[Codigo articulo]]</f>
        <v>m12n9</v>
      </c>
      <c r="B417" s="907" t="s">
        <v>1041</v>
      </c>
      <c r="C417" s="903">
        <v>197</v>
      </c>
      <c r="D417" s="903" t="s">
        <v>2450</v>
      </c>
      <c r="E417" s="903">
        <v>1</v>
      </c>
      <c r="F417" s="903" t="s">
        <v>772</v>
      </c>
      <c r="G417" s="903" t="s">
        <v>151</v>
      </c>
      <c r="H417" s="905" t="s">
        <v>1042</v>
      </c>
    </row>
    <row r="418" spans="1:8">
      <c r="A418" s="910" t="str">
        <f>Tabla1[[#This Row],[Codigo articulo]]</f>
        <v>m12n10</v>
      </c>
      <c r="B418" s="907" t="s">
        <v>1043</v>
      </c>
      <c r="C418" s="903">
        <v>198</v>
      </c>
      <c r="D418" s="903" t="s">
        <v>2450</v>
      </c>
      <c r="E418" s="903">
        <v>1</v>
      </c>
      <c r="F418" s="903" t="s">
        <v>772</v>
      </c>
      <c r="G418" s="903" t="s">
        <v>151</v>
      </c>
      <c r="H418" s="903" t="s">
        <v>1044</v>
      </c>
    </row>
    <row r="419" spans="1:8">
      <c r="A419" s="910" t="str">
        <f>Tabla1[[#This Row],[Codigo articulo]]</f>
        <v>myt12</v>
      </c>
      <c r="B419" s="907" t="s">
        <v>1045</v>
      </c>
      <c r="C419" s="903">
        <v>199</v>
      </c>
      <c r="D419" s="903" t="s">
        <v>2450</v>
      </c>
      <c r="E419" s="903">
        <v>1</v>
      </c>
      <c r="F419" s="903" t="s">
        <v>772</v>
      </c>
      <c r="G419" s="903" t="s">
        <v>151</v>
      </c>
      <c r="H419" s="905" t="s">
        <v>1046</v>
      </c>
    </row>
    <row r="420" spans="1:8">
      <c r="A420" s="910" t="str">
        <f>Tabla1[[#This Row],[Codigo articulo]]</f>
        <v>VA34JD</v>
      </c>
      <c r="B420" s="907" t="s">
        <v>2466</v>
      </c>
      <c r="C420" s="903">
        <v>532</v>
      </c>
      <c r="D420" s="903" t="s">
        <v>2450</v>
      </c>
      <c r="E420" s="903">
        <v>1</v>
      </c>
      <c r="F420" s="903" t="s">
        <v>521</v>
      </c>
      <c r="G420" s="903" t="s">
        <v>2452</v>
      </c>
      <c r="H420" s="903" t="s">
        <v>35</v>
      </c>
    </row>
    <row r="421" spans="1:8">
      <c r="A421" s="910" t="str">
        <f>Tabla1[[#This Row],[Codigo articulo]]</f>
        <v>YB5Y</v>
      </c>
      <c r="B421" s="907" t="s">
        <v>1320</v>
      </c>
      <c r="C421" s="903">
        <v>530</v>
      </c>
      <c r="D421" s="903" t="s">
        <v>2450</v>
      </c>
      <c r="E421" s="903">
        <v>1</v>
      </c>
      <c r="F421" s="903" t="s">
        <v>796</v>
      </c>
      <c r="G421" s="903" t="s">
        <v>151</v>
      </c>
      <c r="H421" s="905" t="s">
        <v>2467</v>
      </c>
    </row>
    <row r="422" spans="1:8">
      <c r="A422" s="910" t="str">
        <f>Tabla1[[#This Row],[Codigo articulo]]</f>
        <v>Y12N5.5</v>
      </c>
      <c r="B422" s="907" t="s">
        <v>2468</v>
      </c>
      <c r="C422" s="903">
        <v>449</v>
      </c>
      <c r="D422" s="903" t="s">
        <v>2450</v>
      </c>
      <c r="E422" s="903">
        <v>1</v>
      </c>
      <c r="F422" s="903" t="s">
        <v>796</v>
      </c>
      <c r="G422" s="903" t="s">
        <v>151</v>
      </c>
      <c r="H422" s="903" t="s">
        <v>2469</v>
      </c>
    </row>
    <row r="423" spans="1:8">
      <c r="A423" s="910" t="str">
        <f>Tabla1[[#This Row],[Codigo articulo]]</f>
        <v>MA5-D</v>
      </c>
      <c r="B423" s="907" t="s">
        <v>2470</v>
      </c>
      <c r="C423" s="903">
        <v>437</v>
      </c>
      <c r="D423" s="903" t="s">
        <v>2450</v>
      </c>
      <c r="E423" s="903">
        <v>1</v>
      </c>
      <c r="F423" s="903" t="s">
        <v>1196</v>
      </c>
      <c r="G423" s="903" t="s">
        <v>151</v>
      </c>
      <c r="H423" s="905" t="s">
        <v>338</v>
      </c>
    </row>
    <row r="424" spans="1:8">
      <c r="A424" s="910" t="str">
        <f>Tabla1[[#This Row],[Codigo articulo]]</f>
        <v>MA6-D</v>
      </c>
      <c r="B424" s="907" t="s">
        <v>2471</v>
      </c>
      <c r="C424" s="903">
        <v>438</v>
      </c>
      <c r="D424" s="903" t="s">
        <v>2450</v>
      </c>
      <c r="E424" s="903">
        <v>1</v>
      </c>
      <c r="F424" s="903" t="s">
        <v>1196</v>
      </c>
      <c r="G424" s="903" t="s">
        <v>151</v>
      </c>
      <c r="H424" s="903" t="s">
        <v>344</v>
      </c>
    </row>
    <row r="425" spans="1:8">
      <c r="A425" s="910" t="str">
        <f>Tabla1[[#This Row],[Codigo articulo]]</f>
        <v>6ML225</v>
      </c>
      <c r="B425" s="907" t="s">
        <v>2472</v>
      </c>
      <c r="C425" s="903">
        <v>439</v>
      </c>
      <c r="D425" s="903" t="s">
        <v>2450</v>
      </c>
      <c r="E425" s="903">
        <v>1</v>
      </c>
      <c r="F425" s="903" t="s">
        <v>1201</v>
      </c>
      <c r="G425" s="903" t="s">
        <v>1523</v>
      </c>
      <c r="H425" s="905" t="s">
        <v>1830</v>
      </c>
    </row>
    <row r="426" spans="1:8">
      <c r="A426" s="910" t="str">
        <f>Tabla1[[#This Row],[Codigo articulo]]</f>
        <v>UB740I</v>
      </c>
      <c r="B426" s="907" t="s">
        <v>666</v>
      </c>
      <c r="C426" s="903">
        <v>440</v>
      </c>
      <c r="D426" s="903" t="s">
        <v>2450</v>
      </c>
      <c r="E426" s="903">
        <v>1</v>
      </c>
      <c r="F426" s="903" t="s">
        <v>651</v>
      </c>
      <c r="G426" s="903" t="s">
        <v>2452</v>
      </c>
      <c r="H426" s="903" t="s">
        <v>667</v>
      </c>
    </row>
    <row r="427" spans="1:8">
      <c r="A427" s="910" t="str">
        <f>Tabla1[[#This Row],[Codigo articulo]]</f>
        <v>Y12N14</v>
      </c>
      <c r="B427" s="907" t="s">
        <v>1188</v>
      </c>
      <c r="C427" s="903">
        <v>421</v>
      </c>
      <c r="D427" s="903" t="s">
        <v>2450</v>
      </c>
      <c r="E427" s="903">
        <v>1</v>
      </c>
      <c r="F427" s="903" t="s">
        <v>796</v>
      </c>
      <c r="G427" s="903" t="s">
        <v>151</v>
      </c>
      <c r="H427" s="905" t="s">
        <v>1189</v>
      </c>
    </row>
    <row r="428" spans="1:8">
      <c r="A428" s="910" t="str">
        <f>Tabla1[[#This Row],[Codigo articulo]]</f>
        <v>M28KI</v>
      </c>
      <c r="B428" s="907" t="s">
        <v>1826</v>
      </c>
      <c r="C428" s="903">
        <v>431</v>
      </c>
      <c r="D428" s="903" t="s">
        <v>2450</v>
      </c>
      <c r="E428" s="903">
        <v>1</v>
      </c>
      <c r="F428" s="903" t="s">
        <v>308</v>
      </c>
      <c r="G428" s="903" t="s">
        <v>2452</v>
      </c>
      <c r="H428" s="903" t="s">
        <v>1827</v>
      </c>
    </row>
    <row r="429" spans="1:8">
      <c r="A429" s="910" t="str">
        <f>Tabla1[[#This Row],[Codigo articulo]]</f>
        <v>SCRAP</v>
      </c>
      <c r="B429" s="907" t="s">
        <v>2473</v>
      </c>
      <c r="C429" s="903">
        <v>432</v>
      </c>
      <c r="D429" s="903" t="s">
        <v>2450</v>
      </c>
      <c r="E429" s="903">
        <v>1</v>
      </c>
      <c r="F429" s="903" t="s">
        <v>2405</v>
      </c>
      <c r="G429" s="903" t="s">
        <v>2474</v>
      </c>
      <c r="H429" s="905" t="s">
        <v>2475</v>
      </c>
    </row>
    <row r="430" spans="1:8">
      <c r="A430" s="910" t="str">
        <f>Tabla1[[#This Row],[Codigo articulo]]</f>
        <v>M12N14</v>
      </c>
      <c r="B430" s="907" t="s">
        <v>1053</v>
      </c>
      <c r="C430" s="903">
        <v>315</v>
      </c>
      <c r="D430" s="903" t="s">
        <v>2450</v>
      </c>
      <c r="E430" s="903">
        <v>1</v>
      </c>
      <c r="F430" s="903" t="s">
        <v>772</v>
      </c>
      <c r="G430" s="903" t="s">
        <v>151</v>
      </c>
      <c r="H430" s="903" t="s">
        <v>1054</v>
      </c>
    </row>
    <row r="431" spans="1:8">
      <c r="A431" s="910" t="str">
        <f>Tabla1[[#This Row],[Codigo articulo]]</f>
        <v>GSCB12</v>
      </c>
      <c r="B431" s="907" t="s">
        <v>792</v>
      </c>
      <c r="C431" s="903">
        <v>383</v>
      </c>
      <c r="D431" s="903" t="s">
        <v>2450</v>
      </c>
      <c r="E431" s="903">
        <v>1</v>
      </c>
      <c r="F431" s="903" t="s">
        <v>1124</v>
      </c>
      <c r="G431" s="903" t="s">
        <v>151</v>
      </c>
      <c r="H431" s="905" t="s">
        <v>793</v>
      </c>
    </row>
    <row r="432" spans="1:8">
      <c r="A432" s="910" t="str">
        <f>Tabla1[[#This Row],[Codigo articulo]]</f>
        <v>12N5P</v>
      </c>
      <c r="B432" s="907" t="s">
        <v>1161</v>
      </c>
      <c r="C432" s="903">
        <v>405</v>
      </c>
      <c r="D432" s="903" t="s">
        <v>2450</v>
      </c>
      <c r="E432" s="903">
        <v>1</v>
      </c>
      <c r="F432" s="903" t="s">
        <v>254</v>
      </c>
      <c r="G432" s="903" t="s">
        <v>151</v>
      </c>
      <c r="H432" s="903" t="s">
        <v>1162</v>
      </c>
    </row>
    <row r="433" spans="1:8">
      <c r="A433" s="910" t="str">
        <f>Tabla1[[#This Row],[Codigo articulo]]</f>
        <v>YTX5P</v>
      </c>
      <c r="B433" s="907" t="s">
        <v>1175</v>
      </c>
      <c r="C433" s="903">
        <v>406</v>
      </c>
      <c r="D433" s="903" t="s">
        <v>2450</v>
      </c>
      <c r="E433" s="903">
        <v>1</v>
      </c>
      <c r="F433" s="903" t="s">
        <v>254</v>
      </c>
      <c r="G433" s="903" t="s">
        <v>151</v>
      </c>
      <c r="H433" s="905" t="s">
        <v>1176</v>
      </c>
    </row>
    <row r="434" spans="1:8">
      <c r="A434" s="910" t="str">
        <f>Tabla1[[#This Row],[Codigo articulo]]</f>
        <v>YTX7AP</v>
      </c>
      <c r="B434" s="907" t="s">
        <v>1177</v>
      </c>
      <c r="C434" s="903">
        <v>407</v>
      </c>
      <c r="D434" s="903" t="s">
        <v>2450</v>
      </c>
      <c r="E434" s="903">
        <v>1</v>
      </c>
      <c r="F434" s="903" t="s">
        <v>254</v>
      </c>
      <c r="G434" s="903" t="s">
        <v>151</v>
      </c>
      <c r="H434" s="903" t="s">
        <v>1178</v>
      </c>
    </row>
    <row r="435" spans="1:8">
      <c r="A435" s="910" t="str">
        <f>Tabla1[[#This Row],[Codigo articulo]]</f>
        <v>YTX7LP</v>
      </c>
      <c r="B435" s="907" t="s">
        <v>1179</v>
      </c>
      <c r="C435" s="903">
        <v>408</v>
      </c>
      <c r="D435" s="903" t="s">
        <v>2450</v>
      </c>
      <c r="E435" s="903">
        <v>1</v>
      </c>
      <c r="F435" s="903" t="s">
        <v>254</v>
      </c>
      <c r="G435" s="903" t="s">
        <v>151</v>
      </c>
      <c r="H435" s="905" t="s">
        <v>1180</v>
      </c>
    </row>
    <row r="436" spans="1:8">
      <c r="A436" s="910" t="str">
        <f>Tabla1[[#This Row],[Codigo articulo]]</f>
        <v>YTX9P</v>
      </c>
      <c r="B436" s="907" t="s">
        <v>1181</v>
      </c>
      <c r="C436" s="903">
        <v>409</v>
      </c>
      <c r="D436" s="903" t="s">
        <v>2450</v>
      </c>
      <c r="E436" s="903">
        <v>1</v>
      </c>
      <c r="F436" s="903" t="s">
        <v>254</v>
      </c>
      <c r="G436" s="903" t="s">
        <v>151</v>
      </c>
      <c r="H436" s="903" t="s">
        <v>1182</v>
      </c>
    </row>
    <row r="437" spans="1:8">
      <c r="A437" s="910" t="str">
        <f>Tabla1[[#This Row],[Codigo articulo]]</f>
        <v>YTX12P</v>
      </c>
      <c r="B437" s="907" t="s">
        <v>1169</v>
      </c>
      <c r="C437" s="903">
        <v>410</v>
      </c>
      <c r="D437" s="903" t="s">
        <v>2450</v>
      </c>
      <c r="E437" s="903">
        <v>1</v>
      </c>
      <c r="F437" s="903" t="s">
        <v>254</v>
      </c>
      <c r="G437" s="903" t="s">
        <v>151</v>
      </c>
      <c r="H437" s="905" t="s">
        <v>1170</v>
      </c>
    </row>
    <row r="438" spans="1:8">
      <c r="A438" s="910" t="str">
        <f>Tabla1[[#This Row],[Codigo articulo]]</f>
        <v>YTX14P</v>
      </c>
      <c r="B438" s="907" t="s">
        <v>1171</v>
      </c>
      <c r="C438" s="903">
        <v>411</v>
      </c>
      <c r="D438" s="903" t="s">
        <v>2450</v>
      </c>
      <c r="E438" s="903">
        <v>1</v>
      </c>
      <c r="F438" s="903" t="s">
        <v>254</v>
      </c>
      <c r="G438" s="903" t="s">
        <v>151</v>
      </c>
      <c r="H438" s="903" t="s">
        <v>1172</v>
      </c>
    </row>
    <row r="439" spans="1:8">
      <c r="A439" s="910" t="str">
        <f>Tabla1[[#This Row],[Codigo articulo]]</f>
        <v>YTX16P</v>
      </c>
      <c r="B439" s="907" t="s">
        <v>1173</v>
      </c>
      <c r="C439" s="903">
        <v>412</v>
      </c>
      <c r="D439" s="903" t="s">
        <v>2450</v>
      </c>
      <c r="E439" s="903">
        <v>1</v>
      </c>
      <c r="F439" s="903" t="s">
        <v>254</v>
      </c>
      <c r="G439" s="903" t="s">
        <v>151</v>
      </c>
      <c r="H439" s="905" t="s">
        <v>1174</v>
      </c>
    </row>
    <row r="440" spans="1:8">
      <c r="A440" s="910" t="str">
        <f>Tabla1[[#This Row],[Codigo articulo]]</f>
        <v>YT12P</v>
      </c>
      <c r="B440" s="907" t="s">
        <v>1167</v>
      </c>
      <c r="C440" s="903">
        <v>413</v>
      </c>
      <c r="D440" s="903" t="s">
        <v>2450</v>
      </c>
      <c r="E440" s="903">
        <v>1</v>
      </c>
      <c r="F440" s="903" t="s">
        <v>254</v>
      </c>
      <c r="G440" s="903" t="s">
        <v>151</v>
      </c>
      <c r="H440" s="903" t="s">
        <v>1168</v>
      </c>
    </row>
    <row r="441" spans="1:8">
      <c r="A441" s="910" t="str">
        <f>Tabla1[[#This Row],[Codigo articulo]]</f>
        <v>12N73AP</v>
      </c>
      <c r="B441" s="907" t="s">
        <v>1163</v>
      </c>
      <c r="C441" s="903">
        <v>414</v>
      </c>
      <c r="D441" s="903" t="s">
        <v>2450</v>
      </c>
      <c r="E441" s="903">
        <v>1</v>
      </c>
      <c r="F441" s="903" t="s">
        <v>254</v>
      </c>
      <c r="G441" s="903" t="s">
        <v>151</v>
      </c>
      <c r="H441" s="905" t="s">
        <v>1164</v>
      </c>
    </row>
    <row r="442" spans="1:8">
      <c r="A442" s="910" t="str">
        <f>Tabla1[[#This Row],[Codigo articulo]]</f>
        <v>12N9P</v>
      </c>
      <c r="B442" s="907" t="s">
        <v>1165</v>
      </c>
      <c r="C442" s="903">
        <v>415</v>
      </c>
      <c r="D442" s="903" t="s">
        <v>2450</v>
      </c>
      <c r="E442" s="903">
        <v>1</v>
      </c>
      <c r="F442" s="903" t="s">
        <v>254</v>
      </c>
      <c r="G442" s="903" t="s">
        <v>151</v>
      </c>
      <c r="H442" s="903" t="s">
        <v>1166</v>
      </c>
    </row>
    <row r="443" spans="1:8">
      <c r="A443" s="910" t="str">
        <f>Tabla1[[#This Row],[Codigo articulo]]</f>
        <v>CB12</v>
      </c>
      <c r="B443" s="907" t="s">
        <v>2476</v>
      </c>
      <c r="C443" s="903">
        <v>416</v>
      </c>
      <c r="D443" s="903" t="s">
        <v>2450</v>
      </c>
      <c r="E443" s="903">
        <v>1</v>
      </c>
      <c r="F443" s="903" t="s">
        <v>1124</v>
      </c>
      <c r="G443" s="903" t="s">
        <v>151</v>
      </c>
      <c r="H443" s="905" t="s">
        <v>2477</v>
      </c>
    </row>
    <row r="444" spans="1:8">
      <c r="A444" s="910" t="str">
        <f>Tabla1[[#This Row],[Codigo articulo]]</f>
        <v>KG12V7</v>
      </c>
      <c r="B444" s="907" t="s">
        <v>1155</v>
      </c>
      <c r="C444" s="903">
        <v>417</v>
      </c>
      <c r="D444" s="903" t="s">
        <v>2450</v>
      </c>
      <c r="E444" s="903">
        <v>1</v>
      </c>
      <c r="F444" s="903" t="s">
        <v>307</v>
      </c>
      <c r="G444" s="903" t="s">
        <v>151</v>
      </c>
      <c r="H444" s="903" t="s">
        <v>1156</v>
      </c>
    </row>
    <row r="445" spans="1:8">
      <c r="A445" s="910" t="str">
        <f>Tabla1[[#This Row],[Codigo articulo]]</f>
        <v>YYB16</v>
      </c>
      <c r="B445" s="907" t="s">
        <v>1152</v>
      </c>
      <c r="C445" s="903">
        <v>400</v>
      </c>
      <c r="D445" s="903" t="s">
        <v>2450</v>
      </c>
      <c r="E445" s="903">
        <v>1</v>
      </c>
      <c r="F445" s="903" t="s">
        <v>796</v>
      </c>
      <c r="G445" s="903" t="s">
        <v>151</v>
      </c>
      <c r="H445" s="905" t="s">
        <v>1153</v>
      </c>
    </row>
    <row r="446" spans="1:8">
      <c r="A446" s="910" t="str">
        <f>Tabla1[[#This Row],[Codigo articulo]]</f>
        <v>12N24EL</v>
      </c>
      <c r="B446" s="907" t="s">
        <v>2478</v>
      </c>
      <c r="C446" s="903">
        <v>401</v>
      </c>
      <c r="D446" s="903" t="s">
        <v>2450</v>
      </c>
      <c r="E446" s="903">
        <v>1</v>
      </c>
      <c r="F446" s="903" t="s">
        <v>75</v>
      </c>
      <c r="G446" s="903" t="s">
        <v>151</v>
      </c>
      <c r="H446" s="903" t="s">
        <v>1149</v>
      </c>
    </row>
    <row r="447" spans="1:8">
      <c r="A447" s="910" t="str">
        <f>Tabla1[[#This Row],[Codigo articulo]]</f>
        <v>12N74BEL</v>
      </c>
      <c r="B447" s="907" t="s">
        <v>1150</v>
      </c>
      <c r="C447" s="903">
        <v>402</v>
      </c>
      <c r="D447" s="903" t="s">
        <v>2450</v>
      </c>
      <c r="E447" s="903">
        <v>1</v>
      </c>
      <c r="F447" s="903" t="s">
        <v>75</v>
      </c>
      <c r="G447" s="903" t="s">
        <v>151</v>
      </c>
      <c r="H447" s="905" t="s">
        <v>1151</v>
      </c>
    </row>
    <row r="448" spans="1:8">
      <c r="A448" s="910" t="str">
        <f>Tabla1[[#This Row],[Codigo articulo]]</f>
        <v>12N14EL</v>
      </c>
      <c r="B448" s="907" t="s">
        <v>1146</v>
      </c>
      <c r="C448" s="903">
        <v>403</v>
      </c>
      <c r="D448" s="903" t="s">
        <v>2450</v>
      </c>
      <c r="E448" s="903">
        <v>1</v>
      </c>
      <c r="F448" s="903" t="s">
        <v>75</v>
      </c>
      <c r="G448" s="903" t="s">
        <v>151</v>
      </c>
      <c r="H448" s="903" t="s">
        <v>1147</v>
      </c>
    </row>
    <row r="449" spans="1:8">
      <c r="A449" s="910" t="str">
        <f>Tabla1[[#This Row],[Codigo articulo]]</f>
        <v>VFB72PD</v>
      </c>
      <c r="B449" s="907" t="s">
        <v>1787</v>
      </c>
      <c r="C449" s="903">
        <v>387</v>
      </c>
      <c r="D449" s="903" t="s">
        <v>2450</v>
      </c>
      <c r="E449" s="903">
        <v>1</v>
      </c>
      <c r="F449" s="903" t="s">
        <v>521</v>
      </c>
      <c r="G449" s="903" t="s">
        <v>2452</v>
      </c>
      <c r="H449" s="905" t="s">
        <v>61</v>
      </c>
    </row>
    <row r="450" spans="1:8">
      <c r="A450" s="910" t="str">
        <f>Tabla1[[#This Row],[Codigo articulo]]</f>
        <v>KYTX7L</v>
      </c>
      <c r="B450" s="907" t="s">
        <v>1138</v>
      </c>
      <c r="C450" s="903">
        <v>388</v>
      </c>
      <c r="D450" s="903" t="s">
        <v>2450</v>
      </c>
      <c r="E450" s="903">
        <v>1</v>
      </c>
      <c r="F450" s="903" t="s">
        <v>307</v>
      </c>
      <c r="G450" s="903" t="s">
        <v>151</v>
      </c>
      <c r="H450" s="903" t="s">
        <v>1139</v>
      </c>
    </row>
    <row r="451" spans="1:8">
      <c r="A451" s="910" t="str">
        <f>Tabla1[[#This Row],[Codigo articulo]]</f>
        <v>KYTX7A</v>
      </c>
      <c r="B451" s="907" t="s">
        <v>1136</v>
      </c>
      <c r="C451" s="903">
        <v>389</v>
      </c>
      <c r="D451" s="903" t="s">
        <v>2450</v>
      </c>
      <c r="E451" s="903">
        <v>1</v>
      </c>
      <c r="F451" s="903" t="s">
        <v>307</v>
      </c>
      <c r="G451" s="903" t="s">
        <v>151</v>
      </c>
      <c r="H451" s="905" t="s">
        <v>1137</v>
      </c>
    </row>
    <row r="452" spans="1:8">
      <c r="A452" s="910" t="str">
        <f>Tabla1[[#This Row],[Codigo articulo]]</f>
        <v>KYTX9</v>
      </c>
      <c r="B452" s="907" t="s">
        <v>1140</v>
      </c>
      <c r="C452" s="903">
        <v>390</v>
      </c>
      <c r="D452" s="903" t="s">
        <v>2450</v>
      </c>
      <c r="E452" s="903">
        <v>1</v>
      </c>
      <c r="F452" s="903" t="s">
        <v>307</v>
      </c>
      <c r="G452" s="903" t="s">
        <v>151</v>
      </c>
      <c r="H452" s="903" t="s">
        <v>1141</v>
      </c>
    </row>
    <row r="453" spans="1:8">
      <c r="A453" s="910" t="str">
        <f>Tabla1[[#This Row],[Codigo articulo]]</f>
        <v>K12N5</v>
      </c>
      <c r="B453" s="907" t="s">
        <v>1127</v>
      </c>
      <c r="C453" s="903">
        <v>391</v>
      </c>
      <c r="D453" s="903" t="s">
        <v>2450</v>
      </c>
      <c r="E453" s="903">
        <v>1</v>
      </c>
      <c r="F453" s="903" t="s">
        <v>307</v>
      </c>
      <c r="G453" s="903" t="s">
        <v>151</v>
      </c>
      <c r="H453" s="905" t="s">
        <v>1128</v>
      </c>
    </row>
    <row r="454" spans="1:8">
      <c r="A454" s="910" t="str">
        <f>Tabla1[[#This Row],[Codigo articulo]]</f>
        <v>KG7D</v>
      </c>
      <c r="B454" s="907" t="s">
        <v>1131</v>
      </c>
      <c r="C454" s="903">
        <v>392</v>
      </c>
      <c r="D454" s="903" t="s">
        <v>2450</v>
      </c>
      <c r="E454" s="903">
        <v>1</v>
      </c>
      <c r="F454" s="903" t="s">
        <v>307</v>
      </c>
      <c r="G454" s="903" t="s">
        <v>151</v>
      </c>
      <c r="H454" s="903" t="s">
        <v>320</v>
      </c>
    </row>
    <row r="455" spans="1:8">
      <c r="A455" s="910" t="str">
        <f>Tabla1[[#This Row],[Codigo articulo]]</f>
        <v>K12V9</v>
      </c>
      <c r="B455" s="907" t="s">
        <v>1134</v>
      </c>
      <c r="C455" s="903">
        <v>393</v>
      </c>
      <c r="D455" s="903" t="s">
        <v>2450</v>
      </c>
      <c r="E455" s="903">
        <v>1</v>
      </c>
      <c r="F455" s="903" t="s">
        <v>307</v>
      </c>
      <c r="G455" s="903" t="s">
        <v>151</v>
      </c>
      <c r="H455" s="905" t="s">
        <v>1135</v>
      </c>
    </row>
    <row r="456" spans="1:8">
      <c r="A456" s="910" t="str">
        <f>Tabla1[[#This Row],[Codigo articulo]]</f>
        <v>KG7S</v>
      </c>
      <c r="B456" s="907" t="s">
        <v>2479</v>
      </c>
      <c r="C456" s="903">
        <v>394</v>
      </c>
      <c r="D456" s="903" t="s">
        <v>2450</v>
      </c>
      <c r="E456" s="903">
        <v>1</v>
      </c>
      <c r="F456" s="903" t="s">
        <v>307</v>
      </c>
      <c r="G456" s="903" t="s">
        <v>151</v>
      </c>
      <c r="H456" s="903" t="s">
        <v>1133</v>
      </c>
    </row>
    <row r="457" spans="1:8">
      <c r="A457" s="910" t="str">
        <f>Tabla1[[#This Row],[Codigo articulo]]</f>
        <v>KG6.5</v>
      </c>
      <c r="B457" s="907" t="s">
        <v>1129</v>
      </c>
      <c r="C457" s="903">
        <v>395</v>
      </c>
      <c r="D457" s="903" t="s">
        <v>2450</v>
      </c>
      <c r="E457" s="903">
        <v>1</v>
      </c>
      <c r="F457" s="903" t="s">
        <v>307</v>
      </c>
      <c r="G457" s="903" t="s">
        <v>151</v>
      </c>
      <c r="H457" s="905" t="s">
        <v>1130</v>
      </c>
    </row>
    <row r="458" spans="1:8">
      <c r="A458" s="910" t="str">
        <f>Tabla1[[#This Row],[Codigo articulo]]</f>
        <v>MA3-AD</v>
      </c>
      <c r="B458" s="907" t="s">
        <v>1329</v>
      </c>
      <c r="C458" s="903">
        <v>541</v>
      </c>
      <c r="D458" s="903" t="s">
        <v>2450</v>
      </c>
      <c r="E458" s="903">
        <v>1</v>
      </c>
      <c r="F458" s="903" t="s">
        <v>1196</v>
      </c>
      <c r="G458" s="903" t="s">
        <v>151</v>
      </c>
      <c r="H458" s="903" t="s">
        <v>1330</v>
      </c>
    </row>
    <row r="459" spans="1:8">
      <c r="A459" s="910" t="str">
        <f>Tabla1[[#This Row],[Codigo articulo]]</f>
        <v>MA5-AD</v>
      </c>
      <c r="B459" s="907" t="s">
        <v>1331</v>
      </c>
      <c r="C459" s="903">
        <v>542</v>
      </c>
      <c r="D459" s="903" t="s">
        <v>2450</v>
      </c>
      <c r="E459" s="903">
        <v>1</v>
      </c>
      <c r="F459" s="903" t="s">
        <v>1196</v>
      </c>
      <c r="G459" s="903" t="s">
        <v>151</v>
      </c>
      <c r="H459" s="905" t="s">
        <v>1332</v>
      </c>
    </row>
    <row r="460" spans="1:8">
      <c r="A460" s="910" t="str">
        <f>Tabla1[[#This Row],[Codigo articulo]]</f>
        <v>MA6-I</v>
      </c>
      <c r="B460" s="907" t="s">
        <v>1333</v>
      </c>
      <c r="C460" s="903">
        <v>543</v>
      </c>
      <c r="D460" s="903" t="s">
        <v>2450</v>
      </c>
      <c r="E460" s="903">
        <v>1</v>
      </c>
      <c r="F460" s="903" t="s">
        <v>1196</v>
      </c>
      <c r="G460" s="903" t="s">
        <v>151</v>
      </c>
      <c r="H460" s="903" t="s">
        <v>1334</v>
      </c>
    </row>
    <row r="461" spans="1:8">
      <c r="A461" s="910" t="str">
        <f>Tabla1[[#This Row],[Codigo articulo]]</f>
        <v>MA8-I</v>
      </c>
      <c r="B461" s="907" t="s">
        <v>1335</v>
      </c>
      <c r="C461" s="903">
        <v>544</v>
      </c>
      <c r="D461" s="903" t="s">
        <v>2450</v>
      </c>
      <c r="E461" s="903">
        <v>1</v>
      </c>
      <c r="F461" s="903" t="s">
        <v>1196</v>
      </c>
      <c r="G461" s="903" t="s">
        <v>151</v>
      </c>
      <c r="H461" s="905" t="s">
        <v>1336</v>
      </c>
    </row>
    <row r="462" spans="1:8">
      <c r="A462" s="910" t="str">
        <f>Tabla1[[#This Row],[Codigo articulo]]</f>
        <v>UB550</v>
      </c>
      <c r="B462" s="907" t="s">
        <v>1327</v>
      </c>
      <c r="C462" s="903">
        <v>454</v>
      </c>
      <c r="D462" s="903" t="s">
        <v>2450</v>
      </c>
      <c r="E462" s="903">
        <v>1</v>
      </c>
      <c r="F462" s="903" t="s">
        <v>651</v>
      </c>
      <c r="G462" s="903" t="s">
        <v>2452</v>
      </c>
      <c r="H462" s="903" t="s">
        <v>1328</v>
      </c>
    </row>
    <row r="463" spans="1:8">
      <c r="A463" s="910" t="str">
        <f>Tabla1[[#This Row],[Codigo articulo]]</f>
        <v>L88EFB</v>
      </c>
      <c r="B463" s="907" t="s">
        <v>2480</v>
      </c>
      <c r="C463" s="903">
        <v>452</v>
      </c>
      <c r="D463" s="903" t="s">
        <v>2450</v>
      </c>
      <c r="E463" s="903">
        <v>1</v>
      </c>
      <c r="F463" s="903" t="s">
        <v>2457</v>
      </c>
      <c r="G463" s="903" t="s">
        <v>2452</v>
      </c>
      <c r="H463" s="905" t="s">
        <v>2481</v>
      </c>
    </row>
    <row r="464" spans="1:8">
      <c r="A464" s="910" t="str">
        <f>Tabla1[[#This Row],[Codigo articulo]]</f>
        <v>YB5N</v>
      </c>
      <c r="B464" s="907" t="s">
        <v>1278</v>
      </c>
      <c r="C464" s="903">
        <v>508</v>
      </c>
      <c r="D464" s="903" t="s">
        <v>2450</v>
      </c>
      <c r="E464" s="903">
        <v>1</v>
      </c>
      <c r="F464" s="903" t="s">
        <v>1277</v>
      </c>
      <c r="G464" s="903" t="s">
        <v>151</v>
      </c>
      <c r="H464" s="903" t="s">
        <v>2482</v>
      </c>
    </row>
    <row r="465" spans="1:8">
      <c r="A465" s="910" t="str">
        <f>Tabla1[[#This Row],[Codigo articulo]]</f>
        <v>YB7AN</v>
      </c>
      <c r="B465" s="907" t="s">
        <v>1280</v>
      </c>
      <c r="C465" s="903">
        <v>509</v>
      </c>
      <c r="D465" s="903" t="s">
        <v>2450</v>
      </c>
      <c r="E465" s="903">
        <v>1</v>
      </c>
      <c r="F465" s="903" t="s">
        <v>1277</v>
      </c>
      <c r="G465" s="903" t="s">
        <v>151</v>
      </c>
      <c r="H465" s="905" t="s">
        <v>2483</v>
      </c>
    </row>
    <row r="466" spans="1:8">
      <c r="A466" s="910" t="str">
        <f>Tabla1[[#This Row],[Codigo articulo]]</f>
        <v>YB7BN</v>
      </c>
      <c r="B466" s="907" t="s">
        <v>1282</v>
      </c>
      <c r="C466" s="903">
        <v>510</v>
      </c>
      <c r="D466" s="903" t="s">
        <v>2450</v>
      </c>
      <c r="E466" s="903">
        <v>1</v>
      </c>
      <c r="F466" s="903" t="s">
        <v>1277</v>
      </c>
      <c r="G466" s="903" t="s">
        <v>151</v>
      </c>
      <c r="H466" s="903" t="s">
        <v>2484</v>
      </c>
    </row>
    <row r="467" spans="1:8">
      <c r="A467" s="910" t="str">
        <f>Tabla1[[#This Row],[Codigo articulo]]</f>
        <v>YB9N</v>
      </c>
      <c r="B467" s="907" t="s">
        <v>1284</v>
      </c>
      <c r="C467" s="903">
        <v>511</v>
      </c>
      <c r="D467" s="903" t="s">
        <v>2450</v>
      </c>
      <c r="E467" s="903">
        <v>1</v>
      </c>
      <c r="F467" s="903" t="s">
        <v>1277</v>
      </c>
      <c r="G467" s="903" t="s">
        <v>151</v>
      </c>
      <c r="H467" s="905" t="s">
        <v>2485</v>
      </c>
    </row>
    <row r="468" spans="1:8">
      <c r="A468" s="910" t="str">
        <f>Tabla1[[#This Row],[Codigo articulo]]</f>
        <v>YB10N</v>
      </c>
      <c r="B468" s="907" t="s">
        <v>1286</v>
      </c>
      <c r="C468" s="903">
        <v>512</v>
      </c>
      <c r="D468" s="903" t="s">
        <v>2450</v>
      </c>
      <c r="E468" s="903">
        <v>1</v>
      </c>
      <c r="F468" s="903" t="s">
        <v>1277</v>
      </c>
      <c r="G468" s="903" t="s">
        <v>151</v>
      </c>
      <c r="H468" s="903" t="s">
        <v>2486</v>
      </c>
    </row>
    <row r="469" spans="1:8">
      <c r="A469" s="910" t="str">
        <f>Tabla1[[#This Row],[Codigo articulo]]</f>
        <v>YB12N</v>
      </c>
      <c r="B469" s="907" t="s">
        <v>1288</v>
      </c>
      <c r="C469" s="903">
        <v>513</v>
      </c>
      <c r="D469" s="903" t="s">
        <v>2450</v>
      </c>
      <c r="E469" s="903">
        <v>1</v>
      </c>
      <c r="F469" s="903" t="s">
        <v>1277</v>
      </c>
      <c r="G469" s="903" t="s">
        <v>151</v>
      </c>
      <c r="H469" s="905" t="s">
        <v>2487</v>
      </c>
    </row>
    <row r="470" spans="1:8">
      <c r="A470" s="910" t="str">
        <f>Tabla1[[#This Row],[Codigo articulo]]</f>
        <v>YB14N</v>
      </c>
      <c r="B470" s="907" t="s">
        <v>1290</v>
      </c>
      <c r="C470" s="903">
        <v>514</v>
      </c>
      <c r="D470" s="903" t="s">
        <v>2450</v>
      </c>
      <c r="E470" s="903">
        <v>1</v>
      </c>
      <c r="F470" s="903" t="s">
        <v>1277</v>
      </c>
      <c r="G470" s="903" t="s">
        <v>151</v>
      </c>
      <c r="H470" s="903" t="s">
        <v>2488</v>
      </c>
    </row>
    <row r="471" spans="1:8">
      <c r="A471" s="910" t="str">
        <f>Tabla1[[#This Row],[Codigo articulo]]</f>
        <v>YTX19N</v>
      </c>
      <c r="B471" s="907" t="s">
        <v>1292</v>
      </c>
      <c r="C471" s="903">
        <v>515</v>
      </c>
      <c r="D471" s="903" t="s">
        <v>2450</v>
      </c>
      <c r="E471" s="903">
        <v>1</v>
      </c>
      <c r="F471" s="903" t="s">
        <v>1277</v>
      </c>
      <c r="G471" s="903" t="s">
        <v>151</v>
      </c>
      <c r="H471" s="905" t="s">
        <v>2489</v>
      </c>
    </row>
    <row r="472" spans="1:8">
      <c r="A472" s="910" t="str">
        <f>Tabla1[[#This Row],[Codigo articulo]]</f>
        <v>YTX4N</v>
      </c>
      <c r="B472" s="907" t="s">
        <v>1294</v>
      </c>
      <c r="C472" s="903">
        <v>516</v>
      </c>
      <c r="D472" s="903" t="s">
        <v>2450</v>
      </c>
      <c r="E472" s="903">
        <v>1</v>
      </c>
      <c r="F472" s="903" t="s">
        <v>1277</v>
      </c>
      <c r="G472" s="903" t="s">
        <v>151</v>
      </c>
      <c r="H472" s="903" t="s">
        <v>2490</v>
      </c>
    </row>
    <row r="473" spans="1:8">
      <c r="A473" s="910" t="str">
        <f>Tabla1[[#This Row],[Codigo articulo]]</f>
        <v>YTX5N</v>
      </c>
      <c r="B473" s="907" t="s">
        <v>1296</v>
      </c>
      <c r="C473" s="903">
        <v>517</v>
      </c>
      <c r="D473" s="903" t="s">
        <v>2450</v>
      </c>
      <c r="E473" s="903">
        <v>1</v>
      </c>
      <c r="F473" s="903" t="s">
        <v>1277</v>
      </c>
      <c r="G473" s="903" t="s">
        <v>151</v>
      </c>
      <c r="H473" s="905" t="s">
        <v>2491</v>
      </c>
    </row>
    <row r="474" spans="1:8">
      <c r="A474" s="910" t="str">
        <f>Tabla1[[#This Row],[Codigo articulo]]</f>
        <v>YTX6.5N</v>
      </c>
      <c r="B474" s="907" t="s">
        <v>1298</v>
      </c>
      <c r="C474" s="903">
        <v>518</v>
      </c>
      <c r="D474" s="903" t="s">
        <v>2450</v>
      </c>
      <c r="E474" s="903">
        <v>1</v>
      </c>
      <c r="F474" s="903" t="s">
        <v>1277</v>
      </c>
      <c r="G474" s="903" t="s">
        <v>151</v>
      </c>
      <c r="H474" s="903" t="s">
        <v>2492</v>
      </c>
    </row>
    <row r="475" spans="1:8">
      <c r="A475" s="910" t="str">
        <f>Tabla1[[#This Row],[Codigo articulo]]</f>
        <v>YTX7LN</v>
      </c>
      <c r="B475" s="907" t="s">
        <v>1300</v>
      </c>
      <c r="C475" s="903">
        <v>519</v>
      </c>
      <c r="D475" s="903" t="s">
        <v>2450</v>
      </c>
      <c r="E475" s="903">
        <v>1</v>
      </c>
      <c r="F475" s="903" t="s">
        <v>1277</v>
      </c>
      <c r="G475" s="903" t="s">
        <v>151</v>
      </c>
      <c r="H475" s="905" t="s">
        <v>2493</v>
      </c>
    </row>
    <row r="476" spans="1:8">
      <c r="A476" s="910" t="str">
        <f>Tabla1[[#This Row],[Codigo articulo]]</f>
        <v>YTZ10N</v>
      </c>
      <c r="B476" s="907" t="s">
        <v>1302</v>
      </c>
      <c r="C476" s="903">
        <v>520</v>
      </c>
      <c r="D476" s="903" t="s">
        <v>2450</v>
      </c>
      <c r="E476" s="903">
        <v>1</v>
      </c>
      <c r="F476" s="903" t="s">
        <v>1277</v>
      </c>
      <c r="G476" s="903" t="s">
        <v>151</v>
      </c>
      <c r="H476" s="903" t="s">
        <v>2494</v>
      </c>
    </row>
    <row r="477" spans="1:8">
      <c r="A477" s="910" t="str">
        <f>Tabla1[[#This Row],[Codigo articulo]]</f>
        <v>YTX9N</v>
      </c>
      <c r="B477" s="907" t="s">
        <v>2495</v>
      </c>
      <c r="C477" s="903">
        <v>521</v>
      </c>
      <c r="D477" s="903" t="s">
        <v>2450</v>
      </c>
      <c r="E477" s="903">
        <v>1</v>
      </c>
      <c r="F477" s="903" t="s">
        <v>1277</v>
      </c>
      <c r="G477" s="903" t="s">
        <v>151</v>
      </c>
      <c r="H477" s="905" t="s">
        <v>2496</v>
      </c>
    </row>
    <row r="478" spans="1:8">
      <c r="A478" s="910" t="str">
        <f>Tabla1[[#This Row],[Codigo articulo]]</f>
        <v>YTX12N</v>
      </c>
      <c r="B478" s="907" t="s">
        <v>2497</v>
      </c>
      <c r="C478" s="903">
        <v>522</v>
      </c>
      <c r="D478" s="903" t="s">
        <v>2450</v>
      </c>
      <c r="E478" s="903">
        <v>1</v>
      </c>
      <c r="F478" s="903" t="s">
        <v>1277</v>
      </c>
      <c r="G478" s="903" t="s">
        <v>151</v>
      </c>
      <c r="H478" s="903" t="s">
        <v>2498</v>
      </c>
    </row>
    <row r="479" spans="1:8">
      <c r="A479" s="910" t="str">
        <f>Tabla1[[#This Row],[Codigo articulo]]</f>
        <v>YTX14N</v>
      </c>
      <c r="B479" s="907" t="s">
        <v>2499</v>
      </c>
      <c r="C479" s="903">
        <v>523</v>
      </c>
      <c r="D479" s="903" t="s">
        <v>2450</v>
      </c>
      <c r="E479" s="903">
        <v>1</v>
      </c>
      <c r="F479" s="903" t="s">
        <v>1277</v>
      </c>
      <c r="G479" s="903" t="s">
        <v>151</v>
      </c>
      <c r="H479" s="905" t="s">
        <v>2500</v>
      </c>
    </row>
    <row r="480" spans="1:8">
      <c r="A480" s="910" t="str">
        <f>Tabla1[[#This Row],[Codigo articulo]]</f>
        <v>YTX20N</v>
      </c>
      <c r="B480" s="907" t="s">
        <v>2501</v>
      </c>
      <c r="C480" s="903">
        <v>524</v>
      </c>
      <c r="D480" s="903" t="s">
        <v>2450</v>
      </c>
      <c r="E480" s="903">
        <v>1</v>
      </c>
      <c r="F480" s="903" t="s">
        <v>1277</v>
      </c>
      <c r="G480" s="903" t="s">
        <v>151</v>
      </c>
      <c r="H480" s="903" t="s">
        <v>2502</v>
      </c>
    </row>
    <row r="481" spans="1:8">
      <c r="A481" s="910" t="str">
        <f>Tabla1[[#This Row],[Codigo articulo]]</f>
        <v>YTZ7N</v>
      </c>
      <c r="B481" s="907" t="s">
        <v>1312</v>
      </c>
      <c r="C481" s="903">
        <v>525</v>
      </c>
      <c r="D481" s="903" t="s">
        <v>2450</v>
      </c>
      <c r="E481" s="903">
        <v>1</v>
      </c>
      <c r="F481" s="903" t="s">
        <v>1277</v>
      </c>
      <c r="G481" s="903" t="s">
        <v>151</v>
      </c>
      <c r="H481" s="905" t="s">
        <v>2503</v>
      </c>
    </row>
    <row r="482" spans="1:8">
      <c r="A482" s="910" t="str">
        <f>Tabla1[[#This Row],[Codigo articulo]]</f>
        <v>YTZ12N</v>
      </c>
      <c r="B482" s="907" t="s">
        <v>1314</v>
      </c>
      <c r="C482" s="903">
        <v>526</v>
      </c>
      <c r="D482" s="903" t="s">
        <v>2450</v>
      </c>
      <c r="E482" s="903">
        <v>1</v>
      </c>
      <c r="F482" s="903" t="s">
        <v>1277</v>
      </c>
      <c r="G482" s="903" t="s">
        <v>151</v>
      </c>
      <c r="H482" s="903" t="s">
        <v>2504</v>
      </c>
    </row>
    <row r="483" spans="1:8">
      <c r="A483" s="910" t="str">
        <f>Tabla1[[#This Row],[Codigo articulo]]</f>
        <v>YTZ14N</v>
      </c>
      <c r="B483" s="907" t="s">
        <v>1316</v>
      </c>
      <c r="C483" s="903">
        <v>527</v>
      </c>
      <c r="D483" s="903" t="s">
        <v>2450</v>
      </c>
      <c r="E483" s="903">
        <v>1</v>
      </c>
      <c r="F483" s="903" t="s">
        <v>1277</v>
      </c>
      <c r="G483" s="903" t="s">
        <v>151</v>
      </c>
      <c r="H483" s="905" t="s">
        <v>2505</v>
      </c>
    </row>
    <row r="484" spans="1:8">
      <c r="A484" s="910" t="str">
        <f>Tabla1[[#This Row],[Codigo articulo]]</f>
        <v>YT12N</v>
      </c>
      <c r="B484" s="907" t="s">
        <v>1318</v>
      </c>
      <c r="C484" s="903">
        <v>528</v>
      </c>
      <c r="D484" s="903" t="s">
        <v>2450</v>
      </c>
      <c r="E484" s="903">
        <v>1</v>
      </c>
      <c r="F484" s="903" t="s">
        <v>1277</v>
      </c>
      <c r="G484" s="903" t="s">
        <v>151</v>
      </c>
      <c r="H484" s="903" t="s">
        <v>2506</v>
      </c>
    </row>
    <row r="485" spans="1:8">
      <c r="A485" s="910" t="str">
        <f>Tabla1[[#This Row],[Codigo articulo]]</f>
        <v>UB730EFB</v>
      </c>
      <c r="B485" s="907" t="s">
        <v>662</v>
      </c>
      <c r="C485" s="903">
        <v>499</v>
      </c>
      <c r="D485" s="903" t="s">
        <v>2450</v>
      </c>
      <c r="E485" s="903">
        <v>1</v>
      </c>
      <c r="F485" s="903" t="s">
        <v>651</v>
      </c>
      <c r="G485" s="903" t="s">
        <v>2452</v>
      </c>
      <c r="H485" s="905" t="s">
        <v>1676</v>
      </c>
    </row>
    <row r="486" spans="1:8">
      <c r="A486" s="910" t="str">
        <f>Tabla1[[#This Row],[Codigo articulo]]</f>
        <v>UB840EFB</v>
      </c>
      <c r="B486" s="907" t="s">
        <v>672</v>
      </c>
      <c r="C486" s="903">
        <v>500</v>
      </c>
      <c r="D486" s="903" t="s">
        <v>2450</v>
      </c>
      <c r="E486" s="903">
        <v>1</v>
      </c>
      <c r="F486" s="903" t="s">
        <v>651</v>
      </c>
      <c r="G486" s="903" t="s">
        <v>2452</v>
      </c>
      <c r="H486" s="903" t="s">
        <v>1680</v>
      </c>
    </row>
    <row r="487" spans="1:8">
      <c r="A487" s="910" t="str">
        <f>Tabla1[[#This Row],[Codigo articulo]]</f>
        <v>DESCUENTO</v>
      </c>
      <c r="B487" s="907" t="s">
        <v>2507</v>
      </c>
      <c r="C487" s="903">
        <v>348</v>
      </c>
      <c r="D487" s="903" t="s">
        <v>2507</v>
      </c>
      <c r="E487" s="903">
        <v>4</v>
      </c>
      <c r="F487" s="903" t="s">
        <v>2405</v>
      </c>
      <c r="G487" s="903" t="s">
        <v>2406</v>
      </c>
      <c r="H487" s="905" t="s">
        <v>2507</v>
      </c>
    </row>
    <row r="488" spans="1:8">
      <c r="A488" s="910" t="str">
        <f>Tabla1[[#This Row],[Codigo articulo]]</f>
        <v>INSUMOS MODELOS</v>
      </c>
      <c r="B488" s="907" t="s">
        <v>2508</v>
      </c>
      <c r="C488" s="903">
        <v>372</v>
      </c>
      <c r="D488" s="903" t="s">
        <v>2509</v>
      </c>
      <c r="E488" s="903">
        <v>3</v>
      </c>
      <c r="F488" s="903" t="s">
        <v>2405</v>
      </c>
      <c r="G488" s="903" t="s">
        <v>2435</v>
      </c>
      <c r="H488" s="903" t="s">
        <v>2510</v>
      </c>
    </row>
    <row r="489" spans="1:8">
      <c r="A489" s="910">
        <f>Tabla1[[#This Row],[Codigo articulo]]</f>
        <v>100021</v>
      </c>
      <c r="B489" s="907" t="s">
        <v>2511</v>
      </c>
      <c r="C489" s="903">
        <v>294</v>
      </c>
      <c r="D489" s="903" t="s">
        <v>2509</v>
      </c>
      <c r="E489" s="903">
        <v>3</v>
      </c>
      <c r="F489" s="903" t="s">
        <v>2405</v>
      </c>
      <c r="G489" s="903" t="s">
        <v>2435</v>
      </c>
      <c r="H489" s="905">
        <v>100021</v>
      </c>
    </row>
    <row r="490" spans="1:8">
      <c r="A490" s="910">
        <f>Tabla1[[#This Row],[Codigo articulo]]</f>
        <v>100022</v>
      </c>
      <c r="B490" s="907" t="s">
        <v>2512</v>
      </c>
      <c r="C490" s="903">
        <v>295</v>
      </c>
      <c r="D490" s="903" t="s">
        <v>2509</v>
      </c>
      <c r="E490" s="903">
        <v>3</v>
      </c>
      <c r="F490" s="903" t="s">
        <v>2405</v>
      </c>
      <c r="G490" s="903" t="s">
        <v>2435</v>
      </c>
      <c r="H490" s="903">
        <v>100022</v>
      </c>
    </row>
    <row r="491" spans="1:8">
      <c r="A491" s="910">
        <f>Tabla1[[#This Row],[Codigo articulo]]</f>
        <v>100023</v>
      </c>
      <c r="B491" s="907" t="s">
        <v>2513</v>
      </c>
      <c r="C491" s="903">
        <v>296</v>
      </c>
      <c r="D491" s="903" t="s">
        <v>2509</v>
      </c>
      <c r="E491" s="903">
        <v>3</v>
      </c>
      <c r="F491" s="903" t="s">
        <v>2405</v>
      </c>
      <c r="G491" s="903" t="s">
        <v>2435</v>
      </c>
      <c r="H491" s="905">
        <v>100023</v>
      </c>
    </row>
    <row r="492" spans="1:8">
      <c r="A492" s="910">
        <f>Tabla1[[#This Row],[Codigo articulo]]</f>
        <v>100024</v>
      </c>
      <c r="B492" s="907" t="s">
        <v>2514</v>
      </c>
      <c r="C492" s="903">
        <v>297</v>
      </c>
      <c r="D492" s="903" t="s">
        <v>2509</v>
      </c>
      <c r="E492" s="903">
        <v>3</v>
      </c>
      <c r="F492" s="903" t="s">
        <v>2405</v>
      </c>
      <c r="G492" s="903" t="s">
        <v>2435</v>
      </c>
      <c r="H492" s="903">
        <v>100024</v>
      </c>
    </row>
    <row r="493" spans="1:8">
      <c r="A493" s="910">
        <f>Tabla1[[#This Row],[Codigo articulo]]</f>
        <v>100025</v>
      </c>
      <c r="B493" s="907" t="s">
        <v>2515</v>
      </c>
      <c r="C493" s="903">
        <v>298</v>
      </c>
      <c r="D493" s="903" t="s">
        <v>2509</v>
      </c>
      <c r="E493" s="903">
        <v>3</v>
      </c>
      <c r="F493" s="903" t="s">
        <v>2405</v>
      </c>
      <c r="G493" s="903" t="s">
        <v>2435</v>
      </c>
      <c r="H493" s="905">
        <v>100025</v>
      </c>
    </row>
    <row r="494" spans="1:8">
      <c r="A494" s="910">
        <f>Tabla1[[#This Row],[Codigo articulo]]</f>
        <v>100026</v>
      </c>
      <c r="B494" s="907" t="s">
        <v>2516</v>
      </c>
      <c r="C494" s="903">
        <v>299</v>
      </c>
      <c r="D494" s="903" t="s">
        <v>2509</v>
      </c>
      <c r="E494" s="903">
        <v>3</v>
      </c>
      <c r="F494" s="903" t="s">
        <v>2405</v>
      </c>
      <c r="G494" s="903" t="s">
        <v>2435</v>
      </c>
      <c r="H494" s="903">
        <v>100026</v>
      </c>
    </row>
    <row r="495" spans="1:8">
      <c r="A495" s="910">
        <f>Tabla1[[#This Row],[Codigo articulo]]</f>
        <v>100027</v>
      </c>
      <c r="B495" s="907" t="s">
        <v>2517</v>
      </c>
      <c r="C495" s="903">
        <v>300</v>
      </c>
      <c r="D495" s="903" t="s">
        <v>2509</v>
      </c>
      <c r="E495" s="903">
        <v>3</v>
      </c>
      <c r="F495" s="903" t="s">
        <v>2405</v>
      </c>
      <c r="G495" s="903" t="s">
        <v>2435</v>
      </c>
      <c r="H495" s="905">
        <v>100027</v>
      </c>
    </row>
    <row r="496" spans="1:8">
      <c r="A496" s="910">
        <f>Tabla1[[#This Row],[Codigo articulo]]</f>
        <v>100028</v>
      </c>
      <c r="B496" s="907" t="s">
        <v>2518</v>
      </c>
      <c r="C496" s="903">
        <v>301</v>
      </c>
      <c r="D496" s="903" t="s">
        <v>2509</v>
      </c>
      <c r="E496" s="903">
        <v>3</v>
      </c>
      <c r="F496" s="903" t="s">
        <v>2405</v>
      </c>
      <c r="G496" s="903" t="s">
        <v>2435</v>
      </c>
      <c r="H496" s="903">
        <v>100028</v>
      </c>
    </row>
    <row r="497" spans="1:8">
      <c r="A497" s="910">
        <f>Tabla1[[#This Row],[Codigo articulo]]</f>
        <v>100029</v>
      </c>
      <c r="B497" s="907" t="s">
        <v>2519</v>
      </c>
      <c r="C497" s="903">
        <v>302</v>
      </c>
      <c r="D497" s="903" t="s">
        <v>2509</v>
      </c>
      <c r="E497" s="903">
        <v>3</v>
      </c>
      <c r="F497" s="903" t="s">
        <v>2405</v>
      </c>
      <c r="G497" s="903" t="s">
        <v>2435</v>
      </c>
      <c r="H497" s="905">
        <v>100029</v>
      </c>
    </row>
    <row r="498" spans="1:8">
      <c r="A498" s="910">
        <f>Tabla1[[#This Row],[Codigo articulo]]</f>
        <v>100030</v>
      </c>
      <c r="B498" s="907" t="s">
        <v>2520</v>
      </c>
      <c r="C498" s="903">
        <v>303</v>
      </c>
      <c r="D498" s="903" t="s">
        <v>2509</v>
      </c>
      <c r="E498" s="903">
        <v>3</v>
      </c>
      <c r="F498" s="903" t="s">
        <v>2405</v>
      </c>
      <c r="G498" s="903" t="s">
        <v>2435</v>
      </c>
      <c r="H498" s="903">
        <v>100030</v>
      </c>
    </row>
    <row r="499" spans="1:8">
      <c r="A499" s="910">
        <f>Tabla1[[#This Row],[Codigo articulo]]</f>
        <v>100031</v>
      </c>
      <c r="B499" s="907" t="s">
        <v>2521</v>
      </c>
      <c r="C499" s="903">
        <v>304</v>
      </c>
      <c r="D499" s="903" t="s">
        <v>2509</v>
      </c>
      <c r="E499" s="903">
        <v>3</v>
      </c>
      <c r="F499" s="903" t="s">
        <v>2405</v>
      </c>
      <c r="G499" s="903" t="s">
        <v>2435</v>
      </c>
      <c r="H499" s="905">
        <v>100031</v>
      </c>
    </row>
    <row r="500" spans="1:8">
      <c r="A500" s="910">
        <f>Tabla1[[#This Row],[Codigo articulo]]</f>
        <v>100032</v>
      </c>
      <c r="B500" s="907" t="s">
        <v>2522</v>
      </c>
      <c r="C500" s="903">
        <v>305</v>
      </c>
      <c r="D500" s="903" t="s">
        <v>2509</v>
      </c>
      <c r="E500" s="903">
        <v>3</v>
      </c>
      <c r="F500" s="903" t="s">
        <v>2405</v>
      </c>
      <c r="G500" s="903" t="s">
        <v>2435</v>
      </c>
      <c r="H500" s="903">
        <v>100032</v>
      </c>
    </row>
    <row r="501" spans="1:8">
      <c r="A501" s="910">
        <f>Tabla1[[#This Row],[Codigo articulo]]</f>
        <v>100033</v>
      </c>
      <c r="B501" s="907" t="s">
        <v>2523</v>
      </c>
      <c r="C501" s="903">
        <v>306</v>
      </c>
      <c r="D501" s="903" t="s">
        <v>2509</v>
      </c>
      <c r="E501" s="903">
        <v>3</v>
      </c>
      <c r="F501" s="903" t="s">
        <v>2405</v>
      </c>
      <c r="G501" s="903" t="s">
        <v>2435</v>
      </c>
      <c r="H501" s="905">
        <v>100033</v>
      </c>
    </row>
    <row r="502" spans="1:8">
      <c r="A502" s="910">
        <f>Tabla1[[#This Row],[Codigo articulo]]</f>
        <v>100034</v>
      </c>
      <c r="B502" s="907" t="s">
        <v>2524</v>
      </c>
      <c r="C502" s="903">
        <v>307</v>
      </c>
      <c r="D502" s="903" t="s">
        <v>2509</v>
      </c>
      <c r="E502" s="903">
        <v>3</v>
      </c>
      <c r="F502" s="903" t="s">
        <v>2405</v>
      </c>
      <c r="G502" s="903" t="s">
        <v>2435</v>
      </c>
      <c r="H502" s="903">
        <v>100034</v>
      </c>
    </row>
    <row r="503" spans="1:8">
      <c r="A503" s="910">
        <f>Tabla1[[#This Row],[Codigo articulo]]</f>
        <v>100035</v>
      </c>
      <c r="B503" s="907" t="s">
        <v>2525</v>
      </c>
      <c r="C503" s="903">
        <v>308</v>
      </c>
      <c r="D503" s="903" t="s">
        <v>2509</v>
      </c>
      <c r="E503" s="903">
        <v>3</v>
      </c>
      <c r="F503" s="903" t="s">
        <v>2405</v>
      </c>
      <c r="G503" s="903" t="s">
        <v>2435</v>
      </c>
      <c r="H503" s="905">
        <v>100035</v>
      </c>
    </row>
    <row r="504" spans="1:8">
      <c r="A504" s="910">
        <f>Tabla1[[#This Row],[Codigo articulo]]</f>
        <v>100001</v>
      </c>
      <c r="B504" s="907" t="s">
        <v>2526</v>
      </c>
      <c r="C504" s="903">
        <v>274</v>
      </c>
      <c r="D504" s="903" t="s">
        <v>2509</v>
      </c>
      <c r="E504" s="903">
        <v>3</v>
      </c>
      <c r="F504" s="903" t="s">
        <v>2405</v>
      </c>
      <c r="G504" s="903" t="s">
        <v>2435</v>
      </c>
      <c r="H504" s="903">
        <v>100001</v>
      </c>
    </row>
    <row r="505" spans="1:8">
      <c r="A505" s="910">
        <f>Tabla1[[#This Row],[Codigo articulo]]</f>
        <v>100002</v>
      </c>
      <c r="B505" s="907" t="s">
        <v>2527</v>
      </c>
      <c r="C505" s="903">
        <v>275</v>
      </c>
      <c r="D505" s="903" t="s">
        <v>2509</v>
      </c>
      <c r="E505" s="903">
        <v>3</v>
      </c>
      <c r="F505" s="903" t="s">
        <v>2405</v>
      </c>
      <c r="G505" s="903" t="s">
        <v>2435</v>
      </c>
      <c r="H505" s="905">
        <v>100002</v>
      </c>
    </row>
    <row r="506" spans="1:8">
      <c r="A506" s="910">
        <f>Tabla1[[#This Row],[Codigo articulo]]</f>
        <v>100003</v>
      </c>
      <c r="B506" s="907" t="s">
        <v>2528</v>
      </c>
      <c r="C506" s="903">
        <v>276</v>
      </c>
      <c r="D506" s="903" t="s">
        <v>2509</v>
      </c>
      <c r="E506" s="903">
        <v>3</v>
      </c>
      <c r="F506" s="903" t="s">
        <v>2405</v>
      </c>
      <c r="G506" s="903" t="s">
        <v>2435</v>
      </c>
      <c r="H506" s="903">
        <v>100003</v>
      </c>
    </row>
    <row r="507" spans="1:8">
      <c r="A507" s="910">
        <f>Tabla1[[#This Row],[Codigo articulo]]</f>
        <v>100004</v>
      </c>
      <c r="B507" s="907" t="s">
        <v>2529</v>
      </c>
      <c r="C507" s="903">
        <v>277</v>
      </c>
      <c r="D507" s="903" t="s">
        <v>2509</v>
      </c>
      <c r="E507" s="903">
        <v>3</v>
      </c>
      <c r="F507" s="903" t="s">
        <v>2405</v>
      </c>
      <c r="G507" s="903" t="s">
        <v>2435</v>
      </c>
      <c r="H507" s="905">
        <v>100004</v>
      </c>
    </row>
    <row r="508" spans="1:8">
      <c r="A508" s="910">
        <f>Tabla1[[#This Row],[Codigo articulo]]</f>
        <v>100005</v>
      </c>
      <c r="B508" s="907" t="s">
        <v>2530</v>
      </c>
      <c r="C508" s="903">
        <v>278</v>
      </c>
      <c r="D508" s="903" t="s">
        <v>2509</v>
      </c>
      <c r="E508" s="903">
        <v>3</v>
      </c>
      <c r="F508" s="903" t="s">
        <v>2405</v>
      </c>
      <c r="G508" s="903" t="s">
        <v>2435</v>
      </c>
      <c r="H508" s="903">
        <v>100005</v>
      </c>
    </row>
    <row r="509" spans="1:8">
      <c r="A509" s="910">
        <f>Tabla1[[#This Row],[Codigo articulo]]</f>
        <v>100006</v>
      </c>
      <c r="B509" s="907" t="s">
        <v>2531</v>
      </c>
      <c r="C509" s="903">
        <v>279</v>
      </c>
      <c r="D509" s="903" t="s">
        <v>2509</v>
      </c>
      <c r="E509" s="903">
        <v>3</v>
      </c>
      <c r="F509" s="903" t="s">
        <v>2405</v>
      </c>
      <c r="G509" s="903" t="s">
        <v>2435</v>
      </c>
      <c r="H509" s="905">
        <v>100006</v>
      </c>
    </row>
    <row r="510" spans="1:8">
      <c r="A510" s="910">
        <f>Tabla1[[#This Row],[Codigo articulo]]</f>
        <v>100007</v>
      </c>
      <c r="B510" s="907" t="s">
        <v>2532</v>
      </c>
      <c r="C510" s="903">
        <v>280</v>
      </c>
      <c r="D510" s="903" t="s">
        <v>2509</v>
      </c>
      <c r="E510" s="903">
        <v>3</v>
      </c>
      <c r="F510" s="903" t="s">
        <v>2405</v>
      </c>
      <c r="G510" s="903" t="s">
        <v>2435</v>
      </c>
      <c r="H510" s="903">
        <v>100007</v>
      </c>
    </row>
    <row r="511" spans="1:8">
      <c r="A511" s="910">
        <f>Tabla1[[#This Row],[Codigo articulo]]</f>
        <v>100008</v>
      </c>
      <c r="B511" s="907" t="s">
        <v>2533</v>
      </c>
      <c r="C511" s="903">
        <v>281</v>
      </c>
      <c r="D511" s="903" t="s">
        <v>2509</v>
      </c>
      <c r="E511" s="903">
        <v>3</v>
      </c>
      <c r="F511" s="903" t="s">
        <v>2405</v>
      </c>
      <c r="G511" s="903" t="s">
        <v>2435</v>
      </c>
      <c r="H511" s="905">
        <v>100008</v>
      </c>
    </row>
    <row r="512" spans="1:8">
      <c r="A512" s="910">
        <f>Tabla1[[#This Row],[Codigo articulo]]</f>
        <v>100009</v>
      </c>
      <c r="B512" s="907" t="s">
        <v>2534</v>
      </c>
      <c r="C512" s="903">
        <v>282</v>
      </c>
      <c r="D512" s="903" t="s">
        <v>2509</v>
      </c>
      <c r="E512" s="903">
        <v>3</v>
      </c>
      <c r="F512" s="903" t="s">
        <v>2405</v>
      </c>
      <c r="G512" s="903" t="s">
        <v>2435</v>
      </c>
      <c r="H512" s="903">
        <v>100009</v>
      </c>
    </row>
    <row r="513" spans="1:8">
      <c r="A513" s="910">
        <f>Tabla1[[#This Row],[Codigo articulo]]</f>
        <v>100010</v>
      </c>
      <c r="B513" s="907" t="s">
        <v>2535</v>
      </c>
      <c r="C513" s="903">
        <v>283</v>
      </c>
      <c r="D513" s="903" t="s">
        <v>2509</v>
      </c>
      <c r="E513" s="903">
        <v>3</v>
      </c>
      <c r="F513" s="903" t="s">
        <v>2405</v>
      </c>
      <c r="G513" s="903" t="s">
        <v>2435</v>
      </c>
      <c r="H513" s="905">
        <v>100010</v>
      </c>
    </row>
    <row r="514" spans="1:8">
      <c r="A514" s="910">
        <f>Tabla1[[#This Row],[Codigo articulo]]</f>
        <v>100011</v>
      </c>
      <c r="B514" s="907" t="s">
        <v>2536</v>
      </c>
      <c r="C514" s="903">
        <v>284</v>
      </c>
      <c r="D514" s="903" t="s">
        <v>2509</v>
      </c>
      <c r="E514" s="903">
        <v>3</v>
      </c>
      <c r="F514" s="903" t="s">
        <v>2405</v>
      </c>
      <c r="G514" s="903" t="s">
        <v>2435</v>
      </c>
      <c r="H514" s="903">
        <v>100011</v>
      </c>
    </row>
    <row r="515" spans="1:8">
      <c r="A515" s="910">
        <f>Tabla1[[#This Row],[Codigo articulo]]</f>
        <v>100012</v>
      </c>
      <c r="B515" s="907" t="s">
        <v>2537</v>
      </c>
      <c r="C515" s="903">
        <v>285</v>
      </c>
      <c r="D515" s="903" t="s">
        <v>2509</v>
      </c>
      <c r="E515" s="903">
        <v>3</v>
      </c>
      <c r="F515" s="903" t="s">
        <v>2405</v>
      </c>
      <c r="G515" s="903" t="s">
        <v>2435</v>
      </c>
      <c r="H515" s="905">
        <v>100012</v>
      </c>
    </row>
    <row r="516" spans="1:8">
      <c r="A516" s="910">
        <f>Tabla1[[#This Row],[Codigo articulo]]</f>
        <v>100013</v>
      </c>
      <c r="B516" s="907" t="s">
        <v>2538</v>
      </c>
      <c r="C516" s="903">
        <v>286</v>
      </c>
      <c r="D516" s="903" t="s">
        <v>2509</v>
      </c>
      <c r="E516" s="903">
        <v>3</v>
      </c>
      <c r="F516" s="903" t="s">
        <v>2405</v>
      </c>
      <c r="G516" s="903" t="s">
        <v>2435</v>
      </c>
      <c r="H516" s="903">
        <v>100013</v>
      </c>
    </row>
    <row r="517" spans="1:8">
      <c r="A517" s="910">
        <f>Tabla1[[#This Row],[Codigo articulo]]</f>
        <v>100014</v>
      </c>
      <c r="B517" s="907" t="s">
        <v>2539</v>
      </c>
      <c r="C517" s="903">
        <v>287</v>
      </c>
      <c r="D517" s="903" t="s">
        <v>2509</v>
      </c>
      <c r="E517" s="903">
        <v>3</v>
      </c>
      <c r="F517" s="903" t="s">
        <v>2405</v>
      </c>
      <c r="G517" s="903" t="s">
        <v>2435</v>
      </c>
      <c r="H517" s="905">
        <v>100014</v>
      </c>
    </row>
    <row r="518" spans="1:8">
      <c r="A518" s="910">
        <f>Tabla1[[#This Row],[Codigo articulo]]</f>
        <v>100015</v>
      </c>
      <c r="B518" s="907" t="s">
        <v>2540</v>
      </c>
      <c r="C518" s="903">
        <v>288</v>
      </c>
      <c r="D518" s="903" t="s">
        <v>2509</v>
      </c>
      <c r="E518" s="903">
        <v>3</v>
      </c>
      <c r="F518" s="903" t="s">
        <v>2405</v>
      </c>
      <c r="G518" s="903" t="s">
        <v>2435</v>
      </c>
      <c r="H518" s="903">
        <v>100015</v>
      </c>
    </row>
    <row r="519" spans="1:8">
      <c r="A519" s="910">
        <f>Tabla1[[#This Row],[Codigo articulo]]</f>
        <v>100016</v>
      </c>
      <c r="B519" s="907" t="s">
        <v>2541</v>
      </c>
      <c r="C519" s="903">
        <v>289</v>
      </c>
      <c r="D519" s="903" t="s">
        <v>2509</v>
      </c>
      <c r="E519" s="903">
        <v>3</v>
      </c>
      <c r="F519" s="903" t="s">
        <v>2405</v>
      </c>
      <c r="G519" s="903" t="s">
        <v>2435</v>
      </c>
      <c r="H519" s="905">
        <v>100016</v>
      </c>
    </row>
    <row r="520" spans="1:8">
      <c r="A520" s="910">
        <f>Tabla1[[#This Row],[Codigo articulo]]</f>
        <v>100017</v>
      </c>
      <c r="B520" s="907" t="s">
        <v>2542</v>
      </c>
      <c r="C520" s="903">
        <v>290</v>
      </c>
      <c r="D520" s="903" t="s">
        <v>2509</v>
      </c>
      <c r="E520" s="903">
        <v>3</v>
      </c>
      <c r="F520" s="903" t="s">
        <v>2405</v>
      </c>
      <c r="G520" s="903" t="s">
        <v>2435</v>
      </c>
      <c r="H520" s="903">
        <v>100017</v>
      </c>
    </row>
    <row r="521" spans="1:8">
      <c r="A521" s="910">
        <f>Tabla1[[#This Row],[Codigo articulo]]</f>
        <v>100018</v>
      </c>
      <c r="B521" s="907" t="s">
        <v>2543</v>
      </c>
      <c r="C521" s="903">
        <v>291</v>
      </c>
      <c r="D521" s="903" t="s">
        <v>2509</v>
      </c>
      <c r="E521" s="903">
        <v>3</v>
      </c>
      <c r="F521" s="903" t="s">
        <v>2405</v>
      </c>
      <c r="G521" s="903" t="s">
        <v>2435</v>
      </c>
      <c r="H521" s="905">
        <v>100018</v>
      </c>
    </row>
    <row r="522" spans="1:8">
      <c r="A522" s="910">
        <f>Tabla1[[#This Row],[Codigo articulo]]</f>
        <v>100019</v>
      </c>
      <c r="B522" s="907" t="s">
        <v>2544</v>
      </c>
      <c r="C522" s="903">
        <v>292</v>
      </c>
      <c r="D522" s="903" t="s">
        <v>2509</v>
      </c>
      <c r="E522" s="903">
        <v>3</v>
      </c>
      <c r="F522" s="903" t="s">
        <v>2405</v>
      </c>
      <c r="G522" s="903" t="s">
        <v>2435</v>
      </c>
      <c r="H522" s="903">
        <v>100019</v>
      </c>
    </row>
    <row r="523" spans="1:8">
      <c r="A523" s="910" t="str">
        <f>Tabla1[[#This Row],[Codigo articulo]]</f>
        <v>CALCOSCARGA</v>
      </c>
      <c r="B523" s="907" t="s">
        <v>2545</v>
      </c>
      <c r="C523" s="903">
        <v>384</v>
      </c>
      <c r="D523" s="903" t="s">
        <v>2509</v>
      </c>
      <c r="E523" s="903">
        <v>3</v>
      </c>
      <c r="F523" s="903" t="s">
        <v>2405</v>
      </c>
      <c r="G523" s="903" t="s">
        <v>2435</v>
      </c>
      <c r="H523" s="905" t="s">
        <v>2546</v>
      </c>
    </row>
    <row r="524" spans="1:8">
      <c r="A524" s="910" t="str">
        <f>Tabla1[[#This Row],[Codigo articulo]]</f>
        <v>PASTAMANOS</v>
      </c>
      <c r="B524" s="907" t="s">
        <v>2547</v>
      </c>
      <c r="C524" s="903">
        <v>385</v>
      </c>
      <c r="D524" s="903" t="s">
        <v>2509</v>
      </c>
      <c r="E524" s="903">
        <v>3</v>
      </c>
      <c r="F524" s="903" t="s">
        <v>2405</v>
      </c>
      <c r="G524" s="903" t="s">
        <v>2435</v>
      </c>
      <c r="H524" s="903" t="s">
        <v>2548</v>
      </c>
    </row>
    <row r="525" spans="1:8">
      <c r="A525" s="910" t="str">
        <f>Tabla1[[#This Row],[Codigo articulo]]</f>
        <v>CALCOPARABRISAS</v>
      </c>
      <c r="B525" s="907" t="s">
        <v>2549</v>
      </c>
      <c r="C525" s="903">
        <v>386</v>
      </c>
      <c r="D525" s="903" t="s">
        <v>2509</v>
      </c>
      <c r="E525" s="903">
        <v>3</v>
      </c>
      <c r="F525" s="903" t="s">
        <v>2405</v>
      </c>
      <c r="G525" s="903" t="s">
        <v>2435</v>
      </c>
      <c r="H525" s="905" t="s">
        <v>2550</v>
      </c>
    </row>
    <row r="526" spans="1:8">
      <c r="A526" s="910" t="str">
        <f>Tabla1[[#This Row],[Codigo articulo]]</f>
        <v>TOALLAS</v>
      </c>
      <c r="B526" s="907" t="s">
        <v>2551</v>
      </c>
      <c r="C526" s="903">
        <v>420</v>
      </c>
      <c r="D526" s="903" t="s">
        <v>2509</v>
      </c>
      <c r="E526" s="903">
        <v>3</v>
      </c>
      <c r="F526" s="903" t="s">
        <v>2405</v>
      </c>
      <c r="G526" s="903" t="s">
        <v>2435</v>
      </c>
      <c r="H526" s="903" t="s">
        <v>2552</v>
      </c>
    </row>
    <row r="527" spans="1:8">
      <c r="A527" s="910" t="str">
        <f>Tabla1[[#This Row],[Codigo articulo]]</f>
        <v>DESO</v>
      </c>
      <c r="B527" s="907" t="s">
        <v>2553</v>
      </c>
      <c r="C527" s="903">
        <v>422</v>
      </c>
      <c r="D527" s="903" t="s">
        <v>2509</v>
      </c>
      <c r="E527" s="903">
        <v>3</v>
      </c>
      <c r="F527" s="903" t="s">
        <v>2405</v>
      </c>
      <c r="G527" s="903" t="s">
        <v>2435</v>
      </c>
      <c r="H527" s="905" t="s">
        <v>2554</v>
      </c>
    </row>
    <row r="528" spans="1:8">
      <c r="A528" s="910" t="str">
        <f>Tabla1[[#This Row],[Codigo articulo]]</f>
        <v>GUIA</v>
      </c>
      <c r="B528" s="907" t="s">
        <v>2555</v>
      </c>
      <c r="C528" s="903">
        <v>434</v>
      </c>
      <c r="D528" s="903" t="s">
        <v>2509</v>
      </c>
      <c r="E528" s="903">
        <v>3</v>
      </c>
      <c r="F528" s="903" t="s">
        <v>2405</v>
      </c>
      <c r="G528" s="903" t="s">
        <v>2435</v>
      </c>
      <c r="H528" s="903" t="s">
        <v>2556</v>
      </c>
    </row>
    <row r="529" spans="1:8">
      <c r="A529" s="910" t="str">
        <f>Tabla1[[#This Row],[Codigo articulo]]</f>
        <v>INSUMO MODELOS</v>
      </c>
      <c r="B529" s="907" t="s">
        <v>2557</v>
      </c>
      <c r="C529" s="903">
        <v>435</v>
      </c>
      <c r="D529" s="903" t="s">
        <v>2509</v>
      </c>
      <c r="E529" s="903">
        <v>3</v>
      </c>
      <c r="F529" s="903" t="s">
        <v>2405</v>
      </c>
      <c r="G529" s="903" t="s">
        <v>2435</v>
      </c>
      <c r="H529" s="905" t="s">
        <v>2558</v>
      </c>
    </row>
    <row r="530" spans="1:8">
      <c r="A530" s="910" t="str">
        <f>Tabla1[[#This Row],[Codigo articulo]]</f>
        <v>TELEPASE</v>
      </c>
      <c r="B530" s="907" t="s">
        <v>2559</v>
      </c>
      <c r="C530" s="903">
        <v>529</v>
      </c>
      <c r="D530" s="903" t="s">
        <v>2560</v>
      </c>
      <c r="E530" s="903">
        <v>5</v>
      </c>
      <c r="F530" s="903" t="s">
        <v>2405</v>
      </c>
      <c r="G530" s="903" t="s">
        <v>2561</v>
      </c>
      <c r="H530" s="903" t="s">
        <v>2562</v>
      </c>
    </row>
    <row r="531" spans="1:8">
      <c r="A531" s="910" t="str">
        <f>Tabla1[[#This Row],[Codigo articulo]]</f>
        <v>REP-BORNE</v>
      </c>
      <c r="B531" s="907" t="s">
        <v>2563</v>
      </c>
      <c r="C531" s="903">
        <v>536</v>
      </c>
      <c r="D531" s="903" t="s">
        <v>2560</v>
      </c>
      <c r="E531" s="903">
        <v>5</v>
      </c>
      <c r="F531" s="903" t="s">
        <v>2405</v>
      </c>
      <c r="G531" s="903" t="s">
        <v>2564</v>
      </c>
      <c r="H531" s="905" t="s">
        <v>2565</v>
      </c>
    </row>
    <row r="532" spans="1:8">
      <c r="A532" s="910" t="str">
        <f>Tabla1[[#This Row],[Codigo articulo]]</f>
        <v>REP-MONOBLOCK</v>
      </c>
      <c r="B532" s="907" t="s">
        <v>2566</v>
      </c>
      <c r="C532" s="903">
        <v>537</v>
      </c>
      <c r="D532" s="903" t="s">
        <v>2560</v>
      </c>
      <c r="E532" s="903">
        <v>5</v>
      </c>
      <c r="F532" s="903" t="s">
        <v>2405</v>
      </c>
      <c r="G532" s="903" t="s">
        <v>2564</v>
      </c>
      <c r="H532" s="903" t="s">
        <v>2567</v>
      </c>
    </row>
    <row r="533" spans="1:8">
      <c r="A533" s="910" t="str">
        <f>Tabla1[[#This Row],[Codigo articulo]]</f>
        <v>SERVICIOA</v>
      </c>
      <c r="B533" s="907" t="s">
        <v>1033</v>
      </c>
      <c r="C533" s="903">
        <v>309</v>
      </c>
      <c r="D533" s="903" t="s">
        <v>2560</v>
      </c>
      <c r="E533" s="903">
        <v>5</v>
      </c>
      <c r="F533" s="903" t="s">
        <v>2405</v>
      </c>
      <c r="G533" s="903" t="s">
        <v>2564</v>
      </c>
      <c r="H533" s="905" t="s">
        <v>1034</v>
      </c>
    </row>
    <row r="534" spans="1:8">
      <c r="A534" s="910" t="str">
        <f>Tabla1[[#This Row],[Codigo articulo]]</f>
        <v>SERVICIOU</v>
      </c>
      <c r="B534" s="907" t="s">
        <v>1035</v>
      </c>
      <c r="C534" s="903">
        <v>310</v>
      </c>
      <c r="D534" s="903" t="s">
        <v>2560</v>
      </c>
      <c r="E534" s="903">
        <v>5</v>
      </c>
      <c r="F534" s="903" t="s">
        <v>2405</v>
      </c>
      <c r="G534" s="903" t="s">
        <v>2564</v>
      </c>
      <c r="H534" s="903" t="s">
        <v>1036</v>
      </c>
    </row>
    <row r="535" spans="1:8">
      <c r="A535" s="910" t="str">
        <f>Tabla1[[#This Row],[Codigo articulo]]</f>
        <v>SERVICIOC</v>
      </c>
      <c r="B535" s="907" t="s">
        <v>1037</v>
      </c>
      <c r="C535" s="903">
        <v>311</v>
      </c>
      <c r="D535" s="903" t="s">
        <v>2560</v>
      </c>
      <c r="E535" s="903">
        <v>5</v>
      </c>
      <c r="F535" s="903" t="s">
        <v>2405</v>
      </c>
      <c r="G535" s="903" t="s">
        <v>2564</v>
      </c>
      <c r="H535" s="905" t="s">
        <v>1038</v>
      </c>
    </row>
    <row r="536" spans="1:8">
      <c r="A536" s="910" t="str">
        <f>Tabla1[[#This Row],[Codigo articulo]]</f>
        <v>CARGAXXX</v>
      </c>
      <c r="B536" s="907" t="s">
        <v>2568</v>
      </c>
      <c r="C536" s="903">
        <v>380</v>
      </c>
      <c r="D536" s="903" t="s">
        <v>2560</v>
      </c>
      <c r="E536" s="903">
        <v>5</v>
      </c>
      <c r="F536" s="903" t="s">
        <v>2405</v>
      </c>
      <c r="G536" s="903" t="s">
        <v>2435</v>
      </c>
      <c r="H536" s="903" t="s">
        <v>2569</v>
      </c>
    </row>
    <row r="537" spans="1:8">
      <c r="A537" s="910" t="str">
        <f>Tabla1[[#This Row],[Codigo articulo]]</f>
        <v>CARGAM</v>
      </c>
      <c r="B537" s="907" t="s">
        <v>955</v>
      </c>
      <c r="C537" s="903">
        <v>381</v>
      </c>
      <c r="D537" s="903" t="s">
        <v>2560</v>
      </c>
      <c r="E537" s="903">
        <v>5</v>
      </c>
      <c r="F537" s="903" t="s">
        <v>2405</v>
      </c>
      <c r="G537" s="903" t="s">
        <v>2564</v>
      </c>
      <c r="H537" s="905" t="s">
        <v>956</v>
      </c>
    </row>
    <row r="538" spans="1:8">
      <c r="A538" s="910" t="str">
        <f>Tabla1[[#This Row],[Codigo articulo]]</f>
        <v>CARGAAUT</v>
      </c>
      <c r="B538" s="907" t="s">
        <v>957</v>
      </c>
      <c r="C538" s="903">
        <v>375</v>
      </c>
      <c r="D538" s="903" t="s">
        <v>2560</v>
      </c>
      <c r="E538" s="903">
        <v>5</v>
      </c>
      <c r="F538" s="903" t="s">
        <v>2405</v>
      </c>
      <c r="G538" s="903" t="s">
        <v>2564</v>
      </c>
      <c r="H538" s="903" t="s">
        <v>958</v>
      </c>
    </row>
    <row r="539" spans="1:8">
      <c r="A539" s="910" t="str">
        <f>Tabla1[[#This Row],[Codigo articulo]]</f>
        <v>CARGAU</v>
      </c>
      <c r="B539" s="907" t="s">
        <v>959</v>
      </c>
      <c r="C539" s="903">
        <v>376</v>
      </c>
      <c r="D539" s="903" t="s">
        <v>2560</v>
      </c>
      <c r="E539" s="903">
        <v>5</v>
      </c>
      <c r="F539" s="903" t="s">
        <v>2405</v>
      </c>
      <c r="G539" s="903" t="s">
        <v>2564</v>
      </c>
      <c r="H539" s="905" t="s">
        <v>960</v>
      </c>
    </row>
    <row r="540" spans="1:8">
      <c r="A540" s="910" t="str">
        <f>Tabla1[[#This Row],[Codigo articulo]]</f>
        <v>CARGACAM</v>
      </c>
      <c r="B540" s="908" t="s">
        <v>961</v>
      </c>
      <c r="C540" s="906">
        <v>377</v>
      </c>
      <c r="D540" s="906" t="s">
        <v>2560</v>
      </c>
      <c r="E540" s="906">
        <v>5</v>
      </c>
      <c r="F540" s="906" t="s">
        <v>2405</v>
      </c>
      <c r="G540" s="906" t="s">
        <v>2564</v>
      </c>
      <c r="H540" s="906" t="s">
        <v>962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FFE1-BA25-4CE7-B84B-918D2C984F1A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7"/>
  <dimension ref="A1:V46"/>
  <sheetViews>
    <sheetView topLeftCell="A4" workbookViewId="0">
      <selection activeCell="A28" sqref="A28:A30"/>
    </sheetView>
  </sheetViews>
  <sheetFormatPr baseColWidth="10" defaultColWidth="11.44140625" defaultRowHeight="14.4"/>
  <cols>
    <col min="1" max="1" width="23.5546875" customWidth="1"/>
    <col min="2" max="2" width="10" customWidth="1"/>
    <col min="3" max="3" width="8.6640625" customWidth="1"/>
    <col min="4" max="4" width="8.88671875" customWidth="1"/>
    <col min="5" max="5" width="10.6640625" customWidth="1"/>
    <col min="6" max="6" width="11.33203125" customWidth="1"/>
    <col min="7" max="7" width="9.6640625" customWidth="1"/>
    <col min="8" max="8" width="8.33203125" customWidth="1"/>
    <col min="9" max="10" width="8.5546875" bestFit="1" customWidth="1"/>
    <col min="11" max="11" width="8.88671875" customWidth="1"/>
    <col min="12" max="12" width="8.88671875" bestFit="1" customWidth="1"/>
    <col min="13" max="13" width="2.88671875" style="1" customWidth="1"/>
    <col min="14" max="15" width="11.44140625" bestFit="1" customWidth="1"/>
    <col min="16" max="16" width="3" customWidth="1"/>
    <col min="17" max="17" width="11.109375" customWidth="1"/>
    <col min="19" max="19" width="9.5546875" bestFit="1" customWidth="1"/>
    <col min="22" max="22" width="11.109375" customWidth="1"/>
  </cols>
  <sheetData>
    <row r="1" spans="1:22" ht="21.6" thickBot="1">
      <c r="A1" s="18" t="s">
        <v>2570</v>
      </c>
      <c r="B1" s="18"/>
      <c r="C1" s="18"/>
      <c r="D1" s="84" t="s">
        <v>114</v>
      </c>
      <c r="E1" s="74" t="s">
        <v>309</v>
      </c>
      <c r="F1" s="16"/>
      <c r="G1" s="16"/>
      <c r="H1" s="237" t="s">
        <v>114</v>
      </c>
      <c r="I1" s="238" t="s">
        <v>8</v>
      </c>
      <c r="J1" s="23"/>
      <c r="K1" s="16"/>
      <c r="L1" s="1"/>
      <c r="N1" s="1"/>
      <c r="O1" s="1"/>
      <c r="P1" s="1"/>
      <c r="Q1" s="1"/>
      <c r="R1" s="921"/>
      <c r="S1" s="10"/>
      <c r="T1" s="40"/>
      <c r="U1" s="40"/>
      <c r="V1" s="1"/>
    </row>
    <row r="2" spans="1:22" ht="15" thickBot="1">
      <c r="A2" s="1"/>
      <c r="B2" s="236">
        <v>45275</v>
      </c>
      <c r="C2" s="1"/>
      <c r="D2" s="85">
        <v>0.15</v>
      </c>
      <c r="E2" s="93">
        <v>1000</v>
      </c>
      <c r="F2" s="101">
        <v>45292</v>
      </c>
      <c r="G2" s="106"/>
      <c r="H2" s="95">
        <v>0.48</v>
      </c>
      <c r="I2" s="95">
        <v>0.1</v>
      </c>
      <c r="J2" s="94"/>
      <c r="K2" s="63" t="s">
        <v>65</v>
      </c>
      <c r="L2" s="62" t="s">
        <v>66</v>
      </c>
      <c r="N2" s="233">
        <v>0.6</v>
      </c>
      <c r="O2" s="228"/>
      <c r="P2" s="1"/>
      <c r="Q2" s="216">
        <v>45357</v>
      </c>
      <c r="R2" s="921"/>
      <c r="S2" s="10"/>
      <c r="T2" s="40"/>
      <c r="U2" s="40"/>
      <c r="V2" s="414"/>
    </row>
    <row r="3" spans="1:22" ht="21">
      <c r="A3" s="24" t="s">
        <v>312</v>
      </c>
      <c r="B3" s="24">
        <v>19.43</v>
      </c>
      <c r="C3" s="83">
        <f>(B3/1.21)</f>
        <v>16.057851239669422</v>
      </c>
      <c r="D3" s="234">
        <f>(C3-(C3*D$2))</f>
        <v>13.649173553719008</v>
      </c>
      <c r="E3" s="234">
        <f>(D3*E$2)</f>
        <v>13649.173553719007</v>
      </c>
      <c r="F3" s="235">
        <v>46000</v>
      </c>
      <c r="G3" s="235">
        <f>(F3*1.21)</f>
        <v>55660</v>
      </c>
      <c r="H3" s="60">
        <f t="shared" ref="H3:H28" si="0">F3-(F3*H$2)</f>
        <v>23920</v>
      </c>
      <c r="I3" s="60">
        <f t="shared" ref="I3:I28" si="1">H3-(H3*I$2)</f>
        <v>21528</v>
      </c>
      <c r="J3" s="60">
        <f t="shared" ref="J3:J28" si="2">(I3)</f>
        <v>21528</v>
      </c>
      <c r="K3" s="61">
        <f>(J3-E3)/E3</f>
        <v>0.57723835185129135</v>
      </c>
      <c r="L3" s="61">
        <f>(J3-E3)/J3</f>
        <v>0.36598041835195994</v>
      </c>
      <c r="M3" s="204"/>
      <c r="N3" s="231">
        <f t="shared" ref="N3:N28" si="3">(E3*1.6)</f>
        <v>21838.677685950413</v>
      </c>
      <c r="O3" s="232">
        <f>(N3*1.21)</f>
        <v>26424.799999999999</v>
      </c>
      <c r="P3" s="189"/>
      <c r="Q3" s="117">
        <v>40595.5</v>
      </c>
      <c r="R3" s="440">
        <f>CEILING(Q3,50)</f>
        <v>40600</v>
      </c>
      <c r="S3" s="42">
        <f>(R3/1.21)</f>
        <v>33553.719008264467</v>
      </c>
      <c r="T3" s="190">
        <f>(S3-E3)/E3</f>
        <v>1.458296751536436</v>
      </c>
      <c r="U3" s="445">
        <f t="shared" ref="U3:U28" si="4">(S3-E3)/S3</f>
        <v>0.59321428571428581</v>
      </c>
      <c r="V3" s="440">
        <f>(R3)</f>
        <v>40600</v>
      </c>
    </row>
    <row r="4" spans="1:22" ht="21">
      <c r="A4" s="24" t="s">
        <v>315</v>
      </c>
      <c r="B4" s="24">
        <v>29.57</v>
      </c>
      <c r="C4" s="83">
        <f t="shared" ref="C4:C28" si="5">(B4/1.21)</f>
        <v>24.438016528925619</v>
      </c>
      <c r="D4" s="234">
        <f t="shared" ref="D4:D28" si="6">(C4-(C4*D$2))</f>
        <v>20.772314049586775</v>
      </c>
      <c r="E4" s="234">
        <f t="shared" ref="E4:E28" si="7">(D4*E$2)</f>
        <v>20772.314049586774</v>
      </c>
      <c r="F4" s="235">
        <v>69000</v>
      </c>
      <c r="G4" s="235">
        <f t="shared" ref="G4:G28" si="8">(F4*1.21)</f>
        <v>83490</v>
      </c>
      <c r="H4" s="60">
        <f t="shared" si="0"/>
        <v>35880</v>
      </c>
      <c r="I4" s="60">
        <f t="shared" si="1"/>
        <v>32292</v>
      </c>
      <c r="J4" s="19">
        <f t="shared" si="2"/>
        <v>32292</v>
      </c>
      <c r="K4" s="61">
        <f t="shared" ref="K4:K28" si="9">(J4-E4)/E4</f>
        <v>0.55456921760926237</v>
      </c>
      <c r="L4" s="25">
        <f t="shared" ref="L4:L28" si="10">(J4-E4)/J4</f>
        <v>0.35673497926462361</v>
      </c>
      <c r="M4" s="204"/>
      <c r="N4" s="231">
        <f t="shared" si="3"/>
        <v>33235.702479338841</v>
      </c>
      <c r="O4" s="232">
        <f t="shared" ref="O4:O28" si="11">(N4*1.21)</f>
        <v>40215.199999999997</v>
      </c>
      <c r="P4" s="189"/>
      <c r="Q4" s="117">
        <v>61952.000000000015</v>
      </c>
      <c r="R4" s="440">
        <f t="shared" ref="R4:R28" si="12">CEILING(Q4,50)</f>
        <v>62000</v>
      </c>
      <c r="S4" s="42">
        <f t="shared" ref="S4:S28" si="13">(R4/1.21)</f>
        <v>51239.669421487604</v>
      </c>
      <c r="T4" s="190">
        <f t="shared" ref="T4:T28" si="14">(S4-E4)/E4</f>
        <v>1.4667289979908098</v>
      </c>
      <c r="U4" s="445">
        <f t="shared" si="4"/>
        <v>0.59460483870967751</v>
      </c>
      <c r="V4" s="440">
        <f t="shared" ref="V4:V28" si="15">(R4)</f>
        <v>62000</v>
      </c>
    </row>
    <row r="5" spans="1:22" ht="21">
      <c r="A5" s="24" t="s">
        <v>317</v>
      </c>
      <c r="B5" s="24">
        <v>29.36</v>
      </c>
      <c r="C5" s="83"/>
      <c r="D5" s="234">
        <f t="shared" si="6"/>
        <v>0</v>
      </c>
      <c r="E5" s="234"/>
      <c r="F5" s="235"/>
      <c r="G5" s="235"/>
      <c r="H5" s="60"/>
      <c r="I5" s="60"/>
      <c r="J5" s="19"/>
      <c r="K5" s="61"/>
      <c r="L5" s="25"/>
      <c r="M5" s="204"/>
      <c r="N5" s="231"/>
      <c r="O5" s="232"/>
      <c r="P5" s="189"/>
      <c r="Q5" s="117">
        <v>0</v>
      </c>
      <c r="R5" s="440"/>
      <c r="S5" s="42"/>
      <c r="T5" s="190"/>
      <c r="U5" s="445"/>
      <c r="V5" s="440"/>
    </row>
    <row r="6" spans="1:22" ht="21">
      <c r="A6" s="24" t="s">
        <v>319</v>
      </c>
      <c r="B6" s="24">
        <v>26.82</v>
      </c>
      <c r="C6" s="83">
        <f t="shared" si="5"/>
        <v>22.165289256198349</v>
      </c>
      <c r="D6" s="234">
        <f t="shared" si="6"/>
        <v>18.840495867768595</v>
      </c>
      <c r="E6" s="234">
        <f t="shared" si="7"/>
        <v>18840.495867768594</v>
      </c>
      <c r="F6" s="235">
        <v>20995.476005502263</v>
      </c>
      <c r="G6" s="235">
        <f t="shared" si="8"/>
        <v>25404.525966657737</v>
      </c>
      <c r="H6" s="60">
        <f t="shared" si="0"/>
        <v>10917.647522861178</v>
      </c>
      <c r="I6" s="60">
        <f t="shared" si="1"/>
        <v>9825.8827705750609</v>
      </c>
      <c r="J6" s="19">
        <f t="shared" si="2"/>
        <v>9825.8827705750609</v>
      </c>
      <c r="K6" s="61">
        <f t="shared" si="9"/>
        <v>-0.47847005516533647</v>
      </c>
      <c r="L6" s="25">
        <f t="shared" si="10"/>
        <v>-0.91743544144339018</v>
      </c>
      <c r="M6" s="204"/>
      <c r="N6" s="231">
        <f t="shared" si="3"/>
        <v>30144.793388429753</v>
      </c>
      <c r="O6" s="232">
        <f t="shared" si="11"/>
        <v>36475.199999999997</v>
      </c>
      <c r="P6" s="189"/>
      <c r="Q6" s="117">
        <v>56204.500000000015</v>
      </c>
      <c r="R6" s="440">
        <f t="shared" si="12"/>
        <v>56250</v>
      </c>
      <c r="S6" s="42">
        <f t="shared" si="13"/>
        <v>46487.603305785124</v>
      </c>
      <c r="T6" s="190">
        <f t="shared" si="14"/>
        <v>1.4674299249901304</v>
      </c>
      <c r="U6" s="445">
        <f t="shared" si="4"/>
        <v>0.59472000000000003</v>
      </c>
      <c r="V6" s="440">
        <f t="shared" si="15"/>
        <v>56250</v>
      </c>
    </row>
    <row r="7" spans="1:22" ht="21">
      <c r="A7" s="24" t="s">
        <v>321</v>
      </c>
      <c r="B7" s="24">
        <v>32.96</v>
      </c>
      <c r="C7" s="83">
        <f t="shared" si="5"/>
        <v>27.239669421487605</v>
      </c>
      <c r="D7" s="234">
        <f t="shared" si="6"/>
        <v>23.153719008264463</v>
      </c>
      <c r="E7" s="234">
        <f t="shared" si="7"/>
        <v>23153.719008264463</v>
      </c>
      <c r="F7" s="235">
        <v>25618.629119337336</v>
      </c>
      <c r="G7" s="235">
        <f t="shared" si="8"/>
        <v>30998.541234398177</v>
      </c>
      <c r="H7" s="60">
        <f t="shared" si="0"/>
        <v>13321.687142055416</v>
      </c>
      <c r="I7" s="60">
        <f t="shared" si="1"/>
        <v>11989.518427849875</v>
      </c>
      <c r="J7" s="19">
        <f t="shared" si="2"/>
        <v>11989.518427849875</v>
      </c>
      <c r="K7" s="61">
        <f t="shared" si="9"/>
        <v>-0.48217742369723199</v>
      </c>
      <c r="L7" s="25">
        <f t="shared" si="10"/>
        <v>-0.93116338638604568</v>
      </c>
      <c r="M7" s="204"/>
      <c r="N7" s="231">
        <f t="shared" si="3"/>
        <v>37045.950413223145</v>
      </c>
      <c r="O7" s="232">
        <f t="shared" si="11"/>
        <v>44825.600000000006</v>
      </c>
      <c r="P7" s="189"/>
      <c r="Q7" s="117">
        <v>69091.000000000015</v>
      </c>
      <c r="R7" s="440">
        <f t="shared" si="12"/>
        <v>69100</v>
      </c>
      <c r="S7" s="42">
        <f t="shared" si="13"/>
        <v>57107.438016528926</v>
      </c>
      <c r="T7" s="190">
        <f t="shared" si="14"/>
        <v>1.4664477441462023</v>
      </c>
      <c r="U7" s="445">
        <f t="shared" si="4"/>
        <v>0.59455861070911731</v>
      </c>
      <c r="V7" s="440">
        <f t="shared" si="15"/>
        <v>69100</v>
      </c>
    </row>
    <row r="8" spans="1:22" ht="21">
      <c r="A8" s="24" t="s">
        <v>324</v>
      </c>
      <c r="B8" s="24">
        <v>39.79</v>
      </c>
      <c r="C8" s="83">
        <f t="shared" si="5"/>
        <v>32.884297520661157</v>
      </c>
      <c r="D8" s="234">
        <f t="shared" si="6"/>
        <v>27.951652892561984</v>
      </c>
      <c r="E8" s="234">
        <f t="shared" si="7"/>
        <v>27951.652892561986</v>
      </c>
      <c r="F8" s="235">
        <v>30453.811189539727</v>
      </c>
      <c r="G8" s="235">
        <f t="shared" si="8"/>
        <v>36849.111539343066</v>
      </c>
      <c r="H8" s="60">
        <f t="shared" si="0"/>
        <v>15835.981818560658</v>
      </c>
      <c r="I8" s="60">
        <f t="shared" si="1"/>
        <v>14252.383636704591</v>
      </c>
      <c r="J8" s="19">
        <f t="shared" si="2"/>
        <v>14252.383636704591</v>
      </c>
      <c r="K8" s="61">
        <f t="shared" si="9"/>
        <v>-0.49010587347064577</v>
      </c>
      <c r="L8" s="25">
        <f t="shared" si="10"/>
        <v>-0.96119144734339423</v>
      </c>
      <c r="M8" s="204"/>
      <c r="N8" s="231">
        <f t="shared" si="3"/>
        <v>44722.64462809918</v>
      </c>
      <c r="O8" s="232">
        <f t="shared" si="11"/>
        <v>54114.400000000009</v>
      </c>
      <c r="P8" s="189"/>
      <c r="Q8" s="117">
        <v>83369</v>
      </c>
      <c r="R8" s="440">
        <f t="shared" si="12"/>
        <v>83400</v>
      </c>
      <c r="S8" s="42">
        <f t="shared" si="13"/>
        <v>68925.619834710742</v>
      </c>
      <c r="T8" s="190">
        <f t="shared" si="14"/>
        <v>1.4658870836598019</v>
      </c>
      <c r="U8" s="445">
        <f t="shared" si="4"/>
        <v>0.59446642685851314</v>
      </c>
      <c r="V8" s="440">
        <f t="shared" si="15"/>
        <v>83400</v>
      </c>
    </row>
    <row r="9" spans="1:22" ht="21">
      <c r="A9" s="24" t="s">
        <v>326</v>
      </c>
      <c r="B9" s="24">
        <v>42.19</v>
      </c>
      <c r="C9" s="83">
        <f t="shared" si="5"/>
        <v>34.867768595041319</v>
      </c>
      <c r="D9" s="234">
        <f t="shared" si="6"/>
        <v>29.63760330578512</v>
      </c>
      <c r="E9" s="234">
        <f t="shared" si="7"/>
        <v>29637.60330578512</v>
      </c>
      <c r="F9" s="235">
        <v>32412.774373368138</v>
      </c>
      <c r="G9" s="235">
        <f t="shared" si="8"/>
        <v>39219.456991775449</v>
      </c>
      <c r="H9" s="60">
        <f t="shared" si="0"/>
        <v>16854.642674151433</v>
      </c>
      <c r="I9" s="60">
        <f t="shared" si="1"/>
        <v>15169.17840673629</v>
      </c>
      <c r="J9" s="19">
        <f t="shared" si="2"/>
        <v>15169.17840673629</v>
      </c>
      <c r="K9" s="61">
        <f t="shared" si="9"/>
        <v>-0.48817796600390634</v>
      </c>
      <c r="L9" s="25">
        <f t="shared" si="10"/>
        <v>-0.95380412248455915</v>
      </c>
      <c r="M9" s="204"/>
      <c r="N9" s="231">
        <f t="shared" si="3"/>
        <v>47420.165289256198</v>
      </c>
      <c r="O9" s="232">
        <f t="shared" si="11"/>
        <v>57378.399999999994</v>
      </c>
      <c r="P9" s="189"/>
      <c r="Q9" s="117">
        <v>88390.5</v>
      </c>
      <c r="R9" s="440">
        <f t="shared" si="12"/>
        <v>88400</v>
      </c>
      <c r="S9" s="42">
        <f t="shared" si="13"/>
        <v>73057.851239669428</v>
      </c>
      <c r="T9" s="190">
        <f t="shared" si="14"/>
        <v>1.4650391087935537</v>
      </c>
      <c r="U9" s="445">
        <f t="shared" si="4"/>
        <v>0.59432692307692325</v>
      </c>
      <c r="V9" s="440">
        <f t="shared" si="15"/>
        <v>88400</v>
      </c>
    </row>
    <row r="10" spans="1:22" ht="21">
      <c r="A10" s="24" t="s">
        <v>327</v>
      </c>
      <c r="B10" s="24">
        <v>45.15</v>
      </c>
      <c r="C10" s="83">
        <f t="shared" si="5"/>
        <v>37.314049586776861</v>
      </c>
      <c r="D10" s="234">
        <f t="shared" si="6"/>
        <v>31.716942148760332</v>
      </c>
      <c r="E10" s="234">
        <f t="shared" si="7"/>
        <v>31716.942148760332</v>
      </c>
      <c r="F10" s="235">
        <v>33878.539767385635</v>
      </c>
      <c r="G10" s="235">
        <f t="shared" si="8"/>
        <v>40993.033118536616</v>
      </c>
      <c r="H10" s="60">
        <f t="shared" si="0"/>
        <v>17616.840679040532</v>
      </c>
      <c r="I10" s="60">
        <f t="shared" si="1"/>
        <v>15855.156611136477</v>
      </c>
      <c r="J10" s="19">
        <f t="shared" si="2"/>
        <v>15855.156611136477</v>
      </c>
      <c r="K10" s="61">
        <f t="shared" si="9"/>
        <v>-0.50010450134909423</v>
      </c>
      <c r="L10" s="25">
        <f t="shared" si="10"/>
        <v>-1.0004180927788957</v>
      </c>
      <c r="M10" s="204"/>
      <c r="N10" s="231">
        <f t="shared" si="3"/>
        <v>50747.107438016537</v>
      </c>
      <c r="O10" s="232">
        <f t="shared" si="11"/>
        <v>61404.000000000007</v>
      </c>
      <c r="P10" s="189"/>
      <c r="Q10" s="117">
        <v>94622.000000000015</v>
      </c>
      <c r="R10" s="440">
        <f t="shared" si="12"/>
        <v>94650</v>
      </c>
      <c r="S10" s="42">
        <f t="shared" si="13"/>
        <v>78223.140495867774</v>
      </c>
      <c r="T10" s="190">
        <f t="shared" si="14"/>
        <v>1.4662888411178425</v>
      </c>
      <c r="U10" s="445">
        <f t="shared" si="4"/>
        <v>0.59453248811410464</v>
      </c>
      <c r="V10" s="440">
        <f t="shared" si="15"/>
        <v>94650</v>
      </c>
    </row>
    <row r="11" spans="1:22" ht="21">
      <c r="A11" s="24" t="s">
        <v>328</v>
      </c>
      <c r="B11" s="24">
        <v>49.86</v>
      </c>
      <c r="C11" s="83">
        <f t="shared" si="5"/>
        <v>41.206611570247937</v>
      </c>
      <c r="D11" s="234">
        <f t="shared" si="6"/>
        <v>35.025619834710746</v>
      </c>
      <c r="E11" s="234">
        <f t="shared" si="7"/>
        <v>35025.619834710749</v>
      </c>
      <c r="F11" s="235">
        <v>37948.573864610349</v>
      </c>
      <c r="G11" s="235">
        <f t="shared" si="8"/>
        <v>45917.774376178524</v>
      </c>
      <c r="H11" s="60">
        <f t="shared" si="0"/>
        <v>19733.258409597383</v>
      </c>
      <c r="I11" s="60">
        <f t="shared" si="1"/>
        <v>17759.932568637647</v>
      </c>
      <c r="J11" s="19">
        <f t="shared" si="2"/>
        <v>17759.932568637647</v>
      </c>
      <c r="K11" s="61">
        <f t="shared" si="9"/>
        <v>-0.49294451740044953</v>
      </c>
      <c r="L11" s="25">
        <f t="shared" si="10"/>
        <v>-0.97217076694101112</v>
      </c>
      <c r="M11" s="204"/>
      <c r="N11" s="231">
        <f t="shared" si="3"/>
        <v>56040.991735537202</v>
      </c>
      <c r="O11" s="232">
        <f t="shared" si="11"/>
        <v>67809.600000000006</v>
      </c>
      <c r="P11" s="189"/>
      <c r="Q11" s="117">
        <v>104483.50000000003</v>
      </c>
      <c r="R11" s="440">
        <f t="shared" si="12"/>
        <v>104500</v>
      </c>
      <c r="S11" s="42">
        <f t="shared" si="13"/>
        <v>86363.636363636368</v>
      </c>
      <c r="T11" s="190">
        <f t="shared" si="14"/>
        <v>1.4657275665982394</v>
      </c>
      <c r="U11" s="445">
        <f t="shared" si="4"/>
        <v>0.59444019138755977</v>
      </c>
      <c r="V11" s="440">
        <f t="shared" si="15"/>
        <v>104500</v>
      </c>
    </row>
    <row r="12" spans="1:22" ht="21">
      <c r="A12" s="24" t="s">
        <v>331</v>
      </c>
      <c r="B12" s="24">
        <v>56.99</v>
      </c>
      <c r="C12" s="83">
        <f t="shared" si="5"/>
        <v>47.099173553719012</v>
      </c>
      <c r="D12" s="234">
        <f t="shared" si="6"/>
        <v>40.034297520661163</v>
      </c>
      <c r="E12" s="234">
        <f t="shared" si="7"/>
        <v>40034.297520661159</v>
      </c>
      <c r="F12" s="235">
        <v>47346.987821848357</v>
      </c>
      <c r="G12" s="235">
        <f t="shared" si="8"/>
        <v>57289.855264436512</v>
      </c>
      <c r="H12" s="60">
        <f t="shared" si="0"/>
        <v>24620.433667361147</v>
      </c>
      <c r="I12" s="60">
        <f t="shared" si="1"/>
        <v>22158.390300625033</v>
      </c>
      <c r="J12" s="19">
        <f t="shared" si="2"/>
        <v>22158.390300625033</v>
      </c>
      <c r="K12" s="61">
        <f t="shared" si="9"/>
        <v>-0.44651482171781864</v>
      </c>
      <c r="L12" s="25">
        <f t="shared" si="10"/>
        <v>-0.80673311452284924</v>
      </c>
      <c r="M12" s="204"/>
      <c r="N12" s="231">
        <f t="shared" si="3"/>
        <v>64054.876033057859</v>
      </c>
      <c r="O12" s="232">
        <f t="shared" si="11"/>
        <v>77506.400000000009</v>
      </c>
      <c r="P12" s="189"/>
      <c r="Q12" s="117">
        <v>119427.00000000003</v>
      </c>
      <c r="R12" s="440">
        <f t="shared" si="12"/>
        <v>119450</v>
      </c>
      <c r="S12" s="42">
        <f t="shared" si="13"/>
        <v>98719.008264462813</v>
      </c>
      <c r="T12" s="190">
        <f t="shared" si="14"/>
        <v>1.4658608837463745</v>
      </c>
      <c r="U12" s="445">
        <f t="shared" si="4"/>
        <v>0.59446211804102134</v>
      </c>
      <c r="V12" s="440">
        <f t="shared" si="15"/>
        <v>119450</v>
      </c>
    </row>
    <row r="13" spans="1:22" ht="21">
      <c r="A13" s="24" t="s">
        <v>333</v>
      </c>
      <c r="B13" s="24">
        <v>16.04</v>
      </c>
      <c r="C13" s="83">
        <f t="shared" si="5"/>
        <v>13.256198347107437</v>
      </c>
      <c r="D13" s="234">
        <f t="shared" si="6"/>
        <v>11.267768595041321</v>
      </c>
      <c r="E13" s="234">
        <f t="shared" si="7"/>
        <v>11267.768595041322</v>
      </c>
      <c r="F13" s="235">
        <v>13030.562166312817</v>
      </c>
      <c r="G13" s="235">
        <f t="shared" si="8"/>
        <v>15766.980221238508</v>
      </c>
      <c r="H13" s="60">
        <f t="shared" si="0"/>
        <v>6775.8923264826653</v>
      </c>
      <c r="I13" s="60">
        <f t="shared" si="1"/>
        <v>6098.3030938343991</v>
      </c>
      <c r="J13" s="19">
        <f t="shared" si="2"/>
        <v>6098.3030938343991</v>
      </c>
      <c r="K13" s="61">
        <f t="shared" si="9"/>
        <v>-0.45878342793460297</v>
      </c>
      <c r="L13" s="25">
        <f t="shared" si="10"/>
        <v>-0.84768917216224227</v>
      </c>
      <c r="M13" s="204"/>
      <c r="N13" s="231">
        <f t="shared" si="3"/>
        <v>18028.429752066117</v>
      </c>
      <c r="O13" s="232">
        <f t="shared" si="11"/>
        <v>21814.400000000001</v>
      </c>
      <c r="P13" s="189"/>
      <c r="Q13" s="117">
        <v>33638.000000000007</v>
      </c>
      <c r="R13" s="440">
        <f t="shared" si="12"/>
        <v>33650</v>
      </c>
      <c r="S13" s="42">
        <f t="shared" si="13"/>
        <v>27809.917355371901</v>
      </c>
      <c r="T13" s="190">
        <f t="shared" si="14"/>
        <v>1.4680944697080829</v>
      </c>
      <c r="U13" s="445">
        <f t="shared" si="4"/>
        <v>0.59482912332838045</v>
      </c>
      <c r="V13" s="440">
        <f t="shared" si="15"/>
        <v>33650</v>
      </c>
    </row>
    <row r="14" spans="1:22" ht="21">
      <c r="A14" s="24" t="s">
        <v>336</v>
      </c>
      <c r="B14" s="24">
        <v>19.52</v>
      </c>
      <c r="C14" s="83">
        <f t="shared" si="5"/>
        <v>16.132231404958677</v>
      </c>
      <c r="D14" s="234">
        <f t="shared" si="6"/>
        <v>13.712396694214876</v>
      </c>
      <c r="E14" s="234">
        <f t="shared" si="7"/>
        <v>13712.396694214876</v>
      </c>
      <c r="F14" s="235">
        <v>16602.789148588185</v>
      </c>
      <c r="G14" s="235">
        <f t="shared" si="8"/>
        <v>20089.374869791704</v>
      </c>
      <c r="H14" s="60">
        <f t="shared" si="0"/>
        <v>8633.4503572658559</v>
      </c>
      <c r="I14" s="60">
        <f t="shared" si="1"/>
        <v>7770.1053215392703</v>
      </c>
      <c r="J14" s="19">
        <f t="shared" si="2"/>
        <v>7770.1053215392703</v>
      </c>
      <c r="K14" s="61">
        <f t="shared" si="9"/>
        <v>-0.43335176958398525</v>
      </c>
      <c r="L14" s="25">
        <f t="shared" si="10"/>
        <v>-0.76476329815030464</v>
      </c>
      <c r="M14" s="204"/>
      <c r="N14" s="231">
        <f t="shared" si="3"/>
        <v>21939.834710743802</v>
      </c>
      <c r="O14" s="232">
        <f t="shared" si="11"/>
        <v>26547.200000000001</v>
      </c>
      <c r="P14" s="189"/>
      <c r="Q14" s="117">
        <v>40898</v>
      </c>
      <c r="R14" s="440">
        <f t="shared" si="12"/>
        <v>40900</v>
      </c>
      <c r="S14" s="42">
        <f t="shared" si="13"/>
        <v>33801.652892561986</v>
      </c>
      <c r="T14" s="190">
        <f t="shared" si="14"/>
        <v>1.4650433944069432</v>
      </c>
      <c r="U14" s="445">
        <f t="shared" si="4"/>
        <v>0.59432762836185826</v>
      </c>
      <c r="V14" s="440">
        <f t="shared" si="15"/>
        <v>40900</v>
      </c>
    </row>
    <row r="15" spans="1:22" ht="21">
      <c r="A15" s="24" t="s">
        <v>339</v>
      </c>
      <c r="B15" s="24">
        <v>24.75</v>
      </c>
      <c r="C15" s="83">
        <f t="shared" si="5"/>
        <v>20.454545454545457</v>
      </c>
      <c r="D15" s="234">
        <f t="shared" si="6"/>
        <v>17.38636363636364</v>
      </c>
      <c r="E15" s="234">
        <f t="shared" si="7"/>
        <v>17386.36363636364</v>
      </c>
      <c r="F15" s="235">
        <v>18621.673559216058</v>
      </c>
      <c r="G15" s="235">
        <f t="shared" si="8"/>
        <v>22532.225006651432</v>
      </c>
      <c r="H15" s="60">
        <f t="shared" si="0"/>
        <v>9683.2702507923514</v>
      </c>
      <c r="I15" s="60">
        <f t="shared" si="1"/>
        <v>8714.9432257131157</v>
      </c>
      <c r="J15" s="19">
        <f t="shared" si="2"/>
        <v>8714.9432257131157</v>
      </c>
      <c r="K15" s="61">
        <f t="shared" si="9"/>
        <v>-0.49874836348839607</v>
      </c>
      <c r="L15" s="25">
        <f t="shared" si="10"/>
        <v>-0.99500595541068138</v>
      </c>
      <c r="M15" s="204"/>
      <c r="N15" s="231">
        <f t="shared" si="3"/>
        <v>27818.181818181823</v>
      </c>
      <c r="O15" s="232">
        <f t="shared" si="11"/>
        <v>33660.000000000007</v>
      </c>
      <c r="P15" s="189"/>
      <c r="Q15" s="117">
        <v>51848.500000000015</v>
      </c>
      <c r="R15" s="440">
        <f t="shared" si="12"/>
        <v>51850</v>
      </c>
      <c r="S15" s="42">
        <f t="shared" si="13"/>
        <v>42851.239669421491</v>
      </c>
      <c r="T15" s="190">
        <f t="shared" si="14"/>
        <v>1.4646464646464643</v>
      </c>
      <c r="U15" s="445">
        <f t="shared" si="4"/>
        <v>0.59426229508196715</v>
      </c>
      <c r="V15" s="440">
        <f t="shared" si="15"/>
        <v>51850</v>
      </c>
    </row>
    <row r="16" spans="1:22" ht="21">
      <c r="A16" s="24" t="s">
        <v>341</v>
      </c>
      <c r="B16" s="24">
        <v>25.62</v>
      </c>
      <c r="C16" s="83">
        <f t="shared" si="5"/>
        <v>21.173553719008265</v>
      </c>
      <c r="D16" s="234">
        <f t="shared" si="6"/>
        <v>17.997520661157026</v>
      </c>
      <c r="E16" s="234">
        <f t="shared" si="7"/>
        <v>17997.520661157025</v>
      </c>
      <c r="F16" s="235">
        <v>21083.053183132241</v>
      </c>
      <c r="G16" s="235">
        <f t="shared" si="8"/>
        <v>25510.494351590009</v>
      </c>
      <c r="H16" s="60">
        <f t="shared" si="0"/>
        <v>10963.187655228765</v>
      </c>
      <c r="I16" s="60">
        <f t="shared" si="1"/>
        <v>9866.8688897058892</v>
      </c>
      <c r="J16" s="19">
        <f t="shared" si="2"/>
        <v>9866.8688897058892</v>
      </c>
      <c r="K16" s="61">
        <f t="shared" si="9"/>
        <v>-0.45176510278991017</v>
      </c>
      <c r="L16" s="25">
        <f t="shared" si="10"/>
        <v>-0.82403565531653611</v>
      </c>
      <c r="M16" s="204"/>
      <c r="N16" s="231">
        <f t="shared" si="3"/>
        <v>28796.03305785124</v>
      </c>
      <c r="O16" s="232">
        <f t="shared" si="11"/>
        <v>34843.199999999997</v>
      </c>
      <c r="P16" s="189"/>
      <c r="Q16" s="117">
        <v>53724.000000000015</v>
      </c>
      <c r="R16" s="440">
        <f t="shared" si="12"/>
        <v>53750</v>
      </c>
      <c r="S16" s="42">
        <f t="shared" si="13"/>
        <v>44421.487603305788</v>
      </c>
      <c r="T16" s="190">
        <f t="shared" si="14"/>
        <v>1.4682003949120634</v>
      </c>
      <c r="U16" s="445">
        <f t="shared" si="4"/>
        <v>0.59484651162790703</v>
      </c>
      <c r="V16" s="440">
        <f t="shared" si="15"/>
        <v>53750</v>
      </c>
    </row>
    <row r="17" spans="1:22" ht="21">
      <c r="A17" s="24" t="s">
        <v>345</v>
      </c>
      <c r="B17" s="24">
        <v>26.39</v>
      </c>
      <c r="C17" s="83">
        <f t="shared" si="5"/>
        <v>21.809917355371901</v>
      </c>
      <c r="D17" s="234">
        <f t="shared" si="6"/>
        <v>18.538429752066115</v>
      </c>
      <c r="E17" s="234">
        <f t="shared" si="7"/>
        <v>18538.429752066117</v>
      </c>
      <c r="F17" s="235">
        <v>22018.746186231463</v>
      </c>
      <c r="G17" s="235">
        <f t="shared" si="8"/>
        <v>26642.682885340069</v>
      </c>
      <c r="H17" s="60">
        <f t="shared" si="0"/>
        <v>11449.748016840362</v>
      </c>
      <c r="I17" s="60">
        <f t="shared" si="1"/>
        <v>10304.773215156325</v>
      </c>
      <c r="J17" s="19">
        <f t="shared" si="2"/>
        <v>10304.773215156325</v>
      </c>
      <c r="K17" s="61">
        <f t="shared" si="9"/>
        <v>-0.44413991082454796</v>
      </c>
      <c r="L17" s="25">
        <f t="shared" si="10"/>
        <v>-0.79901385163912952</v>
      </c>
      <c r="M17" s="204"/>
      <c r="N17" s="231">
        <f t="shared" si="3"/>
        <v>29661.487603305788</v>
      </c>
      <c r="O17" s="232">
        <f t="shared" si="11"/>
        <v>35890.400000000001</v>
      </c>
      <c r="P17" s="189"/>
      <c r="Q17" s="117">
        <v>55297.000000000015</v>
      </c>
      <c r="R17" s="440">
        <f t="shared" si="12"/>
        <v>55300</v>
      </c>
      <c r="S17" s="42">
        <f t="shared" si="13"/>
        <v>45702.479338842975</v>
      </c>
      <c r="T17" s="190">
        <f t="shared" si="14"/>
        <v>1.465283195506319</v>
      </c>
      <c r="U17" s="445">
        <f t="shared" si="4"/>
        <v>0.59436708860759491</v>
      </c>
      <c r="V17" s="440">
        <f t="shared" si="15"/>
        <v>55300</v>
      </c>
    </row>
    <row r="18" spans="1:22" ht="21">
      <c r="A18" s="24" t="s">
        <v>347</v>
      </c>
      <c r="B18" s="24">
        <v>32.71</v>
      </c>
      <c r="C18" s="83">
        <f t="shared" si="5"/>
        <v>27.033057851239672</v>
      </c>
      <c r="D18" s="234">
        <f t="shared" si="6"/>
        <v>22.978099173553723</v>
      </c>
      <c r="E18" s="234">
        <f t="shared" si="7"/>
        <v>22978.099173553725</v>
      </c>
      <c r="F18" s="235">
        <v>27494.6244506742</v>
      </c>
      <c r="G18" s="235">
        <f t="shared" si="8"/>
        <v>33268.495585315781</v>
      </c>
      <c r="H18" s="60">
        <f t="shared" si="0"/>
        <v>14297.204714350584</v>
      </c>
      <c r="I18" s="60">
        <f t="shared" si="1"/>
        <v>12867.484242915525</v>
      </c>
      <c r="J18" s="19">
        <f t="shared" si="2"/>
        <v>12867.484242915525</v>
      </c>
      <c r="K18" s="61">
        <f t="shared" si="9"/>
        <v>-0.44001093625163085</v>
      </c>
      <c r="L18" s="25">
        <f t="shared" si="10"/>
        <v>-0.78574915964671332</v>
      </c>
      <c r="M18" s="204"/>
      <c r="N18" s="231">
        <f t="shared" si="3"/>
        <v>36764.958677685958</v>
      </c>
      <c r="O18" s="232">
        <f t="shared" si="11"/>
        <v>44485.600000000006</v>
      </c>
      <c r="P18" s="189"/>
      <c r="Q18" s="117">
        <v>68546.500000000015</v>
      </c>
      <c r="R18" s="440">
        <f t="shared" si="12"/>
        <v>68550</v>
      </c>
      <c r="S18" s="42">
        <f t="shared" si="13"/>
        <v>56652.89256198347</v>
      </c>
      <c r="T18" s="190">
        <f t="shared" si="14"/>
        <v>1.4655169313215957</v>
      </c>
      <c r="U18" s="445">
        <f t="shared" si="4"/>
        <v>0.59440554339897878</v>
      </c>
      <c r="V18" s="440">
        <f t="shared" si="15"/>
        <v>68550</v>
      </c>
    </row>
    <row r="19" spans="1:22" ht="21">
      <c r="A19" s="24" t="s">
        <v>350</v>
      </c>
      <c r="B19" s="24">
        <v>43.14</v>
      </c>
      <c r="C19" s="83">
        <f t="shared" si="5"/>
        <v>35.652892561983471</v>
      </c>
      <c r="D19" s="234">
        <f t="shared" si="6"/>
        <v>30.304958677685949</v>
      </c>
      <c r="E19" s="234">
        <f t="shared" si="7"/>
        <v>30304.958677685951</v>
      </c>
      <c r="F19" s="235">
        <v>33320.81142563685</v>
      </c>
      <c r="G19" s="235">
        <f t="shared" si="8"/>
        <v>40318.181825020591</v>
      </c>
      <c r="H19" s="60">
        <f t="shared" si="0"/>
        <v>17326.82194133116</v>
      </c>
      <c r="I19" s="60">
        <f t="shared" si="1"/>
        <v>15594.139747198044</v>
      </c>
      <c r="J19" s="19">
        <f t="shared" si="2"/>
        <v>15594.139747198044</v>
      </c>
      <c r="K19" s="61">
        <f t="shared" si="9"/>
        <v>-0.48542613395212214</v>
      </c>
      <c r="L19" s="25">
        <f t="shared" si="10"/>
        <v>-0.94335559184219497</v>
      </c>
      <c r="M19" s="204"/>
      <c r="N19" s="231">
        <f t="shared" si="3"/>
        <v>48487.933884297527</v>
      </c>
      <c r="O19" s="232">
        <f t="shared" si="11"/>
        <v>58670.400000000009</v>
      </c>
      <c r="P19" s="189"/>
      <c r="Q19" s="117">
        <v>90387.000000000015</v>
      </c>
      <c r="R19" s="440">
        <f t="shared" si="12"/>
        <v>90400</v>
      </c>
      <c r="S19" s="42">
        <f t="shared" si="13"/>
        <v>74710.74380165289</v>
      </c>
      <c r="T19" s="190">
        <f t="shared" si="14"/>
        <v>1.4652976628759988</v>
      </c>
      <c r="U19" s="445">
        <f t="shared" si="4"/>
        <v>0.59436946902654864</v>
      </c>
      <c r="V19" s="440">
        <f t="shared" si="15"/>
        <v>90400</v>
      </c>
    </row>
    <row r="20" spans="1:22" ht="21">
      <c r="A20" s="24" t="s">
        <v>353</v>
      </c>
      <c r="B20" s="24">
        <v>48.62</v>
      </c>
      <c r="C20" s="83">
        <f t="shared" si="5"/>
        <v>40.18181818181818</v>
      </c>
      <c r="D20" s="234">
        <f t="shared" si="6"/>
        <v>34.154545454545456</v>
      </c>
      <c r="E20" s="234">
        <f t="shared" si="7"/>
        <v>34154.545454545456</v>
      </c>
      <c r="F20" s="235">
        <v>37478.42270049153</v>
      </c>
      <c r="G20" s="235">
        <f t="shared" si="8"/>
        <v>45348.891467594753</v>
      </c>
      <c r="H20" s="60">
        <f t="shared" si="0"/>
        <v>19488.779804255595</v>
      </c>
      <c r="I20" s="60">
        <f t="shared" si="1"/>
        <v>17539.901823830034</v>
      </c>
      <c r="J20" s="19">
        <f t="shared" si="2"/>
        <v>17539.901823830034</v>
      </c>
      <c r="K20" s="61">
        <f t="shared" si="9"/>
        <v>-0.48645483081679436</v>
      </c>
      <c r="L20" s="25">
        <f t="shared" si="10"/>
        <v>-0.94724838243635212</v>
      </c>
      <c r="M20" s="204"/>
      <c r="N20" s="231">
        <f t="shared" si="3"/>
        <v>54647.272727272735</v>
      </c>
      <c r="O20" s="232">
        <f t="shared" si="11"/>
        <v>66123.200000000012</v>
      </c>
      <c r="P20" s="189"/>
      <c r="Q20" s="117">
        <v>101882.00000000003</v>
      </c>
      <c r="R20" s="440">
        <f t="shared" si="12"/>
        <v>101900</v>
      </c>
      <c r="S20" s="42">
        <f t="shared" si="13"/>
        <v>84214.876033057852</v>
      </c>
      <c r="T20" s="190">
        <f t="shared" si="14"/>
        <v>1.465700389575822</v>
      </c>
      <c r="U20" s="445">
        <f t="shared" si="4"/>
        <v>0.59443572129538758</v>
      </c>
      <c r="V20" s="440">
        <f t="shared" si="15"/>
        <v>101900</v>
      </c>
    </row>
    <row r="21" spans="1:22" ht="21">
      <c r="A21" s="24" t="s">
        <v>355</v>
      </c>
      <c r="B21" s="24">
        <v>66.569999999999993</v>
      </c>
      <c r="C21" s="83">
        <f t="shared" si="5"/>
        <v>55.016528925619831</v>
      </c>
      <c r="D21" s="234">
        <f t="shared" si="6"/>
        <v>46.764049586776856</v>
      </c>
      <c r="E21" s="234">
        <f t="shared" si="7"/>
        <v>46764.049586776855</v>
      </c>
      <c r="F21" s="235">
        <v>56100.096259707607</v>
      </c>
      <c r="G21" s="235">
        <f t="shared" si="8"/>
        <v>67881.116474246199</v>
      </c>
      <c r="H21" s="60">
        <f t="shared" si="0"/>
        <v>29172.050055047956</v>
      </c>
      <c r="I21" s="60">
        <f t="shared" si="1"/>
        <v>26254.845049543161</v>
      </c>
      <c r="J21" s="19">
        <f t="shared" si="2"/>
        <v>26254.845049543161</v>
      </c>
      <c r="K21" s="61">
        <f t="shared" si="9"/>
        <v>-0.4385677613136596</v>
      </c>
      <c r="L21" s="25">
        <f t="shared" si="10"/>
        <v>-0.78115884891084353</v>
      </c>
      <c r="M21" s="204"/>
      <c r="N21" s="231">
        <f t="shared" si="3"/>
        <v>74822.479338842968</v>
      </c>
      <c r="O21" s="232">
        <f t="shared" si="11"/>
        <v>90535.199999999983</v>
      </c>
      <c r="P21" s="189"/>
      <c r="Q21" s="117">
        <v>139452.50000000003</v>
      </c>
      <c r="R21" s="440">
        <f t="shared" si="12"/>
        <v>139500</v>
      </c>
      <c r="S21" s="42">
        <f t="shared" si="13"/>
        <v>115289.25619834711</v>
      </c>
      <c r="T21" s="190">
        <f t="shared" si="14"/>
        <v>1.4653394480820723</v>
      </c>
      <c r="U21" s="445">
        <f t="shared" si="4"/>
        <v>0.59437634408602158</v>
      </c>
      <c r="V21" s="440">
        <f t="shared" si="15"/>
        <v>139500</v>
      </c>
    </row>
    <row r="22" spans="1:22" ht="21">
      <c r="A22" s="24" t="s">
        <v>356</v>
      </c>
      <c r="B22" s="24">
        <v>63.55</v>
      </c>
      <c r="C22" s="83">
        <f t="shared" si="5"/>
        <v>52.52066115702479</v>
      </c>
      <c r="D22" s="234">
        <f t="shared" si="6"/>
        <v>44.642561983471069</v>
      </c>
      <c r="E22" s="234">
        <f t="shared" si="7"/>
        <v>44642.561983471067</v>
      </c>
      <c r="F22" s="235">
        <v>48019.94929205763</v>
      </c>
      <c r="G22" s="235">
        <f t="shared" si="8"/>
        <v>58104.138643389728</v>
      </c>
      <c r="H22" s="60">
        <f t="shared" si="0"/>
        <v>24970.37363186997</v>
      </c>
      <c r="I22" s="60">
        <f t="shared" si="1"/>
        <v>22473.336268682971</v>
      </c>
      <c r="J22" s="19">
        <f t="shared" si="2"/>
        <v>22473.336268682971</v>
      </c>
      <c r="K22" s="61">
        <f t="shared" si="9"/>
        <v>-0.49659393927696766</v>
      </c>
      <c r="L22" s="25"/>
      <c r="M22" s="204"/>
      <c r="N22" s="231">
        <f t="shared" si="3"/>
        <v>71428.09917355371</v>
      </c>
      <c r="O22" s="232">
        <f t="shared" si="11"/>
        <v>86427.999999999985</v>
      </c>
      <c r="P22" s="189"/>
      <c r="Q22" s="117">
        <v>133160.50000000003</v>
      </c>
      <c r="R22" s="440">
        <f t="shared" si="12"/>
        <v>133200</v>
      </c>
      <c r="S22" s="42">
        <f t="shared" si="13"/>
        <v>110082.64462809918</v>
      </c>
      <c r="T22" s="190">
        <f t="shared" si="14"/>
        <v>1.4658675429259043</v>
      </c>
      <c r="U22" s="445">
        <f t="shared" si="4"/>
        <v>0.59446321321321327</v>
      </c>
      <c r="V22" s="440">
        <f t="shared" si="15"/>
        <v>133200</v>
      </c>
    </row>
    <row r="23" spans="1:22" ht="21">
      <c r="A23" s="24" t="s">
        <v>357</v>
      </c>
      <c r="B23" s="24">
        <v>63.55</v>
      </c>
      <c r="C23" s="83">
        <f t="shared" si="5"/>
        <v>52.52066115702479</v>
      </c>
      <c r="D23" s="234">
        <f t="shared" si="6"/>
        <v>44.642561983471069</v>
      </c>
      <c r="E23" s="234">
        <f t="shared" si="7"/>
        <v>44642.561983471067</v>
      </c>
      <c r="F23" s="235">
        <v>48019.94929205763</v>
      </c>
      <c r="G23" s="235">
        <f t="shared" si="8"/>
        <v>58104.138643389728</v>
      </c>
      <c r="H23" s="60">
        <f t="shared" si="0"/>
        <v>24970.37363186997</v>
      </c>
      <c r="I23" s="60">
        <f t="shared" si="1"/>
        <v>22473.336268682971</v>
      </c>
      <c r="J23" s="19">
        <f t="shared" si="2"/>
        <v>22473.336268682971</v>
      </c>
      <c r="K23" s="61">
        <f t="shared" si="9"/>
        <v>-0.49659393927696766</v>
      </c>
      <c r="L23" s="25">
        <f t="shared" si="10"/>
        <v>-0.98646793914979769</v>
      </c>
      <c r="M23" s="204"/>
      <c r="N23" s="231">
        <f t="shared" si="3"/>
        <v>71428.09917355371</v>
      </c>
      <c r="O23" s="232">
        <f t="shared" si="11"/>
        <v>86427.999999999985</v>
      </c>
      <c r="P23" s="189"/>
      <c r="Q23" s="117">
        <v>133160.50000000003</v>
      </c>
      <c r="R23" s="440">
        <f t="shared" si="12"/>
        <v>133200</v>
      </c>
      <c r="S23" s="42">
        <f t="shared" si="13"/>
        <v>110082.64462809918</v>
      </c>
      <c r="T23" s="190">
        <f t="shared" si="14"/>
        <v>1.4658675429259043</v>
      </c>
      <c r="U23" s="445">
        <f t="shared" si="4"/>
        <v>0.59446321321321327</v>
      </c>
      <c r="V23" s="440">
        <f t="shared" si="15"/>
        <v>133200</v>
      </c>
    </row>
    <row r="24" spans="1:22" ht="21">
      <c r="A24" s="24" t="s">
        <v>358</v>
      </c>
      <c r="B24" s="24">
        <v>25.62</v>
      </c>
      <c r="C24" s="83">
        <f t="shared" si="5"/>
        <v>21.173553719008265</v>
      </c>
      <c r="D24" s="234">
        <f t="shared" si="6"/>
        <v>17.997520661157026</v>
      </c>
      <c r="E24" s="234">
        <f t="shared" si="7"/>
        <v>17997.520661157025</v>
      </c>
      <c r="F24" s="235">
        <v>19502.054660654238</v>
      </c>
      <c r="G24" s="235">
        <f t="shared" si="8"/>
        <v>23597.486139391625</v>
      </c>
      <c r="H24" s="60">
        <f t="shared" si="0"/>
        <v>10141.068423540204</v>
      </c>
      <c r="I24" s="60">
        <f t="shared" si="1"/>
        <v>9126.961581186184</v>
      </c>
      <c r="J24" s="19">
        <f t="shared" si="2"/>
        <v>9126.961581186184</v>
      </c>
      <c r="K24" s="61">
        <f t="shared" si="9"/>
        <v>-0.49287672713251218</v>
      </c>
      <c r="L24" s="25">
        <f t="shared" si="10"/>
        <v>-0.97190713481868085</v>
      </c>
      <c r="M24" s="204"/>
      <c r="N24" s="231">
        <f t="shared" si="3"/>
        <v>28796.03305785124</v>
      </c>
      <c r="O24" s="232">
        <f t="shared" si="11"/>
        <v>34843.199999999997</v>
      </c>
      <c r="P24" s="189"/>
      <c r="Q24" s="117">
        <v>53724.000000000015</v>
      </c>
      <c r="R24" s="440">
        <f t="shared" si="12"/>
        <v>53750</v>
      </c>
      <c r="S24" s="42">
        <f t="shared" si="13"/>
        <v>44421.487603305788</v>
      </c>
      <c r="T24" s="190">
        <f t="shared" si="14"/>
        <v>1.4682003949120634</v>
      </c>
      <c r="U24" s="445">
        <f t="shared" si="4"/>
        <v>0.59484651162790703</v>
      </c>
      <c r="V24" s="440">
        <f t="shared" si="15"/>
        <v>53750</v>
      </c>
    </row>
    <row r="25" spans="1:22" ht="21">
      <c r="A25" s="24" t="s">
        <v>360</v>
      </c>
      <c r="B25" s="24">
        <v>36.76</v>
      </c>
      <c r="C25" s="83">
        <f t="shared" si="5"/>
        <v>30.380165289256198</v>
      </c>
      <c r="D25" s="234">
        <f t="shared" si="6"/>
        <v>25.823140495867769</v>
      </c>
      <c r="E25" s="234">
        <f t="shared" si="7"/>
        <v>25823.14049586777</v>
      </c>
      <c r="F25" s="235">
        <v>28579.398447600004</v>
      </c>
      <c r="G25" s="235">
        <f t="shared" si="8"/>
        <v>34581.072121596007</v>
      </c>
      <c r="H25" s="60">
        <f t="shared" si="0"/>
        <v>14861.287192752003</v>
      </c>
      <c r="I25" s="60">
        <f t="shared" si="1"/>
        <v>13375.158473476802</v>
      </c>
      <c r="J25" s="19">
        <f t="shared" si="2"/>
        <v>13375.158473476802</v>
      </c>
      <c r="K25" s="61">
        <f t="shared" si="9"/>
        <v>-0.4820475659954257</v>
      </c>
      <c r="L25" s="25">
        <f t="shared" si="10"/>
        <v>-0.93067921752669747</v>
      </c>
      <c r="M25" s="204"/>
      <c r="N25" s="231">
        <f t="shared" si="3"/>
        <v>41317.024793388438</v>
      </c>
      <c r="O25" s="232">
        <f t="shared" si="11"/>
        <v>49993.600000000006</v>
      </c>
      <c r="P25" s="189"/>
      <c r="Q25" s="117">
        <v>77016.5</v>
      </c>
      <c r="R25" s="440">
        <f t="shared" si="12"/>
        <v>77050</v>
      </c>
      <c r="S25" s="42">
        <f t="shared" si="13"/>
        <v>63677.685950413223</v>
      </c>
      <c r="T25" s="190">
        <f t="shared" si="14"/>
        <v>1.4659156372015618</v>
      </c>
      <c r="U25" s="445">
        <f t="shared" si="4"/>
        <v>0.59447112264763147</v>
      </c>
      <c r="V25" s="440">
        <f t="shared" si="15"/>
        <v>77050</v>
      </c>
    </row>
    <row r="26" spans="1:22" ht="21">
      <c r="A26" s="24" t="s">
        <v>362</v>
      </c>
      <c r="B26" s="24">
        <v>42.16</v>
      </c>
      <c r="C26" s="83">
        <f t="shared" si="5"/>
        <v>34.84297520661157</v>
      </c>
      <c r="D26" s="234">
        <f t="shared" si="6"/>
        <v>29.616528925619836</v>
      </c>
      <c r="E26" s="234">
        <f t="shared" si="7"/>
        <v>29616.528925619834</v>
      </c>
      <c r="F26" s="235">
        <v>32942.846764286427</v>
      </c>
      <c r="G26" s="235">
        <f t="shared" si="8"/>
        <v>39860.844584786573</v>
      </c>
      <c r="H26" s="60">
        <f t="shared" si="0"/>
        <v>17130.280317428944</v>
      </c>
      <c r="I26" s="60">
        <f t="shared" si="1"/>
        <v>15417.252285686049</v>
      </c>
      <c r="J26" s="19">
        <f t="shared" si="2"/>
        <v>15417.252285686049</v>
      </c>
      <c r="K26" s="61">
        <f t="shared" si="9"/>
        <v>-0.47943756932469811</v>
      </c>
      <c r="L26" s="25">
        <f t="shared" si="10"/>
        <v>-0.92099917526269726</v>
      </c>
      <c r="M26" s="204"/>
      <c r="N26" s="231">
        <f t="shared" si="3"/>
        <v>47386.446280991739</v>
      </c>
      <c r="O26" s="232">
        <f t="shared" si="11"/>
        <v>57337.599999999999</v>
      </c>
      <c r="P26" s="189"/>
      <c r="Q26" s="117">
        <v>88330</v>
      </c>
      <c r="R26" s="440">
        <f t="shared" si="12"/>
        <v>88350</v>
      </c>
      <c r="S26" s="42">
        <f t="shared" si="13"/>
        <v>73016.52892561983</v>
      </c>
      <c r="T26" s="190">
        <f t="shared" si="14"/>
        <v>1.4653979238754327</v>
      </c>
      <c r="U26" s="445">
        <f t="shared" si="4"/>
        <v>0.59438596491228068</v>
      </c>
      <c r="V26" s="440">
        <f t="shared" si="15"/>
        <v>88350</v>
      </c>
    </row>
    <row r="27" spans="1:22" ht="21">
      <c r="A27" s="24" t="s">
        <v>363</v>
      </c>
      <c r="B27" s="24">
        <v>44.73</v>
      </c>
      <c r="C27" s="83">
        <f t="shared" si="5"/>
        <v>36.966942148760332</v>
      </c>
      <c r="D27" s="234">
        <f t="shared" si="6"/>
        <v>31.421900826446283</v>
      </c>
      <c r="E27" s="234">
        <f t="shared" si="7"/>
        <v>31421.900826446283</v>
      </c>
      <c r="F27" s="235">
        <v>36040.313257304544</v>
      </c>
      <c r="G27" s="235">
        <f t="shared" si="8"/>
        <v>43608.779041338494</v>
      </c>
      <c r="H27" s="60">
        <f t="shared" si="0"/>
        <v>18740.962893798365</v>
      </c>
      <c r="I27" s="60">
        <f t="shared" si="1"/>
        <v>16866.86660441853</v>
      </c>
      <c r="J27" s="19">
        <f t="shared" si="2"/>
        <v>16866.86660441853</v>
      </c>
      <c r="K27" s="61">
        <f t="shared" si="9"/>
        <v>-0.46321304056110729</v>
      </c>
      <c r="L27" s="25">
        <f t="shared" si="10"/>
        <v>-0.86293646374216548</v>
      </c>
      <c r="M27" s="204"/>
      <c r="N27" s="231">
        <f t="shared" si="3"/>
        <v>50275.041322314057</v>
      </c>
      <c r="O27" s="232">
        <f t="shared" si="11"/>
        <v>60832.80000000001</v>
      </c>
      <c r="P27" s="189"/>
      <c r="Q27" s="117">
        <v>93714.500000000015</v>
      </c>
      <c r="R27" s="440">
        <f t="shared" si="12"/>
        <v>93750</v>
      </c>
      <c r="S27" s="42">
        <f t="shared" si="13"/>
        <v>77479.338842975209</v>
      </c>
      <c r="T27" s="190">
        <f t="shared" si="14"/>
        <v>1.4657750424113307</v>
      </c>
      <c r="U27" s="445">
        <f t="shared" si="4"/>
        <v>0.59444799999999998</v>
      </c>
      <c r="V27" s="440">
        <f t="shared" si="15"/>
        <v>93750</v>
      </c>
    </row>
    <row r="28" spans="1:22" ht="21">
      <c r="A28" s="24" t="s">
        <v>364</v>
      </c>
      <c r="B28" s="24">
        <v>60.84</v>
      </c>
      <c r="C28" s="83">
        <f t="shared" si="5"/>
        <v>50.280991735537192</v>
      </c>
      <c r="D28" s="234">
        <f t="shared" si="6"/>
        <v>42.738842975206616</v>
      </c>
      <c r="E28" s="234">
        <f t="shared" si="7"/>
        <v>42738.842975206615</v>
      </c>
      <c r="F28" s="235">
        <v>50421.407689174368</v>
      </c>
      <c r="G28" s="235">
        <f t="shared" si="8"/>
        <v>61009.903303900981</v>
      </c>
      <c r="H28" s="60">
        <f t="shared" si="0"/>
        <v>26219.131998370671</v>
      </c>
      <c r="I28" s="60">
        <f t="shared" si="1"/>
        <v>23597.218798533602</v>
      </c>
      <c r="J28" s="19">
        <f t="shared" si="2"/>
        <v>23597.218798533602</v>
      </c>
      <c r="K28" s="61">
        <f t="shared" si="9"/>
        <v>-0.44787417824524006</v>
      </c>
      <c r="L28" s="25">
        <f t="shared" si="10"/>
        <v>-0.81118136591005918</v>
      </c>
      <c r="M28" s="204"/>
      <c r="N28" s="231">
        <f t="shared" si="3"/>
        <v>68382.148760330587</v>
      </c>
      <c r="O28" s="232">
        <f t="shared" si="11"/>
        <v>82742.400000000009</v>
      </c>
      <c r="P28" s="189"/>
      <c r="Q28" s="117">
        <v>127473.50000000003</v>
      </c>
      <c r="R28" s="440">
        <f t="shared" si="12"/>
        <v>127500</v>
      </c>
      <c r="S28" s="42">
        <f t="shared" si="13"/>
        <v>105371.90082644629</v>
      </c>
      <c r="T28" s="190">
        <f t="shared" si="14"/>
        <v>1.4654832347140039</v>
      </c>
      <c r="U28" s="445">
        <f t="shared" si="4"/>
        <v>0.59440000000000004</v>
      </c>
      <c r="V28" s="440">
        <f t="shared" si="15"/>
        <v>127500</v>
      </c>
    </row>
    <row r="29" spans="1:22" ht="21">
      <c r="A29" s="24" t="s">
        <v>365</v>
      </c>
      <c r="B29" s="113"/>
      <c r="C29" s="113"/>
      <c r="D29" s="113"/>
      <c r="E29" s="113"/>
      <c r="F29" s="274"/>
      <c r="G29" s="113"/>
      <c r="H29" s="113"/>
      <c r="I29" s="113"/>
      <c r="J29" s="113"/>
      <c r="K29" s="113"/>
      <c r="L29" s="113"/>
      <c r="N29" s="112"/>
      <c r="O29" s="112"/>
      <c r="P29" s="112"/>
      <c r="Q29" s="117">
        <v>99000.000000000015</v>
      </c>
      <c r="R29" s="117"/>
      <c r="S29" s="463"/>
      <c r="T29" s="463"/>
      <c r="U29" s="463"/>
      <c r="V29" s="117">
        <f>(Q29)</f>
        <v>99000.000000000015</v>
      </c>
    </row>
    <row r="30" spans="1:22" ht="21">
      <c r="A30" s="24" t="s">
        <v>366</v>
      </c>
      <c r="B30" s="113"/>
      <c r="C30" s="113"/>
      <c r="D30" s="113"/>
      <c r="E30" s="113"/>
      <c r="F30" s="274"/>
      <c r="G30" s="113"/>
      <c r="H30" s="113"/>
      <c r="I30" s="113"/>
      <c r="J30" s="113"/>
      <c r="K30" s="113"/>
      <c r="L30" s="113"/>
      <c r="N30" s="112"/>
      <c r="O30" s="112"/>
      <c r="P30" s="112"/>
      <c r="Q30" s="117">
        <v>60500.000000000007</v>
      </c>
      <c r="R30" s="117"/>
      <c r="S30" s="463"/>
      <c r="T30" s="463"/>
      <c r="U30" s="463"/>
      <c r="V30" s="117">
        <f>(Q30)</f>
        <v>60500.000000000007</v>
      </c>
    </row>
    <row r="31" spans="1:22" ht="15" customHeight="1" thickBot="1">
      <c r="A31" s="921"/>
      <c r="B31" s="921"/>
      <c r="C31" s="921"/>
      <c r="D31" s="921"/>
      <c r="E31" s="921"/>
      <c r="F31" s="921"/>
      <c r="G31" s="921"/>
      <c r="H31" s="921"/>
      <c r="I31" s="921"/>
      <c r="J31" s="921"/>
      <c r="K31" s="921"/>
      <c r="L31" s="921"/>
      <c r="N31" s="112"/>
      <c r="O31" s="112"/>
      <c r="P31" s="112"/>
      <c r="Q31" s="146"/>
      <c r="R31" s="921"/>
      <c r="S31" s="921"/>
      <c r="T31" s="197"/>
      <c r="U31" s="197"/>
      <c r="V31" s="146"/>
    </row>
    <row r="32" spans="1:22" ht="15" customHeight="1" thickBot="1">
      <c r="A32" s="14" t="s">
        <v>2571</v>
      </c>
      <c r="B32" s="1"/>
      <c r="C32" s="921"/>
      <c r="D32" s="88" t="s">
        <v>114</v>
      </c>
      <c r="E32" s="91" t="s">
        <v>309</v>
      </c>
      <c r="F32" s="90"/>
      <c r="G32" s="66" t="s">
        <v>114</v>
      </c>
      <c r="H32" s="66" t="s">
        <v>8</v>
      </c>
      <c r="I32" s="23"/>
      <c r="J32" s="23"/>
      <c r="K32" s="32"/>
      <c r="L32" s="1"/>
      <c r="N32" s="189"/>
      <c r="O32" s="189"/>
      <c r="P32" s="189"/>
      <c r="Q32" s="10"/>
      <c r="R32" s="921"/>
      <c r="S32" s="40"/>
      <c r="T32" s="198"/>
      <c r="U32" s="11"/>
      <c r="V32" s="10"/>
    </row>
    <row r="33" spans="1:22" ht="15" customHeight="1" thickBot="1">
      <c r="A33" s="1"/>
      <c r="B33" s="1"/>
      <c r="C33" s="921"/>
      <c r="D33" s="87">
        <v>0.2</v>
      </c>
      <c r="E33" s="92">
        <v>210</v>
      </c>
      <c r="F33" s="76">
        <v>44774</v>
      </c>
      <c r="G33" s="106"/>
      <c r="H33" s="97">
        <v>0.52</v>
      </c>
      <c r="I33" s="97">
        <v>0.05</v>
      </c>
      <c r="J33" s="96"/>
      <c r="K33" s="67" t="s">
        <v>65</v>
      </c>
      <c r="L33" s="66" t="s">
        <v>66</v>
      </c>
      <c r="N33" s="230"/>
      <c r="O33" s="230"/>
      <c r="P33" s="189"/>
      <c r="Q33" s="216">
        <v>45201</v>
      </c>
      <c r="R33" s="921"/>
      <c r="S33" s="10"/>
      <c r="T33" s="198"/>
      <c r="U33" s="198"/>
      <c r="V33" s="414"/>
    </row>
    <row r="34" spans="1:22" ht="15" customHeight="1">
      <c r="A34" s="29" t="s">
        <v>2572</v>
      </c>
      <c r="B34" s="21">
        <v>6.35</v>
      </c>
      <c r="C34" s="56">
        <f t="shared" ref="C34:C43" si="16">(B34/1.21)</f>
        <v>5.2479338842975203</v>
      </c>
      <c r="D34" s="86">
        <f t="shared" ref="D34:D43" si="17">((C34-(C34*D$33)))</f>
        <v>4.1983471074380159</v>
      </c>
      <c r="E34" s="86">
        <f t="shared" ref="E34:E43" si="18">(D34*E$33)</f>
        <v>881.65289256198332</v>
      </c>
      <c r="F34" s="239">
        <v>4472.741688849489</v>
      </c>
      <c r="G34" s="240">
        <f t="shared" ref="G34:G40" si="19">(F34*1.21)</f>
        <v>5412.0174435078816</v>
      </c>
      <c r="H34" s="64">
        <f t="shared" ref="H34:H40" si="20">F34-(F34*H$33)</f>
        <v>2146.9160106477548</v>
      </c>
      <c r="I34" s="64">
        <f t="shared" ref="I34:I40" si="21">H34-(H34*I$33)</f>
        <v>2039.570210115367</v>
      </c>
      <c r="J34" s="64">
        <f t="shared" ref="J34:J40" si="22">(I34)</f>
        <v>2039.570210115367</v>
      </c>
      <c r="K34" s="65">
        <f>(J34-E34)/E34</f>
        <v>1.3133482885635495</v>
      </c>
      <c r="L34" s="65">
        <f>(J34-E34)/J34</f>
        <v>0.56772613750221768</v>
      </c>
      <c r="M34" s="204"/>
      <c r="N34" s="229">
        <f t="shared" ref="N34:N40" si="23">(E34*1.6)</f>
        <v>1410.6446280991734</v>
      </c>
      <c r="O34" s="230">
        <f>(N34*1.21)</f>
        <v>1706.8799999999997</v>
      </c>
      <c r="P34" s="189"/>
      <c r="Q34" s="117">
        <v>12500</v>
      </c>
      <c r="R34" s="440">
        <f>CEILING(Q34,50)</f>
        <v>12500</v>
      </c>
      <c r="S34" s="42">
        <f>(R34/1.21)</f>
        <v>10330.578512396694</v>
      </c>
      <c r="T34" s="190">
        <f>(S34-E34)/E34</f>
        <v>10.717285339332586</v>
      </c>
      <c r="U34" s="191">
        <f t="shared" ref="U34:U44" si="24">(S34-E34)/S34</f>
        <v>0.91465599999999991</v>
      </c>
      <c r="V34" s="440">
        <f>(R34)</f>
        <v>12500</v>
      </c>
    </row>
    <row r="35" spans="1:22" ht="15" customHeight="1">
      <c r="A35" s="31" t="s">
        <v>2573</v>
      </c>
      <c r="B35" s="20">
        <v>15.76</v>
      </c>
      <c r="C35" s="56">
        <f t="shared" si="16"/>
        <v>13.024793388429753</v>
      </c>
      <c r="D35" s="86">
        <f t="shared" si="17"/>
        <v>10.419834710743803</v>
      </c>
      <c r="E35" s="56">
        <f t="shared" si="18"/>
        <v>2188.1652892561988</v>
      </c>
      <c r="F35" s="239">
        <v>10162.362144729004</v>
      </c>
      <c r="G35" s="240">
        <f t="shared" si="19"/>
        <v>12296.458195122095</v>
      </c>
      <c r="H35" s="64">
        <f t="shared" si="20"/>
        <v>4877.9338294699219</v>
      </c>
      <c r="I35" s="64">
        <f t="shared" si="21"/>
        <v>4634.0371379964254</v>
      </c>
      <c r="J35" s="22">
        <f t="shared" si="22"/>
        <v>4634.0371379964254</v>
      </c>
      <c r="K35" s="65">
        <f t="shared" ref="K35:K40" si="25">(J35-E35)/E35</f>
        <v>1.1177728943738192</v>
      </c>
      <c r="L35" s="65">
        <f t="shared" ref="L35:L40" si="26">(J35-E35)/J35</f>
        <v>0.52780583666140513</v>
      </c>
      <c r="M35" s="204"/>
      <c r="N35" s="229">
        <f t="shared" si="23"/>
        <v>3501.064462809918</v>
      </c>
      <c r="O35" s="230">
        <f t="shared" ref="O35:O40" si="27">(N35*1.21)</f>
        <v>4236.2880000000005</v>
      </c>
      <c r="P35" s="189"/>
      <c r="Q35" s="117">
        <v>13700</v>
      </c>
      <c r="R35" s="440">
        <f t="shared" ref="R35:R36" si="28">CEILING(Q35,50)</f>
        <v>13700</v>
      </c>
      <c r="S35" s="42">
        <f t="shared" ref="S35:S36" si="29">(R35/1.21)</f>
        <v>11322.314049586777</v>
      </c>
      <c r="T35" s="190">
        <f t="shared" ref="T35:T44" si="30">(S35-E35)/E35</f>
        <v>4.1743413101281117</v>
      </c>
      <c r="U35" s="191">
        <f t="shared" si="24"/>
        <v>0.80673868613138688</v>
      </c>
      <c r="V35" s="440">
        <f t="shared" ref="V35:V37" si="31">(R35)</f>
        <v>13700</v>
      </c>
    </row>
    <row r="36" spans="1:22" ht="15" customHeight="1">
      <c r="A36" s="31" t="s">
        <v>2574</v>
      </c>
      <c r="B36" s="20">
        <v>13.53</v>
      </c>
      <c r="C36" s="56">
        <f t="shared" si="16"/>
        <v>11.181818181818182</v>
      </c>
      <c r="D36" s="86">
        <f t="shared" si="17"/>
        <v>8.9454545454545453</v>
      </c>
      <c r="E36" s="56">
        <f t="shared" si="18"/>
        <v>1878.5454545454545</v>
      </c>
      <c r="F36" s="239">
        <v>8892.5756052194138</v>
      </c>
      <c r="G36" s="240">
        <f t="shared" si="19"/>
        <v>10760.01648231549</v>
      </c>
      <c r="H36" s="64">
        <f t="shared" si="20"/>
        <v>4268.4362905053185</v>
      </c>
      <c r="I36" s="64">
        <f t="shared" si="21"/>
        <v>4055.0144759800528</v>
      </c>
      <c r="J36" s="22">
        <f t="shared" si="22"/>
        <v>4055.0144759800528</v>
      </c>
      <c r="K36" s="65">
        <f t="shared" si="25"/>
        <v>1.1585926846583712</v>
      </c>
      <c r="L36" s="65">
        <f t="shared" si="26"/>
        <v>0.53673520386350027</v>
      </c>
      <c r="M36" s="204"/>
      <c r="N36" s="229">
        <f t="shared" si="23"/>
        <v>3005.6727272727276</v>
      </c>
      <c r="O36" s="230">
        <f t="shared" si="27"/>
        <v>3636.864</v>
      </c>
      <c r="P36" s="189"/>
      <c r="Q36" s="117">
        <v>13700</v>
      </c>
      <c r="R36" s="440">
        <f t="shared" si="28"/>
        <v>13700</v>
      </c>
      <c r="S36" s="42">
        <f t="shared" si="29"/>
        <v>11322.314049586777</v>
      </c>
      <c r="T36" s="190">
        <f t="shared" si="30"/>
        <v>5.0271706613170037</v>
      </c>
      <c r="U36" s="191">
        <f t="shared" si="24"/>
        <v>0.83408467153284682</v>
      </c>
      <c r="V36" s="440">
        <f t="shared" si="31"/>
        <v>13700</v>
      </c>
    </row>
    <row r="37" spans="1:22" ht="16.2">
      <c r="A37" s="31" t="s">
        <v>2575</v>
      </c>
      <c r="B37" s="20">
        <v>18.96</v>
      </c>
      <c r="C37" s="56">
        <f t="shared" si="16"/>
        <v>15.669421487603307</v>
      </c>
      <c r="D37" s="86">
        <f t="shared" si="17"/>
        <v>12.535537190082646</v>
      </c>
      <c r="E37" s="56">
        <f t="shared" si="18"/>
        <v>2632.4628099173556</v>
      </c>
      <c r="F37" s="239">
        <v>13906.604504821387</v>
      </c>
      <c r="G37" s="240">
        <f t="shared" si="19"/>
        <v>16826.991450833877</v>
      </c>
      <c r="H37" s="64">
        <f t="shared" si="20"/>
        <v>6675.1701623142653</v>
      </c>
      <c r="I37" s="64">
        <f t="shared" si="21"/>
        <v>6341.4116541985522</v>
      </c>
      <c r="J37" s="22">
        <f t="shared" si="22"/>
        <v>6341.4116541985522</v>
      </c>
      <c r="K37" s="65">
        <f t="shared" si="25"/>
        <v>1.408927347542523</v>
      </c>
      <c r="L37" s="65">
        <f t="shared" si="26"/>
        <v>0.58487747626753706</v>
      </c>
      <c r="M37" s="204"/>
      <c r="N37" s="229">
        <f t="shared" si="23"/>
        <v>4211.9404958677687</v>
      </c>
      <c r="O37" s="230">
        <f t="shared" si="27"/>
        <v>5096.4480000000003</v>
      </c>
      <c r="P37" s="189"/>
      <c r="Q37" s="117"/>
      <c r="R37" s="921"/>
      <c r="S37" s="42">
        <f t="shared" ref="S37:S44" si="32">(V37/1.21)</f>
        <v>0</v>
      </c>
      <c r="T37" s="190">
        <f t="shared" si="30"/>
        <v>-1</v>
      </c>
      <c r="U37" s="191" t="e">
        <f t="shared" si="24"/>
        <v>#DIV/0!</v>
      </c>
      <c r="V37" s="440">
        <f t="shared" si="31"/>
        <v>0</v>
      </c>
    </row>
    <row r="38" spans="1:22" ht="16.2">
      <c r="A38" s="31" t="s">
        <v>2576</v>
      </c>
      <c r="B38" s="20">
        <v>31.77</v>
      </c>
      <c r="C38" s="56">
        <f t="shared" si="16"/>
        <v>26.256198347107439</v>
      </c>
      <c r="D38" s="86">
        <f t="shared" si="17"/>
        <v>21.004958677685952</v>
      </c>
      <c r="E38" s="56">
        <f t="shared" si="18"/>
        <v>4411.0413223140504</v>
      </c>
      <c r="F38" s="239">
        <v>21329.971966569763</v>
      </c>
      <c r="G38" s="240">
        <f t="shared" si="19"/>
        <v>25809.266079549412</v>
      </c>
      <c r="H38" s="64">
        <f t="shared" si="20"/>
        <v>10238.386543953486</v>
      </c>
      <c r="I38" s="64">
        <f t="shared" si="21"/>
        <v>9726.467216755811</v>
      </c>
      <c r="J38" s="22">
        <f t="shared" si="22"/>
        <v>9726.467216755811</v>
      </c>
      <c r="K38" s="65">
        <f t="shared" si="25"/>
        <v>1.2050274540736485</v>
      </c>
      <c r="L38" s="65">
        <f t="shared" si="26"/>
        <v>0.54649090733425409</v>
      </c>
      <c r="M38" s="204"/>
      <c r="N38" s="229">
        <f t="shared" si="23"/>
        <v>7057.666115702481</v>
      </c>
      <c r="O38" s="230">
        <f t="shared" si="27"/>
        <v>8539.7760000000017</v>
      </c>
      <c r="P38" s="189"/>
      <c r="Q38" s="117"/>
      <c r="R38" s="921"/>
      <c r="S38" s="42">
        <f t="shared" si="32"/>
        <v>0</v>
      </c>
      <c r="T38" s="190">
        <f t="shared" si="30"/>
        <v>-1</v>
      </c>
      <c r="U38" s="191" t="e">
        <f t="shared" si="24"/>
        <v>#DIV/0!</v>
      </c>
      <c r="V38" s="440">
        <f t="shared" ref="V38:V44" si="33">CEILING(Q38,50)</f>
        <v>0</v>
      </c>
    </row>
    <row r="39" spans="1:22" ht="16.2">
      <c r="A39" s="31" t="s">
        <v>2577</v>
      </c>
      <c r="B39" s="20">
        <v>50.59</v>
      </c>
      <c r="C39" s="56">
        <f t="shared" si="16"/>
        <v>41.809917355371908</v>
      </c>
      <c r="D39" s="86">
        <f t="shared" si="17"/>
        <v>33.447933884297527</v>
      </c>
      <c r="E39" s="56">
        <f t="shared" si="18"/>
        <v>7024.0661157024806</v>
      </c>
      <c r="F39" s="239">
        <v>32961.542254769796</v>
      </c>
      <c r="G39" s="240">
        <f t="shared" si="19"/>
        <v>39883.466128271451</v>
      </c>
      <c r="H39" s="64">
        <f t="shared" si="20"/>
        <v>15821.540282289501</v>
      </c>
      <c r="I39" s="64">
        <f t="shared" si="21"/>
        <v>15030.463268175026</v>
      </c>
      <c r="J39" s="22">
        <f t="shared" si="22"/>
        <v>15030.463268175026</v>
      </c>
      <c r="K39" s="65">
        <f t="shared" si="25"/>
        <v>1.1398521911082298</v>
      </c>
      <c r="L39" s="65">
        <f t="shared" si="26"/>
        <v>0.53267800264180876</v>
      </c>
      <c r="M39" s="204"/>
      <c r="N39" s="229">
        <f t="shared" si="23"/>
        <v>11238.505785123969</v>
      </c>
      <c r="O39" s="230">
        <f t="shared" si="27"/>
        <v>13598.592000000002</v>
      </c>
      <c r="P39" s="189"/>
      <c r="Q39" s="117"/>
      <c r="R39" s="921"/>
      <c r="S39" s="42">
        <f t="shared" si="32"/>
        <v>0</v>
      </c>
      <c r="T39" s="190">
        <f t="shared" si="30"/>
        <v>-1</v>
      </c>
      <c r="U39" s="191" t="e">
        <f t="shared" si="24"/>
        <v>#DIV/0!</v>
      </c>
      <c r="V39" s="440">
        <f t="shared" si="33"/>
        <v>0</v>
      </c>
    </row>
    <row r="40" spans="1:22" ht="16.2">
      <c r="A40" s="31" t="s">
        <v>2578</v>
      </c>
      <c r="B40" s="20">
        <v>76.05</v>
      </c>
      <c r="C40" s="56">
        <f t="shared" si="16"/>
        <v>62.851239669421489</v>
      </c>
      <c r="D40" s="86">
        <f t="shared" si="17"/>
        <v>50.280991735537192</v>
      </c>
      <c r="E40" s="56">
        <f t="shared" si="18"/>
        <v>10559.008264462811</v>
      </c>
      <c r="F40" s="239">
        <v>49407.719838610392</v>
      </c>
      <c r="G40" s="240">
        <f t="shared" si="19"/>
        <v>59783.341004718575</v>
      </c>
      <c r="H40" s="64">
        <f t="shared" si="20"/>
        <v>23715.705522532986</v>
      </c>
      <c r="I40" s="64">
        <f t="shared" si="21"/>
        <v>22529.920246406338</v>
      </c>
      <c r="J40" s="22">
        <f t="shared" si="22"/>
        <v>22529.920246406338</v>
      </c>
      <c r="K40" s="65">
        <f t="shared" si="25"/>
        <v>1.1337155613593553</v>
      </c>
      <c r="L40" s="65">
        <f t="shared" si="26"/>
        <v>0.53133397060528709</v>
      </c>
      <c r="M40" s="204"/>
      <c r="N40" s="229">
        <f t="shared" si="23"/>
        <v>16894.413223140498</v>
      </c>
      <c r="O40" s="230">
        <f t="shared" si="27"/>
        <v>20442.240000000002</v>
      </c>
      <c r="P40" s="189"/>
      <c r="Q40" s="117"/>
      <c r="R40" s="921"/>
      <c r="S40" s="42">
        <f t="shared" si="32"/>
        <v>0</v>
      </c>
      <c r="T40" s="190">
        <f t="shared" si="30"/>
        <v>-1</v>
      </c>
      <c r="U40" s="191" t="e">
        <f t="shared" si="24"/>
        <v>#DIV/0!</v>
      </c>
      <c r="V40" s="440">
        <f t="shared" si="33"/>
        <v>0</v>
      </c>
    </row>
    <row r="41" spans="1:22" ht="21">
      <c r="A41" s="31" t="s">
        <v>2579</v>
      </c>
      <c r="B41" s="20"/>
      <c r="C41" s="56"/>
      <c r="D41" s="86"/>
      <c r="E41" s="56"/>
      <c r="F41" s="68"/>
      <c r="G41" s="68"/>
      <c r="H41" s="22"/>
      <c r="I41" s="22"/>
      <c r="J41" s="22"/>
      <c r="K41" s="30"/>
      <c r="L41" s="30"/>
      <c r="M41" s="204"/>
      <c r="N41" s="229"/>
      <c r="O41" s="230"/>
      <c r="P41" s="189"/>
      <c r="Q41" s="117"/>
      <c r="R41" s="921"/>
      <c r="S41" s="42">
        <f t="shared" si="32"/>
        <v>0</v>
      </c>
      <c r="T41" s="44" t="e">
        <f t="shared" si="30"/>
        <v>#DIV/0!</v>
      </c>
      <c r="U41" s="39" t="e">
        <f t="shared" si="24"/>
        <v>#DIV/0!</v>
      </c>
      <c r="V41" s="440">
        <f t="shared" si="33"/>
        <v>0</v>
      </c>
    </row>
    <row r="42" spans="1:22" ht="21">
      <c r="A42" s="31" t="s">
        <v>2580</v>
      </c>
      <c r="B42" s="20">
        <v>63.34</v>
      </c>
      <c r="C42" s="56">
        <f t="shared" si="16"/>
        <v>52.347107438016536</v>
      </c>
      <c r="D42" s="86">
        <f t="shared" si="17"/>
        <v>41.87768595041323</v>
      </c>
      <c r="E42" s="56">
        <f t="shared" si="18"/>
        <v>8794.3140495867792</v>
      </c>
      <c r="F42" s="68"/>
      <c r="G42" s="68"/>
      <c r="H42" s="22"/>
      <c r="I42" s="22"/>
      <c r="J42" s="22"/>
      <c r="K42" s="30"/>
      <c r="L42" s="30"/>
      <c r="M42" s="204"/>
      <c r="N42" s="229"/>
      <c r="O42" s="230"/>
      <c r="P42" s="189"/>
      <c r="Q42" s="117"/>
      <c r="R42" s="921"/>
      <c r="S42" s="42">
        <f t="shared" si="32"/>
        <v>0</v>
      </c>
      <c r="T42" s="44">
        <f t="shared" si="30"/>
        <v>-1</v>
      </c>
      <c r="U42" s="39" t="e">
        <f t="shared" si="24"/>
        <v>#DIV/0!</v>
      </c>
      <c r="V42" s="440">
        <f t="shared" si="33"/>
        <v>0</v>
      </c>
    </row>
    <row r="43" spans="1:22" ht="21">
      <c r="A43" s="31" t="s">
        <v>2581</v>
      </c>
      <c r="B43" s="20">
        <v>92.15</v>
      </c>
      <c r="C43" s="56">
        <f t="shared" si="16"/>
        <v>76.15702479338843</v>
      </c>
      <c r="D43" s="86">
        <f t="shared" si="17"/>
        <v>60.925619834710744</v>
      </c>
      <c r="E43" s="56">
        <f t="shared" si="18"/>
        <v>12794.380165289256</v>
      </c>
      <c r="F43" s="68"/>
      <c r="G43" s="68"/>
      <c r="H43" s="22"/>
      <c r="I43" s="22"/>
      <c r="J43" s="22"/>
      <c r="K43" s="30"/>
      <c r="L43" s="30"/>
      <c r="M43" s="204"/>
      <c r="N43" s="229"/>
      <c r="O43" s="230"/>
      <c r="P43" s="189"/>
      <c r="Q43" s="117"/>
      <c r="R43" s="921"/>
      <c r="S43" s="42">
        <f t="shared" si="32"/>
        <v>0</v>
      </c>
      <c r="T43" s="44">
        <f t="shared" si="30"/>
        <v>-1</v>
      </c>
      <c r="U43" s="39" t="e">
        <f t="shared" si="24"/>
        <v>#DIV/0!</v>
      </c>
      <c r="V43" s="440">
        <f t="shared" si="33"/>
        <v>0</v>
      </c>
    </row>
    <row r="44" spans="1:22" ht="17.399999999999999">
      <c r="A44" s="31" t="s">
        <v>2582</v>
      </c>
      <c r="B44" s="20">
        <v>114.8</v>
      </c>
      <c r="C44" s="56">
        <f>(B44/1.21)</f>
        <v>94.876033057851245</v>
      </c>
      <c r="D44" s="86">
        <f>((C44-(C44*D$33)))</f>
        <v>75.900826446281002</v>
      </c>
      <c r="E44" s="56">
        <f>(D44*E$33)</f>
        <v>15939.173553719011</v>
      </c>
      <c r="F44" s="89"/>
      <c r="G44" s="107"/>
      <c r="H44" s="64"/>
      <c r="I44" s="64"/>
      <c r="J44" s="22"/>
      <c r="K44" s="30"/>
      <c r="L44" s="30"/>
      <c r="M44" s="204"/>
      <c r="N44" s="229"/>
      <c r="O44" s="230"/>
      <c r="P44" s="189"/>
      <c r="Q44" s="117"/>
      <c r="R44" s="921"/>
      <c r="S44" s="42">
        <f t="shared" si="32"/>
        <v>0</v>
      </c>
      <c r="T44" s="44">
        <f t="shared" si="30"/>
        <v>-1</v>
      </c>
      <c r="U44" s="39" t="e">
        <f t="shared" si="24"/>
        <v>#DIV/0!</v>
      </c>
      <c r="V44" s="440">
        <f t="shared" si="33"/>
        <v>0</v>
      </c>
    </row>
    <row r="46" spans="1:22">
      <c r="A46" s="921"/>
      <c r="B46" s="921"/>
      <c r="C46" s="921"/>
      <c r="D46" s="921"/>
      <c r="E46" s="921"/>
      <c r="F46" s="146"/>
      <c r="G46" s="921"/>
      <c r="H46" s="921"/>
      <c r="I46" s="921"/>
      <c r="J46" s="921"/>
      <c r="K46" s="921"/>
      <c r="L46" s="921"/>
      <c r="N46" s="921"/>
      <c r="O46" s="921"/>
      <c r="P46" s="921"/>
      <c r="Q46" s="50"/>
      <c r="R46" s="921"/>
      <c r="S46" s="146"/>
      <c r="T46" s="921"/>
      <c r="U46" s="921"/>
      <c r="V46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1"/>
  <sheetViews>
    <sheetView topLeftCell="A7" workbookViewId="0">
      <pane xSplit="1" topLeftCell="U1" activePane="topRight" state="frozen"/>
      <selection pane="topRight" activeCell="AF31" sqref="AF31"/>
    </sheetView>
  </sheetViews>
  <sheetFormatPr baseColWidth="10" defaultColWidth="11.44140625" defaultRowHeight="14.4"/>
  <cols>
    <col min="1" max="1" width="18.6640625" bestFit="1" customWidth="1"/>
    <col min="2" max="2" width="11.6640625" bestFit="1" customWidth="1"/>
    <col min="3" max="5" width="10.6640625" bestFit="1" customWidth="1"/>
    <col min="6" max="6" width="13.109375" bestFit="1" customWidth="1"/>
    <col min="7" max="7" width="12.33203125" customWidth="1"/>
    <col min="8" max="8" width="16.88671875" customWidth="1"/>
    <col min="9" max="10" width="10.5546875" customWidth="1"/>
    <col min="11" max="11" width="10.5546875" bestFit="1" customWidth="1"/>
    <col min="12" max="13" width="9.5546875" customWidth="1"/>
    <col min="14" max="14" width="11.33203125" bestFit="1" customWidth="1"/>
    <col min="15" max="15" width="11.33203125" customWidth="1"/>
    <col min="16" max="16" width="9.5546875" customWidth="1"/>
    <col min="17" max="17" width="9.33203125" bestFit="1" customWidth="1"/>
    <col min="18" max="18" width="9.109375" bestFit="1" customWidth="1"/>
    <col min="19" max="19" width="2.5546875" hidden="1" customWidth="1"/>
    <col min="20" max="20" width="9.88671875" style="1" bestFit="1" customWidth="1"/>
    <col min="21" max="21" width="9.88671875" bestFit="1" customWidth="1"/>
    <col min="22" max="22" width="3.88671875" customWidth="1"/>
    <col min="23" max="23" width="14" bestFit="1" customWidth="1"/>
    <col min="24" max="24" width="15" bestFit="1" customWidth="1"/>
    <col min="25" max="25" width="9.88671875" bestFit="1" customWidth="1"/>
    <col min="27" max="27" width="12.33203125" bestFit="1" customWidth="1"/>
    <col min="28" max="28" width="12.44140625" customWidth="1"/>
  </cols>
  <sheetData>
    <row r="1" spans="1:33" ht="15" thickBot="1">
      <c r="A1" s="921" t="s">
        <v>0</v>
      </c>
      <c r="B1" s="921" t="s">
        <v>112</v>
      </c>
      <c r="C1" s="921"/>
      <c r="D1" s="921"/>
      <c r="E1" s="921"/>
      <c r="F1" s="921" t="s">
        <v>1</v>
      </c>
      <c r="G1" s="921"/>
      <c r="H1" s="921" t="s">
        <v>2</v>
      </c>
      <c r="I1" s="921"/>
      <c r="J1" s="921"/>
      <c r="K1" s="921"/>
      <c r="L1" s="709">
        <v>0.05</v>
      </c>
      <c r="M1" s="709">
        <v>2.4E-2</v>
      </c>
      <c r="N1" s="709">
        <v>0.05</v>
      </c>
      <c r="O1" s="146">
        <v>0.4</v>
      </c>
      <c r="P1" s="921" t="s">
        <v>3</v>
      </c>
      <c r="Q1" s="921"/>
      <c r="R1" s="921"/>
      <c r="S1" s="921"/>
      <c r="U1" s="921"/>
      <c r="V1" s="921"/>
      <c r="W1" s="921"/>
      <c r="X1" s="921" t="s">
        <v>4</v>
      </c>
      <c r="Y1" s="921">
        <v>100</v>
      </c>
      <c r="Z1" s="921">
        <f>(Y1*1.4)</f>
        <v>140</v>
      </c>
      <c r="AA1" s="921">
        <f>(Z1-Y1)</f>
        <v>40</v>
      </c>
      <c r="AB1" s="135">
        <f>(AA1/Z1)</f>
        <v>0.2857142857142857</v>
      </c>
      <c r="AC1" s="921"/>
      <c r="AD1" s="921"/>
      <c r="AE1" s="921"/>
      <c r="AF1" s="921"/>
      <c r="AG1" s="921"/>
    </row>
    <row r="2" spans="1:33" ht="21.6" thickBot="1">
      <c r="A2" s="14" t="s">
        <v>113</v>
      </c>
      <c r="B2" s="1">
        <v>3</v>
      </c>
      <c r="C2" s="98" t="s">
        <v>114</v>
      </c>
      <c r="D2" s="202"/>
      <c r="E2" s="98" t="s">
        <v>40</v>
      </c>
      <c r="F2" s="98" t="s">
        <v>115</v>
      </c>
      <c r="G2" s="1"/>
      <c r="H2" s="1"/>
      <c r="I2" s="1"/>
      <c r="J2" s="1"/>
      <c r="K2" s="1" t="s">
        <v>9</v>
      </c>
      <c r="L2" s="1" t="s">
        <v>10</v>
      </c>
      <c r="M2" s="1" t="s">
        <v>11</v>
      </c>
      <c r="N2" s="1" t="s">
        <v>12</v>
      </c>
      <c r="O2" s="1">
        <v>10</v>
      </c>
      <c r="P2" s="1" t="s">
        <v>79</v>
      </c>
      <c r="Q2" s="7"/>
      <c r="R2" s="1"/>
      <c r="S2" s="1"/>
      <c r="U2" s="1"/>
      <c r="V2" s="1"/>
      <c r="W2" s="41"/>
      <c r="X2" s="921"/>
      <c r="Y2" s="10"/>
      <c r="Z2" s="40"/>
      <c r="AA2" s="40"/>
      <c r="AB2" s="41"/>
      <c r="AC2" s="921"/>
      <c r="AD2" s="921"/>
      <c r="AE2" s="921"/>
      <c r="AF2" s="921"/>
      <c r="AG2" s="921"/>
    </row>
    <row r="3" spans="1:33" ht="15" thickBot="1">
      <c r="A3" s="1"/>
      <c r="B3" s="413">
        <v>45839</v>
      </c>
      <c r="C3" s="719">
        <v>0.33500000000000002</v>
      </c>
      <c r="D3" s="277"/>
      <c r="E3" s="277">
        <v>0.06</v>
      </c>
      <c r="F3" s="722"/>
      <c r="G3" s="76">
        <v>45764</v>
      </c>
      <c r="H3" s="415"/>
      <c r="I3" s="415"/>
      <c r="J3" s="415" t="s">
        <v>8</v>
      </c>
      <c r="K3" s="103"/>
      <c r="L3" s="705">
        <v>0.05</v>
      </c>
      <c r="M3" s="705"/>
      <c r="N3" s="705"/>
      <c r="O3" s="705"/>
      <c r="P3" s="706" t="s">
        <v>20</v>
      </c>
      <c r="Q3" s="100" t="s">
        <v>65</v>
      </c>
      <c r="R3" s="209" t="s">
        <v>66</v>
      </c>
      <c r="S3" s="1"/>
      <c r="T3" s="207">
        <v>0.55000000000000004</v>
      </c>
      <c r="U3" s="207"/>
      <c r="V3" s="1"/>
      <c r="W3" s="216">
        <v>45854</v>
      </c>
      <c r="X3" s="921"/>
      <c r="Y3" s="10"/>
      <c r="Z3" s="152" t="s">
        <v>65</v>
      </c>
      <c r="AA3" s="446" t="s">
        <v>17</v>
      </c>
      <c r="AB3" s="414"/>
      <c r="AC3" s="921"/>
      <c r="AD3" s="921"/>
      <c r="AE3" s="921"/>
      <c r="AF3" s="921"/>
      <c r="AG3" s="921"/>
    </row>
    <row r="4" spans="1:33" ht="16.2" thickBot="1">
      <c r="A4" s="403" t="s">
        <v>116</v>
      </c>
      <c r="B4" s="404">
        <v>110990</v>
      </c>
      <c r="C4" s="151">
        <f>((B4/1.21))-(B4/1.21*C$3)</f>
        <v>60998.636363636368</v>
      </c>
      <c r="D4" s="151">
        <f t="shared" ref="D4:E24" si="0">((C4-(C4*D$3)))</f>
        <v>60998.636363636368</v>
      </c>
      <c r="E4" s="151">
        <f t="shared" si="0"/>
        <v>57338.718181818185</v>
      </c>
      <c r="F4" s="151">
        <f>((E4-(E4*F$3)))</f>
        <v>57338.718181818185</v>
      </c>
      <c r="G4" s="369"/>
      <c r="H4" s="369"/>
      <c r="I4" s="369"/>
      <c r="J4" s="369"/>
      <c r="K4" s="17"/>
      <c r="L4" s="17"/>
      <c r="M4" s="17"/>
      <c r="N4" s="17"/>
      <c r="O4" s="17"/>
      <c r="P4" s="17"/>
      <c r="Q4" s="26"/>
      <c r="R4" s="208"/>
      <c r="S4" s="204"/>
      <c r="T4" s="408">
        <f t="shared" ref="T4:T10" si="1">(E4+(E4*T$3))</f>
        <v>88875.013181818184</v>
      </c>
      <c r="U4" s="408">
        <f>(T4*1.21)</f>
        <v>107538.76595</v>
      </c>
      <c r="V4" s="40"/>
      <c r="W4" s="117"/>
      <c r="X4" s="921"/>
      <c r="Y4" s="42">
        <f>(W4/1.21)</f>
        <v>0</v>
      </c>
      <c r="Z4" s="190"/>
      <c r="AA4" s="445"/>
      <c r="AB4" s="117"/>
      <c r="AC4" s="135"/>
      <c r="AD4" s="921"/>
      <c r="AE4" s="921"/>
      <c r="AF4" s="921"/>
      <c r="AG4" s="921"/>
    </row>
    <row r="5" spans="1:33" ht="15.6">
      <c r="A5" s="953" t="s">
        <v>117</v>
      </c>
      <c r="B5" s="404">
        <v>117990</v>
      </c>
      <c r="C5" s="151">
        <f t="shared" ref="C5:C35" si="2">((B5/1.21))-(B5/1.21*C$3)</f>
        <v>64845.74380165289</v>
      </c>
      <c r="D5" s="151">
        <f t="shared" si="0"/>
        <v>64845.74380165289</v>
      </c>
      <c r="E5" s="151">
        <f t="shared" si="0"/>
        <v>60954.999173553719</v>
      </c>
      <c r="F5" s="151">
        <f t="shared" ref="F5:F35" si="3">((E5-(E5*F$3)))</f>
        <v>60954.999173553719</v>
      </c>
      <c r="G5" s="369">
        <f>(Varta!F11)</f>
        <v>80802.119999999981</v>
      </c>
      <c r="H5" s="369">
        <f t="shared" ref="H5:H53" si="4">(G5*1.21)</f>
        <v>97770.565199999968</v>
      </c>
      <c r="I5" s="369">
        <f>(G5-(G5*Varta!H$3))</f>
        <v>76762.013999999981</v>
      </c>
      <c r="J5" s="369">
        <f>(I5-(I5*Varta!I$3))</f>
        <v>74459.153579999984</v>
      </c>
      <c r="K5" s="17">
        <f t="shared" ref="K5:K53" si="5">(J5)</f>
        <v>74459.153579999984</v>
      </c>
      <c r="L5" s="17">
        <f t="shared" ref="L5:L53" si="6">(K5*L$3)</f>
        <v>3722.9576789999992</v>
      </c>
      <c r="M5" s="17">
        <f t="shared" ref="M5:M53" si="7">(K5*M$3)</f>
        <v>0</v>
      </c>
      <c r="N5" s="17">
        <f t="shared" ref="N5:N53" si="8">(K5*N$3)</f>
        <v>0</v>
      </c>
      <c r="O5" s="17"/>
      <c r="P5" s="17">
        <f t="shared" ref="P5:P53" si="9">(K5-L5-M5-N5-O5)</f>
        <v>70736.195900999985</v>
      </c>
      <c r="Q5" s="26">
        <f t="shared" ref="Q5:Q53" si="10">(K5-F5)/F5</f>
        <v>0.22154301680813168</v>
      </c>
      <c r="R5" s="208">
        <f t="shared" ref="R5:R35" si="11">(P5-F5)/P5</f>
        <v>0.13827710980013261</v>
      </c>
      <c r="S5" s="204"/>
      <c r="T5" s="408">
        <f t="shared" si="1"/>
        <v>94480.248719008261</v>
      </c>
      <c r="U5" s="408">
        <f t="shared" ref="U5:U15" si="12">(T5*1.21)</f>
        <v>114321.10094999999</v>
      </c>
      <c r="V5" s="40"/>
      <c r="W5" s="117">
        <v>117990</v>
      </c>
      <c r="X5" s="440">
        <f>CEILING(W5,50)</f>
        <v>118000</v>
      </c>
      <c r="Y5" s="42">
        <f>(X5/1.21)</f>
        <v>97520.661157024791</v>
      </c>
      <c r="Z5" s="190">
        <f t="shared" ref="Z5:Z10" si="13">(Y5-F5)/F5</f>
        <v>0.59987962397242811</v>
      </c>
      <c r="AA5" s="445">
        <f>(Y5-F5)/Y5</f>
        <v>0.37495297457627119</v>
      </c>
      <c r="AB5" s="440">
        <f>(X5+$AG$5)</f>
        <v>128000</v>
      </c>
      <c r="AC5" s="135"/>
      <c r="AD5" s="178" t="s">
        <v>24</v>
      </c>
      <c r="AE5" s="174" t="s">
        <v>25</v>
      </c>
      <c r="AF5" s="174"/>
      <c r="AG5" s="175">
        <v>10000</v>
      </c>
    </row>
    <row r="6" spans="1:33" ht="15.6">
      <c r="A6" s="953" t="s">
        <v>118</v>
      </c>
      <c r="B6" s="404">
        <v>130990</v>
      </c>
      <c r="C6" s="151">
        <f t="shared" si="2"/>
        <v>71990.371900826445</v>
      </c>
      <c r="D6" s="151">
        <f t="shared" si="0"/>
        <v>71990.371900826445</v>
      </c>
      <c r="E6" s="151">
        <f t="shared" si="0"/>
        <v>67670.949586776856</v>
      </c>
      <c r="F6" s="151">
        <f t="shared" si="3"/>
        <v>67670.949586776856</v>
      </c>
      <c r="G6" s="369">
        <f>(Varta!F13)</f>
        <v>86088.239999999991</v>
      </c>
      <c r="H6" s="369">
        <f t="shared" si="4"/>
        <v>104166.77039999998</v>
      </c>
      <c r="I6" s="369">
        <f>(G6-(G6*Varta!H$3))</f>
        <v>81783.827999999994</v>
      </c>
      <c r="J6" s="369">
        <f>(I6-(I6*Varta!I$3))</f>
        <v>79330.313159999991</v>
      </c>
      <c r="K6" s="17">
        <f t="shared" si="5"/>
        <v>79330.313159999991</v>
      </c>
      <c r="L6" s="17">
        <f t="shared" si="6"/>
        <v>3966.5156579999998</v>
      </c>
      <c r="M6" s="17">
        <f t="shared" si="7"/>
        <v>0</v>
      </c>
      <c r="N6" s="17">
        <f t="shared" si="8"/>
        <v>0</v>
      </c>
      <c r="O6" s="17"/>
      <c r="P6" s="17">
        <f t="shared" si="9"/>
        <v>75363.797501999987</v>
      </c>
      <c r="Q6" s="26">
        <f t="shared" si="10"/>
        <v>0.17229496031043454</v>
      </c>
      <c r="R6" s="208">
        <f t="shared" si="11"/>
        <v>0.10207617145379357</v>
      </c>
      <c r="S6" s="204"/>
      <c r="T6" s="408">
        <f t="shared" si="1"/>
        <v>104889.97185950413</v>
      </c>
      <c r="U6" s="408">
        <f t="shared" si="12"/>
        <v>126916.86594999999</v>
      </c>
      <c r="V6" s="40"/>
      <c r="W6" s="117">
        <v>130990</v>
      </c>
      <c r="X6" s="440">
        <f t="shared" ref="X6:X39" si="14">CEILING(W6,50)</f>
        <v>131000</v>
      </c>
      <c r="Y6" s="42">
        <f t="shared" ref="Y6:Y39" si="15">(X6/1.21)</f>
        <v>108264.46280991736</v>
      </c>
      <c r="Z6" s="190">
        <f t="shared" si="13"/>
        <v>0.59986616814185534</v>
      </c>
      <c r="AA6" s="445">
        <f t="shared" ref="AA6:AA10" si="16">(Y6-F6)/Y6</f>
        <v>0.37494771755725192</v>
      </c>
      <c r="AB6" s="440">
        <f t="shared" ref="AB6:AB39" si="17">(X6+$AG$5)</f>
        <v>141000</v>
      </c>
      <c r="AC6" s="135"/>
      <c r="AD6" s="185"/>
      <c r="AE6" s="183" t="s">
        <v>27</v>
      </c>
      <c r="AF6" s="183"/>
      <c r="AG6" s="184">
        <v>14000</v>
      </c>
    </row>
    <row r="7" spans="1:33" ht="16.2" thickBot="1">
      <c r="A7" s="953" t="s">
        <v>119</v>
      </c>
      <c r="B7" s="404">
        <v>125990</v>
      </c>
      <c r="C7" s="151">
        <f t="shared" si="2"/>
        <v>69242.438016528933</v>
      </c>
      <c r="D7" s="151">
        <f t="shared" si="0"/>
        <v>69242.438016528933</v>
      </c>
      <c r="E7" s="151">
        <f t="shared" si="0"/>
        <v>65087.891735537196</v>
      </c>
      <c r="F7" s="151">
        <f t="shared" si="3"/>
        <v>65087.891735537196</v>
      </c>
      <c r="G7" s="369">
        <f>(Varta!F13)</f>
        <v>86088.239999999991</v>
      </c>
      <c r="H7" s="369">
        <f t="shared" si="4"/>
        <v>104166.77039999998</v>
      </c>
      <c r="I7" s="369">
        <f>(G7-(G7*Varta!H$3))</f>
        <v>81783.827999999994</v>
      </c>
      <c r="J7" s="369">
        <f>(I7-(I7*Varta!I$3))</f>
        <v>79330.313159999991</v>
      </c>
      <c r="K7" s="17">
        <f t="shared" si="5"/>
        <v>79330.313159999991</v>
      </c>
      <c r="L7" s="17">
        <f t="shared" si="6"/>
        <v>3966.5156579999998</v>
      </c>
      <c r="M7" s="17">
        <f t="shared" si="7"/>
        <v>0</v>
      </c>
      <c r="N7" s="17">
        <f t="shared" si="8"/>
        <v>0</v>
      </c>
      <c r="O7" s="17"/>
      <c r="P7" s="17">
        <f t="shared" si="9"/>
        <v>75363.797501999987</v>
      </c>
      <c r="Q7" s="26">
        <f t="shared" si="10"/>
        <v>0.21881829392065877</v>
      </c>
      <c r="R7" s="208">
        <f t="shared" si="11"/>
        <v>0.13635068968213937</v>
      </c>
      <c r="S7" s="204"/>
      <c r="T7" s="408">
        <f t="shared" si="1"/>
        <v>100886.23219008266</v>
      </c>
      <c r="U7" s="408">
        <f t="shared" si="12"/>
        <v>122072.34095000003</v>
      </c>
      <c r="V7" s="40"/>
      <c r="W7" s="117">
        <v>125990</v>
      </c>
      <c r="X7" s="440">
        <f t="shared" si="14"/>
        <v>126000</v>
      </c>
      <c r="Y7" s="42">
        <f t="shared" si="15"/>
        <v>104132.23140495869</v>
      </c>
      <c r="Z7" s="190">
        <f t="shared" si="13"/>
        <v>0.59987101484351435</v>
      </c>
      <c r="AA7" s="445">
        <f t="shared" si="16"/>
        <v>0.37494961111111108</v>
      </c>
      <c r="AB7" s="440">
        <f t="shared" si="17"/>
        <v>136000</v>
      </c>
      <c r="AC7" s="135"/>
      <c r="AD7" s="179"/>
      <c r="AE7" s="180" t="s">
        <v>29</v>
      </c>
      <c r="AF7" s="180"/>
      <c r="AG7" s="181">
        <v>19000</v>
      </c>
    </row>
    <row r="8" spans="1:33" ht="15.6">
      <c r="A8" s="953" t="s">
        <v>120</v>
      </c>
      <c r="B8" s="404">
        <v>142990</v>
      </c>
      <c r="C8" s="151">
        <f t="shared" si="2"/>
        <v>78585.413223140495</v>
      </c>
      <c r="D8" s="151">
        <f t="shared" si="0"/>
        <v>78585.413223140495</v>
      </c>
      <c r="E8" s="151">
        <f t="shared" si="0"/>
        <v>73870.288429752065</v>
      </c>
      <c r="F8" s="151">
        <f t="shared" si="3"/>
        <v>73870.288429752065</v>
      </c>
      <c r="G8" s="369">
        <f>((Varta!F15)*1.08)</f>
        <v>95666.689440000002</v>
      </c>
      <c r="H8" s="369">
        <f t="shared" si="4"/>
        <v>115756.69422239999</v>
      </c>
      <c r="I8" s="369">
        <f>(G8-(G8*Varta!H$3))</f>
        <v>90883.354968</v>
      </c>
      <c r="J8" s="369">
        <f>(I8-(I8*Varta!I$3))</f>
        <v>88156.854318960002</v>
      </c>
      <c r="K8" s="17">
        <f t="shared" si="5"/>
        <v>88156.854318960002</v>
      </c>
      <c r="L8" s="17">
        <f t="shared" si="6"/>
        <v>4407.8427159480007</v>
      </c>
      <c r="M8" s="17">
        <f t="shared" si="7"/>
        <v>0</v>
      </c>
      <c r="N8" s="17">
        <f t="shared" si="8"/>
        <v>0</v>
      </c>
      <c r="O8" s="17"/>
      <c r="P8" s="17">
        <f t="shared" si="9"/>
        <v>83749.011603011997</v>
      </c>
      <c r="Q8" s="26">
        <f t="shared" si="10"/>
        <v>0.19340070538365284</v>
      </c>
      <c r="R8" s="208">
        <f t="shared" si="11"/>
        <v>0.11795629565262414</v>
      </c>
      <c r="S8" s="204"/>
      <c r="T8" s="408">
        <f t="shared" si="1"/>
        <v>114498.94706611571</v>
      </c>
      <c r="U8" s="408">
        <f t="shared" si="12"/>
        <v>138543.72594999999</v>
      </c>
      <c r="V8" s="40"/>
      <c r="W8" s="117">
        <v>142990</v>
      </c>
      <c r="X8" s="440">
        <f t="shared" si="14"/>
        <v>143000</v>
      </c>
      <c r="Y8" s="42">
        <f t="shared" si="15"/>
        <v>118181.81818181819</v>
      </c>
      <c r="Z8" s="190">
        <f t="shared" si="13"/>
        <v>0.59985591898974056</v>
      </c>
      <c r="AA8" s="445">
        <f t="shared" si="16"/>
        <v>0.37494371328671333</v>
      </c>
      <c r="AB8" s="440">
        <f t="shared" si="17"/>
        <v>153000</v>
      </c>
      <c r="AC8" s="135"/>
      <c r="AD8" s="921"/>
      <c r="AE8" s="921"/>
      <c r="AF8" s="921"/>
      <c r="AG8" s="921"/>
    </row>
    <row r="9" spans="1:33" ht="15.6">
      <c r="A9" s="403" t="s">
        <v>121</v>
      </c>
      <c r="B9" s="404">
        <v>142990</v>
      </c>
      <c r="C9" s="151">
        <f t="shared" si="2"/>
        <v>78585.413223140495</v>
      </c>
      <c r="D9" s="151">
        <f t="shared" si="0"/>
        <v>78585.413223140495</v>
      </c>
      <c r="E9" s="151">
        <f t="shared" si="0"/>
        <v>73870.288429752065</v>
      </c>
      <c r="F9" s="151">
        <f t="shared" si="3"/>
        <v>73870.288429752065</v>
      </c>
      <c r="G9" s="369">
        <f>((Varta!F15)*1.08)</f>
        <v>95666.689440000002</v>
      </c>
      <c r="H9" s="369">
        <f t="shared" si="4"/>
        <v>115756.69422239999</v>
      </c>
      <c r="I9" s="369">
        <f>(G9-(G9*Varta!H$3))</f>
        <v>90883.354968</v>
      </c>
      <c r="J9" s="369">
        <f>(I9-(I9*Varta!I$3))</f>
        <v>88156.854318960002</v>
      </c>
      <c r="K9" s="17">
        <f t="shared" si="5"/>
        <v>88156.854318960002</v>
      </c>
      <c r="L9" s="17">
        <f t="shared" si="6"/>
        <v>4407.8427159480007</v>
      </c>
      <c r="M9" s="17">
        <f t="shared" si="7"/>
        <v>0</v>
      </c>
      <c r="N9" s="17">
        <f t="shared" si="8"/>
        <v>0</v>
      </c>
      <c r="O9" s="17"/>
      <c r="P9" s="17">
        <f t="shared" si="9"/>
        <v>83749.011603011997</v>
      </c>
      <c r="Q9" s="26">
        <f t="shared" si="10"/>
        <v>0.19340070538365284</v>
      </c>
      <c r="R9" s="208">
        <f t="shared" si="11"/>
        <v>0.11795629565262414</v>
      </c>
      <c r="S9" s="204"/>
      <c r="T9" s="408">
        <f t="shared" si="1"/>
        <v>114498.94706611571</v>
      </c>
      <c r="U9" s="408">
        <f t="shared" si="12"/>
        <v>138543.72594999999</v>
      </c>
      <c r="V9" s="40"/>
      <c r="W9" s="117">
        <v>142990</v>
      </c>
      <c r="X9" s="440">
        <f t="shared" si="14"/>
        <v>143000</v>
      </c>
      <c r="Y9" s="42">
        <f t="shared" si="15"/>
        <v>118181.81818181819</v>
      </c>
      <c r="Z9" s="190">
        <f>(Y9-F9)/F9</f>
        <v>0.59985591898974056</v>
      </c>
      <c r="AA9" s="445">
        <f t="shared" si="16"/>
        <v>0.37494371328671333</v>
      </c>
      <c r="AB9" s="440">
        <f t="shared" si="17"/>
        <v>153000</v>
      </c>
      <c r="AC9" s="135"/>
      <c r="AD9" s="921"/>
      <c r="AE9" s="921"/>
      <c r="AF9" s="921"/>
      <c r="AG9" s="921"/>
    </row>
    <row r="10" spans="1:33" ht="15.6">
      <c r="A10" s="953" t="s">
        <v>122</v>
      </c>
      <c r="B10" s="404">
        <v>148990</v>
      </c>
      <c r="C10" s="151">
        <f t="shared" si="2"/>
        <v>81882.933884297527</v>
      </c>
      <c r="D10" s="151">
        <f t="shared" si="0"/>
        <v>81882.933884297527</v>
      </c>
      <c r="E10" s="151">
        <f t="shared" si="0"/>
        <v>76969.957851239669</v>
      </c>
      <c r="F10" s="151">
        <f t="shared" si="3"/>
        <v>76969.957851239669</v>
      </c>
      <c r="G10" s="369">
        <f>(Varta!F14)*1.05</f>
        <v>102088.19249999999</v>
      </c>
      <c r="H10" s="369">
        <f t="shared" si="4"/>
        <v>123526.71292499999</v>
      </c>
      <c r="I10" s="369">
        <f>(G10-(G10*Varta!H$3))</f>
        <v>96983.78287499999</v>
      </c>
      <c r="J10" s="369">
        <f>(I10-(I10*Varta!I$3))</f>
        <v>94074.269388749992</v>
      </c>
      <c r="K10" s="17">
        <f t="shared" si="5"/>
        <v>94074.269388749992</v>
      </c>
      <c r="L10" s="17">
        <f t="shared" si="6"/>
        <v>4703.7134694375</v>
      </c>
      <c r="M10" s="17">
        <f t="shared" si="7"/>
        <v>0</v>
      </c>
      <c r="N10" s="17">
        <f t="shared" si="8"/>
        <v>0</v>
      </c>
      <c r="O10" s="17"/>
      <c r="P10" s="17">
        <f t="shared" si="9"/>
        <v>89370.555919312494</v>
      </c>
      <c r="Q10" s="26">
        <f t="shared" si="10"/>
        <v>0.22222061717336439</v>
      </c>
      <c r="R10" s="208">
        <f t="shared" si="11"/>
        <v>0.13875484985534395</v>
      </c>
      <c r="S10" s="204"/>
      <c r="T10" s="408">
        <f t="shared" si="1"/>
        <v>119303.43466942149</v>
      </c>
      <c r="U10" s="408">
        <f t="shared" si="12"/>
        <v>144357.15594999999</v>
      </c>
      <c r="V10" s="40"/>
      <c r="W10" s="117">
        <v>148990</v>
      </c>
      <c r="X10" s="440">
        <f t="shared" si="14"/>
        <v>149000</v>
      </c>
      <c r="Y10" s="42">
        <f t="shared" si="15"/>
        <v>123140.49586776859</v>
      </c>
      <c r="Z10" s="190">
        <f t="shared" si="13"/>
        <v>0.59985141353153681</v>
      </c>
      <c r="AA10" s="445">
        <f t="shared" si="16"/>
        <v>0.37494195302013422</v>
      </c>
      <c r="AB10" s="440">
        <f t="shared" si="17"/>
        <v>159000</v>
      </c>
      <c r="AC10" s="135"/>
      <c r="AD10" s="921"/>
      <c r="AE10" s="921"/>
      <c r="AF10" s="921"/>
      <c r="AG10" s="921"/>
    </row>
    <row r="11" spans="1:33" ht="15.6">
      <c r="A11" s="403" t="s">
        <v>123</v>
      </c>
      <c r="B11" s="404">
        <v>148990</v>
      </c>
      <c r="C11" s="151">
        <f t="shared" si="2"/>
        <v>81882.933884297527</v>
      </c>
      <c r="D11" s="151">
        <f t="shared" si="0"/>
        <v>81882.933884297527</v>
      </c>
      <c r="E11" s="151">
        <f t="shared" si="0"/>
        <v>76969.957851239669</v>
      </c>
      <c r="F11" s="151">
        <f t="shared" si="3"/>
        <v>76969.957851239669</v>
      </c>
      <c r="G11" s="369">
        <f>(Varta!F14)*1.05</f>
        <v>102088.19249999999</v>
      </c>
      <c r="H11" s="369">
        <f t="shared" si="4"/>
        <v>123526.71292499999</v>
      </c>
      <c r="I11" s="369">
        <f>(G11-(G11*Varta!H$3))</f>
        <v>96983.78287499999</v>
      </c>
      <c r="J11" s="369">
        <f>(I11-(I11*Varta!I$3))</f>
        <v>94074.269388749992</v>
      </c>
      <c r="K11" s="17">
        <f t="shared" si="5"/>
        <v>94074.269388749992</v>
      </c>
      <c r="L11" s="17">
        <f t="shared" si="6"/>
        <v>4703.7134694375</v>
      </c>
      <c r="M11" s="17">
        <f t="shared" si="7"/>
        <v>0</v>
      </c>
      <c r="N11" s="17">
        <f t="shared" si="8"/>
        <v>0</v>
      </c>
      <c r="O11" s="17"/>
      <c r="P11" s="17">
        <f t="shared" si="9"/>
        <v>89370.555919312494</v>
      </c>
      <c r="Q11" s="26">
        <f t="shared" si="10"/>
        <v>0.22222061717336439</v>
      </c>
      <c r="R11" s="208">
        <f t="shared" si="11"/>
        <v>0.13875484985534395</v>
      </c>
      <c r="S11" s="204"/>
      <c r="T11" s="408"/>
      <c r="U11" s="408"/>
      <c r="V11" s="40"/>
      <c r="W11" s="117">
        <v>148990</v>
      </c>
      <c r="X11" s="440">
        <f t="shared" si="14"/>
        <v>149000</v>
      </c>
      <c r="Y11" s="42"/>
      <c r="Z11" s="190"/>
      <c r="AA11" s="445"/>
      <c r="AB11" s="440"/>
      <c r="AC11" s="135"/>
      <c r="AD11" s="921"/>
      <c r="AE11" s="921"/>
      <c r="AF11" s="921"/>
      <c r="AG11" s="921"/>
    </row>
    <row r="12" spans="1:33" ht="15.6">
      <c r="A12" s="953" t="s">
        <v>124</v>
      </c>
      <c r="B12" s="404">
        <v>159990</v>
      </c>
      <c r="C12" s="151">
        <f t="shared" si="2"/>
        <v>87928.388429752056</v>
      </c>
      <c r="D12" s="151">
        <f t="shared" si="0"/>
        <v>87928.388429752056</v>
      </c>
      <c r="E12" s="151">
        <f t="shared" si="0"/>
        <v>82652.685123966934</v>
      </c>
      <c r="F12" s="151">
        <f t="shared" si="3"/>
        <v>82652.685123966934</v>
      </c>
      <c r="G12" s="369">
        <f>(Varta!F16)</f>
        <v>109026.22499999999</v>
      </c>
      <c r="H12" s="369">
        <f t="shared" si="4"/>
        <v>131921.73224999997</v>
      </c>
      <c r="I12" s="369">
        <f>(G12-(G12*Varta!H$3))</f>
        <v>103574.91374999999</v>
      </c>
      <c r="J12" s="369">
        <f>(I12-(I12*Varta!I$3))</f>
        <v>100467.66633749999</v>
      </c>
      <c r="K12" s="17">
        <f t="shared" si="5"/>
        <v>100467.66633749999</v>
      </c>
      <c r="L12" s="17">
        <f t="shared" si="6"/>
        <v>5023.3833168749998</v>
      </c>
      <c r="M12" s="17">
        <f t="shared" si="7"/>
        <v>0</v>
      </c>
      <c r="N12" s="17">
        <f t="shared" si="8"/>
        <v>0</v>
      </c>
      <c r="O12" s="17"/>
      <c r="P12" s="17">
        <f t="shared" si="9"/>
        <v>95444.283020624993</v>
      </c>
      <c r="Q12" s="26">
        <f t="shared" si="10"/>
        <v>0.21554025966383539</v>
      </c>
      <c r="R12" s="208">
        <f t="shared" si="11"/>
        <v>0.13402162488762018</v>
      </c>
      <c r="S12" s="204"/>
      <c r="T12" s="408">
        <f>(E12+(E12*T$3))</f>
        <v>128111.66194214876</v>
      </c>
      <c r="U12" s="408">
        <f t="shared" si="12"/>
        <v>155015.11095</v>
      </c>
      <c r="V12" s="40"/>
      <c r="W12" s="117">
        <v>159990</v>
      </c>
      <c r="X12" s="440">
        <f t="shared" si="14"/>
        <v>160000</v>
      </c>
      <c r="Y12" s="42">
        <f t="shared" si="15"/>
        <v>132231.40495867768</v>
      </c>
      <c r="Z12" s="190">
        <f>(Y12-F12)/F12</f>
        <v>0.59984403120539787</v>
      </c>
      <c r="AA12" s="445">
        <f>(Y12-F12)/Y12</f>
        <v>0.37493906875000005</v>
      </c>
      <c r="AB12" s="440">
        <f t="shared" si="17"/>
        <v>170000</v>
      </c>
      <c r="AC12" s="135"/>
      <c r="AD12" s="921"/>
      <c r="AE12" s="921"/>
      <c r="AF12" s="921"/>
      <c r="AG12" s="921"/>
    </row>
    <row r="13" spans="1:33" ht="18" customHeight="1">
      <c r="A13" s="953" t="s">
        <v>125</v>
      </c>
      <c r="B13" s="404">
        <v>170990</v>
      </c>
      <c r="C13" s="151">
        <f t="shared" si="2"/>
        <v>93973.842975206615</v>
      </c>
      <c r="D13" s="151">
        <f t="shared" si="0"/>
        <v>93973.842975206615</v>
      </c>
      <c r="E13" s="151">
        <f t="shared" si="0"/>
        <v>88335.412396694213</v>
      </c>
      <c r="F13" s="151">
        <f t="shared" si="3"/>
        <v>88335.412396694213</v>
      </c>
      <c r="G13" s="369">
        <f>(Varta!F16)*1.07</f>
        <v>116658.06075</v>
      </c>
      <c r="H13" s="369">
        <f t="shared" si="4"/>
        <v>141156.25350749999</v>
      </c>
      <c r="I13" s="369">
        <f>(G13-(G13*Varta!H$3))</f>
        <v>110825.1577125</v>
      </c>
      <c r="J13" s="369">
        <f>(I13-(I13*Varta!I$3))</f>
        <v>107500.40298112501</v>
      </c>
      <c r="K13" s="17">
        <f t="shared" si="5"/>
        <v>107500.40298112501</v>
      </c>
      <c r="L13" s="17">
        <f t="shared" si="6"/>
        <v>5375.0201490562504</v>
      </c>
      <c r="M13" s="17">
        <f t="shared" si="7"/>
        <v>0</v>
      </c>
      <c r="N13" s="17">
        <f t="shared" si="8"/>
        <v>0</v>
      </c>
      <c r="O13" s="17"/>
      <c r="P13" s="17">
        <f t="shared" si="9"/>
        <v>102125.38283206876</v>
      </c>
      <c r="Q13" s="26">
        <f t="shared" si="10"/>
        <v>0.21695705113556482</v>
      </c>
      <c r="R13" s="208">
        <f t="shared" si="11"/>
        <v>0.13502980407966028</v>
      </c>
      <c r="S13" s="204"/>
      <c r="T13" s="408">
        <f>(E13+(E13*T$3))</f>
        <v>136919.88921487605</v>
      </c>
      <c r="U13" s="408">
        <f t="shared" si="12"/>
        <v>165673.06595000002</v>
      </c>
      <c r="V13" s="40"/>
      <c r="W13" s="117">
        <v>170990</v>
      </c>
      <c r="X13" s="440">
        <f t="shared" si="14"/>
        <v>171000</v>
      </c>
      <c r="Y13" s="42">
        <f t="shared" si="15"/>
        <v>141322.31404958677</v>
      </c>
      <c r="Z13" s="190">
        <f>(Y13-F13)/F13</f>
        <v>0.59983759870775777</v>
      </c>
      <c r="AA13" s="445">
        <f>(Y13-F13)/Y13</f>
        <v>0.37493655555555555</v>
      </c>
      <c r="AB13" s="440">
        <f t="shared" si="17"/>
        <v>181000</v>
      </c>
      <c r="AC13" s="135"/>
      <c r="AD13" s="921"/>
      <c r="AE13" s="921"/>
      <c r="AF13" s="921"/>
      <c r="AG13" s="921"/>
    </row>
    <row r="14" spans="1:33" ht="15.6">
      <c r="A14" s="403" t="s">
        <v>126</v>
      </c>
      <c r="B14" s="404">
        <v>170990</v>
      </c>
      <c r="C14" s="151">
        <f t="shared" si="2"/>
        <v>93973.842975206615</v>
      </c>
      <c r="D14" s="151">
        <f t="shared" si="0"/>
        <v>93973.842975206615</v>
      </c>
      <c r="E14" s="151">
        <f t="shared" si="0"/>
        <v>88335.412396694213</v>
      </c>
      <c r="F14" s="151">
        <f t="shared" si="3"/>
        <v>88335.412396694213</v>
      </c>
      <c r="G14" s="369">
        <f>(Varta!F16)*1.07</f>
        <v>116658.06075</v>
      </c>
      <c r="H14" s="369">
        <f t="shared" si="4"/>
        <v>141156.25350749999</v>
      </c>
      <c r="I14" s="369">
        <f>(G14-(G14*Varta!H$3))</f>
        <v>110825.1577125</v>
      </c>
      <c r="J14" s="369">
        <f>(I14-(I14*Varta!I$3))</f>
        <v>107500.40298112501</v>
      </c>
      <c r="K14" s="17">
        <f t="shared" si="5"/>
        <v>107500.40298112501</v>
      </c>
      <c r="L14" s="17">
        <f t="shared" si="6"/>
        <v>5375.0201490562504</v>
      </c>
      <c r="M14" s="17">
        <f t="shared" si="7"/>
        <v>0</v>
      </c>
      <c r="N14" s="17">
        <f t="shared" si="8"/>
        <v>0</v>
      </c>
      <c r="O14" s="17"/>
      <c r="P14" s="17">
        <f t="shared" si="9"/>
        <v>102125.38283206876</v>
      </c>
      <c r="Q14" s="26">
        <f t="shared" si="10"/>
        <v>0.21695705113556482</v>
      </c>
      <c r="R14" s="208">
        <f t="shared" si="11"/>
        <v>0.13502980407966028</v>
      </c>
      <c r="S14" s="204"/>
      <c r="T14" s="408"/>
      <c r="U14" s="408"/>
      <c r="V14" s="40"/>
      <c r="W14" s="117">
        <v>170990</v>
      </c>
      <c r="X14" s="440">
        <f t="shared" si="14"/>
        <v>171000</v>
      </c>
      <c r="Y14" s="42"/>
      <c r="Z14" s="190"/>
      <c r="AA14" s="445"/>
      <c r="AB14" s="440"/>
      <c r="AC14" s="135"/>
      <c r="AD14" s="921"/>
      <c r="AE14" s="921"/>
      <c r="AF14" s="921"/>
      <c r="AG14" s="921"/>
    </row>
    <row r="15" spans="1:33" ht="15.6">
      <c r="A15" s="953" t="s">
        <v>127</v>
      </c>
      <c r="B15" s="404">
        <v>176990</v>
      </c>
      <c r="C15" s="151">
        <f>((B15/1.21))-(B15/1.21*C$3)</f>
        <v>97271.363636363618</v>
      </c>
      <c r="D15" s="151">
        <f t="shared" si="0"/>
        <v>97271.363636363618</v>
      </c>
      <c r="E15" s="151">
        <f t="shared" si="0"/>
        <v>91435.081818181803</v>
      </c>
      <c r="F15" s="151">
        <f t="shared" si="3"/>
        <v>91435.081818181803</v>
      </c>
      <c r="G15" s="369">
        <f>(Varta!F7)*1.07</f>
        <v>122940.42558000001</v>
      </c>
      <c r="H15" s="369">
        <f t="shared" si="4"/>
        <v>148757.91495180002</v>
      </c>
      <c r="I15" s="369">
        <f>(G15-(G15*Varta!H$3))</f>
        <v>116793.404301</v>
      </c>
      <c r="J15" s="369">
        <f>(I15-(I15*Varta!I$3))</f>
        <v>113289.60217197001</v>
      </c>
      <c r="K15" s="17">
        <f t="shared" si="5"/>
        <v>113289.60217197001</v>
      </c>
      <c r="L15" s="17">
        <f t="shared" si="6"/>
        <v>5664.4801085985009</v>
      </c>
      <c r="M15" s="17">
        <f t="shared" si="7"/>
        <v>0</v>
      </c>
      <c r="N15" s="17">
        <f t="shared" si="8"/>
        <v>0</v>
      </c>
      <c r="O15" s="17"/>
      <c r="P15" s="17">
        <f t="shared" si="9"/>
        <v>107625.12206337151</v>
      </c>
      <c r="Q15" s="26">
        <f t="shared" si="10"/>
        <v>0.23901679660817504</v>
      </c>
      <c r="R15" s="208">
        <f t="shared" si="11"/>
        <v>0.15042993619702227</v>
      </c>
      <c r="S15" s="204"/>
      <c r="T15" s="408">
        <f>(E15+(E15*T$3))</f>
        <v>141724.3768181818</v>
      </c>
      <c r="U15" s="408">
        <f t="shared" si="12"/>
        <v>171486.49594999998</v>
      </c>
      <c r="V15" s="40"/>
      <c r="W15" s="117">
        <v>176990</v>
      </c>
      <c r="X15" s="440">
        <f t="shared" si="14"/>
        <v>177000</v>
      </c>
      <c r="Y15" s="42">
        <f t="shared" si="15"/>
        <v>146280.99173553719</v>
      </c>
      <c r="Z15" s="190">
        <f>(Y15-F15)/F15</f>
        <v>0.59983442707927137</v>
      </c>
      <c r="AA15" s="445">
        <f>(Y15-F15)/Y15</f>
        <v>0.37493531638418087</v>
      </c>
      <c r="AB15" s="440">
        <f t="shared" si="17"/>
        <v>187000</v>
      </c>
      <c r="AC15" s="135"/>
      <c r="AD15" s="921"/>
      <c r="AE15" s="921"/>
      <c r="AF15" s="921"/>
      <c r="AG15" s="921"/>
    </row>
    <row r="16" spans="1:33" ht="15.6">
      <c r="A16" s="403" t="s">
        <v>128</v>
      </c>
      <c r="B16" s="404">
        <v>176990</v>
      </c>
      <c r="C16" s="151">
        <f t="shared" si="2"/>
        <v>97271.363636363618</v>
      </c>
      <c r="D16" s="151">
        <f t="shared" si="0"/>
        <v>97271.363636363618</v>
      </c>
      <c r="E16" s="151">
        <f t="shared" si="0"/>
        <v>91435.081818181803</v>
      </c>
      <c r="F16" s="151">
        <f t="shared" si="3"/>
        <v>91435.081818181803</v>
      </c>
      <c r="G16" s="369">
        <f>(Varta!F7)*1.07</f>
        <v>122940.42558000001</v>
      </c>
      <c r="H16" s="369">
        <f t="shared" si="4"/>
        <v>148757.91495180002</v>
      </c>
      <c r="I16" s="369">
        <f>(G16-(G16*Varta!H$3))</f>
        <v>116793.404301</v>
      </c>
      <c r="J16" s="369">
        <f>(I16-(I16*Varta!I$3))</f>
        <v>113289.60217197001</v>
      </c>
      <c r="K16" s="17">
        <f t="shared" si="5"/>
        <v>113289.60217197001</v>
      </c>
      <c r="L16" s="17">
        <f t="shared" si="6"/>
        <v>5664.4801085985009</v>
      </c>
      <c r="M16" s="17">
        <f t="shared" si="7"/>
        <v>0</v>
      </c>
      <c r="N16" s="17">
        <f t="shared" si="8"/>
        <v>0</v>
      </c>
      <c r="O16" s="17"/>
      <c r="P16" s="17">
        <f t="shared" si="9"/>
        <v>107625.12206337151</v>
      </c>
      <c r="Q16" s="26">
        <f t="shared" si="10"/>
        <v>0.23901679660817504</v>
      </c>
      <c r="R16" s="208">
        <f t="shared" si="11"/>
        <v>0.15042993619702227</v>
      </c>
      <c r="S16" s="204"/>
      <c r="T16" s="408"/>
      <c r="U16" s="408"/>
      <c r="V16" s="40"/>
      <c r="W16" s="117">
        <v>176990</v>
      </c>
      <c r="X16" s="440">
        <f t="shared" si="14"/>
        <v>177000</v>
      </c>
      <c r="Y16" s="42"/>
      <c r="Z16" s="190"/>
      <c r="AA16" s="445"/>
      <c r="AB16" s="440"/>
      <c r="AC16" s="135"/>
      <c r="AD16" s="921"/>
      <c r="AE16" s="921"/>
      <c r="AF16" s="921"/>
      <c r="AG16" s="921"/>
    </row>
    <row r="17" spans="1:29" ht="15.6">
      <c r="A17" s="953" t="s">
        <v>129</v>
      </c>
      <c r="B17" s="404">
        <v>120990</v>
      </c>
      <c r="C17" s="151">
        <f t="shared" si="2"/>
        <v>66494.504132231406</v>
      </c>
      <c r="D17" s="151">
        <f t="shared" ref="D17:E20" si="18">((C17-(C17*D$3)))</f>
        <v>66494.504132231406</v>
      </c>
      <c r="E17" s="151">
        <f t="shared" si="18"/>
        <v>62504.833884297521</v>
      </c>
      <c r="F17" s="151">
        <f t="shared" si="3"/>
        <v>62504.833884297521</v>
      </c>
      <c r="G17" s="369">
        <f>(Varta!F9)*1.05</f>
        <v>83831.255550000002</v>
      </c>
      <c r="H17" s="369">
        <f>(G17*1.21)</f>
        <v>101435.8192155</v>
      </c>
      <c r="I17" s="369">
        <f>(G17-(G17*Varta!H$3))</f>
        <v>79639.692772499999</v>
      </c>
      <c r="J17" s="369">
        <f>(I17-(I17*Varta!I$3))</f>
        <v>77250.501989324999</v>
      </c>
      <c r="K17" s="17">
        <f>(J17)</f>
        <v>77250.501989324999</v>
      </c>
      <c r="L17" s="17">
        <f>(K17*L$3)</f>
        <v>3862.5250994662501</v>
      </c>
      <c r="M17" s="17">
        <f>(K17*M$3)</f>
        <v>0</v>
      </c>
      <c r="N17" s="17">
        <f>(K17*N$3)</f>
        <v>0</v>
      </c>
      <c r="O17" s="17"/>
      <c r="P17" s="17">
        <f>(K17-L17-M17-N17-O17)</f>
        <v>73387.97688985875</v>
      </c>
      <c r="Q17" s="26">
        <f>(K17-F17)/F17</f>
        <v>0.23591244370512421</v>
      </c>
      <c r="R17" s="208">
        <f>(P17-F17)/P17</f>
        <v>0.14829599434107218</v>
      </c>
      <c r="S17" s="204"/>
      <c r="T17" s="408">
        <f t="shared" ref="T17:T26" si="19">(E17+(E17*T$3))</f>
        <v>96882.492520661152</v>
      </c>
      <c r="U17" s="408">
        <f t="shared" ref="U17:U26" si="20">(T17*1.21)</f>
        <v>117227.81594999999</v>
      </c>
      <c r="V17" s="40"/>
      <c r="W17" s="117">
        <v>120990</v>
      </c>
      <c r="X17" s="440">
        <f>CEILING(W17,50)</f>
        <v>121000</v>
      </c>
      <c r="Y17" s="42">
        <f>(X17/1.21)</f>
        <v>100000</v>
      </c>
      <c r="Z17" s="190">
        <f t="shared" ref="Z17:Z22" si="21">(Y17-F17)/F17</f>
        <v>0.59987626213213607</v>
      </c>
      <c r="AA17" s="445">
        <f t="shared" ref="AA17:AA22" si="22">(Y17-F17)/Y17</f>
        <v>0.37495166115702477</v>
      </c>
      <c r="AB17" s="440">
        <f>(X17+$AG$5)</f>
        <v>131000</v>
      </c>
      <c r="AC17" s="135"/>
    </row>
    <row r="18" spans="1:29" ht="15.6">
      <c r="A18" s="953" t="s">
        <v>130</v>
      </c>
      <c r="B18" s="404">
        <v>136990</v>
      </c>
      <c r="C18" s="151">
        <f t="shared" si="2"/>
        <v>75287.892561983463</v>
      </c>
      <c r="D18" s="151">
        <f t="shared" si="18"/>
        <v>75287.892561983463</v>
      </c>
      <c r="E18" s="151">
        <f t="shared" si="18"/>
        <v>70770.619008264461</v>
      </c>
      <c r="F18" s="151">
        <f t="shared" si="3"/>
        <v>70770.619008264461</v>
      </c>
      <c r="G18" s="369">
        <f>(Varta!F12)*1.05</f>
        <v>90253.891350000005</v>
      </c>
      <c r="H18" s="369">
        <f>(G18*1.21)</f>
        <v>109207.2085335</v>
      </c>
      <c r="I18" s="369">
        <f>(G18-(G18*Varta!H$3))</f>
        <v>85741.196782500003</v>
      </c>
      <c r="J18" s="369">
        <f>(I18-(I18*Varta!I$3))</f>
        <v>83168.960879025006</v>
      </c>
      <c r="K18" s="17">
        <f>(J18)</f>
        <v>83168.960879025006</v>
      </c>
      <c r="L18" s="17">
        <f>(K18*L$3)</f>
        <v>4158.4480439512508</v>
      </c>
      <c r="M18" s="17">
        <f>(K18*M$3)</f>
        <v>0</v>
      </c>
      <c r="N18" s="17">
        <f>(K18*N$3)</f>
        <v>0</v>
      </c>
      <c r="O18" s="17"/>
      <c r="P18" s="17">
        <f>(K18-L18-M18-N18-O18)</f>
        <v>79010.51283507375</v>
      </c>
      <c r="Q18" s="26">
        <f>(K18-F18)/F18</f>
        <v>0.17519052460616022</v>
      </c>
      <c r="R18" s="208">
        <f>(P18-F18)/P18</f>
        <v>0.10428857542045339</v>
      </c>
      <c r="S18" s="204"/>
      <c r="T18" s="408">
        <f t="shared" si="19"/>
        <v>109694.45946280991</v>
      </c>
      <c r="U18" s="408">
        <f t="shared" si="20"/>
        <v>132730.29595</v>
      </c>
      <c r="V18" s="40"/>
      <c r="W18" s="117">
        <v>136990</v>
      </c>
      <c r="X18" s="440">
        <f>CEILING(W18,50)</f>
        <v>137000</v>
      </c>
      <c r="Y18" s="42">
        <f>(X18/1.21)</f>
        <v>113223.14049586777</v>
      </c>
      <c r="Z18" s="190">
        <f t="shared" si="21"/>
        <v>0.59986081911542677</v>
      </c>
      <c r="AA18" s="445">
        <f t="shared" si="22"/>
        <v>0.37494562773722634</v>
      </c>
      <c r="AB18" s="440">
        <f>(X18+$AG$5)</f>
        <v>147000</v>
      </c>
      <c r="AC18" s="135"/>
    </row>
    <row r="19" spans="1:29" ht="15.6">
      <c r="A19" s="953" t="s">
        <v>131</v>
      </c>
      <c r="B19" s="404">
        <v>190990</v>
      </c>
      <c r="C19" s="151">
        <f t="shared" si="2"/>
        <v>104965.57851239669</v>
      </c>
      <c r="D19" s="151">
        <f t="shared" si="18"/>
        <v>104965.57851239669</v>
      </c>
      <c r="E19" s="151">
        <f t="shared" si="18"/>
        <v>98667.643801652885</v>
      </c>
      <c r="F19" s="151">
        <f t="shared" si="3"/>
        <v>98667.643801652885</v>
      </c>
      <c r="G19" s="369">
        <f>(Varta!F18)</f>
        <v>148898.67300000001</v>
      </c>
      <c r="H19" s="369">
        <f>(G19*1.21)</f>
        <v>180167.39433000001</v>
      </c>
      <c r="I19" s="369">
        <f>(G19-(G19*Varta!H$3))</f>
        <v>141453.73935000002</v>
      </c>
      <c r="J19" s="369">
        <f>(I19-(I19*Varta!I$3))</f>
        <v>137210.12716950002</v>
      </c>
      <c r="K19" s="17">
        <f>(J19)</f>
        <v>137210.12716950002</v>
      </c>
      <c r="L19" s="17">
        <f>(K19*L$3)</f>
        <v>6860.5063584750014</v>
      </c>
      <c r="M19" s="17">
        <f>(K19*M$3)</f>
        <v>0</v>
      </c>
      <c r="N19" s="17">
        <f>(K19*N$3)</f>
        <v>0</v>
      </c>
      <c r="O19" s="17"/>
      <c r="P19" s="17">
        <f>(K19-L19-M19-N19-O19)</f>
        <v>130349.62081102502</v>
      </c>
      <c r="Q19" s="26">
        <f>(K19-F19)/F19</f>
        <v>0.39062940881944391</v>
      </c>
      <c r="R19" s="208">
        <f>(P19-F19)/P19</f>
        <v>0.24305384865908608</v>
      </c>
      <c r="S19" s="204"/>
      <c r="T19" s="408">
        <f t="shared" si="19"/>
        <v>152934.84789256199</v>
      </c>
      <c r="U19" s="408">
        <f t="shared" si="20"/>
        <v>185051.16595</v>
      </c>
      <c r="V19" s="40"/>
      <c r="W19" s="117">
        <v>190990</v>
      </c>
      <c r="X19" s="440">
        <f>CEILING(W19,50)</f>
        <v>191000</v>
      </c>
      <c r="Y19" s="42">
        <f>(X19/1.21)</f>
        <v>157851.23966942148</v>
      </c>
      <c r="Z19" s="190">
        <f t="shared" si="21"/>
        <v>0.59982780157133087</v>
      </c>
      <c r="AA19" s="445">
        <f t="shared" si="22"/>
        <v>0.37493272774869113</v>
      </c>
      <c r="AB19" s="440">
        <f>(X19+$AG$6)</f>
        <v>205000</v>
      </c>
      <c r="AC19" s="135"/>
    </row>
    <row r="20" spans="1:29" ht="15.6">
      <c r="A20" s="403" t="s">
        <v>132</v>
      </c>
      <c r="B20" s="404">
        <v>190990</v>
      </c>
      <c r="C20" s="151">
        <f t="shared" si="2"/>
        <v>104965.57851239669</v>
      </c>
      <c r="D20" s="151">
        <f t="shared" si="18"/>
        <v>104965.57851239669</v>
      </c>
      <c r="E20" s="151">
        <f t="shared" si="18"/>
        <v>98667.643801652885</v>
      </c>
      <c r="F20" s="151">
        <f t="shared" si="3"/>
        <v>98667.643801652885</v>
      </c>
      <c r="G20" s="369">
        <f>(Varta!F18)</f>
        <v>148898.67300000001</v>
      </c>
      <c r="H20" s="369">
        <f>(G20*1.21)</f>
        <v>180167.39433000001</v>
      </c>
      <c r="I20" s="369">
        <f>(G20-(G20*Varta!H$3))</f>
        <v>141453.73935000002</v>
      </c>
      <c r="J20" s="369">
        <f>(I20-(I20*Varta!I$3))</f>
        <v>137210.12716950002</v>
      </c>
      <c r="K20" s="17">
        <f>(J20)</f>
        <v>137210.12716950002</v>
      </c>
      <c r="L20" s="17">
        <f>(K20*L$3)</f>
        <v>6860.5063584750014</v>
      </c>
      <c r="M20" s="17">
        <f>(K20*M$3)</f>
        <v>0</v>
      </c>
      <c r="N20" s="17">
        <f>(K20*N$3)</f>
        <v>0</v>
      </c>
      <c r="O20" s="17"/>
      <c r="P20" s="17">
        <f>(K20-L20-M20-N20-O20)</f>
        <v>130349.62081102502</v>
      </c>
      <c r="Q20" s="26">
        <f>(K20-F20)/F20</f>
        <v>0.39062940881944391</v>
      </c>
      <c r="R20" s="208">
        <f>(P20-F20)/P20</f>
        <v>0.24305384865908608</v>
      </c>
      <c r="S20" s="204"/>
      <c r="T20" s="408">
        <f t="shared" si="19"/>
        <v>152934.84789256199</v>
      </c>
      <c r="U20" s="408">
        <f t="shared" si="20"/>
        <v>185051.16595</v>
      </c>
      <c r="V20" s="40"/>
      <c r="W20" s="117">
        <v>190990</v>
      </c>
      <c r="X20" s="440">
        <f>CEILING(W20,50)</f>
        <v>191000</v>
      </c>
      <c r="Y20" s="42">
        <f>(X20/1.21)</f>
        <v>157851.23966942148</v>
      </c>
      <c r="Z20" s="190">
        <f t="shared" si="21"/>
        <v>0.59982780157133087</v>
      </c>
      <c r="AA20" s="445">
        <f t="shared" si="22"/>
        <v>0.37493272774869113</v>
      </c>
      <c r="AB20" s="440">
        <f>(X20+$AG$6)</f>
        <v>205000</v>
      </c>
      <c r="AC20" s="135"/>
    </row>
    <row r="21" spans="1:29" ht="15.6">
      <c r="A21" s="953" t="s">
        <v>133</v>
      </c>
      <c r="B21" s="404">
        <v>199990</v>
      </c>
      <c r="C21" s="151">
        <f t="shared" si="2"/>
        <v>109911.85950413223</v>
      </c>
      <c r="D21" s="151">
        <f t="shared" si="0"/>
        <v>109911.85950413223</v>
      </c>
      <c r="E21" s="151">
        <f t="shared" si="0"/>
        <v>103317.14793388429</v>
      </c>
      <c r="F21" s="151">
        <f t="shared" si="3"/>
        <v>103317.14793388429</v>
      </c>
      <c r="G21" s="369">
        <f>(F21*1.3)</f>
        <v>134312.29231404958</v>
      </c>
      <c r="H21" s="369">
        <f t="shared" si="4"/>
        <v>162517.8737</v>
      </c>
      <c r="I21" s="369">
        <f>(G21-(G21*Varta!H$3))</f>
        <v>127596.67769834711</v>
      </c>
      <c r="J21" s="369">
        <f>(I21-(I21*Varta!I$3))</f>
        <v>123768.77736739669</v>
      </c>
      <c r="K21" s="17">
        <f t="shared" si="5"/>
        <v>123768.77736739669</v>
      </c>
      <c r="L21" s="17">
        <f t="shared" si="6"/>
        <v>6188.4388683698344</v>
      </c>
      <c r="M21" s="17">
        <f t="shared" si="7"/>
        <v>0</v>
      </c>
      <c r="N21" s="17">
        <f t="shared" si="8"/>
        <v>0</v>
      </c>
      <c r="O21" s="17"/>
      <c r="P21" s="17">
        <f t="shared" si="9"/>
        <v>117580.33849902685</v>
      </c>
      <c r="Q21" s="26">
        <f t="shared" si="10"/>
        <v>0.19795000000000001</v>
      </c>
      <c r="R21" s="208">
        <f t="shared" si="11"/>
        <v>0.12130591514890571</v>
      </c>
      <c r="S21" s="204"/>
      <c r="T21" s="408">
        <f t="shared" si="19"/>
        <v>160141.57929752066</v>
      </c>
      <c r="U21" s="408">
        <f t="shared" si="20"/>
        <v>193771.31094999998</v>
      </c>
      <c r="V21" s="40"/>
      <c r="W21" s="117">
        <v>199990</v>
      </c>
      <c r="X21" s="440">
        <f t="shared" si="14"/>
        <v>200000</v>
      </c>
      <c r="Y21" s="42">
        <f t="shared" si="15"/>
        <v>165289.25619834711</v>
      </c>
      <c r="Z21" s="190">
        <f t="shared" si="21"/>
        <v>0.59982403215505531</v>
      </c>
      <c r="AA21" s="445">
        <f t="shared" si="22"/>
        <v>0.37493125500000007</v>
      </c>
      <c r="AB21" s="440">
        <f t="shared" si="17"/>
        <v>210000</v>
      </c>
      <c r="AC21" s="135"/>
    </row>
    <row r="22" spans="1:29" ht="15.6">
      <c r="A22" s="953" t="s">
        <v>134</v>
      </c>
      <c r="B22" s="404">
        <v>231990</v>
      </c>
      <c r="C22" s="151">
        <f t="shared" si="2"/>
        <v>127498.63636363637</v>
      </c>
      <c r="D22" s="151">
        <f>((C22-(C22*D$3)))</f>
        <v>127498.63636363637</v>
      </c>
      <c r="E22" s="151">
        <f>((D22-(D22*E$3)))</f>
        <v>119848.71818181819</v>
      </c>
      <c r="F22" s="151">
        <f t="shared" si="3"/>
        <v>119848.71818181819</v>
      </c>
      <c r="G22" s="369">
        <f>(Varta!F18)</f>
        <v>148898.67300000001</v>
      </c>
      <c r="H22" s="369">
        <f>(G22*1.21)</f>
        <v>180167.39433000001</v>
      </c>
      <c r="I22" s="369">
        <f>(G22-(G22*Varta!H$3))</f>
        <v>141453.73935000002</v>
      </c>
      <c r="J22" s="369">
        <f>(I22-(I22*Varta!I$3))</f>
        <v>137210.12716950002</v>
      </c>
      <c r="K22" s="17">
        <f>(J22)</f>
        <v>137210.12716950002</v>
      </c>
      <c r="L22" s="17">
        <f>(K22*L$3)</f>
        <v>6860.5063584750014</v>
      </c>
      <c r="M22" s="17">
        <f>(K22*M$3)</f>
        <v>0</v>
      </c>
      <c r="N22" s="17">
        <f>(K22*N$3)</f>
        <v>0</v>
      </c>
      <c r="O22" s="17"/>
      <c r="P22" s="17">
        <f>(K22-L22-M22-N22-O22)</f>
        <v>130349.62081102502</v>
      </c>
      <c r="Q22" s="26">
        <f>(K22-F22)/F22</f>
        <v>0.14486103189976102</v>
      </c>
      <c r="R22" s="208">
        <f>(P22-F22)/P22</f>
        <v>8.0559518039799771E-2</v>
      </c>
      <c r="S22" s="204"/>
      <c r="T22" s="408">
        <f t="shared" si="19"/>
        <v>185765.51318181818</v>
      </c>
      <c r="U22" s="408">
        <f t="shared" si="20"/>
        <v>224776.27095000001</v>
      </c>
      <c r="V22" s="40"/>
      <c r="W22" s="117">
        <v>231990</v>
      </c>
      <c r="X22" s="440">
        <f>CEILING(W22,50)</f>
        <v>232000</v>
      </c>
      <c r="Y22" s="42">
        <f>(X22/1.21)</f>
        <v>191735.53719008266</v>
      </c>
      <c r="Z22" s="190">
        <f t="shared" si="21"/>
        <v>0.59981299841027558</v>
      </c>
      <c r="AA22" s="445">
        <f t="shared" si="22"/>
        <v>0.37492694396551729</v>
      </c>
      <c r="AB22" s="440">
        <f>(X22+$AG$6)</f>
        <v>246000</v>
      </c>
      <c r="AC22" s="135"/>
    </row>
    <row r="23" spans="1:29" ht="15.6">
      <c r="A23" s="403" t="s">
        <v>135</v>
      </c>
      <c r="B23" s="404">
        <v>231990</v>
      </c>
      <c r="C23" s="151">
        <f t="shared" si="2"/>
        <v>127498.63636363637</v>
      </c>
      <c r="D23" s="151">
        <f>((C23-(C23*D$3)))</f>
        <v>127498.63636363637</v>
      </c>
      <c r="E23" s="151">
        <f>((D23-(D23*E$3)))</f>
        <v>119848.71818181819</v>
      </c>
      <c r="F23" s="151">
        <f t="shared" si="3"/>
        <v>119848.71818181819</v>
      </c>
      <c r="G23" s="369">
        <f>(Varta!F18)</f>
        <v>148898.67300000001</v>
      </c>
      <c r="H23" s="369">
        <f>(G23*1.21)</f>
        <v>180167.39433000001</v>
      </c>
      <c r="I23" s="369">
        <f>(G23-(G23*Varta!H$3))</f>
        <v>141453.73935000002</v>
      </c>
      <c r="J23" s="369">
        <f>(I23-(I23*Varta!I$3))</f>
        <v>137210.12716950002</v>
      </c>
      <c r="K23" s="17">
        <f>(J23)</f>
        <v>137210.12716950002</v>
      </c>
      <c r="L23" s="17">
        <f>(K23*L$3)</f>
        <v>6860.5063584750014</v>
      </c>
      <c r="M23" s="17">
        <f>(K23*M$3)</f>
        <v>0</v>
      </c>
      <c r="N23" s="17">
        <f>(K23*N$3)</f>
        <v>0</v>
      </c>
      <c r="O23" s="17"/>
      <c r="P23" s="17">
        <f>(K23-L23-M23-N23-O23)</f>
        <v>130349.62081102502</v>
      </c>
      <c r="Q23" s="26">
        <f>(K23-F23)/F23</f>
        <v>0.14486103189976102</v>
      </c>
      <c r="R23" s="208">
        <f>(P23-F23)/P23</f>
        <v>8.0559518039799771E-2</v>
      </c>
      <c r="S23" s="204"/>
      <c r="T23" s="408">
        <f t="shared" si="19"/>
        <v>185765.51318181818</v>
      </c>
      <c r="U23" s="408">
        <f t="shared" si="20"/>
        <v>224776.27095000001</v>
      </c>
      <c r="V23" s="40"/>
      <c r="W23" s="117">
        <v>231990</v>
      </c>
      <c r="X23" s="440">
        <f>CEILING(W23,50)</f>
        <v>232000</v>
      </c>
      <c r="Y23" s="42">
        <f>(X23/1.21)</f>
        <v>191735.53719008266</v>
      </c>
      <c r="Z23" s="190">
        <f t="shared" ref="Z23" si="23">(Y23-F23)/F23</f>
        <v>0.59981299841027558</v>
      </c>
      <c r="AA23" s="445">
        <f t="shared" ref="AA23" si="24">(Y23-F23)/Y23</f>
        <v>0.37492694396551729</v>
      </c>
      <c r="AB23" s="440">
        <f>(X23+$AG$6)</f>
        <v>246000</v>
      </c>
      <c r="AC23" s="135"/>
    </row>
    <row r="24" spans="1:29" ht="15.6">
      <c r="A24" s="953" t="s">
        <v>136</v>
      </c>
      <c r="B24" s="404">
        <v>234990</v>
      </c>
      <c r="C24" s="151">
        <f t="shared" si="2"/>
        <v>129147.39669421487</v>
      </c>
      <c r="D24" s="151">
        <f t="shared" si="0"/>
        <v>129147.39669421487</v>
      </c>
      <c r="E24" s="151">
        <f t="shared" si="0"/>
        <v>121398.55289256197</v>
      </c>
      <c r="F24" s="151">
        <f t="shared" si="3"/>
        <v>121398.55289256197</v>
      </c>
      <c r="G24" s="369">
        <f>(Varta!F8)</f>
        <v>153372.99599999998</v>
      </c>
      <c r="H24" s="369">
        <f t="shared" si="4"/>
        <v>185581.32515999998</v>
      </c>
      <c r="I24" s="369">
        <f>(G24-(G24*Varta!H$3))</f>
        <v>145704.34619999997</v>
      </c>
      <c r="J24" s="369">
        <f>(I24-(I24*Varta!I$3))</f>
        <v>141333.21581399997</v>
      </c>
      <c r="K24" s="17">
        <f t="shared" si="5"/>
        <v>141333.21581399997</v>
      </c>
      <c r="L24" s="17">
        <f t="shared" si="6"/>
        <v>7066.6607906999989</v>
      </c>
      <c r="M24" s="17">
        <f t="shared" si="7"/>
        <v>0</v>
      </c>
      <c r="N24" s="17">
        <f t="shared" si="8"/>
        <v>0</v>
      </c>
      <c r="O24" s="17"/>
      <c r="P24" s="17">
        <f t="shared" si="9"/>
        <v>134266.55502329997</v>
      </c>
      <c r="Q24" s="26">
        <f t="shared" si="10"/>
        <v>0.16420840649624729</v>
      </c>
      <c r="R24" s="208">
        <f t="shared" si="11"/>
        <v>9.5839221677393477E-2</v>
      </c>
      <c r="S24" s="204"/>
      <c r="T24" s="408">
        <f t="shared" si="19"/>
        <v>188167.75698347104</v>
      </c>
      <c r="U24" s="408">
        <f t="shared" si="20"/>
        <v>227682.98594999994</v>
      </c>
      <c r="V24" s="40"/>
      <c r="W24" s="117">
        <v>234990</v>
      </c>
      <c r="X24" s="440">
        <f t="shared" si="14"/>
        <v>235000</v>
      </c>
      <c r="Y24" s="42">
        <f t="shared" si="15"/>
        <v>194214.87603305787</v>
      </c>
      <c r="Z24" s="190">
        <f>(Y24-F24)/F24</f>
        <v>0.59981211806485468</v>
      </c>
      <c r="AA24" s="445">
        <f>(Y24-F24)/Y24</f>
        <v>0.37492660000000011</v>
      </c>
      <c r="AB24" s="440">
        <f>(X24+$AG$6)</f>
        <v>249000</v>
      </c>
      <c r="AC24" s="135"/>
    </row>
    <row r="25" spans="1:29" ht="15.6">
      <c r="A25" s="403" t="s">
        <v>137</v>
      </c>
      <c r="B25" s="404">
        <v>272990</v>
      </c>
      <c r="C25" s="151">
        <f t="shared" si="2"/>
        <v>150031.69421487604</v>
      </c>
      <c r="D25" s="151">
        <f t="shared" ref="D25:E30" si="25">((C25-(C25*D$3)))</f>
        <v>150031.69421487604</v>
      </c>
      <c r="E25" s="151">
        <f t="shared" si="25"/>
        <v>141029.79256198349</v>
      </c>
      <c r="F25" s="151">
        <f t="shared" si="3"/>
        <v>141029.79256198349</v>
      </c>
      <c r="G25" s="369">
        <f>(Varta!F20)</f>
        <v>177198.29399999999</v>
      </c>
      <c r="H25" s="369">
        <f t="shared" ref="H25:H30" si="26">(G25*1.21)</f>
        <v>214409.93573999999</v>
      </c>
      <c r="I25" s="369">
        <f>(G25-(G25*Varta!H$3))</f>
        <v>168338.3793</v>
      </c>
      <c r="J25" s="369">
        <f>(I25-(I25*Varta!I$3))</f>
        <v>163288.22792100001</v>
      </c>
      <c r="K25" s="17">
        <f t="shared" ref="K25:K30" si="27">(J25)</f>
        <v>163288.22792100001</v>
      </c>
      <c r="L25" s="17">
        <f t="shared" ref="L25:L30" si="28">(K25*L$3)</f>
        <v>8164.4113960500008</v>
      </c>
      <c r="M25" s="17">
        <f t="shared" ref="M25:M30" si="29">(K25*M$3)</f>
        <v>0</v>
      </c>
      <c r="N25" s="17">
        <f t="shared" ref="N25:N30" si="30">(K25*N$3)</f>
        <v>0</v>
      </c>
      <c r="O25" s="17"/>
      <c r="P25" s="17">
        <f t="shared" ref="P25:P30" si="31">(K25-L25-M25-N25-O25)</f>
        <v>155123.81652495</v>
      </c>
      <c r="Q25" s="26">
        <f t="shared" ref="Q25:Q34" si="32">(K25-F25)/F25</f>
        <v>0.15782789547275128</v>
      </c>
      <c r="R25" s="208">
        <f t="shared" ref="R25:R30" si="33">(P25-F25)/P25</f>
        <v>9.085660911843052E-2</v>
      </c>
      <c r="S25" s="204"/>
      <c r="T25" s="408">
        <f t="shared" si="19"/>
        <v>218596.17847107441</v>
      </c>
      <c r="U25" s="408">
        <f t="shared" si="20"/>
        <v>264501.37595000002</v>
      </c>
      <c r="V25" s="40"/>
      <c r="W25" s="117">
        <v>272990</v>
      </c>
      <c r="X25" s="440">
        <f t="shared" ref="X25:X30" si="34">CEILING(W25,50)</f>
        <v>273000</v>
      </c>
      <c r="Y25" s="42">
        <f t="shared" ref="Y25:Y30" si="35">(X25/1.21)</f>
        <v>225619.8347107438</v>
      </c>
      <c r="Z25" s="190">
        <f t="shared" ref="Z25:Z30" si="36">(Y25-F25)/F25</f>
        <v>0.59980264178281661</v>
      </c>
      <c r="AA25" s="445">
        <f t="shared" ref="AA25:AA30" si="37">(Y25-F25)/Y25</f>
        <v>0.37492289743589735</v>
      </c>
      <c r="AB25" s="440">
        <f>(X25+$AG$6)</f>
        <v>287000</v>
      </c>
      <c r="AC25" s="135"/>
    </row>
    <row r="26" spans="1:29" ht="15.6">
      <c r="A26" s="403" t="s">
        <v>138</v>
      </c>
      <c r="B26" s="404">
        <v>324990</v>
      </c>
      <c r="C26" s="151">
        <f t="shared" si="2"/>
        <v>178610.20661157023</v>
      </c>
      <c r="D26" s="151">
        <f t="shared" si="25"/>
        <v>178610.20661157023</v>
      </c>
      <c r="E26" s="151">
        <f t="shared" si="25"/>
        <v>167893.59421487601</v>
      </c>
      <c r="F26" s="151">
        <f t="shared" si="3"/>
        <v>167893.59421487601</v>
      </c>
      <c r="G26" s="369">
        <f>(F26*1.3)</f>
        <v>218261.67247933883</v>
      </c>
      <c r="H26" s="369">
        <f t="shared" si="26"/>
        <v>264096.6237</v>
      </c>
      <c r="I26" s="369">
        <f>(G26-(G26*Varta!H$3))</f>
        <v>207348.5888553719</v>
      </c>
      <c r="J26" s="369">
        <f>(I26-(I26*Varta!I$3))</f>
        <v>201128.13118971075</v>
      </c>
      <c r="K26" s="17">
        <f t="shared" si="27"/>
        <v>201128.13118971075</v>
      </c>
      <c r="L26" s="17">
        <f t="shared" si="28"/>
        <v>10056.406559485538</v>
      </c>
      <c r="M26" s="17">
        <f t="shared" si="29"/>
        <v>0</v>
      </c>
      <c r="N26" s="17">
        <f t="shared" si="30"/>
        <v>0</v>
      </c>
      <c r="O26" s="17"/>
      <c r="P26" s="17">
        <f t="shared" si="31"/>
        <v>191071.72463022522</v>
      </c>
      <c r="Q26" s="26">
        <f t="shared" si="32"/>
        <v>0.19795000000000024</v>
      </c>
      <c r="R26" s="208">
        <f t="shared" si="33"/>
        <v>0.12130591514890587</v>
      </c>
      <c r="S26" s="204"/>
      <c r="T26" s="408">
        <f t="shared" si="19"/>
        <v>260235.07103305781</v>
      </c>
      <c r="U26" s="408">
        <f t="shared" si="20"/>
        <v>314884.43594999996</v>
      </c>
      <c r="V26" s="40"/>
      <c r="W26" s="117">
        <v>324990</v>
      </c>
      <c r="X26" s="440">
        <f t="shared" si="34"/>
        <v>325000</v>
      </c>
      <c r="Y26" s="42">
        <f t="shared" si="35"/>
        <v>268595.04132231406</v>
      </c>
      <c r="Z26" s="190">
        <f t="shared" si="36"/>
        <v>0.5997932653616127</v>
      </c>
      <c r="AA26" s="445">
        <f t="shared" si="37"/>
        <v>0.374919233846154</v>
      </c>
      <c r="AB26" s="440">
        <f>(X26+$AG$7)</f>
        <v>344000</v>
      </c>
      <c r="AC26" s="135"/>
    </row>
    <row r="27" spans="1:29" ht="15.6">
      <c r="A27" s="403" t="s">
        <v>139</v>
      </c>
      <c r="B27" s="404">
        <v>344990</v>
      </c>
      <c r="C27" s="151">
        <f t="shared" si="2"/>
        <v>189601.94214876034</v>
      </c>
      <c r="D27" s="151">
        <f t="shared" si="25"/>
        <v>189601.94214876034</v>
      </c>
      <c r="E27" s="151">
        <f t="shared" si="25"/>
        <v>178225.82561983471</v>
      </c>
      <c r="F27" s="151">
        <f t="shared" si="3"/>
        <v>178225.82561983471</v>
      </c>
      <c r="G27" s="369">
        <f>(Varta!F21)*1.08</f>
        <v>229604.13252000001</v>
      </c>
      <c r="H27" s="369">
        <f t="shared" si="26"/>
        <v>277821.00034919998</v>
      </c>
      <c r="I27" s="369">
        <f>(G27-(G27*Varta!H$3))</f>
        <v>218123.92589400001</v>
      </c>
      <c r="J27" s="369">
        <f>(I27-(I27*Varta!I$3))</f>
        <v>211580.20811718001</v>
      </c>
      <c r="K27" s="17">
        <f t="shared" si="27"/>
        <v>211580.20811718001</v>
      </c>
      <c r="L27" s="17">
        <f t="shared" si="28"/>
        <v>10579.010405859</v>
      </c>
      <c r="M27" s="17">
        <f t="shared" si="29"/>
        <v>0</v>
      </c>
      <c r="N27" s="17">
        <f t="shared" si="30"/>
        <v>0</v>
      </c>
      <c r="O27" s="17"/>
      <c r="P27" s="17">
        <f t="shared" si="31"/>
        <v>201001.197711321</v>
      </c>
      <c r="Q27" s="26">
        <f t="shared" si="32"/>
        <v>0.18714674139589621</v>
      </c>
      <c r="R27" s="208">
        <f t="shared" si="33"/>
        <v>0.1133096337276378</v>
      </c>
      <c r="S27" s="204"/>
      <c r="T27" s="408"/>
      <c r="U27" s="408"/>
      <c r="V27" s="40"/>
      <c r="W27" s="117">
        <v>344990</v>
      </c>
      <c r="X27" s="440">
        <f t="shared" si="34"/>
        <v>345000</v>
      </c>
      <c r="Y27" s="42">
        <f t="shared" si="35"/>
        <v>285123.96694214875</v>
      </c>
      <c r="Z27" s="190">
        <f t="shared" si="36"/>
        <v>0.59979041169001812</v>
      </c>
      <c r="AA27" s="445">
        <f t="shared" si="37"/>
        <v>0.37491811884057968</v>
      </c>
      <c r="AB27" s="440"/>
      <c r="AC27" s="135"/>
    </row>
    <row r="28" spans="1:29" ht="15.6">
      <c r="A28" s="403" t="s">
        <v>140</v>
      </c>
      <c r="B28" s="404">
        <v>410990</v>
      </c>
      <c r="C28" s="151">
        <f t="shared" si="2"/>
        <v>225874.6694214876</v>
      </c>
      <c r="D28" s="151">
        <f t="shared" si="25"/>
        <v>225874.6694214876</v>
      </c>
      <c r="E28" s="151">
        <f t="shared" si="25"/>
        <v>212322.18925619835</v>
      </c>
      <c r="F28" s="151">
        <f t="shared" si="3"/>
        <v>212322.18925619835</v>
      </c>
      <c r="G28" s="369">
        <f>(Varta!F23)*1.1</f>
        <v>268557.55079999997</v>
      </c>
      <c r="H28" s="369">
        <f t="shared" si="26"/>
        <v>324954.63646799995</v>
      </c>
      <c r="I28" s="369">
        <f>(G28-(G28*Varta!H$3))</f>
        <v>255129.67325999998</v>
      </c>
      <c r="J28" s="369">
        <f>(I28-(I28*Varta!I$3))</f>
        <v>247475.78306219997</v>
      </c>
      <c r="K28" s="17">
        <f t="shared" si="27"/>
        <v>247475.78306219997</v>
      </c>
      <c r="L28" s="17">
        <f t="shared" si="28"/>
        <v>12373.789153109999</v>
      </c>
      <c r="M28" s="17">
        <f t="shared" si="29"/>
        <v>0</v>
      </c>
      <c r="N28" s="17">
        <f t="shared" si="30"/>
        <v>0</v>
      </c>
      <c r="O28" s="17"/>
      <c r="P28" s="17">
        <f t="shared" si="31"/>
        <v>235101.99390908997</v>
      </c>
      <c r="Q28" s="26">
        <f t="shared" si="32"/>
        <v>0.16556721616874237</v>
      </c>
      <c r="R28" s="208">
        <f t="shared" si="33"/>
        <v>9.6893285650738417E-2</v>
      </c>
      <c r="S28" s="1"/>
      <c r="T28" s="409"/>
      <c r="U28" s="409"/>
      <c r="V28" s="40"/>
      <c r="W28" s="117">
        <v>410990</v>
      </c>
      <c r="X28" s="440">
        <f t="shared" si="34"/>
        <v>411000</v>
      </c>
      <c r="Y28" s="42">
        <f t="shared" si="35"/>
        <v>339669.42148760334</v>
      </c>
      <c r="Z28" s="190">
        <f t="shared" si="36"/>
        <v>0.59978296511318263</v>
      </c>
      <c r="AA28" s="445">
        <f t="shared" si="37"/>
        <v>0.37491520924574212</v>
      </c>
      <c r="AB28" s="440">
        <f>(X28+$AG$7)</f>
        <v>430000</v>
      </c>
      <c r="AC28" s="921"/>
    </row>
    <row r="29" spans="1:29" ht="15.6">
      <c r="A29" s="403" t="s">
        <v>141</v>
      </c>
      <c r="B29" s="404">
        <v>414990</v>
      </c>
      <c r="C29" s="151">
        <f t="shared" si="2"/>
        <v>228073.01652892563</v>
      </c>
      <c r="D29" s="151">
        <f t="shared" si="25"/>
        <v>228073.01652892563</v>
      </c>
      <c r="E29" s="151">
        <f t="shared" si="25"/>
        <v>214388.6355371901</v>
      </c>
      <c r="F29" s="151">
        <f t="shared" si="3"/>
        <v>214388.6355371901</v>
      </c>
      <c r="G29" s="369">
        <f>(Varta!F26)</f>
        <v>298307.07899999997</v>
      </c>
      <c r="H29" s="369">
        <f t="shared" si="26"/>
        <v>360951.56558999995</v>
      </c>
      <c r="I29" s="369">
        <f>(G29-(G29*Varta!H$3))</f>
        <v>283391.72504999995</v>
      </c>
      <c r="J29" s="369">
        <f>(I29-(I29*Varta!I$3))</f>
        <v>274889.97329849994</v>
      </c>
      <c r="K29" s="17">
        <f t="shared" si="27"/>
        <v>274889.97329849994</v>
      </c>
      <c r="L29" s="17">
        <f t="shared" si="28"/>
        <v>13744.498664924999</v>
      </c>
      <c r="M29" s="17">
        <f t="shared" si="29"/>
        <v>0</v>
      </c>
      <c r="N29" s="17">
        <f t="shared" si="30"/>
        <v>0</v>
      </c>
      <c r="O29" s="17"/>
      <c r="P29" s="17">
        <f t="shared" si="31"/>
        <v>261145.47463357495</v>
      </c>
      <c r="Q29" s="26">
        <f t="shared" si="32"/>
        <v>0.2822040338552117</v>
      </c>
      <c r="R29" s="208">
        <f t="shared" si="33"/>
        <v>0.17904518223795182</v>
      </c>
      <c r="S29" s="1"/>
      <c r="T29" s="409"/>
      <c r="U29" s="409"/>
      <c r="V29" s="40"/>
      <c r="W29" s="117">
        <v>414990</v>
      </c>
      <c r="X29" s="440">
        <f t="shared" si="34"/>
        <v>415000</v>
      </c>
      <c r="Y29" s="42">
        <f t="shared" si="35"/>
        <v>342975.20661157026</v>
      </c>
      <c r="Z29" s="190">
        <f t="shared" si="36"/>
        <v>0.59978258993151801</v>
      </c>
      <c r="AA29" s="445">
        <f t="shared" si="37"/>
        <v>0.37491506265060237</v>
      </c>
      <c r="AB29" s="440"/>
      <c r="AC29" s="921"/>
    </row>
    <row r="30" spans="1:29" ht="15.6">
      <c r="A30" s="403" t="s">
        <v>142</v>
      </c>
      <c r="B30" s="404">
        <v>541990</v>
      </c>
      <c r="C30" s="151">
        <f t="shared" si="2"/>
        <v>297870.53719008266</v>
      </c>
      <c r="D30" s="151">
        <f t="shared" si="25"/>
        <v>297870.53719008266</v>
      </c>
      <c r="E30" s="151">
        <f t="shared" si="25"/>
        <v>279998.30495867768</v>
      </c>
      <c r="F30" s="151">
        <f t="shared" si="3"/>
        <v>279998.30495867768</v>
      </c>
      <c r="G30" s="369">
        <f>(Varta!F27)*1.2</f>
        <v>363428.30160000001</v>
      </c>
      <c r="H30" s="369">
        <f t="shared" si="26"/>
        <v>439748.24493599997</v>
      </c>
      <c r="I30" s="369">
        <f>(G30-(G30*Varta!H$3))</f>
        <v>345256.88652</v>
      </c>
      <c r="J30" s="369">
        <f>(I30-(I30*Varta!I$3))</f>
        <v>334899.1799244</v>
      </c>
      <c r="K30" s="17">
        <f t="shared" si="27"/>
        <v>334899.1799244</v>
      </c>
      <c r="L30" s="17">
        <f t="shared" si="28"/>
        <v>16744.958996220001</v>
      </c>
      <c r="M30" s="17">
        <f t="shared" si="29"/>
        <v>0</v>
      </c>
      <c r="N30" s="17">
        <f t="shared" si="30"/>
        <v>0</v>
      </c>
      <c r="O30" s="17"/>
      <c r="P30" s="17">
        <f t="shared" si="31"/>
        <v>318154.22092817997</v>
      </c>
      <c r="Q30" s="26">
        <f t="shared" si="32"/>
        <v>0.19607574043644524</v>
      </c>
      <c r="R30" s="208">
        <f t="shared" si="33"/>
        <v>0.11992899499552954</v>
      </c>
      <c r="S30" s="1"/>
      <c r="T30" s="409"/>
      <c r="U30" s="409"/>
      <c r="V30" s="40"/>
      <c r="W30" s="117">
        <v>541990</v>
      </c>
      <c r="X30" s="440">
        <f t="shared" si="34"/>
        <v>542000</v>
      </c>
      <c r="Y30" s="42">
        <f t="shared" si="35"/>
        <v>447933.88429752068</v>
      </c>
      <c r="Z30" s="190">
        <f t="shared" si="36"/>
        <v>0.59977355707073665</v>
      </c>
      <c r="AA30" s="445">
        <f t="shared" si="37"/>
        <v>0.37491153321033216</v>
      </c>
      <c r="AB30" s="440"/>
      <c r="AC30" s="921"/>
    </row>
    <row r="31" spans="1:29" s="921" customFormat="1" ht="15.6">
      <c r="A31" s="406" t="s">
        <v>143</v>
      </c>
      <c r="B31" s="404">
        <v>228990</v>
      </c>
      <c r="C31" s="151">
        <f t="shared" si="2"/>
        <v>125849.87603305785</v>
      </c>
      <c r="D31" s="151">
        <f t="shared" ref="D31" si="38">((C31-(C31*D$3)))</f>
        <v>125849.87603305785</v>
      </c>
      <c r="E31" s="151">
        <f t="shared" ref="E31" si="39">((D31-(D31*E$3)))</f>
        <v>118298.88347107438</v>
      </c>
      <c r="F31" s="151">
        <f t="shared" si="3"/>
        <v>118298.88347107438</v>
      </c>
      <c r="G31" s="369">
        <f>(Varta!F30)</f>
        <v>159244.36499999996</v>
      </c>
      <c r="H31" s="369">
        <f t="shared" ref="H31" si="40">(G31*1.21)</f>
        <v>192685.68164999995</v>
      </c>
      <c r="I31" s="369">
        <f>(G31-(G31*Varta!H$3))</f>
        <v>151282.14674999996</v>
      </c>
      <c r="J31" s="369">
        <f>(I31-(I31*Varta!I$3))</f>
        <v>146743.68234749997</v>
      </c>
      <c r="K31" s="17">
        <f t="shared" ref="K31" si="41">(J31)</f>
        <v>146743.68234749997</v>
      </c>
      <c r="L31" s="17">
        <f t="shared" ref="L31" si="42">(K31*L$3)</f>
        <v>7337.184117374999</v>
      </c>
      <c r="M31" s="17">
        <f t="shared" ref="M31" si="43">(K31*M$3)</f>
        <v>0</v>
      </c>
      <c r="N31" s="17">
        <f t="shared" ref="N31" si="44">(K31*N$3)</f>
        <v>0</v>
      </c>
      <c r="O31" s="17"/>
      <c r="P31" s="17">
        <f t="shared" ref="P31" si="45">(K31-L31-M31-N31-O31)</f>
        <v>139406.49823012497</v>
      </c>
      <c r="Q31" s="26">
        <f t="shared" si="32"/>
        <v>0.24044858279140657</v>
      </c>
      <c r="R31" s="208">
        <f t="shared" ref="R31" si="46">(P31-F31)/P31</f>
        <v>0.15141055135182607</v>
      </c>
      <c r="S31" s="1"/>
      <c r="T31" s="409"/>
      <c r="U31" s="409"/>
      <c r="V31" s="40"/>
      <c r="W31" s="117">
        <v>228990</v>
      </c>
      <c r="X31" s="440">
        <f t="shared" ref="X31" si="47">CEILING(W31,50)</f>
        <v>229000</v>
      </c>
      <c r="Y31" s="42">
        <f t="shared" ref="Y31" si="48">(X31/1.21)</f>
        <v>189256.19834710745</v>
      </c>
      <c r="Z31" s="190">
        <f>(Y31-F31)/F31</f>
        <v>0.5998139018225227</v>
      </c>
      <c r="AA31" s="445">
        <f>(Y31-F31)/Y31</f>
        <v>0.37492729694323146</v>
      </c>
      <c r="AB31" s="440">
        <f t="shared" ref="AB31" si="49">(X31+$AG$5)</f>
        <v>239000</v>
      </c>
    </row>
    <row r="32" spans="1:29" ht="15.6">
      <c r="A32" s="406" t="s">
        <v>144</v>
      </c>
      <c r="B32" s="404">
        <v>290990</v>
      </c>
      <c r="C32" s="151">
        <f t="shared" si="2"/>
        <v>159924.25619834711</v>
      </c>
      <c r="D32" s="151">
        <f t="shared" ref="D32:E34" si="50">((C32-(C32*D$3)))</f>
        <v>159924.25619834711</v>
      </c>
      <c r="E32" s="151">
        <f t="shared" si="50"/>
        <v>150328.80082644627</v>
      </c>
      <c r="F32" s="151">
        <f t="shared" si="3"/>
        <v>150328.80082644627</v>
      </c>
      <c r="G32" s="369">
        <f>(Varta!F31)*1.15</f>
        <v>199045.07279999999</v>
      </c>
      <c r="H32" s="369">
        <f>(G32*1.21)</f>
        <v>240844.53808799997</v>
      </c>
      <c r="I32" s="369">
        <f>(G32-(G32*Varta!H$3))</f>
        <v>189092.81915999998</v>
      </c>
      <c r="J32" s="369">
        <f>(I32-(I32*Varta!I$3))</f>
        <v>183420.03458519999</v>
      </c>
      <c r="K32" s="17">
        <f>(J32)</f>
        <v>183420.03458519999</v>
      </c>
      <c r="L32" s="17">
        <f>(K32*L$3)</f>
        <v>9171.0017292600005</v>
      </c>
      <c r="M32" s="17">
        <f>(K32*M$3)</f>
        <v>0</v>
      </c>
      <c r="N32" s="17">
        <f>(K32*N$3)</f>
        <v>0</v>
      </c>
      <c r="O32" s="17"/>
      <c r="P32" s="17">
        <f>(K32-L32-M32-N32-O32)</f>
        <v>174249.03285593999</v>
      </c>
      <c r="Q32" s="26">
        <f t="shared" si="32"/>
        <v>0.22012570829296613</v>
      </c>
      <c r="R32" s="208">
        <f>(P32-F32)/P32</f>
        <v>0.13727612508053186</v>
      </c>
      <c r="S32" s="1"/>
      <c r="T32" s="409"/>
      <c r="U32" s="409"/>
      <c r="V32" s="40"/>
      <c r="W32" s="117">
        <v>290990</v>
      </c>
      <c r="X32" s="440">
        <f>CEILING(W32,50)</f>
        <v>291000</v>
      </c>
      <c r="Y32" s="42">
        <f>(X32/1.21)</f>
        <v>240495.86776859505</v>
      </c>
      <c r="Z32" s="190">
        <f>(Y32-F32)/F32</f>
        <v>0.59979901686468007</v>
      </c>
      <c r="AA32" s="445">
        <f>(Y32-F32)/Y32</f>
        <v>0.37492148109965645</v>
      </c>
      <c r="AB32" s="440">
        <f>(X32+$AG$5)</f>
        <v>301000</v>
      </c>
      <c r="AC32" s="921"/>
    </row>
    <row r="33" spans="1:28" ht="15.6">
      <c r="A33" s="406" t="s">
        <v>145</v>
      </c>
      <c r="B33" s="404">
        <v>366990</v>
      </c>
      <c r="C33" s="151">
        <f t="shared" si="2"/>
        <v>201692.85123966943</v>
      </c>
      <c r="D33" s="151">
        <f t="shared" si="50"/>
        <v>201692.85123966943</v>
      </c>
      <c r="E33" s="151">
        <f t="shared" si="50"/>
        <v>189591.28016528927</v>
      </c>
      <c r="F33" s="151">
        <f t="shared" si="3"/>
        <v>189591.28016528927</v>
      </c>
      <c r="G33" s="369">
        <f>(F33*1.3)</f>
        <v>246468.66421487604</v>
      </c>
      <c r="H33" s="369">
        <f>(G33*1.21)</f>
        <v>298227.08370000002</v>
      </c>
      <c r="I33" s="369">
        <f>(G33-(G33*Varta!H$3))</f>
        <v>234145.23100413225</v>
      </c>
      <c r="J33" s="369">
        <f>(I33-(I33*Varta!I$3))</f>
        <v>227120.87407400829</v>
      </c>
      <c r="K33" s="17">
        <f>(J33)</f>
        <v>227120.87407400829</v>
      </c>
      <c r="L33" s="17">
        <f>(K33*L$3)</f>
        <v>11356.043703700416</v>
      </c>
      <c r="M33" s="17">
        <f>(K33*M$3)</f>
        <v>0</v>
      </c>
      <c r="N33" s="17">
        <f>(K33*N$3)</f>
        <v>0</v>
      </c>
      <c r="O33" s="17"/>
      <c r="P33" s="17">
        <f>(K33-L33-M33-N33-O33)</f>
        <v>215764.83037030787</v>
      </c>
      <c r="Q33" s="26">
        <f t="shared" si="32"/>
        <v>0.19795000000000004</v>
      </c>
      <c r="R33" s="208">
        <f>(P33-F33)/P33</f>
        <v>0.12130591514890572</v>
      </c>
      <c r="S33" s="1"/>
      <c r="T33" s="409"/>
      <c r="U33" s="409"/>
      <c r="V33" s="40"/>
      <c r="W33" s="117">
        <v>366990</v>
      </c>
      <c r="X33" s="440">
        <f>CEILING(W33,50)</f>
        <v>367000</v>
      </c>
      <c r="Y33" s="42">
        <f>(X33/1.21)</f>
        <v>303305.78512396693</v>
      </c>
      <c r="Z33" s="190">
        <f>(Y33-F33)/F33</f>
        <v>0.59978763189709572</v>
      </c>
      <c r="AA33" s="445">
        <f>(Y33-F33)/Y33</f>
        <v>0.37491703269754761</v>
      </c>
      <c r="AB33" s="440">
        <f>(X33+$AG$5)</f>
        <v>377000</v>
      </c>
    </row>
    <row r="34" spans="1:28" ht="15.6">
      <c r="A34" s="406" t="s">
        <v>146</v>
      </c>
      <c r="B34" s="404">
        <v>458990</v>
      </c>
      <c r="C34" s="151">
        <f t="shared" si="2"/>
        <v>252254.8347107438</v>
      </c>
      <c r="D34" s="151">
        <f t="shared" si="50"/>
        <v>252254.8347107438</v>
      </c>
      <c r="E34" s="151">
        <f t="shared" si="50"/>
        <v>237119.54462809919</v>
      </c>
      <c r="F34" s="151">
        <f t="shared" si="3"/>
        <v>237119.54462809919</v>
      </c>
      <c r="G34" s="369">
        <f>(F34*1.4)</f>
        <v>331967.36247933883</v>
      </c>
      <c r="H34" s="369">
        <f>(G34*1.21)</f>
        <v>401680.5086</v>
      </c>
      <c r="I34" s="369">
        <f>(G34-(G34*Varta!H$3))</f>
        <v>315368.99435537186</v>
      </c>
      <c r="J34" s="369">
        <f>(I34-(I34*Varta!I$3))</f>
        <v>305907.92452471069</v>
      </c>
      <c r="K34" s="17">
        <f>(J34)</f>
        <v>305907.92452471069</v>
      </c>
      <c r="L34" s="17">
        <f>(K34*L$3)</f>
        <v>15295.396226235534</v>
      </c>
      <c r="M34" s="17">
        <f>(K34*M$3)</f>
        <v>0</v>
      </c>
      <c r="N34" s="17">
        <f>(K34*N$3)</f>
        <v>0</v>
      </c>
      <c r="O34" s="17"/>
      <c r="P34" s="17">
        <f>(K34-L34-M34-N34-O34)</f>
        <v>290612.52829847514</v>
      </c>
      <c r="Q34" s="26">
        <f t="shared" si="32"/>
        <v>0.29009999999999969</v>
      </c>
      <c r="R34" s="208">
        <f>(P34-F34)/P34</f>
        <v>0.18406977835255506</v>
      </c>
      <c r="S34" s="1"/>
      <c r="T34" s="409"/>
      <c r="U34" s="409"/>
      <c r="V34" s="40"/>
      <c r="W34" s="117">
        <v>458990</v>
      </c>
      <c r="X34" s="440">
        <f>CEILING(W34,50)</f>
        <v>459000</v>
      </c>
      <c r="Y34" s="42">
        <f>(X34/1.21)</f>
        <v>379338.84297520661</v>
      </c>
      <c r="Z34" s="190">
        <f>(Y34-F34)/F34</f>
        <v>0.59977889452413413</v>
      </c>
      <c r="AA34" s="445">
        <f>(Y34-F34)/Y34</f>
        <v>0.3749136187363834</v>
      </c>
      <c r="AB34" s="440">
        <f>(X34+$AG$5)</f>
        <v>469000</v>
      </c>
    </row>
    <row r="35" spans="1:28" ht="15.6">
      <c r="A35" s="403" t="s">
        <v>147</v>
      </c>
      <c r="B35" s="404">
        <v>125990</v>
      </c>
      <c r="C35" s="151">
        <f t="shared" si="2"/>
        <v>69242.438016528933</v>
      </c>
      <c r="D35" s="151">
        <f t="shared" ref="D35:E35" si="51">((C35-(C35*D$3)))</f>
        <v>69242.438016528933</v>
      </c>
      <c r="E35" s="151">
        <f t="shared" si="51"/>
        <v>65087.891735537196</v>
      </c>
      <c r="F35" s="151">
        <f t="shared" si="3"/>
        <v>65087.891735537196</v>
      </c>
      <c r="G35" s="369">
        <f t="shared" ref="G35" si="52">(F35*1.4)</f>
        <v>91123.048429752074</v>
      </c>
      <c r="H35" s="369">
        <f t="shared" si="4"/>
        <v>110258.88860000001</v>
      </c>
      <c r="I35" s="369">
        <f>(G35-(G35*Varta!H$3))</f>
        <v>86566.896008264477</v>
      </c>
      <c r="J35" s="369">
        <f>(I35-(I35*Varta!I$3))</f>
        <v>83969.889128016541</v>
      </c>
      <c r="K35" s="17">
        <f t="shared" si="5"/>
        <v>83969.889128016541</v>
      </c>
      <c r="L35" s="17">
        <f t="shared" si="6"/>
        <v>4198.4944564008274</v>
      </c>
      <c r="M35" s="17">
        <f t="shared" si="7"/>
        <v>0</v>
      </c>
      <c r="N35" s="17">
        <f t="shared" si="8"/>
        <v>0</v>
      </c>
      <c r="O35" s="17"/>
      <c r="P35" s="17">
        <f t="shared" si="9"/>
        <v>79771.394671615708</v>
      </c>
      <c r="Q35" s="26">
        <f t="shared" si="10"/>
        <v>0.29010000000000008</v>
      </c>
      <c r="R35" s="208">
        <f t="shared" si="11"/>
        <v>0.18406977835255528</v>
      </c>
      <c r="S35" s="1"/>
      <c r="T35" s="409"/>
      <c r="U35" s="409"/>
      <c r="V35" s="40"/>
      <c r="W35" s="117">
        <v>125990</v>
      </c>
      <c r="X35" s="440">
        <f t="shared" si="14"/>
        <v>126000</v>
      </c>
      <c r="Y35" s="42">
        <f t="shared" si="15"/>
        <v>104132.23140495869</v>
      </c>
      <c r="Z35" s="190">
        <f>(Y35-F35)/F35</f>
        <v>0.59987101484351435</v>
      </c>
      <c r="AA35" s="445">
        <f>(Y35-F35)/Y35</f>
        <v>0.37494961111111108</v>
      </c>
      <c r="AB35" s="440">
        <f>(X35)</f>
        <v>126000</v>
      </c>
    </row>
    <row r="36" spans="1:28" ht="15.6">
      <c r="A36" s="405"/>
      <c r="B36" s="404"/>
      <c r="C36" s="53"/>
      <c r="D36" s="53"/>
      <c r="E36" s="53"/>
      <c r="F36" s="151">
        <f>((E36-(E36*F$3)))</f>
        <v>0</v>
      </c>
      <c r="G36" s="369">
        <v>0</v>
      </c>
      <c r="H36" s="369">
        <f t="shared" si="4"/>
        <v>0</v>
      </c>
      <c r="I36" s="369">
        <f>(G36-(G36*Varta!H$3))</f>
        <v>0</v>
      </c>
      <c r="J36" s="369">
        <f>(I36-(I36*Varta!I$3))</f>
        <v>0</v>
      </c>
      <c r="K36" s="17">
        <f t="shared" si="5"/>
        <v>0</v>
      </c>
      <c r="L36" s="17">
        <f t="shared" si="6"/>
        <v>0</v>
      </c>
      <c r="M36" s="17">
        <f t="shared" si="7"/>
        <v>0</v>
      </c>
      <c r="N36" s="17">
        <f t="shared" si="8"/>
        <v>0</v>
      </c>
      <c r="O36" s="53"/>
      <c r="P36" s="17">
        <f t="shared" si="9"/>
        <v>0</v>
      </c>
      <c r="Q36" s="26"/>
      <c r="R36" s="208"/>
      <c r="S36" s="1"/>
      <c r="T36" s="409"/>
      <c r="U36" s="409"/>
      <c r="V36" s="40"/>
      <c r="W36" s="117">
        <v>0</v>
      </c>
      <c r="X36" s="440">
        <f t="shared" si="14"/>
        <v>0</v>
      </c>
      <c r="Y36" s="42"/>
      <c r="Z36" s="190"/>
      <c r="AA36" s="445"/>
      <c r="AB36" s="440">
        <f t="shared" si="17"/>
        <v>10000</v>
      </c>
    </row>
    <row r="37" spans="1:28" ht="15.6">
      <c r="A37" s="407" t="s">
        <v>148</v>
      </c>
      <c r="B37" s="404">
        <v>100453</v>
      </c>
      <c r="C37" s="53"/>
      <c r="D37" s="53"/>
      <c r="E37" s="53"/>
      <c r="F37" s="151">
        <f>((E37-(E37*F$3)))</f>
        <v>0</v>
      </c>
      <c r="G37" s="369">
        <v>0</v>
      </c>
      <c r="H37" s="369">
        <f t="shared" si="4"/>
        <v>0</v>
      </c>
      <c r="I37" s="369">
        <f>(G37-(G37*Varta!H$3))</f>
        <v>0</v>
      </c>
      <c r="J37" s="369">
        <f>(I37-(I37*Varta!I$3))</f>
        <v>0</v>
      </c>
      <c r="K37" s="17">
        <f t="shared" si="5"/>
        <v>0</v>
      </c>
      <c r="L37" s="17">
        <f t="shared" si="6"/>
        <v>0</v>
      </c>
      <c r="M37" s="17">
        <f t="shared" si="7"/>
        <v>0</v>
      </c>
      <c r="N37" s="17">
        <f t="shared" si="8"/>
        <v>0</v>
      </c>
      <c r="O37" s="53"/>
      <c r="P37" s="17">
        <f t="shared" si="9"/>
        <v>0</v>
      </c>
      <c r="Q37" s="26"/>
      <c r="R37" s="208"/>
      <c r="S37" s="1"/>
      <c r="T37" s="409"/>
      <c r="U37" s="409"/>
      <c r="V37" s="40"/>
      <c r="W37" s="117">
        <v>0</v>
      </c>
      <c r="X37" s="440">
        <f t="shared" si="14"/>
        <v>0</v>
      </c>
      <c r="Y37" s="42">
        <f t="shared" si="15"/>
        <v>0</v>
      </c>
      <c r="Z37" s="190" t="e">
        <f>(Y37-F37)/F37</f>
        <v>#DIV/0!</v>
      </c>
      <c r="AA37" s="445" t="e">
        <f>(Y37-F37)/Y37</f>
        <v>#DIV/0!</v>
      </c>
      <c r="AB37" s="440">
        <f t="shared" si="17"/>
        <v>10000</v>
      </c>
    </row>
    <row r="38" spans="1:28" ht="15.6">
      <c r="A38" s="407" t="s">
        <v>149</v>
      </c>
      <c r="B38" s="404">
        <v>119017</v>
      </c>
      <c r="C38" s="53"/>
      <c r="D38" s="53"/>
      <c r="E38" s="53"/>
      <c r="F38" s="151">
        <f>((E38-(E38*F$3)))</f>
        <v>0</v>
      </c>
      <c r="G38" s="369">
        <v>0</v>
      </c>
      <c r="H38" s="369">
        <f t="shared" si="4"/>
        <v>0</v>
      </c>
      <c r="I38" s="369">
        <f>(G38-(G38*Varta!H$3))</f>
        <v>0</v>
      </c>
      <c r="J38" s="369">
        <f>(I38-(I38*Varta!I$3))</f>
        <v>0</v>
      </c>
      <c r="K38" s="17">
        <f t="shared" si="5"/>
        <v>0</v>
      </c>
      <c r="L38" s="17">
        <f t="shared" si="6"/>
        <v>0</v>
      </c>
      <c r="M38" s="17">
        <f t="shared" si="7"/>
        <v>0</v>
      </c>
      <c r="N38" s="17">
        <f t="shared" si="8"/>
        <v>0</v>
      </c>
      <c r="O38" s="53"/>
      <c r="P38" s="17">
        <f t="shared" si="9"/>
        <v>0</v>
      </c>
      <c r="Q38" s="26"/>
      <c r="R38" s="208"/>
      <c r="S38" s="1"/>
      <c r="T38" s="409"/>
      <c r="U38" s="409"/>
      <c r="V38" s="40"/>
      <c r="W38" s="117">
        <v>0</v>
      </c>
      <c r="X38" s="440">
        <f t="shared" si="14"/>
        <v>0</v>
      </c>
      <c r="Y38" s="42">
        <f t="shared" si="15"/>
        <v>0</v>
      </c>
      <c r="Z38" s="190" t="e">
        <f>(Y38-F38)/F38</f>
        <v>#DIV/0!</v>
      </c>
      <c r="AA38" s="445" t="e">
        <f>(Y38-F38)/Y38</f>
        <v>#DIV/0!</v>
      </c>
      <c r="AB38" s="440">
        <f t="shared" si="17"/>
        <v>10000</v>
      </c>
    </row>
    <row r="39" spans="1:28" ht="15.6">
      <c r="A39" s="632" t="s">
        <v>150</v>
      </c>
      <c r="B39" s="633">
        <v>149593</v>
      </c>
      <c r="C39" s="634"/>
      <c r="D39" s="634"/>
      <c r="E39" s="634"/>
      <c r="F39" s="635">
        <f>((E39-(E39*F$3)))</f>
        <v>0</v>
      </c>
      <c r="G39" s="369">
        <v>0</v>
      </c>
      <c r="H39" s="369">
        <f t="shared" si="4"/>
        <v>0</v>
      </c>
      <c r="I39" s="369">
        <f>(G39-(G39*Varta!H$3))</f>
        <v>0</v>
      </c>
      <c r="J39" s="369">
        <f>(I39-(I39*Varta!I$3))</f>
        <v>0</v>
      </c>
      <c r="K39" s="17">
        <f t="shared" si="5"/>
        <v>0</v>
      </c>
      <c r="L39" s="17">
        <f t="shared" si="6"/>
        <v>0</v>
      </c>
      <c r="M39" s="17">
        <f t="shared" si="7"/>
        <v>0</v>
      </c>
      <c r="N39" s="17">
        <f t="shared" si="8"/>
        <v>0</v>
      </c>
      <c r="O39" s="634"/>
      <c r="P39" s="17">
        <f t="shared" si="9"/>
        <v>0</v>
      </c>
      <c r="Q39" s="26"/>
      <c r="R39" s="208"/>
      <c r="S39" s="1"/>
      <c r="T39" s="409"/>
      <c r="U39" s="409"/>
      <c r="V39" s="40"/>
      <c r="W39" s="117">
        <v>0</v>
      </c>
      <c r="X39" s="440">
        <f t="shared" si="14"/>
        <v>0</v>
      </c>
      <c r="Y39" s="42">
        <f t="shared" si="15"/>
        <v>0</v>
      </c>
      <c r="Z39" s="190" t="e">
        <f>(Y39-F39)/F39</f>
        <v>#DIV/0!</v>
      </c>
      <c r="AA39" s="445" t="e">
        <f>(Y39-F39)/Y39</f>
        <v>#DIV/0!</v>
      </c>
      <c r="AB39" s="440">
        <f t="shared" si="17"/>
        <v>10000</v>
      </c>
    </row>
    <row r="40" spans="1:28">
      <c r="A40" s="407" t="s">
        <v>151</v>
      </c>
      <c r="B40" s="53"/>
      <c r="C40" s="636">
        <v>0.3</v>
      </c>
      <c r="D40" s="636">
        <v>0.05</v>
      </c>
      <c r="E40" s="636">
        <v>0.06</v>
      </c>
      <c r="F40" s="53"/>
      <c r="G40" s="369">
        <v>0</v>
      </c>
      <c r="H40" s="369">
        <f t="shared" si="4"/>
        <v>0</v>
      </c>
      <c r="I40" s="369">
        <f>(G40-(G40*Varta!H$3))</f>
        <v>0</v>
      </c>
      <c r="J40" s="369">
        <f>(I40-(I40*Varta!I$3))</f>
        <v>0</v>
      </c>
      <c r="K40" s="17">
        <f t="shared" si="5"/>
        <v>0</v>
      </c>
      <c r="L40" s="17">
        <f t="shared" si="6"/>
        <v>0</v>
      </c>
      <c r="M40" s="17">
        <f t="shared" si="7"/>
        <v>0</v>
      </c>
      <c r="N40" s="17">
        <f t="shared" si="8"/>
        <v>0</v>
      </c>
      <c r="O40" s="53"/>
      <c r="P40" s="17">
        <f t="shared" si="9"/>
        <v>0</v>
      </c>
      <c r="Q40" s="26"/>
      <c r="R40" s="208"/>
      <c r="S40" s="921"/>
      <c r="U40" s="921"/>
      <c r="V40" s="921"/>
      <c r="W40" s="117"/>
      <c r="X40" s="921"/>
      <c r="Y40" s="921"/>
      <c r="Z40" s="921"/>
      <c r="AA40" s="921"/>
      <c r="AB40" s="921"/>
    </row>
    <row r="41" spans="1:28">
      <c r="A41" s="407" t="s">
        <v>152</v>
      </c>
      <c r="B41" s="911">
        <v>31000</v>
      </c>
      <c r="C41" s="53">
        <f t="shared" ref="C41:E44" si="53">(B41-(B41*C$40))</f>
        <v>21700</v>
      </c>
      <c r="D41" s="53">
        <f t="shared" si="53"/>
        <v>20615</v>
      </c>
      <c r="E41" s="53">
        <f t="shared" si="53"/>
        <v>19378.099999999999</v>
      </c>
      <c r="F41" s="53">
        <f>(E41)</f>
        <v>19378.099999999999</v>
      </c>
      <c r="G41" s="369">
        <v>27129.339999999997</v>
      </c>
      <c r="H41" s="369">
        <f t="shared" si="4"/>
        <v>32826.501399999994</v>
      </c>
      <c r="I41" s="369">
        <f>(G41-(G41*Varta!H$3))</f>
        <v>25772.872999999996</v>
      </c>
      <c r="J41" s="369">
        <f>(I41-(I41*Varta!I$3))</f>
        <v>24999.686809999996</v>
      </c>
      <c r="K41" s="17">
        <f t="shared" si="5"/>
        <v>24999.686809999996</v>
      </c>
      <c r="L41" s="17">
        <f t="shared" si="6"/>
        <v>1249.9843404999999</v>
      </c>
      <c r="M41" s="17">
        <f t="shared" si="7"/>
        <v>0</v>
      </c>
      <c r="N41" s="17">
        <f t="shared" si="8"/>
        <v>0</v>
      </c>
      <c r="O41" s="53"/>
      <c r="P41" s="17">
        <f t="shared" si="9"/>
        <v>23749.702469499996</v>
      </c>
      <c r="Q41" s="26">
        <f>(K41-E41)/E41</f>
        <v>0.29009999999999986</v>
      </c>
      <c r="R41" s="208">
        <f>(P41-E41)/P41</f>
        <v>0.18406977835255522</v>
      </c>
      <c r="S41" s="921"/>
      <c r="U41" s="921"/>
      <c r="V41" s="921"/>
      <c r="W41" s="117">
        <v>44000</v>
      </c>
      <c r="X41" s="117">
        <f t="shared" ref="X41:X42" si="54">CEILING(W41,50)</f>
        <v>44000</v>
      </c>
      <c r="Y41" s="650">
        <f t="shared" ref="Y41:Y42" si="55">(X41/1.21)</f>
        <v>36363.636363636368</v>
      </c>
      <c r="Z41" s="190">
        <f>(Y41-E41)/E41</f>
        <v>0.87653259935888295</v>
      </c>
      <c r="AA41" s="191">
        <f>(Y41-E41)/Y41</f>
        <v>0.46710225000000011</v>
      </c>
      <c r="AB41" s="117">
        <f>(X41)</f>
        <v>44000</v>
      </c>
    </row>
    <row r="42" spans="1:28">
      <c r="A42" s="407" t="s">
        <v>153</v>
      </c>
      <c r="B42" s="911">
        <v>32000</v>
      </c>
      <c r="C42" s="53">
        <f t="shared" si="53"/>
        <v>22400</v>
      </c>
      <c r="D42" s="53">
        <f t="shared" si="53"/>
        <v>21280</v>
      </c>
      <c r="E42" s="53">
        <f t="shared" si="53"/>
        <v>20003.2</v>
      </c>
      <c r="F42" s="53">
        <f t="shared" ref="F42:F46" si="56">(E42)</f>
        <v>20003.2</v>
      </c>
      <c r="G42" s="369">
        <v>28004.48</v>
      </c>
      <c r="H42" s="369">
        <f t="shared" si="4"/>
        <v>33885.4208</v>
      </c>
      <c r="I42" s="369">
        <f>(G42-(G42*Varta!H$3))</f>
        <v>26604.256000000001</v>
      </c>
      <c r="J42" s="369">
        <f>(I42-(I42*Varta!I$3))</f>
        <v>25806.12832</v>
      </c>
      <c r="K42" s="17">
        <f t="shared" si="5"/>
        <v>25806.12832</v>
      </c>
      <c r="L42" s="17">
        <f t="shared" si="6"/>
        <v>1290.3064160000001</v>
      </c>
      <c r="M42" s="17">
        <f t="shared" si="7"/>
        <v>0</v>
      </c>
      <c r="N42" s="17">
        <f t="shared" si="8"/>
        <v>0</v>
      </c>
      <c r="O42" s="53"/>
      <c r="P42" s="17">
        <f t="shared" si="9"/>
        <v>24515.821904</v>
      </c>
      <c r="Q42" s="26">
        <f t="shared" ref="Q42:Q46" si="57">(K42-E42)/E42</f>
        <v>0.29009999999999997</v>
      </c>
      <c r="R42" s="208">
        <f t="shared" ref="R42:R53" si="58">(P42-E42)/P42</f>
        <v>0.18406977835255528</v>
      </c>
      <c r="S42" s="921"/>
      <c r="U42" s="921"/>
      <c r="V42" s="921"/>
      <c r="W42" s="117">
        <v>43300</v>
      </c>
      <c r="X42" s="117">
        <f t="shared" si="54"/>
        <v>43300</v>
      </c>
      <c r="Y42" s="650">
        <f t="shared" si="55"/>
        <v>35785.123966942148</v>
      </c>
      <c r="Z42" s="190">
        <f>(Y42-E42)/E42</f>
        <v>0.78896996315300283</v>
      </c>
      <c r="AA42" s="191">
        <f>(Y42-E42)/Y42</f>
        <v>0.44101912240184754</v>
      </c>
      <c r="AB42" s="117">
        <f t="shared" ref="AB42:AB46" si="59">(X42)</f>
        <v>43300</v>
      </c>
    </row>
    <row r="43" spans="1:28">
      <c r="A43" s="407" t="s">
        <v>154</v>
      </c>
      <c r="B43" s="404">
        <v>33000</v>
      </c>
      <c r="C43" s="53">
        <f t="shared" si="53"/>
        <v>23100</v>
      </c>
      <c r="D43" s="53">
        <f t="shared" si="53"/>
        <v>21945</v>
      </c>
      <c r="E43" s="53">
        <f t="shared" si="53"/>
        <v>20628.3</v>
      </c>
      <c r="F43" s="53">
        <f t="shared" si="56"/>
        <v>20628.3</v>
      </c>
      <c r="G43" s="369">
        <v>28879.619999999995</v>
      </c>
      <c r="H43" s="369">
        <f t="shared" si="4"/>
        <v>34944.340199999991</v>
      </c>
      <c r="I43" s="369">
        <f>(G43-(G43*Varta!H$3))</f>
        <v>27435.638999999996</v>
      </c>
      <c r="J43" s="369">
        <f>(I43-(I43*Varta!I$3))</f>
        <v>26612.569829999997</v>
      </c>
      <c r="K43" s="17">
        <f t="shared" si="5"/>
        <v>26612.569829999997</v>
      </c>
      <c r="L43" s="17">
        <f t="shared" si="6"/>
        <v>1330.6284914999999</v>
      </c>
      <c r="M43" s="17">
        <f t="shared" si="7"/>
        <v>0</v>
      </c>
      <c r="N43" s="17">
        <f t="shared" si="8"/>
        <v>0</v>
      </c>
      <c r="O43" s="137"/>
      <c r="P43" s="17">
        <f t="shared" si="9"/>
        <v>25281.941338499997</v>
      </c>
      <c r="Q43" s="26">
        <f t="shared" si="57"/>
        <v>0.29009999999999991</v>
      </c>
      <c r="R43" s="208">
        <f t="shared" si="58"/>
        <v>0.18406977835255522</v>
      </c>
      <c r="S43" s="135"/>
      <c r="T43" s="40"/>
      <c r="U43" s="135"/>
      <c r="V43" s="135"/>
      <c r="W43" s="117">
        <v>47500</v>
      </c>
      <c r="X43" s="117">
        <f t="shared" ref="X43:X46" si="60">CEILING(W43,50)</f>
        <v>47500</v>
      </c>
      <c r="Y43" s="650">
        <f t="shared" ref="Y43:Y46" si="61">(X43/1.21)</f>
        <v>39256.198347107442</v>
      </c>
      <c r="Z43" s="190">
        <f>(Y43-E43)/E43</f>
        <v>0.90302634473550625</v>
      </c>
      <c r="AA43" s="191">
        <f>(Y43-E43)/Y43</f>
        <v>0.47452120000000009</v>
      </c>
      <c r="AB43" s="117">
        <f t="shared" si="59"/>
        <v>47500</v>
      </c>
    </row>
    <row r="44" spans="1:28">
      <c r="A44" s="407" t="s">
        <v>155</v>
      </c>
      <c r="B44" s="404">
        <v>40000</v>
      </c>
      <c r="C44" s="53">
        <f t="shared" si="53"/>
        <v>28000</v>
      </c>
      <c r="D44" s="53">
        <f t="shared" si="53"/>
        <v>26600</v>
      </c>
      <c r="E44" s="53">
        <f t="shared" si="53"/>
        <v>25004</v>
      </c>
      <c r="F44" s="53">
        <f t="shared" si="56"/>
        <v>25004</v>
      </c>
      <c r="G44" s="369">
        <v>35005.599999999999</v>
      </c>
      <c r="H44" s="369">
        <f t="shared" si="4"/>
        <v>42356.775999999998</v>
      </c>
      <c r="I44" s="369">
        <f>(G44-(G44*Varta!H$3))</f>
        <v>33255.32</v>
      </c>
      <c r="J44" s="369">
        <f>(I44-(I44*Varta!I$3))</f>
        <v>32257.660400000001</v>
      </c>
      <c r="K44" s="17">
        <f t="shared" si="5"/>
        <v>32257.660400000001</v>
      </c>
      <c r="L44" s="17">
        <f t="shared" si="6"/>
        <v>1612.8830200000002</v>
      </c>
      <c r="M44" s="17">
        <f t="shared" si="7"/>
        <v>0</v>
      </c>
      <c r="N44" s="17">
        <f t="shared" si="8"/>
        <v>0</v>
      </c>
      <c r="O44" s="53"/>
      <c r="P44" s="17">
        <f t="shared" si="9"/>
        <v>30644.77738</v>
      </c>
      <c r="Q44" s="26">
        <f t="shared" si="57"/>
        <v>0.29010000000000002</v>
      </c>
      <c r="R44" s="208">
        <f t="shared" si="58"/>
        <v>0.18406977835255528</v>
      </c>
      <c r="S44" s="921"/>
      <c r="U44" s="921"/>
      <c r="V44" s="921"/>
      <c r="W44" s="117">
        <v>58050</v>
      </c>
      <c r="X44" s="117">
        <f t="shared" si="60"/>
        <v>58050</v>
      </c>
      <c r="Y44" s="650">
        <f t="shared" si="61"/>
        <v>47975.206611570247</v>
      </c>
      <c r="Z44" s="190">
        <f>(Y44-E44)/E44</f>
        <v>0.91870127225924836</v>
      </c>
      <c r="AA44" s="191">
        <f>(Y44-E44)/Y44</f>
        <v>0.47881412575366061</v>
      </c>
      <c r="AB44" s="117">
        <f t="shared" si="59"/>
        <v>58050</v>
      </c>
    </row>
    <row r="45" spans="1:28">
      <c r="A45" s="407" t="s">
        <v>156</v>
      </c>
      <c r="B45" s="404">
        <v>50000</v>
      </c>
      <c r="C45" s="53">
        <f t="shared" ref="C45:E46" si="62">(B45-(B45*C$40))</f>
        <v>35000</v>
      </c>
      <c r="D45" s="53">
        <f t="shared" si="62"/>
        <v>33250</v>
      </c>
      <c r="E45" s="53">
        <f t="shared" si="62"/>
        <v>31255</v>
      </c>
      <c r="F45" s="53">
        <f t="shared" si="56"/>
        <v>31255</v>
      </c>
      <c r="G45" s="369">
        <v>43757</v>
      </c>
      <c r="H45" s="369">
        <f t="shared" si="4"/>
        <v>52945.97</v>
      </c>
      <c r="I45" s="369">
        <f>(G45-(G45*Varta!H$3))</f>
        <v>41569.15</v>
      </c>
      <c r="J45" s="369">
        <f>(I45-(I45*Varta!I$3))</f>
        <v>40322.075499999999</v>
      </c>
      <c r="K45" s="17">
        <f t="shared" si="5"/>
        <v>40322.075499999999</v>
      </c>
      <c r="L45" s="17">
        <f t="shared" si="6"/>
        <v>2016.103775</v>
      </c>
      <c r="M45" s="17">
        <f t="shared" si="7"/>
        <v>0</v>
      </c>
      <c r="N45" s="17">
        <f t="shared" si="8"/>
        <v>0</v>
      </c>
      <c r="O45" s="53"/>
      <c r="P45" s="17">
        <f t="shared" si="9"/>
        <v>38305.971724999996</v>
      </c>
      <c r="Q45" s="26">
        <f t="shared" si="57"/>
        <v>0.29009999999999997</v>
      </c>
      <c r="R45" s="208">
        <f t="shared" si="58"/>
        <v>0.1840697783525552</v>
      </c>
      <c r="S45" s="921"/>
      <c r="U45" s="921"/>
      <c r="V45" s="921"/>
      <c r="W45" s="117">
        <v>70000</v>
      </c>
      <c r="X45" s="117">
        <f t="shared" si="60"/>
        <v>70000</v>
      </c>
      <c r="Y45" s="650">
        <f t="shared" si="61"/>
        <v>57851.239669421491</v>
      </c>
      <c r="Z45" s="190">
        <f t="shared" ref="Z45:Z46" si="63">(Y45-E45)/E45</f>
        <v>0.85094351845853433</v>
      </c>
      <c r="AA45" s="191">
        <f t="shared" ref="AA45:AA46" si="64">(Y45-E45)/Y45</f>
        <v>0.45973500000000006</v>
      </c>
      <c r="AB45" s="117">
        <f t="shared" si="59"/>
        <v>70000</v>
      </c>
    </row>
    <row r="46" spans="1:28">
      <c r="A46" s="407" t="s">
        <v>157</v>
      </c>
      <c r="B46" s="404">
        <v>57000</v>
      </c>
      <c r="C46" s="53">
        <f t="shared" si="62"/>
        <v>39900</v>
      </c>
      <c r="D46" s="53">
        <f t="shared" si="62"/>
        <v>37905</v>
      </c>
      <c r="E46" s="53">
        <f t="shared" si="62"/>
        <v>35630.699999999997</v>
      </c>
      <c r="F46" s="53">
        <f t="shared" si="56"/>
        <v>35630.699999999997</v>
      </c>
      <c r="G46" s="369">
        <v>49882.979999999996</v>
      </c>
      <c r="H46" s="369">
        <f t="shared" si="4"/>
        <v>60358.405799999993</v>
      </c>
      <c r="I46" s="369">
        <f>(G46-(G46*Varta!H$3))</f>
        <v>47388.830999999998</v>
      </c>
      <c r="J46" s="369">
        <f>(I46-(I46*Varta!I$3))</f>
        <v>45967.166069999999</v>
      </c>
      <c r="K46" s="17">
        <f t="shared" si="5"/>
        <v>45967.166069999999</v>
      </c>
      <c r="L46" s="17">
        <f t="shared" si="6"/>
        <v>2298.3583035000001</v>
      </c>
      <c r="M46" s="17">
        <f t="shared" si="7"/>
        <v>0</v>
      </c>
      <c r="N46" s="17">
        <f t="shared" si="8"/>
        <v>0</v>
      </c>
      <c r="O46" s="53"/>
      <c r="P46" s="17">
        <f t="shared" si="9"/>
        <v>43668.807766500002</v>
      </c>
      <c r="Q46" s="26">
        <f t="shared" si="57"/>
        <v>0.29010000000000008</v>
      </c>
      <c r="R46" s="208">
        <f t="shared" si="58"/>
        <v>0.18406977835255539</v>
      </c>
      <c r="S46" s="921"/>
      <c r="U46" s="921"/>
      <c r="V46" s="921"/>
      <c r="W46" s="117">
        <v>75000</v>
      </c>
      <c r="X46" s="117">
        <f t="shared" si="60"/>
        <v>75000</v>
      </c>
      <c r="Y46" s="650">
        <f t="shared" si="61"/>
        <v>61983.47107438017</v>
      </c>
      <c r="Z46" s="190">
        <f t="shared" si="63"/>
        <v>0.73960856997982571</v>
      </c>
      <c r="AA46" s="191">
        <f t="shared" si="64"/>
        <v>0.42515804000000007</v>
      </c>
      <c r="AB46" s="117">
        <f t="shared" si="59"/>
        <v>75000</v>
      </c>
    </row>
    <row r="47" spans="1:28">
      <c r="A47" s="407" t="s">
        <v>158</v>
      </c>
      <c r="B47" s="889"/>
      <c r="C47" s="137"/>
      <c r="D47" s="137">
        <v>0.3</v>
      </c>
      <c r="E47" s="137">
        <v>0.06</v>
      </c>
      <c r="F47" s="53">
        <v>1250</v>
      </c>
      <c r="G47" s="369">
        <v>1750</v>
      </c>
      <c r="H47" s="369"/>
      <c r="I47" s="369">
        <f>(G47-(G47*Varta!H$3))</f>
        <v>1662.5</v>
      </c>
      <c r="J47" s="369">
        <f>(I47-(I47*Varta!I$3))</f>
        <v>1612.625</v>
      </c>
      <c r="K47" s="17">
        <f t="shared" si="5"/>
        <v>1612.625</v>
      </c>
      <c r="L47" s="17">
        <f t="shared" si="6"/>
        <v>80.631250000000009</v>
      </c>
      <c r="M47" s="17">
        <f t="shared" si="7"/>
        <v>0</v>
      </c>
      <c r="N47" s="17">
        <f t="shared" si="8"/>
        <v>0</v>
      </c>
      <c r="O47" s="53"/>
      <c r="P47" s="17">
        <f t="shared" si="9"/>
        <v>1531.9937500000001</v>
      </c>
      <c r="Q47" s="26">
        <f t="shared" si="10"/>
        <v>0.29010000000000002</v>
      </c>
      <c r="R47" s="208">
        <f t="shared" si="58"/>
        <v>0.99996083534936098</v>
      </c>
      <c r="S47" s="921"/>
      <c r="U47" s="921"/>
      <c r="V47" s="921"/>
      <c r="W47" s="117"/>
      <c r="X47" s="921"/>
      <c r="Y47" s="921"/>
      <c r="Z47" s="921"/>
      <c r="AA47" s="921"/>
      <c r="AB47" s="921"/>
    </row>
    <row r="48" spans="1:28">
      <c r="A48" s="407" t="s">
        <v>159</v>
      </c>
      <c r="B48" s="647">
        <v>616</v>
      </c>
      <c r="C48" s="53">
        <f>(B48-(B48*C47))</f>
        <v>616</v>
      </c>
      <c r="D48" s="53">
        <f>(C48-(C48*D47))</f>
        <v>431.20000000000005</v>
      </c>
      <c r="E48" s="53">
        <f>(D48-(D48*E47))</f>
        <v>405.32800000000003</v>
      </c>
      <c r="F48" s="53">
        <f>(E48*F47)</f>
        <v>506660.00000000006</v>
      </c>
      <c r="G48" s="369">
        <v>709324</v>
      </c>
      <c r="H48" s="369">
        <f t="shared" si="4"/>
        <v>858282.03999999992</v>
      </c>
      <c r="I48" s="369">
        <f>(G48-(G48*Varta!H$3))</f>
        <v>673857.8</v>
      </c>
      <c r="J48" s="369">
        <f>(I48-(I48*Varta!I$3))</f>
        <v>653642.06599999999</v>
      </c>
      <c r="K48" s="17">
        <f t="shared" si="5"/>
        <v>653642.06599999999</v>
      </c>
      <c r="L48" s="17">
        <f t="shared" si="6"/>
        <v>32682.103300000002</v>
      </c>
      <c r="M48" s="17">
        <f t="shared" si="7"/>
        <v>0</v>
      </c>
      <c r="N48" s="17">
        <f t="shared" si="8"/>
        <v>0</v>
      </c>
      <c r="O48" s="53"/>
      <c r="P48" s="17">
        <f t="shared" si="9"/>
        <v>620959.96270000003</v>
      </c>
      <c r="Q48" s="26">
        <f t="shared" si="10"/>
        <v>0.29009999999999986</v>
      </c>
      <c r="R48" s="208">
        <f t="shared" si="58"/>
        <v>0.99934725582268202</v>
      </c>
      <c r="S48" s="921"/>
      <c r="U48" s="921"/>
      <c r="V48" s="921"/>
      <c r="W48" s="117">
        <v>700000</v>
      </c>
      <c r="X48" s="117">
        <f t="shared" ref="X48" si="65">CEILING(W48,50)</f>
        <v>700000</v>
      </c>
      <c r="Y48" s="650">
        <f>(X48/1.21)</f>
        <v>578512.3966942149</v>
      </c>
      <c r="Z48" s="190">
        <f>(Y48-F48)/F48</f>
        <v>0.14181580684130349</v>
      </c>
      <c r="AA48" s="191">
        <f>(Y48-F48)/Y48</f>
        <v>0.12420199999999994</v>
      </c>
      <c r="AB48" s="117">
        <f>(X48+$AG$6)</f>
        <v>714000</v>
      </c>
    </row>
    <row r="49" spans="1:28">
      <c r="A49" s="407" t="s">
        <v>160</v>
      </c>
      <c r="B49" s="890"/>
      <c r="C49" s="137"/>
      <c r="D49" s="137">
        <v>0.4</v>
      </c>
      <c r="E49" s="636">
        <v>0.06</v>
      </c>
      <c r="F49" s="53">
        <v>1250</v>
      </c>
      <c r="G49" s="369">
        <v>1750</v>
      </c>
      <c r="H49" s="369"/>
      <c r="I49" s="369">
        <f>(G49-(G49*Varta!H$3))</f>
        <v>1662.5</v>
      </c>
      <c r="J49" s="369">
        <f>(I49-(I49*Varta!I$3))</f>
        <v>1612.625</v>
      </c>
      <c r="K49" s="17">
        <f t="shared" si="5"/>
        <v>1612.625</v>
      </c>
      <c r="L49" s="17">
        <f t="shared" si="6"/>
        <v>80.631250000000009</v>
      </c>
      <c r="M49" s="17">
        <f t="shared" si="7"/>
        <v>0</v>
      </c>
      <c r="N49" s="17">
        <f t="shared" si="8"/>
        <v>0</v>
      </c>
      <c r="O49" s="53"/>
      <c r="P49" s="17">
        <f t="shared" si="9"/>
        <v>1531.9937500000001</v>
      </c>
      <c r="Q49" s="26">
        <f t="shared" si="10"/>
        <v>0.29010000000000002</v>
      </c>
      <c r="R49" s="208">
        <f t="shared" si="58"/>
        <v>0.99996083534936098</v>
      </c>
      <c r="S49" s="921"/>
      <c r="U49" s="921"/>
      <c r="V49" s="921"/>
      <c r="W49" s="117"/>
      <c r="X49" s="921"/>
      <c r="Y49" s="921"/>
      <c r="Z49" s="921"/>
      <c r="AA49" s="921"/>
      <c r="AB49" s="921"/>
    </row>
    <row r="50" spans="1:28">
      <c r="A50" s="891" t="s">
        <v>161</v>
      </c>
      <c r="B50" s="648">
        <v>28</v>
      </c>
      <c r="C50" s="653">
        <f>(B50-(B50*B$49))</f>
        <v>28</v>
      </c>
      <c r="D50" s="653">
        <f t="shared" ref="D50:E53" si="66">(C50-(C50*D$49))</f>
        <v>16.799999999999997</v>
      </c>
      <c r="E50" s="653">
        <f t="shared" si="66"/>
        <v>15.791999999999998</v>
      </c>
      <c r="F50" s="654">
        <f>(E50*F$49)</f>
        <v>19739.999999999996</v>
      </c>
      <c r="G50" s="369">
        <v>27635.999999999993</v>
      </c>
      <c r="H50" s="369">
        <f t="shared" si="4"/>
        <v>33439.55999999999</v>
      </c>
      <c r="I50" s="369">
        <f>(G50-(G50*Varta!H$3))</f>
        <v>26254.199999999993</v>
      </c>
      <c r="J50" s="369">
        <f>(I50-(I50*Varta!I$3))</f>
        <v>25466.573999999993</v>
      </c>
      <c r="K50" s="17">
        <f t="shared" si="5"/>
        <v>25466.573999999993</v>
      </c>
      <c r="L50" s="17">
        <f t="shared" si="6"/>
        <v>1273.3286999999998</v>
      </c>
      <c r="M50" s="17">
        <f t="shared" si="7"/>
        <v>0</v>
      </c>
      <c r="N50" s="17">
        <f t="shared" si="8"/>
        <v>0</v>
      </c>
      <c r="O50" s="53"/>
      <c r="P50" s="17">
        <f t="shared" si="9"/>
        <v>24193.245299999995</v>
      </c>
      <c r="Q50" s="26">
        <f>(K50-F50)/F50</f>
        <v>0.29009999999999991</v>
      </c>
      <c r="R50" s="208">
        <f t="shared" si="58"/>
        <v>0.99934725582268202</v>
      </c>
      <c r="S50" s="921"/>
      <c r="U50" s="921"/>
      <c r="V50" s="921"/>
      <c r="W50" s="117">
        <v>39000</v>
      </c>
      <c r="X50" s="117">
        <f t="shared" ref="X50" si="67">CEILING(W50,50)</f>
        <v>39000</v>
      </c>
      <c r="Y50" s="650">
        <f>(X50/1.21)</f>
        <v>32231.404958677685</v>
      </c>
      <c r="Z50" s="190">
        <f>(Y50-F50)/F50</f>
        <v>0.63279660378306446</v>
      </c>
      <c r="AA50" s="191">
        <f>(Y50-F50)/Y50</f>
        <v>0.38755384615384625</v>
      </c>
      <c r="AB50" s="921"/>
    </row>
    <row r="51" spans="1:28">
      <c r="A51" s="892" t="s">
        <v>162</v>
      </c>
      <c r="B51" s="888">
        <v>43</v>
      </c>
      <c r="C51" s="653">
        <f>(B51-(B51*B$49))</f>
        <v>43</v>
      </c>
      <c r="D51" s="653">
        <f t="shared" si="66"/>
        <v>25.8</v>
      </c>
      <c r="E51" s="653">
        <f t="shared" si="66"/>
        <v>24.252000000000002</v>
      </c>
      <c r="F51" s="654">
        <f>(E51*F$49)</f>
        <v>30315.000000000004</v>
      </c>
      <c r="G51" s="369">
        <v>42441</v>
      </c>
      <c r="H51" s="369">
        <f t="shared" si="4"/>
        <v>51353.61</v>
      </c>
      <c r="I51" s="369">
        <f>(G51-(G51*Varta!H$3))</f>
        <v>40318.949999999997</v>
      </c>
      <c r="J51" s="369">
        <f>(I51-(I51*Varta!I$3))</f>
        <v>39109.381499999996</v>
      </c>
      <c r="K51" s="17">
        <f t="shared" si="5"/>
        <v>39109.381499999996</v>
      </c>
      <c r="L51" s="17">
        <f t="shared" si="6"/>
        <v>1955.469075</v>
      </c>
      <c r="M51" s="17">
        <f t="shared" si="7"/>
        <v>0</v>
      </c>
      <c r="N51" s="17">
        <f t="shared" si="8"/>
        <v>0</v>
      </c>
      <c r="O51" s="53"/>
      <c r="P51" s="17">
        <f t="shared" si="9"/>
        <v>37153.912424999995</v>
      </c>
      <c r="Q51" s="26">
        <f t="shared" si="10"/>
        <v>0.29009999999999969</v>
      </c>
      <c r="R51" s="208">
        <f t="shared" si="58"/>
        <v>0.99934725582268202</v>
      </c>
      <c r="S51" s="921"/>
      <c r="U51" s="921"/>
      <c r="V51" s="921"/>
      <c r="W51" s="921"/>
      <c r="X51" s="921"/>
      <c r="Y51" s="921"/>
      <c r="Z51" s="921"/>
      <c r="AA51" s="921"/>
      <c r="AB51" s="921"/>
    </row>
    <row r="52" spans="1:28">
      <c r="A52" s="892" t="s">
        <v>163</v>
      </c>
      <c r="B52" s="888">
        <v>19</v>
      </c>
      <c r="C52" s="653">
        <f>(B52-(B52*B$49))</f>
        <v>19</v>
      </c>
      <c r="D52" s="653">
        <f t="shared" si="66"/>
        <v>11.399999999999999</v>
      </c>
      <c r="E52" s="653">
        <f t="shared" si="66"/>
        <v>10.715999999999999</v>
      </c>
      <c r="F52" s="654">
        <f>(E52*F$49)</f>
        <v>13395</v>
      </c>
      <c r="G52" s="369">
        <v>18753</v>
      </c>
      <c r="H52" s="369">
        <f t="shared" si="4"/>
        <v>22691.13</v>
      </c>
      <c r="I52" s="369">
        <f>(G52-(G52*Varta!H$3))</f>
        <v>17815.349999999999</v>
      </c>
      <c r="J52" s="369">
        <f>(I52-(I52*Varta!I$3))</f>
        <v>17280.889499999997</v>
      </c>
      <c r="K52" s="17">
        <f t="shared" si="5"/>
        <v>17280.889499999997</v>
      </c>
      <c r="L52" s="17">
        <f t="shared" si="6"/>
        <v>864.04447499999992</v>
      </c>
      <c r="M52" s="17">
        <f t="shared" si="7"/>
        <v>0</v>
      </c>
      <c r="N52" s="17">
        <f t="shared" si="8"/>
        <v>0</v>
      </c>
      <c r="O52" s="53"/>
      <c r="P52" s="17">
        <f t="shared" si="9"/>
        <v>16416.845024999999</v>
      </c>
      <c r="Q52" s="26">
        <f t="shared" si="10"/>
        <v>0.2900999999999998</v>
      </c>
      <c r="R52" s="208">
        <f t="shared" si="58"/>
        <v>0.99934725582268202</v>
      </c>
      <c r="S52" s="921"/>
      <c r="U52" s="921"/>
      <c r="V52" s="921"/>
      <c r="W52" s="921"/>
      <c r="X52" s="921"/>
      <c r="Y52" s="921"/>
      <c r="Z52" s="921"/>
      <c r="AA52" s="921"/>
      <c r="AB52" s="921"/>
    </row>
    <row r="53" spans="1:28">
      <c r="A53" s="893" t="s">
        <v>164</v>
      </c>
      <c r="B53" s="888">
        <v>60</v>
      </c>
      <c r="C53" s="653">
        <f>(B53-(B53*B$49))</f>
        <v>60</v>
      </c>
      <c r="D53" s="653">
        <f t="shared" si="66"/>
        <v>36</v>
      </c>
      <c r="E53" s="653">
        <f t="shared" si="66"/>
        <v>33.840000000000003</v>
      </c>
      <c r="F53" s="654">
        <f>(E53*F$49)</f>
        <v>42300.000000000007</v>
      </c>
      <c r="G53" s="369">
        <v>59220.000000000007</v>
      </c>
      <c r="H53" s="369">
        <f t="shared" si="4"/>
        <v>71656.200000000012</v>
      </c>
      <c r="I53" s="369">
        <f>(G53-(G53*Varta!H$3))</f>
        <v>56259.000000000007</v>
      </c>
      <c r="J53" s="369">
        <f>(I53-(I53*Varta!I$3))</f>
        <v>54571.23000000001</v>
      </c>
      <c r="K53" s="17">
        <f t="shared" si="5"/>
        <v>54571.23000000001</v>
      </c>
      <c r="L53" s="17">
        <f t="shared" si="6"/>
        <v>2728.5615000000007</v>
      </c>
      <c r="M53" s="17">
        <f t="shared" si="7"/>
        <v>0</v>
      </c>
      <c r="N53" s="17">
        <f t="shared" si="8"/>
        <v>0</v>
      </c>
      <c r="O53" s="53"/>
      <c r="P53" s="17">
        <f t="shared" si="9"/>
        <v>51842.668500000007</v>
      </c>
      <c r="Q53" s="26">
        <f t="shared" si="10"/>
        <v>0.29010000000000002</v>
      </c>
      <c r="R53" s="208">
        <f t="shared" si="58"/>
        <v>0.99934725582268213</v>
      </c>
      <c r="S53" s="921"/>
      <c r="U53" s="921"/>
      <c r="V53" s="921"/>
      <c r="W53" s="921"/>
      <c r="X53" s="921"/>
      <c r="Y53" s="921"/>
      <c r="Z53" s="921"/>
      <c r="AA53" s="921"/>
      <c r="AB53" s="921"/>
    </row>
    <row r="54" spans="1:28">
      <c r="A54" s="921"/>
      <c r="B54" s="631"/>
      <c r="C54" s="921"/>
      <c r="D54" s="921"/>
      <c r="E54" s="921"/>
      <c r="F54" s="921"/>
      <c r="G54" s="921"/>
      <c r="H54" s="921"/>
      <c r="I54" s="921"/>
      <c r="J54" s="921"/>
      <c r="K54" s="921"/>
      <c r="L54" s="921"/>
      <c r="M54" s="921"/>
      <c r="N54" s="921"/>
      <c r="O54" s="921"/>
      <c r="P54" s="921"/>
      <c r="Q54" s="921"/>
      <c r="R54" s="921"/>
      <c r="S54" s="921"/>
      <c r="U54" s="921"/>
      <c r="V54" s="921"/>
      <c r="W54" s="921"/>
      <c r="X54" s="921"/>
      <c r="Y54" s="921"/>
      <c r="Z54" s="921"/>
      <c r="AA54" s="921"/>
      <c r="AB54" s="921"/>
    </row>
    <row r="55" spans="1:28">
      <c r="A55" s="921"/>
      <c r="B55" s="631"/>
      <c r="C55" s="921"/>
      <c r="D55" s="921"/>
      <c r="E55" s="921"/>
      <c r="F55" s="921"/>
      <c r="G55" s="921"/>
      <c r="H55" s="921"/>
      <c r="I55" s="921"/>
      <c r="J55" s="921"/>
      <c r="K55" s="921"/>
      <c r="L55" s="921"/>
      <c r="M55" s="921"/>
      <c r="N55" s="921"/>
      <c r="O55" s="921"/>
      <c r="P55" s="921"/>
      <c r="Q55" s="921"/>
      <c r="R55" s="921"/>
      <c r="S55" s="921"/>
      <c r="U55" s="921"/>
      <c r="V55" s="921"/>
      <c r="W55" s="921"/>
      <c r="X55" s="921"/>
      <c r="Y55" s="921"/>
      <c r="Z55" s="921"/>
      <c r="AA55" s="921"/>
      <c r="AB55" s="921"/>
    </row>
    <row r="56" spans="1:28">
      <c r="A56" s="921"/>
      <c r="B56" s="666"/>
      <c r="C56" s="921"/>
      <c r="D56" s="921"/>
      <c r="E56" s="921"/>
      <c r="F56" s="921"/>
      <c r="G56" s="921"/>
      <c r="H56" s="921"/>
      <c r="I56" s="921"/>
      <c r="J56" s="921"/>
      <c r="K56" s="921"/>
      <c r="L56" s="921"/>
      <c r="M56" s="921"/>
      <c r="N56" s="921"/>
      <c r="O56" s="921"/>
      <c r="P56" s="921"/>
      <c r="Q56" s="921"/>
      <c r="R56" s="921"/>
      <c r="S56" s="921"/>
      <c r="U56" s="921"/>
      <c r="V56" s="921"/>
      <c r="W56" s="921"/>
      <c r="X56" s="921"/>
      <c r="Y56" s="921"/>
      <c r="Z56" s="921"/>
      <c r="AA56" s="921"/>
      <c r="AB56" s="921"/>
    </row>
    <row r="57" spans="1:28">
      <c r="A57" s="921"/>
      <c r="B57" s="666"/>
      <c r="C57" s="921"/>
      <c r="D57" s="921"/>
      <c r="E57" s="921"/>
      <c r="F57" s="921"/>
      <c r="G57" s="921"/>
      <c r="H57" s="921"/>
      <c r="I57" s="921"/>
      <c r="J57" s="921"/>
      <c r="K57" s="921"/>
      <c r="L57" s="921"/>
      <c r="M57" s="921"/>
      <c r="N57" s="921"/>
      <c r="O57" s="921"/>
      <c r="P57" s="921"/>
      <c r="Q57" s="921"/>
      <c r="R57" s="921"/>
      <c r="S57" s="921"/>
      <c r="U57" s="921"/>
      <c r="V57" s="921"/>
      <c r="W57" s="921"/>
      <c r="X57" s="921"/>
      <c r="Y57" s="921"/>
      <c r="Z57" s="921"/>
      <c r="AA57" s="921"/>
      <c r="AB57" s="921"/>
    </row>
    <row r="58" spans="1:28">
      <c r="A58" s="921"/>
      <c r="B58" s="666"/>
      <c r="C58" s="921"/>
      <c r="D58" s="921"/>
      <c r="E58" s="921"/>
      <c r="F58" s="921"/>
      <c r="G58" s="921"/>
      <c r="H58" s="921"/>
      <c r="I58" s="921"/>
      <c r="J58" s="921"/>
      <c r="K58" s="921"/>
      <c r="L58" s="921"/>
      <c r="M58" s="921"/>
      <c r="N58" s="921"/>
      <c r="O58" s="921"/>
      <c r="P58" s="921"/>
      <c r="Q58" s="921"/>
      <c r="R58" s="921"/>
      <c r="S58" s="921"/>
      <c r="U58" s="921"/>
      <c r="V58" s="921"/>
      <c r="W58" s="921"/>
      <c r="X58" s="921"/>
      <c r="Y58" s="921"/>
      <c r="Z58" s="921"/>
      <c r="AA58" s="921"/>
      <c r="AB58" s="921"/>
    </row>
    <row r="59" spans="1:28">
      <c r="A59" s="921"/>
      <c r="B59" s="666"/>
      <c r="C59" s="921"/>
      <c r="D59" s="921"/>
      <c r="E59" s="921"/>
      <c r="F59" s="921"/>
      <c r="G59" s="921"/>
      <c r="H59" s="921"/>
      <c r="I59" s="921"/>
      <c r="J59" s="921"/>
      <c r="K59" s="921"/>
      <c r="L59" s="921"/>
      <c r="M59" s="921"/>
      <c r="N59" s="921"/>
      <c r="O59" s="921"/>
      <c r="P59" s="921"/>
      <c r="Q59" s="921"/>
      <c r="R59" s="921"/>
      <c r="S59" s="921"/>
      <c r="U59" s="921"/>
      <c r="V59" s="921"/>
      <c r="W59" s="921"/>
      <c r="X59" s="921"/>
      <c r="Y59" s="921"/>
      <c r="Z59" s="921"/>
      <c r="AA59" s="921"/>
      <c r="AB59" s="921"/>
    </row>
    <row r="60" spans="1:28">
      <c r="A60" s="921"/>
      <c r="B60" s="921"/>
      <c r="C60" s="921"/>
      <c r="D60" s="921"/>
      <c r="E60" s="921"/>
      <c r="F60" s="921"/>
      <c r="G60" s="921"/>
      <c r="H60" s="921"/>
      <c r="I60" s="921"/>
      <c r="J60" s="921"/>
      <c r="K60" s="921"/>
      <c r="L60" s="921"/>
      <c r="M60" s="921"/>
      <c r="N60" s="921"/>
      <c r="O60" s="921"/>
      <c r="P60" s="921"/>
      <c r="Q60" s="921"/>
      <c r="R60" s="921"/>
      <c r="S60" s="921"/>
      <c r="U60" s="921"/>
      <c r="V60" s="921"/>
      <c r="W60" s="921"/>
      <c r="X60" s="921"/>
      <c r="Y60" s="921"/>
      <c r="Z60" s="921"/>
      <c r="AA60" s="921"/>
      <c r="AB60" s="921"/>
    </row>
    <row r="61" spans="1:28">
      <c r="A61" s="921"/>
      <c r="B61" s="921"/>
      <c r="C61" s="921"/>
      <c r="D61" s="921"/>
      <c r="E61" s="666"/>
      <c r="F61" s="921"/>
      <c r="G61" s="921"/>
      <c r="H61" s="921"/>
      <c r="I61" s="921"/>
      <c r="J61" s="921"/>
      <c r="K61" s="921"/>
      <c r="L61" s="921"/>
      <c r="M61" s="921"/>
      <c r="N61" s="921"/>
      <c r="O61" s="921"/>
      <c r="P61" s="921"/>
      <c r="Q61" s="921"/>
      <c r="R61" s="921"/>
      <c r="S61" s="921"/>
      <c r="U61" s="921"/>
      <c r="V61" s="921"/>
      <c r="W61" s="921"/>
      <c r="X61" s="921"/>
      <c r="Y61" s="921"/>
      <c r="Z61" s="921"/>
      <c r="AA61" s="921"/>
      <c r="AB61" s="92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I29"/>
  <sheetViews>
    <sheetView workbookViewId="0">
      <pane xSplit="1" topLeftCell="H1" activePane="topRight" state="frozen"/>
      <selection pane="topRight" activeCell="I17" sqref="I17"/>
    </sheetView>
  </sheetViews>
  <sheetFormatPr baseColWidth="10" defaultColWidth="11.44140625" defaultRowHeight="14.4"/>
  <cols>
    <col min="1" max="1" width="19" bestFit="1" customWidth="1"/>
    <col min="2" max="2" width="9.6640625" bestFit="1" customWidth="1"/>
    <col min="3" max="3" width="12.44140625" bestFit="1" customWidth="1"/>
    <col min="4" max="4" width="14.6640625" bestFit="1" customWidth="1"/>
    <col min="5" max="6" width="12.44140625" bestFit="1" customWidth="1"/>
    <col min="7" max="7" width="16.6640625" bestFit="1" customWidth="1"/>
    <col min="8" max="8" width="16.6640625" customWidth="1"/>
    <col min="9" max="9" width="16.5546875" customWidth="1"/>
    <col min="10" max="11" width="14.5546875" bestFit="1" customWidth="1"/>
    <col min="12" max="12" width="9.88671875" bestFit="1" customWidth="1"/>
    <col min="13" max="13" width="14.33203125" bestFit="1" customWidth="1"/>
    <col min="14" max="14" width="9.88671875" customWidth="1"/>
    <col min="15" max="15" width="13.33203125" bestFit="1" customWidth="1"/>
    <col min="16" max="19" width="9.88671875" customWidth="1"/>
    <col min="20" max="20" width="9.88671875" bestFit="1" customWidth="1"/>
    <col min="21" max="21" width="7.109375" bestFit="1" customWidth="1"/>
    <col min="22" max="22" width="3.44140625" customWidth="1"/>
    <col min="23" max="23" width="9.88671875" bestFit="1" customWidth="1"/>
    <col min="24" max="24" width="12.44140625" style="1" bestFit="1" customWidth="1"/>
    <col min="25" max="25" width="1.5546875" customWidth="1"/>
    <col min="26" max="26" width="12.44140625" bestFit="1" customWidth="1"/>
    <col min="28" max="28" width="9.5546875" bestFit="1" customWidth="1"/>
  </cols>
  <sheetData>
    <row r="1" spans="1:35" ht="15" thickBot="1">
      <c r="A1" s="921" t="s">
        <v>0</v>
      </c>
      <c r="B1" s="921"/>
      <c r="C1" s="921" t="s">
        <v>112</v>
      </c>
      <c r="D1" s="921"/>
      <c r="E1" s="921"/>
      <c r="F1" s="921"/>
      <c r="G1" s="921"/>
      <c r="H1" s="921" t="s">
        <v>1</v>
      </c>
      <c r="I1" s="921"/>
      <c r="J1" s="921"/>
      <c r="K1" s="921" t="s">
        <v>2</v>
      </c>
      <c r="L1" s="921"/>
      <c r="M1" s="921"/>
      <c r="N1" s="921"/>
      <c r="O1" s="666">
        <v>0.05</v>
      </c>
      <c r="P1" s="666">
        <v>2.4E-2</v>
      </c>
      <c r="Q1" s="666">
        <v>0.05</v>
      </c>
      <c r="R1" s="135">
        <v>0.4</v>
      </c>
      <c r="S1" s="921" t="s">
        <v>3</v>
      </c>
      <c r="T1" s="921"/>
      <c r="U1" s="921"/>
      <c r="V1" s="921"/>
      <c r="W1" s="921"/>
      <c r="Y1" s="921"/>
      <c r="Z1" s="921"/>
      <c r="AA1" s="921" t="s">
        <v>4</v>
      </c>
      <c r="AB1" s="921"/>
      <c r="AC1" s="921"/>
      <c r="AD1" s="921"/>
      <c r="AE1" s="921"/>
      <c r="AF1" s="921"/>
      <c r="AG1" s="921"/>
      <c r="AH1" s="921"/>
      <c r="AI1" s="921"/>
    </row>
    <row r="2" spans="1:35" ht="21.6" thickBot="1">
      <c r="A2" s="14" t="s">
        <v>165</v>
      </c>
      <c r="B2" s="1"/>
      <c r="C2" s="1"/>
      <c r="D2" s="591" t="s">
        <v>114</v>
      </c>
      <c r="E2" s="98" t="s">
        <v>166</v>
      </c>
      <c r="F2" s="98" t="s">
        <v>167</v>
      </c>
      <c r="G2" s="986" t="s">
        <v>168</v>
      </c>
      <c r="H2" s="987"/>
      <c r="I2" s="1"/>
      <c r="J2" s="1"/>
      <c r="K2" s="189"/>
      <c r="L2" s="23"/>
      <c r="M2" s="23"/>
      <c r="N2" s="23" t="s">
        <v>9</v>
      </c>
      <c r="O2" s="23" t="s">
        <v>10</v>
      </c>
      <c r="P2" s="23" t="s">
        <v>11</v>
      </c>
      <c r="Q2" s="23" t="s">
        <v>12</v>
      </c>
      <c r="R2" s="23">
        <v>10</v>
      </c>
      <c r="S2" s="23" t="s">
        <v>79</v>
      </c>
      <c r="T2" s="1"/>
      <c r="U2" s="41"/>
      <c r="V2" s="41"/>
      <c r="W2" s="10"/>
      <c r="X2" s="10"/>
      <c r="Y2" s="10"/>
      <c r="Z2" s="40"/>
      <c r="AA2" s="921"/>
      <c r="AB2" s="40"/>
      <c r="AC2" s="1"/>
      <c r="AD2" s="1"/>
      <c r="AE2" s="40"/>
      <c r="AF2" s="921"/>
      <c r="AG2" s="921"/>
      <c r="AH2" s="921"/>
      <c r="AI2" s="921"/>
    </row>
    <row r="3" spans="1:35" ht="15" thickBot="1">
      <c r="A3" s="1"/>
      <c r="B3" s="1"/>
      <c r="C3" s="140">
        <v>45839</v>
      </c>
      <c r="D3" s="722">
        <v>0.45</v>
      </c>
      <c r="E3" s="723">
        <v>0.03</v>
      </c>
      <c r="F3" s="722">
        <v>0.1</v>
      </c>
      <c r="G3" s="800">
        <v>0.05</v>
      </c>
      <c r="H3" s="801">
        <v>0.02</v>
      </c>
      <c r="I3" s="798">
        <v>45839</v>
      </c>
      <c r="J3" s="493"/>
      <c r="K3" s="416"/>
      <c r="L3" s="69"/>
      <c r="M3" s="70" t="s">
        <v>8</v>
      </c>
      <c r="N3" s="708"/>
      <c r="O3" s="710">
        <v>0.05</v>
      </c>
      <c r="P3" s="710"/>
      <c r="Q3" s="710"/>
      <c r="R3" s="708"/>
      <c r="S3" s="708" t="s">
        <v>20</v>
      </c>
      <c r="T3" s="108" t="s">
        <v>65</v>
      </c>
      <c r="U3" s="205" t="s">
        <v>66</v>
      </c>
      <c r="V3" s="1"/>
      <c r="W3" s="203">
        <v>0.5</v>
      </c>
      <c r="X3" s="203"/>
      <c r="Y3" s="9"/>
      <c r="Z3" s="216">
        <v>45854</v>
      </c>
      <c r="AA3" s="921"/>
      <c r="AB3" s="10"/>
      <c r="AC3" s="40"/>
      <c r="AD3" s="40"/>
      <c r="AE3" s="414"/>
      <c r="AF3" s="921"/>
      <c r="AG3" s="921"/>
      <c r="AH3" s="921"/>
      <c r="AI3" s="921"/>
    </row>
    <row r="4" spans="1:35" ht="16.2" thickBot="1">
      <c r="A4" s="724" t="s">
        <v>169</v>
      </c>
      <c r="B4" s="725">
        <v>325</v>
      </c>
      <c r="C4" s="726">
        <v>155165</v>
      </c>
      <c r="D4" s="727">
        <f t="shared" ref="D4:D19" si="0">((C4-(C4*D$3)))</f>
        <v>85340.75</v>
      </c>
      <c r="E4" s="727">
        <f>((D4-(D4*E$3)))</f>
        <v>82780.527499999997</v>
      </c>
      <c r="F4" s="727">
        <f>((E4-(E4*F$3)))</f>
        <v>74502.474749999994</v>
      </c>
      <c r="G4" s="799">
        <f t="shared" ref="G4:H19" si="1">(F4-(F4*G$3))</f>
        <v>70777.351012499988</v>
      </c>
      <c r="H4" s="799">
        <f t="shared" si="1"/>
        <v>69361.803992249988</v>
      </c>
      <c r="I4" s="332">
        <f>(Varta!F9)*1.15</f>
        <v>91815.184649999996</v>
      </c>
      <c r="J4" s="332">
        <f>(I4-(I4*J$3))</f>
        <v>91815.184649999996</v>
      </c>
      <c r="K4" s="332">
        <f>(J4*1.21)</f>
        <v>111096.37342649999</v>
      </c>
      <c r="L4" s="731">
        <f>J4-(J4*Varta!H$3)</f>
        <v>87224.425417499995</v>
      </c>
      <c r="M4" s="731">
        <f>L4-(L4*Varta!I3)</f>
        <v>84607.692654974991</v>
      </c>
      <c r="N4" s="731">
        <f>(M4-(M4*Varta!J$3))</f>
        <v>84607.692654974991</v>
      </c>
      <c r="O4" s="731">
        <f>(N4*O$3)</f>
        <v>4230.3846327487499</v>
      </c>
      <c r="P4" s="731">
        <f>(N4*P$3)</f>
        <v>0</v>
      </c>
      <c r="Q4" s="731">
        <f>(N4*Q$3)</f>
        <v>0</v>
      </c>
      <c r="R4" s="731">
        <f>(N4*R$3)</f>
        <v>0</v>
      </c>
      <c r="S4" s="731">
        <f>(N4-O4-P4-Q4-R4)</f>
        <v>80377.308022226236</v>
      </c>
      <c r="T4" s="720">
        <f>(N4-H4)/H4</f>
        <v>0.21980236650748694</v>
      </c>
      <c r="U4" s="720">
        <f>(S4-H4)/S4</f>
        <v>0.13704743665874203</v>
      </c>
      <c r="V4" s="204"/>
      <c r="W4" s="206">
        <f t="shared" ref="W4:W19" si="2">(D4*1.5)</f>
        <v>128011.125</v>
      </c>
      <c r="X4" s="206">
        <f>(W4*1.21)</f>
        <v>154893.46124999999</v>
      </c>
      <c r="Y4" s="1"/>
      <c r="Z4" s="117">
        <f>('[2]Willard - Elpra'!AA4)</f>
        <v>121800</v>
      </c>
      <c r="AA4" s="440">
        <f>CEILING(Z4,50)</f>
        <v>121800</v>
      </c>
      <c r="AB4" s="42">
        <f>(AA4/1.21)</f>
        <v>100661.15702479339</v>
      </c>
      <c r="AC4" s="190">
        <f>(AB4-H4)/H4</f>
        <v>0.45124767856442388</v>
      </c>
      <c r="AD4" s="445">
        <f>(AB4-H4)/AB4</f>
        <v>0.31093774359094839</v>
      </c>
      <c r="AE4" s="440">
        <f t="shared" ref="AE4:AE11" si="3">(AA4+$AI$5)</f>
        <v>131800</v>
      </c>
      <c r="AF4" s="921"/>
      <c r="AG4" s="921"/>
      <c r="AH4" s="921"/>
      <c r="AI4" s="921"/>
    </row>
    <row r="5" spans="1:35" ht="15.6">
      <c r="A5" s="724" t="s">
        <v>170</v>
      </c>
      <c r="B5" s="725">
        <v>425</v>
      </c>
      <c r="C5" s="726">
        <v>181709</v>
      </c>
      <c r="D5" s="727">
        <f t="shared" si="0"/>
        <v>99939.95</v>
      </c>
      <c r="E5" s="727">
        <f t="shared" ref="E5:F19" si="4">((D5-(D5*E$3)))</f>
        <v>96941.751499999998</v>
      </c>
      <c r="F5" s="727">
        <f t="shared" si="4"/>
        <v>87247.576350000003</v>
      </c>
      <c r="G5" s="727">
        <f t="shared" si="1"/>
        <v>82885.197532500009</v>
      </c>
      <c r="H5" s="727">
        <f t="shared" si="1"/>
        <v>81227.493581850009</v>
      </c>
      <c r="I5" s="332">
        <f>(Varta!F12)*1.2</f>
        <v>103147.30439999999</v>
      </c>
      <c r="J5" s="332">
        <f t="shared" ref="J5:J19" si="5">(I5-(I5*J$3))</f>
        <v>103147.30439999999</v>
      </c>
      <c r="K5" s="332">
        <f t="shared" ref="K5:K19" si="6">(J5*1.21)</f>
        <v>124808.23832399999</v>
      </c>
      <c r="L5" s="731">
        <f>J5-(J5*Varta!H$3)</f>
        <v>97989.939179999987</v>
      </c>
      <c r="M5" s="731">
        <f>L5-(L5*Varta!I3)</f>
        <v>95050.241004599986</v>
      </c>
      <c r="N5" s="731">
        <f>(M5-(M5*Varta!J$3))</f>
        <v>95050.241004599986</v>
      </c>
      <c r="O5" s="731">
        <f t="shared" ref="O5:O19" si="7">(N5*O$3)</f>
        <v>4752.5120502299997</v>
      </c>
      <c r="P5" s="731">
        <f t="shared" ref="P5:P19" si="8">(N5*P$3)</f>
        <v>0</v>
      </c>
      <c r="Q5" s="731">
        <f t="shared" ref="Q5:Q19" si="9">(N5*Q$3)</f>
        <v>0</v>
      </c>
      <c r="R5" s="731">
        <f t="shared" ref="R5:R19" si="10">(N5*R$3)</f>
        <v>0</v>
      </c>
      <c r="S5" s="731">
        <f t="shared" ref="S5:S19" si="11">(N5-O5-P5-Q5-R5)</f>
        <v>90297.728954369988</v>
      </c>
      <c r="T5" s="720">
        <f t="shared" ref="T5:T19" si="12">(N5-H5)/H5</f>
        <v>0.17017326047148426</v>
      </c>
      <c r="U5" s="720">
        <f t="shared" ref="U5:U19" si="13">(S5-H5)/S5</f>
        <v>0.10044810071694524</v>
      </c>
      <c r="V5" s="204"/>
      <c r="W5" s="206">
        <f t="shared" si="2"/>
        <v>149909.92499999999</v>
      </c>
      <c r="X5" s="206">
        <f t="shared" ref="X5:X19" si="14">(W5*1.21)</f>
        <v>181391.00924999997</v>
      </c>
      <c r="Y5" s="1"/>
      <c r="Z5" s="117">
        <f>('[2]Willard - Elpra'!AA5)</f>
        <v>142700</v>
      </c>
      <c r="AA5" s="440">
        <f>CEILING(Z5,50)</f>
        <v>142700</v>
      </c>
      <c r="AB5" s="42">
        <f t="shared" ref="AB5:AB19" si="15">(AA5/1.21)</f>
        <v>117933.88429752066</v>
      </c>
      <c r="AC5" s="190">
        <f t="shared" ref="AC5:AC19" si="16">(AB5-H5)/H5</f>
        <v>0.45189613882007762</v>
      </c>
      <c r="AD5" s="445">
        <f t="shared" ref="AD5:AD19" si="17">(AB5-H5)/AB5</f>
        <v>0.31124549941108265</v>
      </c>
      <c r="AE5" s="440">
        <f t="shared" si="3"/>
        <v>152700</v>
      </c>
      <c r="AF5" s="178" t="s">
        <v>24</v>
      </c>
      <c r="AG5" s="174" t="s">
        <v>25</v>
      </c>
      <c r="AH5" s="174"/>
      <c r="AI5" s="175">
        <v>10000</v>
      </c>
    </row>
    <row r="6" spans="1:35" ht="15.6">
      <c r="A6" s="724" t="s">
        <v>171</v>
      </c>
      <c r="B6" s="725">
        <v>550</v>
      </c>
      <c r="C6" s="726">
        <v>175738</v>
      </c>
      <c r="D6" s="727">
        <f t="shared" si="0"/>
        <v>96655.9</v>
      </c>
      <c r="E6" s="727">
        <f t="shared" si="4"/>
        <v>93756.222999999998</v>
      </c>
      <c r="F6" s="727">
        <f t="shared" si="4"/>
        <v>84380.600699999995</v>
      </c>
      <c r="G6" s="727">
        <f t="shared" si="1"/>
        <v>80161.570664999992</v>
      </c>
      <c r="H6" s="727">
        <f t="shared" si="1"/>
        <v>78558.339251699988</v>
      </c>
      <c r="I6" s="332">
        <f>(Varta!F13)*1.2</f>
        <v>103305.88799999999</v>
      </c>
      <c r="J6" s="332">
        <f>(I6-(I6*J$3))</f>
        <v>103305.88799999999</v>
      </c>
      <c r="K6" s="332">
        <f>(J6*1.21)</f>
        <v>125000.12447999998</v>
      </c>
      <c r="L6" s="731">
        <f>J6-(J6*Varta!H$3)</f>
        <v>98140.593599999993</v>
      </c>
      <c r="M6" s="731">
        <f>L6-(L6*Varta!I3)</f>
        <v>95196.375791999992</v>
      </c>
      <c r="N6" s="731">
        <f>(M6-(M6*Varta!J$3))</f>
        <v>95196.375791999992</v>
      </c>
      <c r="O6" s="731">
        <f t="shared" si="7"/>
        <v>4759.8187895999999</v>
      </c>
      <c r="P6" s="731">
        <f t="shared" si="8"/>
        <v>0</v>
      </c>
      <c r="Q6" s="731">
        <f t="shared" si="9"/>
        <v>0</v>
      </c>
      <c r="R6" s="731">
        <f t="shared" si="10"/>
        <v>0</v>
      </c>
      <c r="S6" s="731">
        <f t="shared" si="11"/>
        <v>90436.55700239999</v>
      </c>
      <c r="T6" s="720">
        <f t="shared" si="12"/>
        <v>0.21179211142679494</v>
      </c>
      <c r="U6" s="720">
        <f t="shared" si="13"/>
        <v>0.13134310000749785</v>
      </c>
      <c r="V6" s="204"/>
      <c r="W6" s="206">
        <f t="shared" si="2"/>
        <v>144983.84999999998</v>
      </c>
      <c r="X6" s="206">
        <f t="shared" si="14"/>
        <v>175430.45849999998</v>
      </c>
      <c r="Y6" s="1"/>
      <c r="Z6" s="117">
        <f>('[2]Willard - Elpra'!AA6)</f>
        <v>138550</v>
      </c>
      <c r="AA6" s="440">
        <f>CEILING(Z6,50)</f>
        <v>138550</v>
      </c>
      <c r="AB6" s="42">
        <f t="shared" si="15"/>
        <v>114504.13223140496</v>
      </c>
      <c r="AC6" s="190">
        <f t="shared" si="16"/>
        <v>0.45756813754087999</v>
      </c>
      <c r="AD6" s="445">
        <f t="shared" si="17"/>
        <v>0.31392572721359085</v>
      </c>
      <c r="AE6" s="440">
        <f t="shared" si="3"/>
        <v>148550</v>
      </c>
      <c r="AF6" s="429"/>
      <c r="AG6" s="921"/>
      <c r="AH6" s="921"/>
      <c r="AI6" s="677"/>
    </row>
    <row r="7" spans="1:35" ht="15.6">
      <c r="A7" s="728" t="s">
        <v>172</v>
      </c>
      <c r="B7" s="729">
        <v>670</v>
      </c>
      <c r="C7" s="726">
        <v>188992</v>
      </c>
      <c r="D7" s="727">
        <f t="shared" si="0"/>
        <v>103945.59999999999</v>
      </c>
      <c r="E7" s="727">
        <f t="shared" si="4"/>
        <v>100827.23199999999</v>
      </c>
      <c r="F7" s="727">
        <f t="shared" si="4"/>
        <v>90744.508799999981</v>
      </c>
      <c r="G7" s="727">
        <f t="shared" si="1"/>
        <v>86207.283359999987</v>
      </c>
      <c r="H7" s="727">
        <f t="shared" si="1"/>
        <v>84483.137692799981</v>
      </c>
      <c r="I7" s="332">
        <v>118276.39276991997</v>
      </c>
      <c r="J7" s="332">
        <f t="shared" si="5"/>
        <v>118276.39276991997</v>
      </c>
      <c r="K7" s="332">
        <f t="shared" si="6"/>
        <v>143114.43525160316</v>
      </c>
      <c r="L7" s="731">
        <f>J7-(J7*Varta!H$3)</f>
        <v>112362.57313142397</v>
      </c>
      <c r="M7" s="731">
        <f>L7-(L7*Varta!I3)</f>
        <v>108991.69593748124</v>
      </c>
      <c r="N7" s="731">
        <f>(M7-(M7*Varta!J$3))</f>
        <v>108991.69593748124</v>
      </c>
      <c r="O7" s="731">
        <f t="shared" si="7"/>
        <v>5449.5847968740627</v>
      </c>
      <c r="P7" s="731">
        <f t="shared" si="8"/>
        <v>0</v>
      </c>
      <c r="Q7" s="731">
        <f t="shared" si="9"/>
        <v>0</v>
      </c>
      <c r="R7" s="731">
        <f t="shared" si="10"/>
        <v>0</v>
      </c>
      <c r="S7" s="731">
        <f t="shared" si="11"/>
        <v>103542.11114060719</v>
      </c>
      <c r="T7" s="720">
        <f>(N7-H7)/H7</f>
        <v>0.29009999999999986</v>
      </c>
      <c r="U7" s="720">
        <f>(S7-H7)/S7</f>
        <v>0.18406977835255525</v>
      </c>
      <c r="V7" s="204"/>
      <c r="W7" s="206">
        <f t="shared" si="2"/>
        <v>155918.39999999999</v>
      </c>
      <c r="X7" s="206">
        <f t="shared" si="14"/>
        <v>188661.264</v>
      </c>
      <c r="Y7" s="1"/>
      <c r="Z7" s="117">
        <f>('[2]Willard - Elpra'!AA7)</f>
        <v>138550</v>
      </c>
      <c r="AA7" s="440">
        <f t="shared" ref="AA7:AA19" si="18">CEILING(Z7,50)</f>
        <v>138550</v>
      </c>
      <c r="AB7" s="42">
        <f t="shared" si="15"/>
        <v>114504.13223140496</v>
      </c>
      <c r="AC7" s="190">
        <f t="shared" si="16"/>
        <v>0.35534895315758969</v>
      </c>
      <c r="AD7" s="445">
        <f t="shared" si="17"/>
        <v>0.26218263003761838</v>
      </c>
      <c r="AE7" s="440">
        <f t="shared" si="3"/>
        <v>148550</v>
      </c>
      <c r="AF7" s="185"/>
      <c r="AG7" s="183" t="s">
        <v>27</v>
      </c>
      <c r="AH7" s="183"/>
      <c r="AI7" s="184">
        <v>14000</v>
      </c>
    </row>
    <row r="8" spans="1:35" ht="16.2" thickBot="1">
      <c r="A8" s="728" t="s">
        <v>173</v>
      </c>
      <c r="B8" s="729">
        <v>600</v>
      </c>
      <c r="C8" s="726">
        <v>174756</v>
      </c>
      <c r="D8" s="727">
        <f t="shared" si="0"/>
        <v>96115.8</v>
      </c>
      <c r="E8" s="727">
        <f t="shared" si="4"/>
        <v>93232.326000000001</v>
      </c>
      <c r="F8" s="727">
        <f t="shared" si="4"/>
        <v>83909.093399999998</v>
      </c>
      <c r="G8" s="727">
        <f t="shared" si="1"/>
        <v>79713.638729999991</v>
      </c>
      <c r="H8" s="727">
        <f t="shared" si="1"/>
        <v>78119.36595539999</v>
      </c>
      <c r="I8" s="332">
        <f>(Varta!F15)*1.15</f>
        <v>101867.30819999998</v>
      </c>
      <c r="J8" s="332">
        <f t="shared" si="5"/>
        <v>101867.30819999998</v>
      </c>
      <c r="K8" s="332">
        <f t="shared" si="6"/>
        <v>123259.44292199997</v>
      </c>
      <c r="L8" s="731">
        <f>J8-(J8*Varta!H$3)</f>
        <v>96773.942789999986</v>
      </c>
      <c r="M8" s="731">
        <f>L8-(L8*Varta!I3)</f>
        <v>93870.724506299986</v>
      </c>
      <c r="N8" s="731">
        <f>(M8-(M8*Varta!J$3))</f>
        <v>93870.724506299986</v>
      </c>
      <c r="O8" s="731">
        <f t="shared" si="7"/>
        <v>4693.5362253149997</v>
      </c>
      <c r="P8" s="731">
        <f t="shared" si="8"/>
        <v>0</v>
      </c>
      <c r="Q8" s="731">
        <f t="shared" si="9"/>
        <v>0</v>
      </c>
      <c r="R8" s="731">
        <f t="shared" si="10"/>
        <v>0</v>
      </c>
      <c r="S8" s="731">
        <f t="shared" si="11"/>
        <v>89177.188280984992</v>
      </c>
      <c r="T8" s="720">
        <f t="shared" si="12"/>
        <v>0.20163193029360713</v>
      </c>
      <c r="U8" s="720">
        <f t="shared" si="13"/>
        <v>0.12399832893075001</v>
      </c>
      <c r="V8" s="204"/>
      <c r="W8" s="206">
        <f t="shared" si="2"/>
        <v>144173.70000000001</v>
      </c>
      <c r="X8" s="206">
        <f t="shared" si="14"/>
        <v>174450.177</v>
      </c>
      <c r="Y8" s="1"/>
      <c r="Z8" s="117">
        <f>('[2]Willard - Elpra'!AA8)</f>
        <v>134850</v>
      </c>
      <c r="AA8" s="440">
        <f t="shared" si="18"/>
        <v>134850</v>
      </c>
      <c r="AB8" s="42">
        <f t="shared" si="15"/>
        <v>111446.28099173553</v>
      </c>
      <c r="AC8" s="190">
        <f t="shared" si="16"/>
        <v>0.42661527815474831</v>
      </c>
      <c r="AD8" s="445">
        <f t="shared" si="17"/>
        <v>0.29904017199826483</v>
      </c>
      <c r="AE8" s="440">
        <f t="shared" si="3"/>
        <v>144850</v>
      </c>
      <c r="AF8" s="179"/>
      <c r="AG8" s="180" t="s">
        <v>29</v>
      </c>
      <c r="AH8" s="180"/>
      <c r="AI8" s="181">
        <v>19000</v>
      </c>
    </row>
    <row r="9" spans="1:35" ht="15.6">
      <c r="A9" s="728" t="s">
        <v>174</v>
      </c>
      <c r="B9" s="729">
        <v>720</v>
      </c>
      <c r="C9" s="726">
        <v>212209</v>
      </c>
      <c r="D9" s="727">
        <f t="shared" si="0"/>
        <v>116714.95</v>
      </c>
      <c r="E9" s="727">
        <f t="shared" si="4"/>
        <v>113213.5015</v>
      </c>
      <c r="F9" s="727">
        <f t="shared" si="4"/>
        <v>101892.15135</v>
      </c>
      <c r="G9" s="727">
        <f t="shared" si="1"/>
        <v>96797.543782499997</v>
      </c>
      <c r="H9" s="727">
        <f t="shared" si="1"/>
        <v>94861.592906849997</v>
      </c>
      <c r="I9" s="332">
        <f>(Varta!F14)*1.3</f>
        <v>126394.905</v>
      </c>
      <c r="J9" s="332">
        <f t="shared" si="5"/>
        <v>126394.905</v>
      </c>
      <c r="K9" s="332">
        <f t="shared" si="6"/>
        <v>152937.83504999999</v>
      </c>
      <c r="L9" s="731">
        <f>J9-(J9*Varta!H$3)</f>
        <v>120075.15974999999</v>
      </c>
      <c r="M9" s="731">
        <f>L9-(L9*Varta!I3)</f>
        <v>116472.9049575</v>
      </c>
      <c r="N9" s="731">
        <f>(M9-(M9*Varta!J$3))</f>
        <v>116472.9049575</v>
      </c>
      <c r="O9" s="731">
        <f t="shared" si="7"/>
        <v>5823.6452478749998</v>
      </c>
      <c r="P9" s="731">
        <f t="shared" si="8"/>
        <v>0</v>
      </c>
      <c r="Q9" s="731">
        <f t="shared" si="9"/>
        <v>0</v>
      </c>
      <c r="R9" s="731">
        <f t="shared" si="10"/>
        <v>0</v>
      </c>
      <c r="S9" s="731">
        <f t="shared" si="11"/>
        <v>110649.259709625</v>
      </c>
      <c r="T9" s="720">
        <f t="shared" si="12"/>
        <v>0.22781940918777716</v>
      </c>
      <c r="U9" s="720">
        <f t="shared" si="13"/>
        <v>0.14268208250291334</v>
      </c>
      <c r="V9" s="204"/>
      <c r="W9" s="206">
        <f t="shared" si="2"/>
        <v>175072.42499999999</v>
      </c>
      <c r="X9" s="206">
        <f t="shared" si="14"/>
        <v>211837.63424999997</v>
      </c>
      <c r="Y9" s="1"/>
      <c r="Z9" s="117">
        <f>('[2]Willard - Elpra'!AA9)</f>
        <v>164850</v>
      </c>
      <c r="AA9" s="440">
        <f t="shared" si="18"/>
        <v>164850</v>
      </c>
      <c r="AB9" s="42">
        <f t="shared" si="15"/>
        <v>136239.6694214876</v>
      </c>
      <c r="AC9" s="190">
        <f t="shared" si="16"/>
        <v>0.43619419879728455</v>
      </c>
      <c r="AD9" s="445">
        <f t="shared" si="17"/>
        <v>0.30371533262184713</v>
      </c>
      <c r="AE9" s="440">
        <f t="shared" si="3"/>
        <v>174850</v>
      </c>
      <c r="AF9" s="921"/>
      <c r="AG9" s="921"/>
      <c r="AH9" s="921"/>
      <c r="AI9" s="921"/>
    </row>
    <row r="10" spans="1:35" ht="15.6">
      <c r="A10" s="728" t="s">
        <v>175</v>
      </c>
      <c r="B10" s="729">
        <v>720</v>
      </c>
      <c r="C10" s="726">
        <v>218169</v>
      </c>
      <c r="D10" s="727">
        <f t="shared" si="0"/>
        <v>119992.95</v>
      </c>
      <c r="E10" s="727">
        <f t="shared" si="4"/>
        <v>116393.1615</v>
      </c>
      <c r="F10" s="727">
        <f t="shared" si="4"/>
        <v>104753.84535</v>
      </c>
      <c r="G10" s="727">
        <f t="shared" si="1"/>
        <v>99516.153082500008</v>
      </c>
      <c r="H10" s="727">
        <f t="shared" si="1"/>
        <v>97525.830020850015</v>
      </c>
      <c r="I10" s="332">
        <f>(Varta!F16)*1.2</f>
        <v>130831.46999999999</v>
      </c>
      <c r="J10" s="332">
        <f t="shared" si="5"/>
        <v>130831.46999999999</v>
      </c>
      <c r="K10" s="332">
        <f t="shared" si="6"/>
        <v>158306.07869999998</v>
      </c>
      <c r="L10" s="731">
        <f>J10-(J10*Varta!H$3)</f>
        <v>124289.89649999999</v>
      </c>
      <c r="M10" s="731">
        <f>L10-(L10*Varta!I3)</f>
        <v>120561.19960499999</v>
      </c>
      <c r="N10" s="731">
        <f>(M10-(M10*Varta!J$3))</f>
        <v>120561.19960499999</v>
      </c>
      <c r="O10" s="731">
        <f t="shared" si="7"/>
        <v>6028.0599802500001</v>
      </c>
      <c r="P10" s="731">
        <f t="shared" si="8"/>
        <v>0</v>
      </c>
      <c r="Q10" s="731">
        <f t="shared" si="9"/>
        <v>0</v>
      </c>
      <c r="R10" s="731">
        <f t="shared" si="10"/>
        <v>0</v>
      </c>
      <c r="S10" s="731">
        <f t="shared" si="11"/>
        <v>114533.13962474998</v>
      </c>
      <c r="T10" s="720">
        <f t="shared" si="12"/>
        <v>0.23619762661056304</v>
      </c>
      <c r="U10" s="720">
        <f t="shared" si="13"/>
        <v>0.1484924770212514</v>
      </c>
      <c r="V10" s="204"/>
      <c r="W10" s="206">
        <f t="shared" si="2"/>
        <v>179989.42499999999</v>
      </c>
      <c r="X10" s="206">
        <f t="shared" si="14"/>
        <v>217787.20424999998</v>
      </c>
      <c r="Y10" s="1"/>
      <c r="Z10" s="117">
        <f>('[2]Willard - Elpra'!AA10)</f>
        <v>165700</v>
      </c>
      <c r="AA10" s="440">
        <f>CEILING(Z10,50)</f>
        <v>165700</v>
      </c>
      <c r="AB10" s="42">
        <f t="shared" si="15"/>
        <v>136942.14876033057</v>
      </c>
      <c r="AC10" s="190">
        <f t="shared" si="16"/>
        <v>0.40416286363370357</v>
      </c>
      <c r="AD10" s="445">
        <f t="shared" si="17"/>
        <v>0.2878318990631954</v>
      </c>
      <c r="AE10" s="440">
        <f t="shared" si="3"/>
        <v>175700</v>
      </c>
      <c r="AF10" s="921"/>
      <c r="AG10" s="921"/>
      <c r="AH10" s="921"/>
      <c r="AI10" s="921"/>
    </row>
    <row r="11" spans="1:35" ht="15.6">
      <c r="A11" s="728" t="s">
        <v>176</v>
      </c>
      <c r="B11" s="729">
        <v>840</v>
      </c>
      <c r="C11" s="726">
        <v>260172</v>
      </c>
      <c r="D11" s="727">
        <f t="shared" si="0"/>
        <v>143094.59999999998</v>
      </c>
      <c r="E11" s="727">
        <f t="shared" si="4"/>
        <v>138801.76199999999</v>
      </c>
      <c r="F11" s="727">
        <f t="shared" si="4"/>
        <v>124921.58579999999</v>
      </c>
      <c r="G11" s="727">
        <f t="shared" si="1"/>
        <v>118675.50650999999</v>
      </c>
      <c r="H11" s="727">
        <f t="shared" si="1"/>
        <v>116301.9963798</v>
      </c>
      <c r="I11" s="332">
        <f>(Varta!F7)*1.3</f>
        <v>149366.87220000001</v>
      </c>
      <c r="J11" s="332">
        <f t="shared" si="5"/>
        <v>149366.87220000001</v>
      </c>
      <c r="K11" s="332">
        <f t="shared" si="6"/>
        <v>180733.915362</v>
      </c>
      <c r="L11" s="731">
        <f>J11-(J11*Varta!H$3)</f>
        <v>141898.52859</v>
      </c>
      <c r="M11" s="731">
        <f>L11-(L11*Varta!I3)</f>
        <v>137641.5727323</v>
      </c>
      <c r="N11" s="731">
        <f>(M11-(M11*Varta!J$3))</f>
        <v>137641.5727323</v>
      </c>
      <c r="O11" s="731">
        <f t="shared" si="7"/>
        <v>6882.0786366150005</v>
      </c>
      <c r="P11" s="731">
        <f t="shared" si="8"/>
        <v>0</v>
      </c>
      <c r="Q11" s="731">
        <f t="shared" si="9"/>
        <v>0</v>
      </c>
      <c r="R11" s="731">
        <f t="shared" si="10"/>
        <v>0</v>
      </c>
      <c r="S11" s="731">
        <f t="shared" si="11"/>
        <v>130759.494095685</v>
      </c>
      <c r="T11" s="720">
        <f t="shared" si="12"/>
        <v>0.18348417926389429</v>
      </c>
      <c r="U11" s="720">
        <f t="shared" si="13"/>
        <v>0.11056556784554047</v>
      </c>
      <c r="V11" s="204"/>
      <c r="W11" s="206">
        <f t="shared" si="2"/>
        <v>214641.89999999997</v>
      </c>
      <c r="X11" s="206">
        <f t="shared" si="14"/>
        <v>259716.69899999996</v>
      </c>
      <c r="Y11" s="1"/>
      <c r="Z11" s="117">
        <f>('[2]Willard - Elpra'!AA11)</f>
        <v>206850</v>
      </c>
      <c r="AA11" s="440">
        <f t="shared" si="18"/>
        <v>206850</v>
      </c>
      <c r="AB11" s="42">
        <f t="shared" si="15"/>
        <v>170950.41322314049</v>
      </c>
      <c r="AC11" s="190">
        <f t="shared" si="16"/>
        <v>0.46988373840874287</v>
      </c>
      <c r="AD11" s="445">
        <f t="shared" si="17"/>
        <v>0.31967408450781726</v>
      </c>
      <c r="AE11" s="440">
        <f t="shared" si="3"/>
        <v>216850</v>
      </c>
      <c r="AF11" s="921"/>
      <c r="AG11" s="921"/>
      <c r="AH11" s="921"/>
      <c r="AI11" s="921"/>
    </row>
    <row r="12" spans="1:35" ht="15.6">
      <c r="A12" s="728" t="s">
        <v>177</v>
      </c>
      <c r="B12" s="729">
        <v>1000</v>
      </c>
      <c r="C12" s="726">
        <v>364730</v>
      </c>
      <c r="D12" s="727">
        <f t="shared" si="0"/>
        <v>200601.5</v>
      </c>
      <c r="E12" s="727">
        <f t="shared" si="4"/>
        <v>194583.45499999999</v>
      </c>
      <c r="F12" s="727">
        <f t="shared" si="4"/>
        <v>175125.10949999999</v>
      </c>
      <c r="G12" s="727">
        <f t="shared" si="1"/>
        <v>166368.85402499998</v>
      </c>
      <c r="H12" s="727">
        <f t="shared" si="1"/>
        <v>163041.47694449997</v>
      </c>
      <c r="I12" s="332">
        <f>(Varta!F20)*1.2</f>
        <v>212637.9528</v>
      </c>
      <c r="J12" s="332">
        <f t="shared" si="5"/>
        <v>212637.9528</v>
      </c>
      <c r="K12" s="332">
        <f t="shared" si="6"/>
        <v>257291.922888</v>
      </c>
      <c r="L12" s="731">
        <f>J12-(J12*Varta!H$3)</f>
        <v>202006.05515999999</v>
      </c>
      <c r="M12" s="731">
        <f>L12-(L12*Varta!I$3)</f>
        <v>195945.8735052</v>
      </c>
      <c r="N12" s="731">
        <f>(M12-(M12*Varta!J$3))</f>
        <v>195945.8735052</v>
      </c>
      <c r="O12" s="731">
        <f t="shared" si="7"/>
        <v>9797.2936752599999</v>
      </c>
      <c r="P12" s="731">
        <f t="shared" si="8"/>
        <v>0</v>
      </c>
      <c r="Q12" s="731">
        <f t="shared" si="9"/>
        <v>0</v>
      </c>
      <c r="R12" s="731">
        <f t="shared" si="10"/>
        <v>0</v>
      </c>
      <c r="S12" s="731">
        <f t="shared" si="11"/>
        <v>186148.57982993999</v>
      </c>
      <c r="T12" s="720">
        <f t="shared" si="12"/>
        <v>0.20181610947931261</v>
      </c>
      <c r="U12" s="720">
        <f t="shared" si="13"/>
        <v>0.12413257681874344</v>
      </c>
      <c r="V12" s="204"/>
      <c r="W12" s="206">
        <f t="shared" si="2"/>
        <v>300902.25</v>
      </c>
      <c r="X12" s="206">
        <f t="shared" si="14"/>
        <v>364091.72249999997</v>
      </c>
      <c r="Y12" s="1"/>
      <c r="Z12" s="117">
        <f>('[2]Willard - Elpra'!AA12)</f>
        <v>285600</v>
      </c>
      <c r="AA12" s="440">
        <f t="shared" si="18"/>
        <v>285600</v>
      </c>
      <c r="AB12" s="42">
        <f t="shared" si="15"/>
        <v>236033.05785123969</v>
      </c>
      <c r="AC12" s="190">
        <f t="shared" si="16"/>
        <v>0.44768719147205943</v>
      </c>
      <c r="AD12" s="445">
        <f t="shared" si="17"/>
        <v>0.30924304235698546</v>
      </c>
      <c r="AE12" s="440">
        <f>(AA12+$AI$7)</f>
        <v>299600</v>
      </c>
      <c r="AF12" s="921"/>
      <c r="AG12" s="921"/>
      <c r="AH12" s="921"/>
      <c r="AI12" s="921"/>
    </row>
    <row r="13" spans="1:35" ht="15.6">
      <c r="A13" s="728" t="s">
        <v>178</v>
      </c>
      <c r="B13" s="729">
        <v>93</v>
      </c>
      <c r="C13" s="726">
        <v>321622</v>
      </c>
      <c r="D13" s="727">
        <f t="shared" si="0"/>
        <v>176892.1</v>
      </c>
      <c r="E13" s="727">
        <f t="shared" si="4"/>
        <v>171585.337</v>
      </c>
      <c r="F13" s="727">
        <f t="shared" si="4"/>
        <v>154426.8033</v>
      </c>
      <c r="G13" s="727">
        <f t="shared" si="1"/>
        <v>146705.463135</v>
      </c>
      <c r="H13" s="727">
        <f t="shared" si="1"/>
        <v>143771.35387230001</v>
      </c>
      <c r="I13" s="332">
        <v>201279.89542121999</v>
      </c>
      <c r="J13" s="332">
        <f t="shared" si="5"/>
        <v>201279.89542121999</v>
      </c>
      <c r="K13" s="332">
        <f t="shared" si="6"/>
        <v>243548.67345967618</v>
      </c>
      <c r="L13" s="731">
        <f>J13-(J13*Varta!H$3)</f>
        <v>191215.90065015899</v>
      </c>
      <c r="M13" s="731">
        <f>L13-(L13*Varta!I$3)</f>
        <v>185479.42363065423</v>
      </c>
      <c r="N13" s="731">
        <f>(M13-(M13*Varta!J$3))</f>
        <v>185479.42363065423</v>
      </c>
      <c r="O13" s="731">
        <f t="shared" si="7"/>
        <v>9273.9711815327119</v>
      </c>
      <c r="P13" s="731">
        <f t="shared" si="8"/>
        <v>0</v>
      </c>
      <c r="Q13" s="731">
        <f t="shared" si="9"/>
        <v>0</v>
      </c>
      <c r="R13" s="731">
        <f t="shared" si="10"/>
        <v>0</v>
      </c>
      <c r="S13" s="731">
        <f t="shared" si="11"/>
        <v>176205.45244912151</v>
      </c>
      <c r="T13" s="720">
        <f t="shared" si="12"/>
        <v>0.29009999999999991</v>
      </c>
      <c r="U13" s="720">
        <f t="shared" si="13"/>
        <v>0.1840697783525552</v>
      </c>
      <c r="V13" s="204"/>
      <c r="W13" s="206">
        <f t="shared" si="2"/>
        <v>265338.15000000002</v>
      </c>
      <c r="X13" s="206">
        <f t="shared" si="14"/>
        <v>321059.16150000005</v>
      </c>
      <c r="Y13" s="1"/>
      <c r="Z13" s="117">
        <f>('[2]Willard - Elpra'!AA13)</f>
        <v>252000</v>
      </c>
      <c r="AA13" s="440">
        <f t="shared" si="18"/>
        <v>252000</v>
      </c>
      <c r="AB13" s="42">
        <f t="shared" si="15"/>
        <v>208264.46280991737</v>
      </c>
      <c r="AC13" s="190">
        <f t="shared" si="16"/>
        <v>0.44858107822300375</v>
      </c>
      <c r="AD13" s="445">
        <f t="shared" si="17"/>
        <v>0.30966929291474998</v>
      </c>
      <c r="AE13" s="440">
        <f>(AA13+$AI$7)</f>
        <v>266000</v>
      </c>
      <c r="AF13" s="921"/>
      <c r="AG13" s="921"/>
      <c r="AH13" s="921"/>
      <c r="AI13" s="921"/>
    </row>
    <row r="14" spans="1:35" ht="15.6">
      <c r="A14" s="728" t="s">
        <v>179</v>
      </c>
      <c r="B14" s="729"/>
      <c r="C14" s="726">
        <v>274621</v>
      </c>
      <c r="D14" s="727">
        <f t="shared" si="0"/>
        <v>151041.54999999999</v>
      </c>
      <c r="E14" s="727">
        <f t="shared" si="4"/>
        <v>146510.30349999998</v>
      </c>
      <c r="F14" s="727">
        <f t="shared" si="4"/>
        <v>131859.27314999999</v>
      </c>
      <c r="G14" s="727">
        <f t="shared" si="1"/>
        <v>125266.30949249999</v>
      </c>
      <c r="H14" s="727">
        <f t="shared" si="1"/>
        <v>122760.98330264998</v>
      </c>
      <c r="I14" s="332">
        <v>171865.37662370998</v>
      </c>
      <c r="J14" s="332">
        <f t="shared" si="5"/>
        <v>171865.37662370998</v>
      </c>
      <c r="K14" s="332">
        <f t="shared" si="6"/>
        <v>207957.10571468907</v>
      </c>
      <c r="L14" s="731">
        <f>J14-(J14*Varta!H$3)</f>
        <v>163272.10779252448</v>
      </c>
      <c r="M14" s="731">
        <f>L14-(L14*Varta!I$3)</f>
        <v>158373.94455874874</v>
      </c>
      <c r="N14" s="731">
        <f>(M14-(M14*Varta!J$3))</f>
        <v>158373.94455874874</v>
      </c>
      <c r="O14" s="731">
        <f t="shared" si="7"/>
        <v>7918.6972279374377</v>
      </c>
      <c r="P14" s="731">
        <f t="shared" si="8"/>
        <v>0</v>
      </c>
      <c r="Q14" s="731">
        <f t="shared" si="9"/>
        <v>0</v>
      </c>
      <c r="R14" s="731">
        <f t="shared" si="10"/>
        <v>0</v>
      </c>
      <c r="S14" s="731">
        <f t="shared" si="11"/>
        <v>150455.24733081131</v>
      </c>
      <c r="T14" s="720">
        <f t="shared" si="12"/>
        <v>0.29009999999999997</v>
      </c>
      <c r="U14" s="720">
        <f t="shared" si="13"/>
        <v>0.18406977835255531</v>
      </c>
      <c r="V14" s="204"/>
      <c r="W14" s="206">
        <f t="shared" si="2"/>
        <v>226562.32499999998</v>
      </c>
      <c r="X14" s="206">
        <f t="shared" si="14"/>
        <v>274140.41324999998</v>
      </c>
      <c r="Y14" s="1"/>
      <c r="Z14" s="117">
        <f>('[2]Willard - Elpra'!AA14)</f>
        <v>214750</v>
      </c>
      <c r="AA14" s="440">
        <f t="shared" si="18"/>
        <v>214750</v>
      </c>
      <c r="AB14" s="42">
        <f t="shared" si="15"/>
        <v>177479.33884297521</v>
      </c>
      <c r="AC14" s="190">
        <f t="shared" si="16"/>
        <v>0.44573083457163903</v>
      </c>
      <c r="AD14" s="445">
        <f t="shared" si="17"/>
        <v>0.30830831293966715</v>
      </c>
      <c r="AE14" s="440">
        <f>(AA14+$AI$7)</f>
        <v>228750</v>
      </c>
      <c r="AF14" s="921"/>
      <c r="AG14" s="921"/>
      <c r="AH14" s="921"/>
      <c r="AI14" s="921"/>
    </row>
    <row r="15" spans="1:35" ht="15.6">
      <c r="A15" s="728" t="s">
        <v>180</v>
      </c>
      <c r="B15" s="729"/>
      <c r="C15" s="726">
        <v>344838</v>
      </c>
      <c r="D15" s="727">
        <f t="shared" si="0"/>
        <v>189660.9</v>
      </c>
      <c r="E15" s="727">
        <f t="shared" si="4"/>
        <v>183971.073</v>
      </c>
      <c r="F15" s="727">
        <f t="shared" si="4"/>
        <v>165573.9657</v>
      </c>
      <c r="G15" s="727">
        <f t="shared" si="1"/>
        <v>157295.26741500001</v>
      </c>
      <c r="H15" s="727">
        <f t="shared" si="1"/>
        <v>154149.36206670001</v>
      </c>
      <c r="I15" s="332">
        <v>215809.10689338</v>
      </c>
      <c r="J15" s="332">
        <f t="shared" si="5"/>
        <v>215809.10689338</v>
      </c>
      <c r="K15" s="332">
        <f t="shared" si="6"/>
        <v>261129.01934098979</v>
      </c>
      <c r="L15" s="731">
        <f>J15-(J15*Varta!H$3)</f>
        <v>205018.651548711</v>
      </c>
      <c r="M15" s="731">
        <f>L15-(L15*Varta!I$3)</f>
        <v>198868.09200224967</v>
      </c>
      <c r="N15" s="731">
        <f>(M15-(M15*Varta!J$3))</f>
        <v>198868.09200224967</v>
      </c>
      <c r="O15" s="731">
        <f t="shared" si="7"/>
        <v>9943.4046001124843</v>
      </c>
      <c r="P15" s="731">
        <f t="shared" si="8"/>
        <v>0</v>
      </c>
      <c r="Q15" s="731">
        <f t="shared" si="9"/>
        <v>0</v>
      </c>
      <c r="R15" s="731">
        <f t="shared" si="10"/>
        <v>0</v>
      </c>
      <c r="S15" s="731">
        <f t="shared" si="11"/>
        <v>188924.68740213718</v>
      </c>
      <c r="T15" s="720">
        <f t="shared" si="12"/>
        <v>0.29009999999999997</v>
      </c>
      <c r="U15" s="720">
        <f t="shared" si="13"/>
        <v>0.18406977835255522</v>
      </c>
      <c r="V15" s="204"/>
      <c r="W15" s="206">
        <f t="shared" si="2"/>
        <v>284491.34999999998</v>
      </c>
      <c r="X15" s="206">
        <f t="shared" si="14"/>
        <v>344234.53349999996</v>
      </c>
      <c r="Y15" s="1"/>
      <c r="Z15" s="117">
        <f>('[2]Willard - Elpra'!AA15)</f>
        <v>260400</v>
      </c>
      <c r="AA15" s="440">
        <f t="shared" si="18"/>
        <v>260400</v>
      </c>
      <c r="AB15" s="42">
        <f t="shared" si="15"/>
        <v>215206.61157024794</v>
      </c>
      <c r="AC15" s="190">
        <f t="shared" si="16"/>
        <v>0.39609148351278051</v>
      </c>
      <c r="AD15" s="445">
        <f t="shared" si="17"/>
        <v>0.28371456182524196</v>
      </c>
      <c r="AE15" s="440">
        <f>(AA15+$AI$7)</f>
        <v>274400</v>
      </c>
      <c r="AF15" s="921"/>
      <c r="AG15" s="921"/>
      <c r="AH15" s="921"/>
      <c r="AI15" s="921"/>
    </row>
    <row r="16" spans="1:35" ht="15.6">
      <c r="A16" s="728" t="s">
        <v>181</v>
      </c>
      <c r="B16" s="729">
        <v>1300</v>
      </c>
      <c r="C16" s="726">
        <v>500824</v>
      </c>
      <c r="D16" s="727">
        <f t="shared" si="0"/>
        <v>275453.19999999995</v>
      </c>
      <c r="E16" s="727">
        <f t="shared" si="4"/>
        <v>267189.60399999993</v>
      </c>
      <c r="F16" s="727">
        <f t="shared" si="4"/>
        <v>240470.64359999995</v>
      </c>
      <c r="G16" s="727">
        <f t="shared" si="1"/>
        <v>228447.11141999994</v>
      </c>
      <c r="H16" s="727">
        <f t="shared" si="1"/>
        <v>223878.16919159994</v>
      </c>
      <c r="I16" s="332">
        <f>(Varta!F21)*1.35</f>
        <v>287005.16565000004</v>
      </c>
      <c r="J16" s="332">
        <f t="shared" si="5"/>
        <v>287005.16565000004</v>
      </c>
      <c r="K16" s="332">
        <f t="shared" si="6"/>
        <v>347276.25043650006</v>
      </c>
      <c r="L16" s="731">
        <f>J16-(J16*Varta!H$3)</f>
        <v>272654.90736750001</v>
      </c>
      <c r="M16" s="731">
        <f>L16-(L16*Varta!I3)</f>
        <v>264475.26014647499</v>
      </c>
      <c r="N16" s="731">
        <f>(M16-(M16*Varta!J$3))</f>
        <v>264475.26014647499</v>
      </c>
      <c r="O16" s="731">
        <f t="shared" si="7"/>
        <v>13223.763007323751</v>
      </c>
      <c r="P16" s="731">
        <f t="shared" si="8"/>
        <v>0</v>
      </c>
      <c r="Q16" s="731">
        <f t="shared" si="9"/>
        <v>0</v>
      </c>
      <c r="R16" s="731">
        <f t="shared" si="10"/>
        <v>0</v>
      </c>
      <c r="S16" s="731">
        <f t="shared" si="11"/>
        <v>251251.49713915124</v>
      </c>
      <c r="T16" s="720">
        <f t="shared" si="12"/>
        <v>0.18133563938577305</v>
      </c>
      <c r="U16" s="720">
        <f t="shared" si="13"/>
        <v>0.10894791975066744</v>
      </c>
      <c r="V16" s="204"/>
      <c r="W16" s="206">
        <f t="shared" si="2"/>
        <v>413179.79999999993</v>
      </c>
      <c r="X16" s="206">
        <f t="shared" si="14"/>
        <v>499947.5579999999</v>
      </c>
      <c r="Y16" s="1"/>
      <c r="Z16" s="117">
        <f>('[2]Willard - Elpra'!AA16)</f>
        <v>390550</v>
      </c>
      <c r="AA16" s="440">
        <f t="shared" si="18"/>
        <v>390550</v>
      </c>
      <c r="AB16" s="42">
        <f t="shared" si="15"/>
        <v>322768.59504132235</v>
      </c>
      <c r="AC16" s="190">
        <f t="shared" si="16"/>
        <v>0.44171535887936342</v>
      </c>
      <c r="AD16" s="445">
        <f t="shared" si="17"/>
        <v>0.30638180841931661</v>
      </c>
      <c r="AE16" s="440">
        <f>(AA16+$AI$8)</f>
        <v>409550</v>
      </c>
      <c r="AF16" s="921"/>
      <c r="AG16" s="921"/>
      <c r="AH16" s="921"/>
      <c r="AI16" s="921"/>
    </row>
    <row r="17" spans="1:31" ht="15.6">
      <c r="A17" s="730" t="s">
        <v>182</v>
      </c>
      <c r="B17" s="721"/>
      <c r="C17" s="726">
        <v>622619</v>
      </c>
      <c r="D17" s="727">
        <f t="shared" si="0"/>
        <v>342440.45</v>
      </c>
      <c r="E17" s="727">
        <f t="shared" si="4"/>
        <v>332167.2365</v>
      </c>
      <c r="F17" s="727">
        <f t="shared" si="4"/>
        <v>298950.51285</v>
      </c>
      <c r="G17" s="727">
        <f t="shared" si="1"/>
        <v>284002.98720749997</v>
      </c>
      <c r="H17" s="727">
        <f t="shared" si="1"/>
        <v>278322.92746335</v>
      </c>
      <c r="I17" s="332">
        <f>(Varta!F27)</f>
        <v>302856.91800000001</v>
      </c>
      <c r="J17" s="332">
        <f t="shared" si="5"/>
        <v>302856.91800000001</v>
      </c>
      <c r="K17" s="332">
        <f t="shared" si="6"/>
        <v>366456.87078</v>
      </c>
      <c r="L17" s="731">
        <f>J17-(J17*Varta!H$3)</f>
        <v>287714.07209999999</v>
      </c>
      <c r="M17" s="731">
        <f>L17-(L17*Varta!I3)</f>
        <v>279082.64993700001</v>
      </c>
      <c r="N17" s="731">
        <f>(M17-(M17*Varta!J$3))</f>
        <v>279082.64993700001</v>
      </c>
      <c r="O17" s="731">
        <f t="shared" si="7"/>
        <v>13954.132496850001</v>
      </c>
      <c r="P17" s="731">
        <f t="shared" si="8"/>
        <v>0</v>
      </c>
      <c r="Q17" s="731">
        <f t="shared" si="9"/>
        <v>0</v>
      </c>
      <c r="R17" s="731">
        <f t="shared" si="10"/>
        <v>0</v>
      </c>
      <c r="S17" s="731">
        <f t="shared" si="11"/>
        <v>265128.51744015003</v>
      </c>
      <c r="T17" s="720">
        <f t="shared" si="12"/>
        <v>2.7296438729434102E-3</v>
      </c>
      <c r="U17" s="720">
        <f t="shared" si="13"/>
        <v>-4.9766091368041825E-2</v>
      </c>
      <c r="V17" s="1"/>
      <c r="W17" s="206">
        <f t="shared" si="2"/>
        <v>513660.67500000005</v>
      </c>
      <c r="X17" s="206">
        <f t="shared" si="14"/>
        <v>621529.41675000009</v>
      </c>
      <c r="Y17" s="1"/>
      <c r="Z17" s="117">
        <f>('[2]Willard - Elpra'!AA17)</f>
        <v>468450</v>
      </c>
      <c r="AA17" s="440">
        <f t="shared" si="18"/>
        <v>468450</v>
      </c>
      <c r="AB17" s="42">
        <f t="shared" si="15"/>
        <v>387148.76033057855</v>
      </c>
      <c r="AC17" s="190">
        <f t="shared" si="16"/>
        <v>0.3910056345665554</v>
      </c>
      <c r="AD17" s="445">
        <f t="shared" si="17"/>
        <v>0.28109565112465906</v>
      </c>
      <c r="AE17" s="440">
        <f>(AA17+$AI$8)</f>
        <v>487450</v>
      </c>
    </row>
    <row r="18" spans="1:31" ht="15.6">
      <c r="A18" s="728" t="s">
        <v>183</v>
      </c>
      <c r="B18" s="721"/>
      <c r="C18" s="726">
        <v>267006</v>
      </c>
      <c r="D18" s="726">
        <f t="shared" si="0"/>
        <v>146853.29999999999</v>
      </c>
      <c r="E18" s="726">
        <f t="shared" si="4"/>
        <v>142447.701</v>
      </c>
      <c r="F18" s="726">
        <f t="shared" si="4"/>
        <v>128202.93090000001</v>
      </c>
      <c r="G18" s="726">
        <f t="shared" si="1"/>
        <v>121792.78435500001</v>
      </c>
      <c r="H18" s="726">
        <f t="shared" si="1"/>
        <v>119356.92866790001</v>
      </c>
      <c r="I18" s="332">
        <f>(Varta!F30)</f>
        <v>159244.36499999996</v>
      </c>
      <c r="J18" s="332">
        <f t="shared" si="5"/>
        <v>159244.36499999996</v>
      </c>
      <c r="K18" s="332">
        <f t="shared" si="6"/>
        <v>192685.68164999995</v>
      </c>
      <c r="L18" s="731">
        <f>J18-(J18*Varta!H$3)</f>
        <v>151282.14674999996</v>
      </c>
      <c r="M18" s="731">
        <f>L18-(L18*Varta!I3)</f>
        <v>146743.68234749997</v>
      </c>
      <c r="N18" s="731">
        <f>(M18-(M18*Varta!J$3))</f>
        <v>146743.68234749997</v>
      </c>
      <c r="O18" s="731">
        <f>(N18*O$3)</f>
        <v>7337.184117374999</v>
      </c>
      <c r="P18" s="731">
        <f t="shared" si="8"/>
        <v>0</v>
      </c>
      <c r="Q18" s="731">
        <f t="shared" si="9"/>
        <v>0</v>
      </c>
      <c r="R18" s="731">
        <f t="shared" si="10"/>
        <v>0</v>
      </c>
      <c r="S18" s="731">
        <f t="shared" si="11"/>
        <v>139406.49823012497</v>
      </c>
      <c r="T18" s="720">
        <f t="shared" si="12"/>
        <v>0.22945256706295752</v>
      </c>
      <c r="U18" s="720">
        <f t="shared" si="13"/>
        <v>0.14382091090996477</v>
      </c>
      <c r="V18" s="921"/>
      <c r="W18" s="206">
        <f t="shared" si="2"/>
        <v>220279.94999999998</v>
      </c>
      <c r="X18" s="732">
        <f t="shared" si="14"/>
        <v>266538.73949999997</v>
      </c>
      <c r="Y18" s="135"/>
      <c r="Z18" s="117">
        <f>('[2]Willard - Elpra'!AA18)</f>
        <v>232000</v>
      </c>
      <c r="AA18" s="440">
        <f t="shared" si="18"/>
        <v>232000</v>
      </c>
      <c r="AB18" s="42">
        <f t="shared" si="15"/>
        <v>191735.53719008266</v>
      </c>
      <c r="AC18" s="190">
        <f t="shared" si="16"/>
        <v>0.60640475027276941</v>
      </c>
      <c r="AD18" s="445">
        <f t="shared" si="17"/>
        <v>0.37749188065448708</v>
      </c>
      <c r="AE18" s="440">
        <f>(AA18+$AI$5)</f>
        <v>242000</v>
      </c>
    </row>
    <row r="19" spans="1:31" ht="15.6">
      <c r="A19" s="728" t="s">
        <v>184</v>
      </c>
      <c r="B19" s="721"/>
      <c r="C19" s="726">
        <v>312908</v>
      </c>
      <c r="D19" s="726">
        <f t="shared" si="0"/>
        <v>172099.4</v>
      </c>
      <c r="E19" s="726">
        <f t="shared" si="4"/>
        <v>166936.41800000001</v>
      </c>
      <c r="F19" s="726">
        <f t="shared" si="4"/>
        <v>150242.77619999999</v>
      </c>
      <c r="G19" s="726">
        <f t="shared" si="1"/>
        <v>142730.63738999999</v>
      </c>
      <c r="H19" s="726">
        <f t="shared" si="1"/>
        <v>139876.02464219998</v>
      </c>
      <c r="I19" s="332">
        <f>(Varta!F31)*1.05</f>
        <v>181736.80560000002</v>
      </c>
      <c r="J19" s="332">
        <f t="shared" si="5"/>
        <v>181736.80560000002</v>
      </c>
      <c r="K19" s="332">
        <f t="shared" si="6"/>
        <v>219901.53477600001</v>
      </c>
      <c r="L19" s="731">
        <f>J19-(J19*Varta!H$3)</f>
        <v>172649.96532000002</v>
      </c>
      <c r="M19" s="731">
        <f>L19-(L19*Varta!I3)</f>
        <v>167470.46636040002</v>
      </c>
      <c r="N19" s="731">
        <f>(M19-(M19*Varta!J$3))</f>
        <v>167470.46636040002</v>
      </c>
      <c r="O19" s="731">
        <f t="shared" si="7"/>
        <v>8373.5233180200012</v>
      </c>
      <c r="P19" s="731">
        <f t="shared" si="8"/>
        <v>0</v>
      </c>
      <c r="Q19" s="731">
        <f t="shared" si="9"/>
        <v>0</v>
      </c>
      <c r="R19" s="731">
        <f t="shared" si="10"/>
        <v>0</v>
      </c>
      <c r="S19" s="731">
        <f t="shared" si="11"/>
        <v>159096.94304238004</v>
      </c>
      <c r="T19" s="720">
        <f t="shared" si="12"/>
        <v>0.19727785221796279</v>
      </c>
      <c r="U19" s="720">
        <f t="shared" si="13"/>
        <v>0.12081261922839094</v>
      </c>
      <c r="V19" s="921"/>
      <c r="W19" s="206">
        <f t="shared" si="2"/>
        <v>258149.09999999998</v>
      </c>
      <c r="X19" s="732">
        <f t="shared" si="14"/>
        <v>312360.41099999996</v>
      </c>
      <c r="Y19" s="921"/>
      <c r="Z19" s="117">
        <f>('[2]Willard - Elpra'!AA19)</f>
        <v>280000</v>
      </c>
      <c r="AA19" s="440">
        <f t="shared" si="18"/>
        <v>280000</v>
      </c>
      <c r="AB19" s="42">
        <f t="shared" si="15"/>
        <v>231404.95867768597</v>
      </c>
      <c r="AC19" s="190">
        <f t="shared" si="16"/>
        <v>0.6543575589141537</v>
      </c>
      <c r="AD19" s="445">
        <f t="shared" si="17"/>
        <v>0.39553575065335012</v>
      </c>
      <c r="AE19" s="440">
        <f>(AA19+$AI$5)</f>
        <v>290000</v>
      </c>
    </row>
    <row r="20" spans="1:31" ht="24" thickBot="1">
      <c r="A20" s="78" t="s">
        <v>75</v>
      </c>
      <c r="B20" s="921"/>
      <c r="C20" s="921"/>
      <c r="D20" s="1"/>
      <c r="E20" s="1"/>
      <c r="F20" s="1"/>
      <c r="G20" s="921"/>
      <c r="H20" s="921"/>
      <c r="I20" s="921"/>
      <c r="J20" s="921"/>
      <c r="K20" s="921"/>
      <c r="L20" s="921"/>
      <c r="M20" s="921"/>
      <c r="N20" s="921"/>
      <c r="O20" s="921"/>
      <c r="P20" s="921"/>
      <c r="Q20" s="921"/>
      <c r="R20" s="921"/>
      <c r="S20" s="921"/>
      <c r="T20" s="921"/>
      <c r="U20" s="921"/>
      <c r="V20" s="921"/>
      <c r="W20" s="921"/>
      <c r="Y20" s="921"/>
      <c r="Z20" s="921"/>
      <c r="AA20" s="921"/>
      <c r="AB20" s="921"/>
      <c r="AC20" s="921"/>
      <c r="AD20" s="921"/>
      <c r="AE20" s="921"/>
    </row>
    <row r="21" spans="1:31">
      <c r="A21" s="921"/>
      <c r="B21" s="138">
        <v>45505</v>
      </c>
      <c r="C21" s="112">
        <v>1090</v>
      </c>
      <c r="D21" s="274">
        <v>0.47</v>
      </c>
      <c r="E21" s="146"/>
      <c r="F21" s="146"/>
      <c r="G21" s="9"/>
      <c r="H21" s="9"/>
      <c r="I21" s="146"/>
      <c r="J21" s="921"/>
      <c r="K21" s="921"/>
      <c r="L21" s="216">
        <v>45385</v>
      </c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921"/>
      <c r="AA21" s="921"/>
      <c r="AB21" s="921"/>
      <c r="AC21" s="921"/>
      <c r="AD21" s="1"/>
      <c r="AE21" s="921"/>
    </row>
    <row r="22" spans="1:31">
      <c r="A22" s="79" t="s">
        <v>185</v>
      </c>
      <c r="B22" s="273">
        <v>378500</v>
      </c>
      <c r="C22" s="273"/>
      <c r="D22" s="80">
        <f>(B22-(B22*D$21))</f>
        <v>200605</v>
      </c>
      <c r="E22" s="509"/>
      <c r="F22" s="509"/>
      <c r="G22" s="1"/>
      <c r="H22" s="1"/>
      <c r="I22" s="246">
        <f>(D22*1.6)</f>
        <v>320968</v>
      </c>
      <c r="J22" s="246">
        <f>(I22*1.21)</f>
        <v>388371.27999999997</v>
      </c>
      <c r="K22" s="117">
        <v>351435</v>
      </c>
      <c r="L22" s="440">
        <f>CEILING(K22,50)</f>
        <v>351450</v>
      </c>
      <c r="M22" s="42">
        <f>(L22/1.21)</f>
        <v>290454.54545454547</v>
      </c>
      <c r="N22" s="952"/>
      <c r="O22" s="952"/>
      <c r="P22" s="952"/>
      <c r="Q22" s="952"/>
      <c r="R22" s="952"/>
      <c r="S22" s="952"/>
      <c r="T22" s="440"/>
      <c r="U22" s="440"/>
      <c r="V22" s="440"/>
      <c r="W22" s="440"/>
      <c r="X22" s="440"/>
      <c r="Y22" s="440"/>
      <c r="Z22" s="440">
        <f>(L22+AI7)</f>
        <v>365450</v>
      </c>
      <c r="AA22" s="440">
        <f t="shared" ref="AA22:AA29" si="19">CEILING(Z22,50)</f>
        <v>365450</v>
      </c>
      <c r="AB22" s="42">
        <f t="shared" ref="AB22:AB29" si="20">(AA22/1.21)</f>
        <v>302024.79338842974</v>
      </c>
      <c r="AC22" s="190">
        <f>(AB22-D22)/D22</f>
        <v>0.50556961884514218</v>
      </c>
      <c r="AD22" s="445">
        <f>(AB22-D22)/AB22</f>
        <v>0.33579956218360923</v>
      </c>
      <c r="AE22" s="440">
        <f>(AA22+$AI$5)</f>
        <v>375450</v>
      </c>
    </row>
    <row r="23" spans="1:31">
      <c r="A23" s="80" t="s">
        <v>186</v>
      </c>
      <c r="B23" s="273">
        <v>555000</v>
      </c>
      <c r="C23" s="273"/>
      <c r="D23" s="80">
        <f>(B23-(B23*D$21))</f>
        <v>294150</v>
      </c>
      <c r="E23" s="509"/>
      <c r="F23" s="509"/>
      <c r="G23" s="1"/>
      <c r="H23" s="1"/>
      <c r="I23" s="246">
        <f>(D23*1.6)</f>
        <v>470640</v>
      </c>
      <c r="J23" s="246">
        <f t="shared" ref="J23:J26" si="21">(I23*1.21)</f>
        <v>569474.4</v>
      </c>
      <c r="K23" s="117">
        <v>440265</v>
      </c>
      <c r="L23" s="440">
        <f t="shared" ref="L23:L29" si="22">CEILING(K23,50)</f>
        <v>440300</v>
      </c>
      <c r="M23" s="42">
        <f t="shared" ref="M23:M29" si="23">(L23/1.21)</f>
        <v>363884.29752066114</v>
      </c>
      <c r="N23" s="952"/>
      <c r="O23" s="952"/>
      <c r="P23" s="952"/>
      <c r="Q23" s="952"/>
      <c r="R23" s="952"/>
      <c r="S23" s="952"/>
      <c r="T23" s="440"/>
      <c r="U23" s="440"/>
      <c r="V23" s="440"/>
      <c r="W23" s="440"/>
      <c r="X23" s="440"/>
      <c r="Y23" s="440"/>
      <c r="Z23" s="440">
        <f>(L23+AI7)</f>
        <v>454300</v>
      </c>
      <c r="AA23" s="440">
        <f t="shared" si="19"/>
        <v>454300</v>
      </c>
      <c r="AB23" s="42">
        <f t="shared" si="20"/>
        <v>375454.54545454547</v>
      </c>
      <c r="AC23" s="190">
        <f t="shared" ref="AC23:AC29" si="24">(AB23-D23)/D23</f>
        <v>0.27640504998995569</v>
      </c>
      <c r="AD23" s="445">
        <f t="shared" ref="AD23:AD29" si="25">(AB23-D23)/AB23</f>
        <v>0.21654963680387412</v>
      </c>
      <c r="AE23" s="440">
        <f t="shared" ref="AE23:AE29" si="26">(AA23+$AI$5)</f>
        <v>464300</v>
      </c>
    </row>
    <row r="24" spans="1:31">
      <c r="A24" s="921"/>
      <c r="B24" s="921"/>
      <c r="C24" s="921"/>
      <c r="D24" s="921"/>
      <c r="E24" s="921"/>
      <c r="F24" s="921"/>
      <c r="G24" s="1"/>
      <c r="H24" s="1"/>
      <c r="I24" s="247"/>
      <c r="J24" s="248"/>
      <c r="K24" s="117"/>
      <c r="L24" s="440">
        <f t="shared" si="22"/>
        <v>0</v>
      </c>
      <c r="M24" s="42">
        <f t="shared" si="23"/>
        <v>0</v>
      </c>
      <c r="N24" s="952"/>
      <c r="O24" s="952"/>
      <c r="P24" s="952"/>
      <c r="Q24" s="952"/>
      <c r="R24" s="952"/>
      <c r="S24" s="952"/>
      <c r="T24" s="440"/>
      <c r="U24" s="440"/>
      <c r="V24" s="440"/>
      <c r="W24" s="440"/>
      <c r="X24" s="440"/>
      <c r="Y24" s="440"/>
      <c r="Z24" s="440"/>
      <c r="AA24" s="440">
        <f t="shared" si="19"/>
        <v>0</v>
      </c>
      <c r="AB24" s="42">
        <f t="shared" si="20"/>
        <v>0</v>
      </c>
      <c r="AC24" s="190" t="e">
        <f t="shared" si="24"/>
        <v>#DIV/0!</v>
      </c>
      <c r="AD24" s="445" t="e">
        <f t="shared" si="25"/>
        <v>#DIV/0!</v>
      </c>
      <c r="AE24" s="440">
        <f t="shared" si="26"/>
        <v>10000</v>
      </c>
    </row>
    <row r="25" spans="1:31">
      <c r="A25" s="79" t="s">
        <v>187</v>
      </c>
      <c r="B25" s="80">
        <v>51300</v>
      </c>
      <c r="C25" s="80"/>
      <c r="D25" s="80">
        <f>(B25-(B25*D$21))</f>
        <v>27189</v>
      </c>
      <c r="E25" s="509"/>
      <c r="F25" s="509"/>
      <c r="G25" s="1"/>
      <c r="H25" s="1"/>
      <c r="I25" s="246">
        <f>(D25*1.65)</f>
        <v>44861.85</v>
      </c>
      <c r="J25" s="246">
        <f t="shared" si="21"/>
        <v>54282.838499999998</v>
      </c>
      <c r="K25" s="117">
        <v>82635</v>
      </c>
      <c r="L25" s="440">
        <f t="shared" si="22"/>
        <v>82650</v>
      </c>
      <c r="M25" s="42">
        <f t="shared" si="23"/>
        <v>68305.78512396694</v>
      </c>
      <c r="N25" s="952"/>
      <c r="O25" s="952"/>
      <c r="P25" s="952"/>
      <c r="Q25" s="952"/>
      <c r="R25" s="952"/>
      <c r="S25" s="952"/>
      <c r="T25" s="440"/>
      <c r="U25" s="440"/>
      <c r="V25" s="440"/>
      <c r="W25" s="440"/>
      <c r="X25" s="440"/>
      <c r="Y25" s="440"/>
      <c r="Z25" s="440">
        <f>(L25)</f>
        <v>82650</v>
      </c>
      <c r="AA25" s="440">
        <f t="shared" si="19"/>
        <v>82650</v>
      </c>
      <c r="AB25" s="42">
        <f t="shared" si="20"/>
        <v>68305.78512396694</v>
      </c>
      <c r="AC25" s="190">
        <f t="shared" si="24"/>
        <v>1.512258086872152</v>
      </c>
      <c r="AD25" s="445">
        <f t="shared" si="25"/>
        <v>0.60195172413793097</v>
      </c>
      <c r="AE25" s="440">
        <f t="shared" si="26"/>
        <v>92650</v>
      </c>
    </row>
    <row r="26" spans="1:31">
      <c r="A26" s="80" t="s">
        <v>188</v>
      </c>
      <c r="B26" s="443">
        <v>111600</v>
      </c>
      <c r="C26" s="80"/>
      <c r="D26" s="80">
        <f>(B26-(B26*D$21))</f>
        <v>59148</v>
      </c>
      <c r="E26" s="509"/>
      <c r="F26" s="509"/>
      <c r="G26" s="1"/>
      <c r="H26" s="1"/>
      <c r="I26" s="246">
        <f>(D26*1.65)</f>
        <v>97594.2</v>
      </c>
      <c r="J26" s="246">
        <f t="shared" si="21"/>
        <v>118088.98199999999</v>
      </c>
      <c r="K26" s="117">
        <v>136290</v>
      </c>
      <c r="L26" s="440">
        <f t="shared" si="22"/>
        <v>136300</v>
      </c>
      <c r="M26" s="42">
        <f t="shared" si="23"/>
        <v>112644.62809917355</v>
      </c>
      <c r="N26" s="952"/>
      <c r="O26" s="952"/>
      <c r="P26" s="952"/>
      <c r="Q26" s="952"/>
      <c r="R26" s="952"/>
      <c r="S26" s="952"/>
      <c r="T26" s="440"/>
      <c r="U26" s="440"/>
      <c r="V26" s="440"/>
      <c r="W26" s="440"/>
      <c r="X26" s="440"/>
      <c r="Y26" s="440"/>
      <c r="Z26" s="440">
        <f>(L26)</f>
        <v>136300</v>
      </c>
      <c r="AA26" s="440">
        <f t="shared" si="19"/>
        <v>136300</v>
      </c>
      <c r="AB26" s="42">
        <f t="shared" si="20"/>
        <v>112644.62809917355</v>
      </c>
      <c r="AC26" s="190">
        <f t="shared" si="24"/>
        <v>0.90445371101598626</v>
      </c>
      <c r="AD26" s="445">
        <f t="shared" si="25"/>
        <v>0.47491504035216436</v>
      </c>
      <c r="AE26" s="440">
        <f t="shared" si="26"/>
        <v>146300</v>
      </c>
    </row>
    <row r="27" spans="1:31">
      <c r="A27" s="921"/>
      <c r="B27" s="921"/>
      <c r="C27" s="921"/>
      <c r="D27" s="921"/>
      <c r="E27" s="921"/>
      <c r="F27" s="921"/>
      <c r="G27" s="1"/>
      <c r="H27" s="1"/>
      <c r="I27" s="128"/>
      <c r="J27" s="112"/>
      <c r="K27" s="248"/>
      <c r="L27" s="440">
        <f t="shared" si="22"/>
        <v>0</v>
      </c>
      <c r="M27" s="42">
        <f t="shared" si="23"/>
        <v>0</v>
      </c>
      <c r="N27" s="952"/>
      <c r="O27" s="952"/>
      <c r="P27" s="952"/>
      <c r="Q27" s="952"/>
      <c r="R27" s="952"/>
      <c r="S27" s="952"/>
      <c r="T27" s="440"/>
      <c r="U27" s="440"/>
      <c r="V27" s="440"/>
      <c r="W27" s="440"/>
      <c r="X27" s="440"/>
      <c r="Y27" s="440"/>
      <c r="Z27" s="440"/>
      <c r="AA27" s="440">
        <f t="shared" si="19"/>
        <v>0</v>
      </c>
      <c r="AB27" s="42">
        <f t="shared" si="20"/>
        <v>0</v>
      </c>
      <c r="AC27" s="190" t="e">
        <f t="shared" si="24"/>
        <v>#DIV/0!</v>
      </c>
      <c r="AD27" s="445" t="e">
        <f t="shared" si="25"/>
        <v>#DIV/0!</v>
      </c>
      <c r="AE27" s="440">
        <f t="shared" si="26"/>
        <v>10000</v>
      </c>
    </row>
    <row r="28" spans="1:31">
      <c r="A28" s="80" t="s">
        <v>189</v>
      </c>
      <c r="B28" s="80">
        <v>424</v>
      </c>
      <c r="C28" s="278">
        <f>(B28*C21)</f>
        <v>462160</v>
      </c>
      <c r="D28" s="278">
        <f>(C28-(C28*D21))</f>
        <v>244944.80000000002</v>
      </c>
      <c r="E28" s="510"/>
      <c r="F28" s="510"/>
      <c r="G28" s="1"/>
      <c r="H28" s="1"/>
      <c r="I28" s="246">
        <f>(D28*1.5)</f>
        <v>367417.2</v>
      </c>
      <c r="J28" s="246">
        <f t="shared" ref="J28" si="27">(I28*1.21)</f>
        <v>444574.81199999998</v>
      </c>
      <c r="K28" s="117">
        <v>368750</v>
      </c>
      <c r="L28" s="440">
        <f t="shared" si="22"/>
        <v>368750</v>
      </c>
      <c r="M28" s="42">
        <f t="shared" si="23"/>
        <v>304752.0661157025</v>
      </c>
      <c r="N28" s="952"/>
      <c r="O28" s="952"/>
      <c r="P28" s="952"/>
      <c r="Q28" s="952"/>
      <c r="R28" s="952"/>
      <c r="S28" s="952"/>
      <c r="T28" s="440"/>
      <c r="U28" s="440"/>
      <c r="V28" s="440"/>
      <c r="W28" s="440"/>
      <c r="X28" s="440"/>
      <c r="Y28" s="440"/>
      <c r="Z28" s="440">
        <f>(L28)</f>
        <v>368750</v>
      </c>
      <c r="AA28" s="440">
        <f t="shared" si="19"/>
        <v>368750</v>
      </c>
      <c r="AB28" s="42">
        <f t="shared" si="20"/>
        <v>304752.0661157025</v>
      </c>
      <c r="AC28" s="190">
        <f t="shared" si="24"/>
        <v>0.24416630243100682</v>
      </c>
      <c r="AD28" s="445">
        <f t="shared" si="25"/>
        <v>0.19624892745762712</v>
      </c>
      <c r="AE28" s="440">
        <f t="shared" si="26"/>
        <v>378750</v>
      </c>
    </row>
    <row r="29" spans="1:31">
      <c r="A29" s="80" t="s">
        <v>190</v>
      </c>
      <c r="B29" s="80">
        <v>67000</v>
      </c>
      <c r="C29" s="80"/>
      <c r="D29" s="80">
        <f>(B29-(B29*D$21))</f>
        <v>35510</v>
      </c>
      <c r="E29" s="509"/>
      <c r="F29" s="509"/>
      <c r="G29" s="1"/>
      <c r="H29" s="1"/>
      <c r="I29" s="246">
        <f>(D29*1.5)</f>
        <v>53265</v>
      </c>
      <c r="J29" s="246">
        <f t="shared" ref="J29" si="28">(I29*1.21)</f>
        <v>64450.65</v>
      </c>
      <c r="K29" s="117">
        <v>55800</v>
      </c>
      <c r="L29" s="440">
        <f t="shared" si="22"/>
        <v>55800</v>
      </c>
      <c r="M29" s="42">
        <f t="shared" si="23"/>
        <v>46115.702479338841</v>
      </c>
      <c r="N29" s="952"/>
      <c r="O29" s="952"/>
      <c r="P29" s="952"/>
      <c r="Q29" s="952"/>
      <c r="R29" s="952"/>
      <c r="S29" s="952"/>
      <c r="T29" s="440"/>
      <c r="U29" s="440"/>
      <c r="V29" s="440"/>
      <c r="W29" s="440"/>
      <c r="X29" s="440"/>
      <c r="Y29" s="440"/>
      <c r="Z29" s="440">
        <f t="shared" ref="Z29" si="29">(L29)</f>
        <v>55800</v>
      </c>
      <c r="AA29" s="440">
        <f t="shared" si="19"/>
        <v>55800</v>
      </c>
      <c r="AB29" s="42">
        <f t="shared" si="20"/>
        <v>46115.702479338841</v>
      </c>
      <c r="AC29" s="190">
        <f t="shared" si="24"/>
        <v>0.29866805067132751</v>
      </c>
      <c r="AD29" s="445">
        <f t="shared" si="25"/>
        <v>0.22998028673835122</v>
      </c>
      <c r="AE29" s="440">
        <f t="shared" si="26"/>
        <v>65800</v>
      </c>
    </row>
  </sheetData>
  <mergeCells count="1">
    <mergeCell ref="G2:H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7D26-76F2-4356-AF1C-5727D14976EE}">
  <dimension ref="A1:X48"/>
  <sheetViews>
    <sheetView workbookViewId="0">
      <pane xSplit="1" topLeftCell="E1" activePane="topRight" state="frozen"/>
      <selection pane="topRight" activeCell="Q30" sqref="Q30"/>
    </sheetView>
  </sheetViews>
  <sheetFormatPr baseColWidth="10" defaultColWidth="11.44140625" defaultRowHeight="14.4"/>
  <cols>
    <col min="1" max="1" width="15.88671875" bestFit="1" customWidth="1"/>
    <col min="2" max="2" width="27.5546875" bestFit="1" customWidth="1"/>
    <col min="3" max="3" width="15.44140625" bestFit="1" customWidth="1"/>
    <col min="4" max="5" width="16.33203125" customWidth="1"/>
    <col min="6" max="6" width="13.109375" customWidth="1"/>
    <col min="7" max="7" width="14.33203125" bestFit="1" customWidth="1"/>
    <col min="8" max="8" width="11.44140625" customWidth="1"/>
    <col min="9" max="11" width="9.5546875" bestFit="1" customWidth="1"/>
    <col min="12" max="12" width="8.44140625" bestFit="1" customWidth="1"/>
    <col min="13" max="13" width="8.5546875" bestFit="1" customWidth="1"/>
    <col min="14" max="14" width="11.33203125" bestFit="1" customWidth="1"/>
    <col min="15" max="15" width="6.109375" bestFit="1" customWidth="1"/>
    <col min="16" max="16" width="9.44140625" bestFit="1" customWidth="1"/>
    <col min="17" max="17" width="9.33203125" bestFit="1" customWidth="1"/>
    <col min="18" max="18" width="7.109375" bestFit="1" customWidth="1"/>
    <col min="20" max="20" width="13" bestFit="1" customWidth="1"/>
    <col min="21" max="21" width="13" customWidth="1"/>
    <col min="22" max="22" width="13" bestFit="1" customWidth="1"/>
    <col min="24" max="24" width="12.33203125" bestFit="1" customWidth="1"/>
  </cols>
  <sheetData>
    <row r="1" spans="1:24" ht="15" thickBot="1">
      <c r="A1" s="921" t="s">
        <v>0</v>
      </c>
      <c r="B1" s="921"/>
      <c r="C1" s="921"/>
      <c r="D1" s="921"/>
      <c r="E1" s="921"/>
      <c r="F1" s="921" t="s">
        <v>1</v>
      </c>
      <c r="G1" s="921"/>
      <c r="H1" s="921" t="s">
        <v>2</v>
      </c>
      <c r="I1" s="921"/>
      <c r="J1" s="921"/>
      <c r="K1" s="921"/>
      <c r="L1" s="711">
        <v>0.05</v>
      </c>
      <c r="M1" s="711">
        <v>2.4E-2</v>
      </c>
      <c r="N1" s="711">
        <v>0.05</v>
      </c>
      <c r="O1" s="711">
        <v>0.4</v>
      </c>
      <c r="P1" s="921" t="s">
        <v>3</v>
      </c>
      <c r="Q1" s="921"/>
      <c r="R1" s="921"/>
      <c r="S1" s="921"/>
      <c r="T1" s="921"/>
      <c r="U1" s="921" t="s">
        <v>4</v>
      </c>
      <c r="V1" s="921"/>
      <c r="W1" s="921"/>
      <c r="X1" s="921"/>
    </row>
    <row r="2" spans="1:24" ht="15" thickBot="1">
      <c r="A2" s="921"/>
      <c r="B2" s="921"/>
      <c r="C2" s="921" t="s">
        <v>191</v>
      </c>
      <c r="D2" s="778" t="s">
        <v>192</v>
      </c>
      <c r="E2" s="778"/>
      <c r="F2" s="921"/>
      <c r="G2" s="921"/>
      <c r="H2" s="921"/>
      <c r="I2" s="921"/>
      <c r="J2" s="921"/>
      <c r="K2" s="921"/>
      <c r="L2" s="921" t="s">
        <v>10</v>
      </c>
      <c r="M2" s="921" t="s">
        <v>11</v>
      </c>
      <c r="N2" s="921" t="s">
        <v>12</v>
      </c>
      <c r="O2" s="921">
        <v>10</v>
      </c>
      <c r="P2" s="921" t="s">
        <v>79</v>
      </c>
      <c r="Q2" s="921"/>
      <c r="R2" s="921"/>
      <c r="S2" s="921"/>
      <c r="T2" s="216">
        <v>45854</v>
      </c>
      <c r="U2" s="921"/>
      <c r="V2" s="921"/>
      <c r="W2" s="921"/>
      <c r="X2" s="921"/>
    </row>
    <row r="3" spans="1:24" ht="15" thickBot="1">
      <c r="A3" s="921"/>
      <c r="B3" s="921"/>
      <c r="C3" s="138">
        <v>45748</v>
      </c>
      <c r="D3" s="197">
        <v>5.5E-2</v>
      </c>
      <c r="E3" s="197">
        <v>0.39</v>
      </c>
      <c r="F3" s="248">
        <v>1270</v>
      </c>
      <c r="G3" s="688">
        <v>45764</v>
      </c>
      <c r="H3" s="143"/>
      <c r="I3" s="144"/>
      <c r="J3" s="145" t="s">
        <v>8</v>
      </c>
      <c r="K3" s="779"/>
      <c r="L3" s="712">
        <v>0.05</v>
      </c>
      <c r="M3" s="712"/>
      <c r="N3" s="712"/>
      <c r="O3" s="712"/>
      <c r="P3" s="700" t="s">
        <v>20</v>
      </c>
      <c r="Q3" s="685" t="s">
        <v>65</v>
      </c>
      <c r="R3" s="242" t="s">
        <v>66</v>
      </c>
      <c r="S3" s="921"/>
      <c r="T3" s="345" t="s">
        <v>193</v>
      </c>
      <c r="U3" s="345"/>
      <c r="V3" s="687"/>
      <c r="W3" s="687" t="s">
        <v>65</v>
      </c>
      <c r="X3" s="242" t="s">
        <v>17</v>
      </c>
    </row>
    <row r="4" spans="1:24">
      <c r="A4" s="678" t="s">
        <v>194</v>
      </c>
      <c r="B4" s="679" t="s">
        <v>195</v>
      </c>
      <c r="C4" s="683">
        <v>6.19</v>
      </c>
      <c r="D4" s="683">
        <f>(C4+(C4*D$3))</f>
        <v>6.5304500000000001</v>
      </c>
      <c r="E4" s="683">
        <f>(D4+(D4*E$3))</f>
        <v>9.0773255000000006</v>
      </c>
      <c r="F4" s="112">
        <f>(E4*F$3)</f>
        <v>11528.203385000001</v>
      </c>
      <c r="G4" s="787">
        <v>18000.085214400002</v>
      </c>
      <c r="H4" s="263">
        <f>(G4*1.21)</f>
        <v>21780.103109424002</v>
      </c>
      <c r="I4" s="13">
        <f>((G4-(G4*Varta!H$3)))</f>
        <v>17100.080953680001</v>
      </c>
      <c r="J4" s="13">
        <f>((I4-(I4*Varta!I$3)))</f>
        <v>16587.078525069599</v>
      </c>
      <c r="K4" s="701">
        <f>(J4-(J4*K$3))</f>
        <v>16587.078525069599</v>
      </c>
      <c r="L4" s="701">
        <f>(K4*L$3)</f>
        <v>829.35392625348004</v>
      </c>
      <c r="M4" s="701">
        <f>(J4*M$3)</f>
        <v>0</v>
      </c>
      <c r="N4" s="701">
        <f>(J4*N$3)</f>
        <v>0</v>
      </c>
      <c r="O4" s="701">
        <f>(J4*O$3)</f>
        <v>0</v>
      </c>
      <c r="P4" s="701">
        <f>(J4-L4-M4-N4-O4)</f>
        <v>15757.724598816119</v>
      </c>
      <c r="Q4" s="192">
        <f>(K4-F4)/F4</f>
        <v>0.4388259793067138</v>
      </c>
      <c r="R4" s="684">
        <f>(P4-F4)/P4</f>
        <v>0.26840938787151308</v>
      </c>
      <c r="S4" s="921"/>
      <c r="T4" s="818">
        <f>([2]Novelbat!U4*1.05)</f>
        <v>32392.5</v>
      </c>
      <c r="U4" s="440">
        <f>CEILING(T4,50)</f>
        <v>32400</v>
      </c>
      <c r="V4" s="655">
        <f>(U4/1.21)</f>
        <v>26776.859504132233</v>
      </c>
      <c r="W4" s="190">
        <f>(V4-F4)/F4</f>
        <v>1.322726153406794</v>
      </c>
      <c r="X4" s="191">
        <f>(V4-F4)/U4</f>
        <v>0.47063753454111829</v>
      </c>
    </row>
    <row r="5" spans="1:24">
      <c r="A5" s="678" t="s">
        <v>196</v>
      </c>
      <c r="B5" s="679" t="s">
        <v>197</v>
      </c>
      <c r="C5" s="683">
        <v>7.62</v>
      </c>
      <c r="D5" s="683">
        <f t="shared" ref="D5:E27" si="0">(C5+(C5*D$3))</f>
        <v>8.0390999999999995</v>
      </c>
      <c r="E5" s="683">
        <f t="shared" si="0"/>
        <v>11.174348999999999</v>
      </c>
      <c r="F5" s="112">
        <f t="shared" ref="F5:F41" si="1">(E5*F$3)</f>
        <v>14191.423229999999</v>
      </c>
      <c r="G5" s="787">
        <v>22158.4247712</v>
      </c>
      <c r="H5" s="263">
        <f t="shared" ref="H5:H27" si="2">(G5*1.21)</f>
        <v>26811.693973152</v>
      </c>
      <c r="I5" s="13">
        <f>((G5-(G5*Varta!H$3)))</f>
        <v>21050.503532639999</v>
      </c>
      <c r="J5" s="13">
        <f>((I5-(I5*Varta!I$3)))</f>
        <v>20418.988426660799</v>
      </c>
      <c r="K5" s="701">
        <f t="shared" ref="K5:K27" si="3">(J5-(J5*K$3))</f>
        <v>20418.988426660799</v>
      </c>
      <c r="L5" s="701">
        <f t="shared" ref="L5:L27" si="4">(K5*L$3)</f>
        <v>1020.9494213330399</v>
      </c>
      <c r="M5" s="701">
        <f t="shared" ref="M5:M27" si="5">(J5*M$3)</f>
        <v>0</v>
      </c>
      <c r="N5" s="701">
        <f t="shared" ref="N5:N27" si="6">(J5*N$3)</f>
        <v>0</v>
      </c>
      <c r="O5" s="701">
        <f t="shared" ref="O5:O27" si="7">(J5*O$3)</f>
        <v>0</v>
      </c>
      <c r="P5" s="701">
        <f t="shared" ref="P5:P27" si="8">(J5-L5-M5-N5-O5)</f>
        <v>19398.039005327759</v>
      </c>
      <c r="Q5" s="192">
        <f t="shared" ref="Q5:Q27" si="9">(K5-F5)/F5</f>
        <v>0.43882597930671402</v>
      </c>
      <c r="R5" s="684">
        <f t="shared" ref="R5:R27" si="10">(P5-F5)/P5</f>
        <v>0.26840938787151319</v>
      </c>
      <c r="S5" s="921"/>
      <c r="T5" s="818">
        <f>([2]Novelbat!U5*1.05)</f>
        <v>38955</v>
      </c>
      <c r="U5" s="440">
        <f t="shared" ref="U5:U25" si="11">CEILING(T5,50)</f>
        <v>39000</v>
      </c>
      <c r="V5" s="655">
        <f t="shared" ref="V5:V25" si="12">(U5/1.21)</f>
        <v>32231.404958677685</v>
      </c>
      <c r="W5" s="190">
        <f t="shared" ref="W5:W25" si="13">(V5-F5)/F5</f>
        <v>1.2711890439953915</v>
      </c>
      <c r="X5" s="191">
        <f t="shared" ref="X5:X25" si="14">(V5-F5)/U5</f>
        <v>0.46256363406865869</v>
      </c>
    </row>
    <row r="6" spans="1:24">
      <c r="A6" s="678" t="s">
        <v>198</v>
      </c>
      <c r="B6" s="679" t="s">
        <v>199</v>
      </c>
      <c r="C6" s="683">
        <v>7.62</v>
      </c>
      <c r="D6" s="683">
        <f t="shared" si="0"/>
        <v>8.0390999999999995</v>
      </c>
      <c r="E6" s="683">
        <f t="shared" si="0"/>
        <v>11.174348999999999</v>
      </c>
      <c r="F6" s="112">
        <f t="shared" si="1"/>
        <v>14191.423229999999</v>
      </c>
      <c r="G6" s="787">
        <v>22158.4247712</v>
      </c>
      <c r="H6" s="263">
        <f t="shared" si="2"/>
        <v>26811.693973152</v>
      </c>
      <c r="I6" s="13">
        <f>((G6-(G6*Varta!H$3)))</f>
        <v>21050.503532639999</v>
      </c>
      <c r="J6" s="13">
        <f>((I6-(I6*Varta!I$3)))</f>
        <v>20418.988426660799</v>
      </c>
      <c r="K6" s="701">
        <f t="shared" si="3"/>
        <v>20418.988426660799</v>
      </c>
      <c r="L6" s="701">
        <f t="shared" si="4"/>
        <v>1020.9494213330399</v>
      </c>
      <c r="M6" s="701">
        <f t="shared" si="5"/>
        <v>0</v>
      </c>
      <c r="N6" s="701">
        <f t="shared" si="6"/>
        <v>0</v>
      </c>
      <c r="O6" s="701">
        <f t="shared" si="7"/>
        <v>0</v>
      </c>
      <c r="P6" s="701">
        <f t="shared" si="8"/>
        <v>19398.039005327759</v>
      </c>
      <c r="Q6" s="192">
        <f t="shared" si="9"/>
        <v>0.43882597930671402</v>
      </c>
      <c r="R6" s="684">
        <f t="shared" si="10"/>
        <v>0.26840938787151319</v>
      </c>
      <c r="S6" s="921"/>
      <c r="T6" s="818">
        <f>([2]Novelbat!U6*1.05)</f>
        <v>38955</v>
      </c>
      <c r="U6" s="440">
        <f t="shared" si="11"/>
        <v>39000</v>
      </c>
      <c r="V6" s="655">
        <f t="shared" si="12"/>
        <v>32231.404958677685</v>
      </c>
      <c r="W6" s="190">
        <f t="shared" si="13"/>
        <v>1.2711890439953915</v>
      </c>
      <c r="X6" s="191">
        <f t="shared" si="14"/>
        <v>0.46256363406865869</v>
      </c>
    </row>
    <row r="7" spans="1:24">
      <c r="A7" s="678" t="s">
        <v>200</v>
      </c>
      <c r="B7" s="680" t="s">
        <v>201</v>
      </c>
      <c r="C7" s="683">
        <v>8.34</v>
      </c>
      <c r="D7" s="683">
        <f t="shared" si="0"/>
        <v>8.7987000000000002</v>
      </c>
      <c r="E7" s="683">
        <f>(D7+(D7*E$3))</f>
        <v>12.230193</v>
      </c>
      <c r="F7" s="112">
        <f t="shared" si="1"/>
        <v>15532.34511</v>
      </c>
      <c r="G7" s="787">
        <v>24252.134198400003</v>
      </c>
      <c r="H7" s="263">
        <f t="shared" si="2"/>
        <v>29345.082380064003</v>
      </c>
      <c r="I7" s="13">
        <f>((G7-(G7*Varta!H$3)))</f>
        <v>23039.527488480002</v>
      </c>
      <c r="J7" s="13">
        <f>((I7-(I7*Varta!I$3)))</f>
        <v>22348.341663825602</v>
      </c>
      <c r="K7" s="701">
        <f t="shared" si="3"/>
        <v>22348.341663825602</v>
      </c>
      <c r="L7" s="701">
        <f t="shared" si="4"/>
        <v>1117.4170831912802</v>
      </c>
      <c r="M7" s="701">
        <f t="shared" si="5"/>
        <v>0</v>
      </c>
      <c r="N7" s="701">
        <f t="shared" si="6"/>
        <v>0</v>
      </c>
      <c r="O7" s="701">
        <f t="shared" si="7"/>
        <v>0</v>
      </c>
      <c r="P7" s="701">
        <f t="shared" si="8"/>
        <v>21230.924580634321</v>
      </c>
      <c r="Q7" s="192">
        <f t="shared" si="9"/>
        <v>0.43882597930671408</v>
      </c>
      <c r="R7" s="684">
        <f t="shared" si="10"/>
        <v>0.26840938787151319</v>
      </c>
      <c r="S7" s="921"/>
      <c r="T7" s="818">
        <f>([2]Novelbat!U7*1.05)</f>
        <v>45360</v>
      </c>
      <c r="U7" s="440">
        <f t="shared" si="11"/>
        <v>45400</v>
      </c>
      <c r="V7" s="655">
        <f t="shared" si="12"/>
        <v>37520.661157024791</v>
      </c>
      <c r="W7" s="190">
        <f>(V7-F7)/F7</f>
        <v>1.4156468898484826</v>
      </c>
      <c r="X7" s="191">
        <f t="shared" si="14"/>
        <v>0.48432414200495133</v>
      </c>
    </row>
    <row r="8" spans="1:24">
      <c r="A8" s="678" t="s">
        <v>202</v>
      </c>
      <c r="B8" s="680" t="s">
        <v>203</v>
      </c>
      <c r="C8" s="683">
        <v>13.23</v>
      </c>
      <c r="D8" s="683">
        <f t="shared" si="0"/>
        <v>13.957650000000001</v>
      </c>
      <c r="E8" s="683">
        <f t="shared" si="0"/>
        <v>19.4011335</v>
      </c>
      <c r="F8" s="112">
        <f t="shared" si="1"/>
        <v>24639.439545000001</v>
      </c>
      <c r="G8" s="787">
        <v>38471.9107248</v>
      </c>
      <c r="H8" s="263">
        <f t="shared" si="2"/>
        <v>46551.011977007998</v>
      </c>
      <c r="I8" s="13">
        <f>((G8-(G8*Varta!H$3)))</f>
        <v>36548.315188560002</v>
      </c>
      <c r="J8" s="13">
        <f>((I8-(I8*Varta!I$3)))</f>
        <v>35451.865732903199</v>
      </c>
      <c r="K8" s="701">
        <f t="shared" si="3"/>
        <v>35451.865732903199</v>
      </c>
      <c r="L8" s="701">
        <f t="shared" si="4"/>
        <v>1772.5932866451601</v>
      </c>
      <c r="M8" s="701">
        <f t="shared" si="5"/>
        <v>0</v>
      </c>
      <c r="N8" s="701">
        <f t="shared" si="6"/>
        <v>0</v>
      </c>
      <c r="O8" s="701">
        <f t="shared" si="7"/>
        <v>0</v>
      </c>
      <c r="P8" s="701">
        <f t="shared" si="8"/>
        <v>33679.272446258037</v>
      </c>
      <c r="Q8" s="192">
        <f t="shared" si="9"/>
        <v>0.43882597930671391</v>
      </c>
      <c r="R8" s="684">
        <f t="shared" si="10"/>
        <v>0.26840938787151308</v>
      </c>
      <c r="S8" s="921"/>
      <c r="T8" s="818">
        <f>([2]Novelbat!U8*1.05)</f>
        <v>61950</v>
      </c>
      <c r="U8" s="440">
        <f t="shared" si="11"/>
        <v>61950</v>
      </c>
      <c r="V8" s="655">
        <f t="shared" si="12"/>
        <v>51198.347107438021</v>
      </c>
      <c r="W8" s="190">
        <f t="shared" si="13"/>
        <v>1.0779022596651364</v>
      </c>
      <c r="X8" s="191">
        <f t="shared" si="14"/>
        <v>0.42871521489004066</v>
      </c>
    </row>
    <row r="9" spans="1:24">
      <c r="A9" s="678" t="s">
        <v>204</v>
      </c>
      <c r="B9" s="681" t="s">
        <v>205</v>
      </c>
      <c r="C9" s="683">
        <v>16.34</v>
      </c>
      <c r="D9" s="683">
        <f t="shared" si="0"/>
        <v>17.238700000000001</v>
      </c>
      <c r="E9" s="683">
        <f t="shared" si="0"/>
        <v>23.961793</v>
      </c>
      <c r="F9" s="112">
        <f t="shared" si="1"/>
        <v>30431.47711</v>
      </c>
      <c r="G9" s="787">
        <v>47515.572278399995</v>
      </c>
      <c r="H9" s="263">
        <f t="shared" si="2"/>
        <v>57493.842456863989</v>
      </c>
      <c r="I9" s="13">
        <f>((G9-(G9*Varta!H$3)))</f>
        <v>45139.793664479992</v>
      </c>
      <c r="J9" s="13">
        <f>((I9-(I9*Varta!I$3)))</f>
        <v>43785.599854545595</v>
      </c>
      <c r="K9" s="701">
        <f t="shared" si="3"/>
        <v>43785.599854545595</v>
      </c>
      <c r="L9" s="701">
        <f t="shared" si="4"/>
        <v>2189.2799927272799</v>
      </c>
      <c r="M9" s="701">
        <f t="shared" si="5"/>
        <v>0</v>
      </c>
      <c r="N9" s="701">
        <f t="shared" si="6"/>
        <v>0</v>
      </c>
      <c r="O9" s="701">
        <f t="shared" si="7"/>
        <v>0</v>
      </c>
      <c r="P9" s="701">
        <f t="shared" si="8"/>
        <v>41596.319861818316</v>
      </c>
      <c r="Q9" s="192">
        <f t="shared" si="9"/>
        <v>0.4388259793067138</v>
      </c>
      <c r="R9" s="684">
        <f t="shared" si="10"/>
        <v>0.26840938787151308</v>
      </c>
      <c r="S9" s="921"/>
      <c r="T9" s="818">
        <f>([2]Novelbat!U9*1.05)</f>
        <v>77175</v>
      </c>
      <c r="U9" s="440">
        <f t="shared" si="11"/>
        <v>77200</v>
      </c>
      <c r="V9" s="655">
        <f t="shared" si="12"/>
        <v>63801.652892561986</v>
      </c>
      <c r="W9" s="190">
        <f t="shared" si="13"/>
        <v>1.0965677302465318</v>
      </c>
      <c r="X9" s="191">
        <f t="shared" si="14"/>
        <v>0.43225616298655423</v>
      </c>
    </row>
    <row r="10" spans="1:24">
      <c r="A10" s="678" t="s">
        <v>206</v>
      </c>
      <c r="B10" s="679" t="s">
        <v>207</v>
      </c>
      <c r="C10" s="683">
        <v>19.95</v>
      </c>
      <c r="D10" s="683">
        <f t="shared" si="0"/>
        <v>21.047249999999998</v>
      </c>
      <c r="E10" s="683">
        <f t="shared" si="0"/>
        <v>29.255677499999997</v>
      </c>
      <c r="F10" s="112">
        <f t="shared" si="1"/>
        <v>37154.710424999997</v>
      </c>
      <c r="G10" s="787">
        <v>58013.198712000005</v>
      </c>
      <c r="H10" s="263">
        <f t="shared" si="2"/>
        <v>70195.97044152001</v>
      </c>
      <c r="I10" s="13">
        <f>((G10-(G10*Varta!H$3)))</f>
        <v>55112.538776400004</v>
      </c>
      <c r="J10" s="13">
        <f>((I10-(I10*Varta!I$3)))</f>
        <v>53459.162613108005</v>
      </c>
      <c r="K10" s="701">
        <f t="shared" si="3"/>
        <v>53459.162613108005</v>
      </c>
      <c r="L10" s="701">
        <f t="shared" si="4"/>
        <v>2672.9581306554005</v>
      </c>
      <c r="M10" s="701">
        <f t="shared" si="5"/>
        <v>0</v>
      </c>
      <c r="N10" s="701">
        <f t="shared" si="6"/>
        <v>0</v>
      </c>
      <c r="O10" s="701">
        <f t="shared" si="7"/>
        <v>0</v>
      </c>
      <c r="P10" s="701">
        <f t="shared" si="8"/>
        <v>50786.204482452602</v>
      </c>
      <c r="Q10" s="192">
        <f t="shared" si="9"/>
        <v>0.43882597930671419</v>
      </c>
      <c r="R10" s="684">
        <f t="shared" si="10"/>
        <v>0.26840938787151325</v>
      </c>
      <c r="S10" s="921"/>
      <c r="T10" s="818">
        <f>([2]Novelbat!U10*1.05)</f>
        <v>94290</v>
      </c>
      <c r="U10" s="440">
        <f t="shared" si="11"/>
        <v>94300</v>
      </c>
      <c r="V10" s="655">
        <f t="shared" si="12"/>
        <v>77933.884297520664</v>
      </c>
      <c r="W10" s="190">
        <f t="shared" si="13"/>
        <v>1.0975505771963143</v>
      </c>
      <c r="X10" s="191">
        <f t="shared" si="14"/>
        <v>0.43244086821336869</v>
      </c>
    </row>
    <row r="11" spans="1:24">
      <c r="A11" s="678" t="s">
        <v>208</v>
      </c>
      <c r="B11" s="681" t="s">
        <v>209</v>
      </c>
      <c r="C11" s="683">
        <v>39.51</v>
      </c>
      <c r="D11" s="683">
        <f t="shared" si="0"/>
        <v>41.683049999999994</v>
      </c>
      <c r="E11" s="683">
        <f t="shared" si="0"/>
        <v>57.939439499999992</v>
      </c>
      <c r="F11" s="112">
        <f t="shared" si="1"/>
        <v>73583.088164999994</v>
      </c>
      <c r="G11" s="787">
        <v>114892.30481759997</v>
      </c>
      <c r="H11" s="263">
        <f t="shared" si="2"/>
        <v>139019.68882929595</v>
      </c>
      <c r="I11" s="13">
        <f>((G11-(G11*Varta!H$3)))</f>
        <v>109147.68957671997</v>
      </c>
      <c r="J11" s="13">
        <f>((I11-(I11*Varta!I$3)))</f>
        <v>105873.25888941837</v>
      </c>
      <c r="K11" s="701">
        <f t="shared" si="3"/>
        <v>105873.25888941837</v>
      </c>
      <c r="L11" s="701">
        <f t="shared" si="4"/>
        <v>5293.6629444709188</v>
      </c>
      <c r="M11" s="701">
        <f t="shared" si="5"/>
        <v>0</v>
      </c>
      <c r="N11" s="701">
        <f t="shared" si="6"/>
        <v>0</v>
      </c>
      <c r="O11" s="701">
        <f t="shared" si="7"/>
        <v>0</v>
      </c>
      <c r="P11" s="701">
        <f t="shared" si="8"/>
        <v>100579.59594494745</v>
      </c>
      <c r="Q11" s="192">
        <f t="shared" si="9"/>
        <v>0.43882597930671369</v>
      </c>
      <c r="R11" s="684">
        <f t="shared" si="10"/>
        <v>0.26840938787151297</v>
      </c>
      <c r="S11" s="921"/>
      <c r="T11" s="818">
        <f>([2]Novelbat!U11*1.05)</f>
        <v>157500</v>
      </c>
      <c r="U11" s="440">
        <f t="shared" si="11"/>
        <v>157500</v>
      </c>
      <c r="V11" s="655">
        <f t="shared" si="12"/>
        <v>130165.28925619835</v>
      </c>
      <c r="W11" s="190">
        <f t="shared" si="13"/>
        <v>0.76895659725942078</v>
      </c>
      <c r="X11" s="191">
        <f t="shared" si="14"/>
        <v>0.35925207042030699</v>
      </c>
    </row>
    <row r="12" spans="1:24">
      <c r="A12" s="678" t="s">
        <v>210</v>
      </c>
      <c r="B12" s="681" t="s">
        <v>211</v>
      </c>
      <c r="C12" s="683">
        <v>5.38</v>
      </c>
      <c r="D12" s="683">
        <f t="shared" si="0"/>
        <v>5.6758999999999995</v>
      </c>
      <c r="E12" s="683">
        <f t="shared" si="0"/>
        <v>7.8895009999999992</v>
      </c>
      <c r="F12" s="112">
        <f t="shared" si="1"/>
        <v>10019.66627</v>
      </c>
      <c r="G12" s="787">
        <v>15644.662108799997</v>
      </c>
      <c r="H12" s="263">
        <f t="shared" si="2"/>
        <v>18930.041151647998</v>
      </c>
      <c r="I12" s="13">
        <f>((G12-(G12*Varta!H$3)))</f>
        <v>14862.429003359997</v>
      </c>
      <c r="J12" s="13">
        <f>((I12-(I12*Varta!I$3)))</f>
        <v>14416.556133259197</v>
      </c>
      <c r="K12" s="701">
        <f t="shared" si="3"/>
        <v>14416.556133259197</v>
      </c>
      <c r="L12" s="701">
        <f t="shared" si="4"/>
        <v>720.82780666295992</v>
      </c>
      <c r="M12" s="701">
        <f t="shared" si="5"/>
        <v>0</v>
      </c>
      <c r="N12" s="701">
        <f t="shared" si="6"/>
        <v>0</v>
      </c>
      <c r="O12" s="701">
        <f t="shared" si="7"/>
        <v>0</v>
      </c>
      <c r="P12" s="701">
        <f t="shared" si="8"/>
        <v>13695.728326596238</v>
      </c>
      <c r="Q12" s="192">
        <f t="shared" si="9"/>
        <v>0.43882597930671369</v>
      </c>
      <c r="R12" s="684">
        <f t="shared" si="10"/>
        <v>0.26840938787151308</v>
      </c>
      <c r="S12" s="921"/>
      <c r="T12" s="818">
        <f>([2]Novelbat!U12*1.05)</f>
        <v>27930</v>
      </c>
      <c r="U12" s="440">
        <f t="shared" si="11"/>
        <v>27950</v>
      </c>
      <c r="V12" s="655">
        <f t="shared" si="12"/>
        <v>23099.173553719011</v>
      </c>
      <c r="W12" s="190">
        <f t="shared" si="13"/>
        <v>1.3053835258845414</v>
      </c>
      <c r="X12" s="191">
        <f t="shared" si="14"/>
        <v>0.46796090460533135</v>
      </c>
    </row>
    <row r="13" spans="1:24">
      <c r="A13" s="678" t="s">
        <v>212</v>
      </c>
      <c r="B13" s="681" t="s">
        <v>213</v>
      </c>
      <c r="C13" s="683">
        <v>6.19</v>
      </c>
      <c r="D13" s="683">
        <f t="shared" si="0"/>
        <v>6.5304500000000001</v>
      </c>
      <c r="E13" s="683">
        <f t="shared" si="0"/>
        <v>9.0773255000000006</v>
      </c>
      <c r="F13" s="112">
        <f t="shared" si="1"/>
        <v>11528.203385000001</v>
      </c>
      <c r="G13" s="787">
        <v>18000.085214400002</v>
      </c>
      <c r="H13" s="263">
        <f t="shared" si="2"/>
        <v>21780.103109424002</v>
      </c>
      <c r="I13" s="13">
        <f>((G13-(G13*Varta!H$3)))</f>
        <v>17100.080953680001</v>
      </c>
      <c r="J13" s="13">
        <f>((I13-(I13*Varta!I$3)))</f>
        <v>16587.078525069599</v>
      </c>
      <c r="K13" s="701">
        <f t="shared" si="3"/>
        <v>16587.078525069599</v>
      </c>
      <c r="L13" s="701">
        <f t="shared" si="4"/>
        <v>829.35392625348004</v>
      </c>
      <c r="M13" s="701">
        <f t="shared" si="5"/>
        <v>0</v>
      </c>
      <c r="N13" s="701">
        <f t="shared" si="6"/>
        <v>0</v>
      </c>
      <c r="O13" s="701">
        <f t="shared" si="7"/>
        <v>0</v>
      </c>
      <c r="P13" s="701">
        <f t="shared" si="8"/>
        <v>15757.724598816119</v>
      </c>
      <c r="Q13" s="192">
        <f t="shared" si="9"/>
        <v>0.4388259793067138</v>
      </c>
      <c r="R13" s="684">
        <f t="shared" si="10"/>
        <v>0.26840938787151308</v>
      </c>
      <c r="S13" s="921"/>
      <c r="T13" s="818">
        <f>([2]Novelbat!U13*1.05)</f>
        <v>30292.5</v>
      </c>
      <c r="U13" s="440">
        <f t="shared" si="11"/>
        <v>30300</v>
      </c>
      <c r="V13" s="655">
        <f t="shared" si="12"/>
        <v>25041.322314049587</v>
      </c>
      <c r="W13" s="190">
        <f t="shared" si="13"/>
        <v>1.1721790879082052</v>
      </c>
      <c r="X13" s="191">
        <f t="shared" si="14"/>
        <v>0.4459775224108774</v>
      </c>
    </row>
    <row r="14" spans="1:24">
      <c r="A14" s="678" t="s">
        <v>214</v>
      </c>
      <c r="B14" s="681" t="s">
        <v>215</v>
      </c>
      <c r="C14" s="683">
        <v>6.91</v>
      </c>
      <c r="D14" s="683">
        <f t="shared" si="0"/>
        <v>7.2900499999999999</v>
      </c>
      <c r="E14" s="683">
        <f t="shared" si="0"/>
        <v>10.133169500000001</v>
      </c>
      <c r="F14" s="112">
        <f t="shared" si="1"/>
        <v>12869.125265000001</v>
      </c>
      <c r="G14" s="787">
        <v>20093.794641600001</v>
      </c>
      <c r="H14" s="263">
        <f t="shared" si="2"/>
        <v>24313.491516336002</v>
      </c>
      <c r="I14" s="13">
        <f>((G14-(G14*Varta!H$3)))</f>
        <v>19089.10490952</v>
      </c>
      <c r="J14" s="13">
        <f>((I14-(I14*Varta!I$3)))</f>
        <v>18516.431762234399</v>
      </c>
      <c r="K14" s="701">
        <f t="shared" si="3"/>
        <v>18516.431762234399</v>
      </c>
      <c r="L14" s="701">
        <f t="shared" si="4"/>
        <v>925.82158811171996</v>
      </c>
      <c r="M14" s="701">
        <f t="shared" si="5"/>
        <v>0</v>
      </c>
      <c r="N14" s="701">
        <f t="shared" si="6"/>
        <v>0</v>
      </c>
      <c r="O14" s="701">
        <f t="shared" si="7"/>
        <v>0</v>
      </c>
      <c r="P14" s="701">
        <f t="shared" si="8"/>
        <v>17590.610174122678</v>
      </c>
      <c r="Q14" s="192">
        <f t="shared" si="9"/>
        <v>0.4388259793067138</v>
      </c>
      <c r="R14" s="684">
        <f t="shared" si="10"/>
        <v>0.26840938787151303</v>
      </c>
      <c r="S14" s="921"/>
      <c r="T14" s="818">
        <f>([2]Novelbat!U14*1.05)</f>
        <v>35070</v>
      </c>
      <c r="U14" s="440">
        <f t="shared" si="11"/>
        <v>35100</v>
      </c>
      <c r="V14" s="655">
        <f t="shared" si="12"/>
        <v>29008.264462809919</v>
      </c>
      <c r="W14" s="190">
        <f t="shared" si="13"/>
        <v>1.2540976069059901</v>
      </c>
      <c r="X14" s="191">
        <f t="shared" si="14"/>
        <v>0.45980453555014011</v>
      </c>
    </row>
    <row r="15" spans="1:24">
      <c r="A15" s="678" t="s">
        <v>216</v>
      </c>
      <c r="B15" s="681" t="s">
        <v>217</v>
      </c>
      <c r="C15" s="683">
        <v>7.62</v>
      </c>
      <c r="D15" s="683">
        <f t="shared" si="0"/>
        <v>8.0390999999999995</v>
      </c>
      <c r="E15" s="683">
        <f t="shared" si="0"/>
        <v>11.174348999999999</v>
      </c>
      <c r="F15" s="112">
        <f t="shared" si="1"/>
        <v>14191.423229999999</v>
      </c>
      <c r="G15" s="787">
        <v>22158.4247712</v>
      </c>
      <c r="H15" s="263">
        <f t="shared" si="2"/>
        <v>26811.693973152</v>
      </c>
      <c r="I15" s="13">
        <f>((G15-(G15*Varta!H$3)))</f>
        <v>21050.503532639999</v>
      </c>
      <c r="J15" s="13">
        <f>((I15-(I15*Varta!I$3)))</f>
        <v>20418.988426660799</v>
      </c>
      <c r="K15" s="701">
        <f t="shared" si="3"/>
        <v>20418.988426660799</v>
      </c>
      <c r="L15" s="701">
        <f t="shared" si="4"/>
        <v>1020.9494213330399</v>
      </c>
      <c r="M15" s="701">
        <f t="shared" si="5"/>
        <v>0</v>
      </c>
      <c r="N15" s="701">
        <f t="shared" si="6"/>
        <v>0</v>
      </c>
      <c r="O15" s="701">
        <f t="shared" si="7"/>
        <v>0</v>
      </c>
      <c r="P15" s="701">
        <f t="shared" si="8"/>
        <v>19398.039005327759</v>
      </c>
      <c r="Q15" s="192">
        <f t="shared" si="9"/>
        <v>0.43882597930671402</v>
      </c>
      <c r="R15" s="684">
        <f t="shared" si="10"/>
        <v>0.26840938787151319</v>
      </c>
      <c r="S15" s="921"/>
      <c r="T15" s="818">
        <f>([2]Novelbat!U15*1.05)</f>
        <v>38955</v>
      </c>
      <c r="U15" s="440">
        <f t="shared" si="11"/>
        <v>39000</v>
      </c>
      <c r="V15" s="655">
        <f t="shared" si="12"/>
        <v>32231.404958677685</v>
      </c>
      <c r="W15" s="190">
        <f t="shared" si="13"/>
        <v>1.2711890439953915</v>
      </c>
      <c r="X15" s="191">
        <f t="shared" si="14"/>
        <v>0.46256363406865869</v>
      </c>
    </row>
    <row r="16" spans="1:24">
      <c r="A16" s="678" t="s">
        <v>218</v>
      </c>
      <c r="B16" s="681" t="s">
        <v>219</v>
      </c>
      <c r="C16" s="683">
        <v>7.62</v>
      </c>
      <c r="D16" s="683">
        <f t="shared" si="0"/>
        <v>8.0390999999999995</v>
      </c>
      <c r="E16" s="683">
        <f t="shared" si="0"/>
        <v>11.174348999999999</v>
      </c>
      <c r="F16" s="112">
        <f t="shared" si="1"/>
        <v>14191.423229999999</v>
      </c>
      <c r="G16" s="787">
        <v>22158.4247712</v>
      </c>
      <c r="H16" s="263">
        <f t="shared" si="2"/>
        <v>26811.693973152</v>
      </c>
      <c r="I16" s="13">
        <f>((G16-(G16*Varta!H$3)))</f>
        <v>21050.503532639999</v>
      </c>
      <c r="J16" s="13">
        <f>((I16-(I16*Varta!I$3)))</f>
        <v>20418.988426660799</v>
      </c>
      <c r="K16" s="701">
        <f t="shared" si="3"/>
        <v>20418.988426660799</v>
      </c>
      <c r="L16" s="701">
        <f t="shared" si="4"/>
        <v>1020.9494213330399</v>
      </c>
      <c r="M16" s="701">
        <f t="shared" si="5"/>
        <v>0</v>
      </c>
      <c r="N16" s="701">
        <f t="shared" si="6"/>
        <v>0</v>
      </c>
      <c r="O16" s="701">
        <f t="shared" si="7"/>
        <v>0</v>
      </c>
      <c r="P16" s="701">
        <f t="shared" si="8"/>
        <v>19398.039005327759</v>
      </c>
      <c r="Q16" s="192">
        <f t="shared" si="9"/>
        <v>0.43882597930671402</v>
      </c>
      <c r="R16" s="684">
        <f t="shared" si="10"/>
        <v>0.26840938787151319</v>
      </c>
      <c r="S16" s="921"/>
      <c r="T16" s="818">
        <f>([2]Novelbat!U16*1.05)</f>
        <v>38955</v>
      </c>
      <c r="U16" s="440">
        <f t="shared" si="11"/>
        <v>39000</v>
      </c>
      <c r="V16" s="655">
        <f t="shared" si="12"/>
        <v>32231.404958677685</v>
      </c>
      <c r="W16" s="190">
        <f t="shared" si="13"/>
        <v>1.2711890439953915</v>
      </c>
      <c r="X16" s="191">
        <f t="shared" si="14"/>
        <v>0.46256363406865869</v>
      </c>
    </row>
    <row r="17" spans="1:24">
      <c r="A17" s="678" t="s">
        <v>220</v>
      </c>
      <c r="B17" s="681" t="s">
        <v>221</v>
      </c>
      <c r="C17" s="683">
        <v>8.6999999999999993</v>
      </c>
      <c r="D17" s="683">
        <f t="shared" si="0"/>
        <v>9.1784999999999997</v>
      </c>
      <c r="E17" s="683">
        <f t="shared" si="0"/>
        <v>12.758115</v>
      </c>
      <c r="F17" s="112">
        <f t="shared" si="1"/>
        <v>16202.806049999999</v>
      </c>
      <c r="G17" s="787">
        <v>25298.988911999997</v>
      </c>
      <c r="H17" s="263">
        <f t="shared" si="2"/>
        <v>30611.776583519997</v>
      </c>
      <c r="I17" s="13">
        <f>((G17-(G17*Varta!H$3)))</f>
        <v>24034.039466399998</v>
      </c>
      <c r="J17" s="13">
        <f>((I17-(I17*Varta!I$3)))</f>
        <v>23313.018282407997</v>
      </c>
      <c r="K17" s="701">
        <f t="shared" si="3"/>
        <v>23313.018282407997</v>
      </c>
      <c r="L17" s="701">
        <f t="shared" si="4"/>
        <v>1165.6509141203999</v>
      </c>
      <c r="M17" s="701">
        <f t="shared" si="5"/>
        <v>0</v>
      </c>
      <c r="N17" s="701">
        <f t="shared" si="6"/>
        <v>0</v>
      </c>
      <c r="O17" s="701">
        <f t="shared" si="7"/>
        <v>0</v>
      </c>
      <c r="P17" s="701">
        <f t="shared" si="8"/>
        <v>22147.367368287596</v>
      </c>
      <c r="Q17" s="192">
        <f t="shared" si="9"/>
        <v>0.43882597930671385</v>
      </c>
      <c r="R17" s="684">
        <f t="shared" si="10"/>
        <v>0.26840938787151308</v>
      </c>
      <c r="S17" s="921"/>
      <c r="T17" s="818">
        <f>([2]Novelbat!U17*1.05)</f>
        <v>44887.5</v>
      </c>
      <c r="U17" s="440">
        <f t="shared" si="11"/>
        <v>44900</v>
      </c>
      <c r="V17" s="655">
        <f t="shared" si="12"/>
        <v>37107.438016528926</v>
      </c>
      <c r="W17" s="190">
        <f t="shared" si="13"/>
        <v>1.2901859037267762</v>
      </c>
      <c r="X17" s="191">
        <f t="shared" si="14"/>
        <v>0.46558200370888481</v>
      </c>
    </row>
    <row r="18" spans="1:24">
      <c r="A18" s="678" t="s">
        <v>222</v>
      </c>
      <c r="B18" s="681" t="s">
        <v>223</v>
      </c>
      <c r="C18" s="683">
        <v>11.66</v>
      </c>
      <c r="D18" s="683">
        <f t="shared" si="0"/>
        <v>12.301299999999999</v>
      </c>
      <c r="E18" s="683">
        <f t="shared" si="0"/>
        <v>17.098807000000001</v>
      </c>
      <c r="F18" s="112">
        <f t="shared" si="1"/>
        <v>21715.48489</v>
      </c>
      <c r="G18" s="787">
        <v>33906.461001600001</v>
      </c>
      <c r="H18" s="263">
        <f t="shared" si="2"/>
        <v>41026.817811936002</v>
      </c>
      <c r="I18" s="13">
        <f>((G18-(G18*Varta!H$3)))</f>
        <v>32211.137951520002</v>
      </c>
      <c r="J18" s="13">
        <f>((I18-(I18*Varta!I$3)))</f>
        <v>31244.803812974402</v>
      </c>
      <c r="K18" s="701">
        <f t="shared" si="3"/>
        <v>31244.803812974402</v>
      </c>
      <c r="L18" s="701">
        <f t="shared" si="4"/>
        <v>1562.2401906487203</v>
      </c>
      <c r="M18" s="701">
        <f t="shared" si="5"/>
        <v>0</v>
      </c>
      <c r="N18" s="701">
        <f t="shared" si="6"/>
        <v>0</v>
      </c>
      <c r="O18" s="701">
        <f t="shared" si="7"/>
        <v>0</v>
      </c>
      <c r="P18" s="701">
        <f t="shared" si="8"/>
        <v>29682.563622325681</v>
      </c>
      <c r="Q18" s="192">
        <f t="shared" si="9"/>
        <v>0.43882597930671408</v>
      </c>
      <c r="R18" s="684">
        <f t="shared" si="10"/>
        <v>0.26840938787151319</v>
      </c>
      <c r="S18" s="921"/>
      <c r="T18" s="818">
        <f>([2]Novelbat!U18*1.05)</f>
        <v>61950</v>
      </c>
      <c r="U18" s="440">
        <f t="shared" si="11"/>
        <v>61950</v>
      </c>
      <c r="V18" s="655">
        <f t="shared" si="12"/>
        <v>51198.347107438021</v>
      </c>
      <c r="W18" s="190">
        <f t="shared" si="13"/>
        <v>1.3576884129819686</v>
      </c>
      <c r="X18" s="191">
        <f t="shared" si="14"/>
        <v>0.47591383724677999</v>
      </c>
    </row>
    <row r="19" spans="1:24">
      <c r="A19" s="678" t="s">
        <v>224</v>
      </c>
      <c r="B19" s="681" t="s">
        <v>225</v>
      </c>
      <c r="C19" s="683">
        <v>12.56</v>
      </c>
      <c r="D19" s="683">
        <f t="shared" si="0"/>
        <v>13.2508</v>
      </c>
      <c r="E19" s="683">
        <f t="shared" si="0"/>
        <v>18.418612</v>
      </c>
      <c r="F19" s="112">
        <f t="shared" si="1"/>
        <v>23391.63724</v>
      </c>
      <c r="G19" s="787">
        <v>36523.597785600003</v>
      </c>
      <c r="H19" s="263">
        <f t="shared" si="2"/>
        <v>44193.553320576</v>
      </c>
      <c r="I19" s="13">
        <f>((G19-(G19*Varta!H$3)))</f>
        <v>34697.417896320003</v>
      </c>
      <c r="J19" s="13">
        <f>((I19-(I19*Varta!I$3)))</f>
        <v>33656.495359430402</v>
      </c>
      <c r="K19" s="701">
        <f t="shared" si="3"/>
        <v>33656.495359430402</v>
      </c>
      <c r="L19" s="701">
        <f t="shared" si="4"/>
        <v>1682.8247679715203</v>
      </c>
      <c r="M19" s="701">
        <f t="shared" si="5"/>
        <v>0</v>
      </c>
      <c r="N19" s="701">
        <f t="shared" si="6"/>
        <v>0</v>
      </c>
      <c r="O19" s="701">
        <f t="shared" si="7"/>
        <v>0</v>
      </c>
      <c r="P19" s="701">
        <f t="shared" si="8"/>
        <v>31973.670591458882</v>
      </c>
      <c r="Q19" s="192">
        <f t="shared" si="9"/>
        <v>0.43882597930671408</v>
      </c>
      <c r="R19" s="684">
        <f t="shared" si="10"/>
        <v>0.26840938787151319</v>
      </c>
      <c r="S19" s="921"/>
      <c r="T19" s="818">
        <f>([2]Novelbat!U19*1.05)</f>
        <v>72765</v>
      </c>
      <c r="U19" s="440">
        <f t="shared" si="11"/>
        <v>72800</v>
      </c>
      <c r="V19" s="655">
        <f t="shared" si="12"/>
        <v>60165.289256198346</v>
      </c>
      <c r="W19" s="190">
        <f t="shared" si="13"/>
        <v>1.5720854268941438</v>
      </c>
      <c r="X19" s="191">
        <f t="shared" si="14"/>
        <v>0.5051325826400872</v>
      </c>
    </row>
    <row r="20" spans="1:24">
      <c r="A20" s="678" t="s">
        <v>226</v>
      </c>
      <c r="B20" s="679" t="s">
        <v>227</v>
      </c>
      <c r="C20" s="683">
        <v>26.45</v>
      </c>
      <c r="D20" s="683">
        <f t="shared" si="0"/>
        <v>27.90475</v>
      </c>
      <c r="E20" s="683">
        <f t="shared" si="0"/>
        <v>38.787602499999998</v>
      </c>
      <c r="F20" s="112">
        <f t="shared" si="1"/>
        <v>49260.255174999998</v>
      </c>
      <c r="G20" s="787">
        <v>76914.742151999992</v>
      </c>
      <c r="H20" s="263">
        <f t="shared" si="2"/>
        <v>93066.838003919984</v>
      </c>
      <c r="I20" s="13">
        <f>((G20-(G20*Varta!H$3)))</f>
        <v>73069.005044399993</v>
      </c>
      <c r="J20" s="13">
        <f>((I20-(I20*Varta!I$3)))</f>
        <v>70876.934893067999</v>
      </c>
      <c r="K20" s="701">
        <f t="shared" si="3"/>
        <v>70876.934893067999</v>
      </c>
      <c r="L20" s="701">
        <f t="shared" si="4"/>
        <v>3543.8467446534</v>
      </c>
      <c r="M20" s="701">
        <f t="shared" si="5"/>
        <v>0</v>
      </c>
      <c r="N20" s="701">
        <f t="shared" si="6"/>
        <v>0</v>
      </c>
      <c r="O20" s="701">
        <f t="shared" si="7"/>
        <v>0</v>
      </c>
      <c r="P20" s="701">
        <f t="shared" si="8"/>
        <v>67333.088148414594</v>
      </c>
      <c r="Q20" s="192">
        <f t="shared" si="9"/>
        <v>0.43882597930671402</v>
      </c>
      <c r="R20" s="684">
        <f t="shared" si="10"/>
        <v>0.26840938787151314</v>
      </c>
      <c r="S20" s="921"/>
      <c r="T20" s="818">
        <f>([2]Novelbat!U20*1.05)</f>
        <v>115500</v>
      </c>
      <c r="U20" s="440">
        <f t="shared" si="11"/>
        <v>115500</v>
      </c>
      <c r="V20" s="655">
        <f t="shared" si="12"/>
        <v>95454.545454545456</v>
      </c>
      <c r="W20" s="190">
        <f t="shared" si="13"/>
        <v>0.93775986574648229</v>
      </c>
      <c r="X20" s="191">
        <f t="shared" si="14"/>
        <v>0.39995056519086974</v>
      </c>
    </row>
    <row r="21" spans="1:24">
      <c r="A21" s="678" t="s">
        <v>228</v>
      </c>
      <c r="B21" s="679" t="s">
        <v>227</v>
      </c>
      <c r="C21" s="683">
        <v>26.45</v>
      </c>
      <c r="D21" s="683">
        <f t="shared" si="0"/>
        <v>27.90475</v>
      </c>
      <c r="E21" s="683">
        <f t="shared" si="0"/>
        <v>38.787602499999998</v>
      </c>
      <c r="F21" s="112">
        <f t="shared" si="1"/>
        <v>49260.255174999998</v>
      </c>
      <c r="G21" s="787">
        <v>76914.742151999992</v>
      </c>
      <c r="H21" s="263">
        <f t="shared" si="2"/>
        <v>93066.838003919984</v>
      </c>
      <c r="I21" s="13">
        <f>((G21-(G21*Varta!H$3)))</f>
        <v>73069.005044399993</v>
      </c>
      <c r="J21" s="13">
        <f>((I21-(I21*Varta!I$3)))</f>
        <v>70876.934893067999</v>
      </c>
      <c r="K21" s="701">
        <f t="shared" si="3"/>
        <v>70876.934893067999</v>
      </c>
      <c r="L21" s="701">
        <f t="shared" si="4"/>
        <v>3543.8467446534</v>
      </c>
      <c r="M21" s="701"/>
      <c r="N21" s="701"/>
      <c r="O21" s="701"/>
      <c r="P21" s="701">
        <f t="shared" si="8"/>
        <v>67333.088148414594</v>
      </c>
      <c r="Q21" s="192">
        <f t="shared" si="9"/>
        <v>0.43882597930671402</v>
      </c>
      <c r="R21" s="684">
        <f t="shared" si="10"/>
        <v>0.26840938787151314</v>
      </c>
      <c r="S21" s="921"/>
      <c r="T21" s="818">
        <f>([2]Novelbat!U21*1.05)</f>
        <v>0</v>
      </c>
      <c r="U21" s="440"/>
      <c r="V21" s="655"/>
      <c r="W21" s="190"/>
      <c r="X21" s="191"/>
    </row>
    <row r="22" spans="1:24">
      <c r="A22" s="678" t="s">
        <v>229</v>
      </c>
      <c r="B22" s="679" t="s">
        <v>230</v>
      </c>
      <c r="C22" s="683">
        <v>8.1</v>
      </c>
      <c r="D22" s="683">
        <f t="shared" si="0"/>
        <v>8.5455000000000005</v>
      </c>
      <c r="E22" s="683">
        <f t="shared" si="0"/>
        <v>11.878245000000001</v>
      </c>
      <c r="F22" s="112">
        <f t="shared" si="1"/>
        <v>15085.371150000003</v>
      </c>
      <c r="G22" s="787">
        <v>23554.231055999997</v>
      </c>
      <c r="H22" s="263">
        <f t="shared" si="2"/>
        <v>28500.619577759997</v>
      </c>
      <c r="I22" s="13">
        <f>((G22-(G22*Varta!H$3)))</f>
        <v>22376.519503199997</v>
      </c>
      <c r="J22" s="13">
        <f>((I22-(I22*Varta!I$3)))</f>
        <v>21705.223918103999</v>
      </c>
      <c r="K22" s="701">
        <f t="shared" si="3"/>
        <v>21705.223918103999</v>
      </c>
      <c r="L22" s="701">
        <f t="shared" si="4"/>
        <v>1085.2611959051999</v>
      </c>
      <c r="M22" s="701">
        <f t="shared" si="5"/>
        <v>0</v>
      </c>
      <c r="N22" s="701">
        <f t="shared" si="6"/>
        <v>0</v>
      </c>
      <c r="O22" s="701">
        <f t="shared" si="7"/>
        <v>0</v>
      </c>
      <c r="P22" s="701">
        <f t="shared" si="8"/>
        <v>20619.962722198798</v>
      </c>
      <c r="Q22" s="192">
        <f t="shared" si="9"/>
        <v>0.43882597930671363</v>
      </c>
      <c r="R22" s="684">
        <f t="shared" si="10"/>
        <v>0.26840938787151292</v>
      </c>
      <c r="S22" s="921"/>
      <c r="T22" s="818">
        <f>([2]Novelbat!U22*1.05)</f>
        <v>48510</v>
      </c>
      <c r="U22" s="440">
        <f t="shared" si="11"/>
        <v>48550</v>
      </c>
      <c r="V22" s="655">
        <f t="shared" si="12"/>
        <v>40123.966942148763</v>
      </c>
      <c r="W22" s="190">
        <f t="shared" si="13"/>
        <v>1.6597931561099679</v>
      </c>
      <c r="X22" s="191">
        <f t="shared" si="14"/>
        <v>0.51572802867453682</v>
      </c>
    </row>
    <row r="23" spans="1:24">
      <c r="A23" s="678" t="s">
        <v>231</v>
      </c>
      <c r="B23" s="679" t="s">
        <v>232</v>
      </c>
      <c r="C23" s="683">
        <v>12.24</v>
      </c>
      <c r="D23" s="683">
        <f t="shared" si="0"/>
        <v>12.9132</v>
      </c>
      <c r="E23" s="683">
        <f t="shared" si="0"/>
        <v>17.949348000000001</v>
      </c>
      <c r="F23" s="112">
        <f t="shared" si="1"/>
        <v>22795.67196</v>
      </c>
      <c r="G23" s="787">
        <v>35593.060262399995</v>
      </c>
      <c r="H23" s="263">
        <f t="shared" si="2"/>
        <v>43067.602917503995</v>
      </c>
      <c r="I23" s="13">
        <f>((G23-(G23*Varta!H$3)))</f>
        <v>33813.407249279997</v>
      </c>
      <c r="J23" s="13">
        <f>((I23-(I23*Varta!I$3)))</f>
        <v>32799.0050318016</v>
      </c>
      <c r="K23" s="701">
        <f t="shared" si="3"/>
        <v>32799.0050318016</v>
      </c>
      <c r="L23" s="701">
        <f t="shared" si="4"/>
        <v>1639.9502515900801</v>
      </c>
      <c r="M23" s="701">
        <f t="shared" si="5"/>
        <v>0</v>
      </c>
      <c r="N23" s="701">
        <f t="shared" si="6"/>
        <v>0</v>
      </c>
      <c r="O23" s="701">
        <f t="shared" si="7"/>
        <v>0</v>
      </c>
      <c r="P23" s="701">
        <f t="shared" si="8"/>
        <v>31159.054780211522</v>
      </c>
      <c r="Q23" s="192">
        <f t="shared" si="9"/>
        <v>0.43882597930671402</v>
      </c>
      <c r="R23" s="684">
        <f t="shared" si="10"/>
        <v>0.26840938787151319</v>
      </c>
      <c r="S23" s="921"/>
      <c r="T23" s="818">
        <f>([2]Novelbat!U23*1.05)</f>
        <v>70035</v>
      </c>
      <c r="U23" s="440">
        <f t="shared" si="11"/>
        <v>70050</v>
      </c>
      <c r="V23" s="655">
        <f t="shared" si="12"/>
        <v>57892.561983471074</v>
      </c>
      <c r="W23" s="190">
        <f t="shared" si="13"/>
        <v>1.5396295439351932</v>
      </c>
      <c r="X23" s="191">
        <f t="shared" si="14"/>
        <v>0.50102626728723876</v>
      </c>
    </row>
    <row r="24" spans="1:24">
      <c r="A24" s="678" t="s">
        <v>233</v>
      </c>
      <c r="B24" s="679" t="s">
        <v>234</v>
      </c>
      <c r="C24" s="683">
        <v>16.149999999999999</v>
      </c>
      <c r="D24" s="683">
        <f t="shared" si="0"/>
        <v>17.038249999999998</v>
      </c>
      <c r="E24" s="683">
        <f t="shared" si="0"/>
        <v>23.683167499999996</v>
      </c>
      <c r="F24" s="112">
        <f t="shared" si="1"/>
        <v>30077.622724999994</v>
      </c>
      <c r="G24" s="787">
        <v>46963.065624000003</v>
      </c>
      <c r="H24" s="263">
        <f t="shared" si="2"/>
        <v>56825.309405040003</v>
      </c>
      <c r="I24" s="13">
        <f>((G24-(G24*Varta!H$3)))</f>
        <v>44614.912342800002</v>
      </c>
      <c r="J24" s="13">
        <f>((I24-(I24*Varta!I$3)))</f>
        <v>43276.464972516005</v>
      </c>
      <c r="K24" s="701">
        <f t="shared" si="3"/>
        <v>43276.464972516005</v>
      </c>
      <c r="L24" s="701">
        <f t="shared" si="4"/>
        <v>2163.8232486258003</v>
      </c>
      <c r="M24" s="701">
        <f t="shared" si="5"/>
        <v>0</v>
      </c>
      <c r="N24" s="701">
        <f t="shared" si="6"/>
        <v>0</v>
      </c>
      <c r="O24" s="701">
        <f t="shared" si="7"/>
        <v>0</v>
      </c>
      <c r="P24" s="701">
        <f t="shared" si="8"/>
        <v>41112.641723890207</v>
      </c>
      <c r="Q24" s="192">
        <f t="shared" si="9"/>
        <v>0.43882597930671446</v>
      </c>
      <c r="R24" s="684">
        <f t="shared" si="10"/>
        <v>0.26840938787151342</v>
      </c>
      <c r="S24" s="921"/>
      <c r="T24" s="818">
        <f>([2]Novelbat!U24*1.05)</f>
        <v>76335</v>
      </c>
      <c r="U24" s="440">
        <f t="shared" si="11"/>
        <v>76350</v>
      </c>
      <c r="V24" s="655">
        <f t="shared" si="12"/>
        <v>63099.173553719011</v>
      </c>
      <c r="W24" s="190">
        <f t="shared" si="13"/>
        <v>1.0978776857012733</v>
      </c>
      <c r="X24" s="191">
        <f t="shared" si="14"/>
        <v>0.43250230293017705</v>
      </c>
    </row>
    <row r="25" spans="1:24">
      <c r="A25" s="682" t="s">
        <v>235</v>
      </c>
      <c r="B25" s="679" t="s">
        <v>236</v>
      </c>
      <c r="C25" s="683">
        <v>13.23</v>
      </c>
      <c r="D25" s="683">
        <f t="shared" si="0"/>
        <v>13.957650000000001</v>
      </c>
      <c r="E25" s="683">
        <f t="shared" si="0"/>
        <v>19.4011335</v>
      </c>
      <c r="F25" s="112">
        <f t="shared" si="1"/>
        <v>24639.439545000001</v>
      </c>
      <c r="G25" s="787">
        <v>38471.9107248</v>
      </c>
      <c r="H25" s="263">
        <f t="shared" si="2"/>
        <v>46551.011977007998</v>
      </c>
      <c r="I25" s="13">
        <f>((G25-(G25*Varta!H$3)))</f>
        <v>36548.315188560002</v>
      </c>
      <c r="J25" s="13">
        <f>((I25-(I25*Varta!I$3)))</f>
        <v>35451.865732903199</v>
      </c>
      <c r="K25" s="701">
        <f t="shared" si="3"/>
        <v>35451.865732903199</v>
      </c>
      <c r="L25" s="701">
        <f t="shared" si="4"/>
        <v>1772.5932866451601</v>
      </c>
      <c r="M25" s="701">
        <f t="shared" si="5"/>
        <v>0</v>
      </c>
      <c r="N25" s="701">
        <f t="shared" si="6"/>
        <v>0</v>
      </c>
      <c r="O25" s="701">
        <f t="shared" si="7"/>
        <v>0</v>
      </c>
      <c r="P25" s="701">
        <f t="shared" si="8"/>
        <v>33679.272446258037</v>
      </c>
      <c r="Q25" s="192">
        <f t="shared" si="9"/>
        <v>0.43882597930671391</v>
      </c>
      <c r="R25" s="684">
        <f t="shared" si="10"/>
        <v>0.26840938787151308</v>
      </c>
      <c r="S25" s="921"/>
      <c r="T25" s="818">
        <f>([2]Novelbat!U25*1.05)</f>
        <v>72765</v>
      </c>
      <c r="U25" s="440">
        <f t="shared" si="11"/>
        <v>72800</v>
      </c>
      <c r="V25" s="655">
        <f t="shared" si="12"/>
        <v>60165.289256198346</v>
      </c>
      <c r="W25" s="190">
        <f t="shared" si="13"/>
        <v>1.4418286441262618</v>
      </c>
      <c r="X25" s="191">
        <f t="shared" si="14"/>
        <v>0.48799244108788936</v>
      </c>
    </row>
    <row r="26" spans="1:24">
      <c r="A26" s="880" t="s">
        <v>237</v>
      </c>
      <c r="B26" s="113"/>
      <c r="C26" s="683">
        <v>23.4</v>
      </c>
      <c r="D26" s="683">
        <f t="shared" si="0"/>
        <v>24.686999999999998</v>
      </c>
      <c r="E26" s="683">
        <f t="shared" si="0"/>
        <v>34.314929999999997</v>
      </c>
      <c r="F26" s="112">
        <f t="shared" si="1"/>
        <v>43579.961099999993</v>
      </c>
      <c r="G26" s="787">
        <v>68045.556383999996</v>
      </c>
      <c r="H26" s="263">
        <f t="shared" si="2"/>
        <v>82335.123224639989</v>
      </c>
      <c r="I26" s="13">
        <f>((G26-(G26*Varta!H$3)))</f>
        <v>64643.278564799999</v>
      </c>
      <c r="J26" s="13">
        <f>((I26-(I26*Varta!I$3)))</f>
        <v>62703.980207856002</v>
      </c>
      <c r="K26" s="701">
        <f t="shared" si="3"/>
        <v>62703.980207856002</v>
      </c>
      <c r="L26" s="701">
        <f t="shared" si="4"/>
        <v>3135.1990103928001</v>
      </c>
      <c r="M26" s="701">
        <f t="shared" si="5"/>
        <v>0</v>
      </c>
      <c r="N26" s="701">
        <f t="shared" si="6"/>
        <v>0</v>
      </c>
      <c r="O26" s="701">
        <f t="shared" si="7"/>
        <v>0</v>
      </c>
      <c r="P26" s="701">
        <f t="shared" si="8"/>
        <v>59568.781197463206</v>
      </c>
      <c r="Q26" s="192">
        <f t="shared" si="9"/>
        <v>0.43882597930671424</v>
      </c>
      <c r="R26" s="684">
        <f t="shared" si="10"/>
        <v>0.26840938787151336</v>
      </c>
      <c r="S26" s="921"/>
      <c r="T26" s="921"/>
      <c r="U26" s="921"/>
      <c r="V26" s="921"/>
      <c r="W26" s="921"/>
      <c r="X26" s="921"/>
    </row>
    <row r="27" spans="1:24">
      <c r="A27" s="880" t="s">
        <v>238</v>
      </c>
      <c r="B27" s="113"/>
      <c r="C27" s="683">
        <v>39.020000000000003</v>
      </c>
      <c r="D27" s="683">
        <f t="shared" si="0"/>
        <v>41.1661</v>
      </c>
      <c r="E27" s="683">
        <f t="shared" si="0"/>
        <v>57.220878999999996</v>
      </c>
      <c r="F27" s="879">
        <f t="shared" si="1"/>
        <v>72670.516329999999</v>
      </c>
      <c r="G27" s="787">
        <v>113467.41923520002</v>
      </c>
      <c r="H27" s="263">
        <f t="shared" si="2"/>
        <v>137295.57727459201</v>
      </c>
      <c r="I27" s="13">
        <f>((G27-(G27*Varta!H$3)))</f>
        <v>107794.04827344003</v>
      </c>
      <c r="J27" s="13">
        <f>((I27-(I27*Varta!I$3)))</f>
        <v>104560.22682523682</v>
      </c>
      <c r="K27" s="701">
        <f t="shared" si="3"/>
        <v>104560.22682523682</v>
      </c>
      <c r="L27" s="701">
        <f t="shared" si="4"/>
        <v>5228.0113412618412</v>
      </c>
      <c r="M27" s="701">
        <f t="shared" si="5"/>
        <v>0</v>
      </c>
      <c r="N27" s="701">
        <f t="shared" si="6"/>
        <v>0</v>
      </c>
      <c r="O27" s="701">
        <f t="shared" si="7"/>
        <v>0</v>
      </c>
      <c r="P27" s="701">
        <f t="shared" si="8"/>
        <v>99332.215483974986</v>
      </c>
      <c r="Q27" s="192">
        <f t="shared" si="9"/>
        <v>0.4388259793067143</v>
      </c>
      <c r="R27" s="684">
        <f t="shared" si="10"/>
        <v>0.26840938787151336</v>
      </c>
      <c r="S27" s="921"/>
      <c r="T27" s="921"/>
      <c r="U27" s="921"/>
      <c r="V27" s="921"/>
      <c r="W27" s="921"/>
      <c r="X27" s="921"/>
    </row>
    <row r="29" spans="1:24">
      <c r="A29" s="894" t="s">
        <v>239</v>
      </c>
      <c r="B29" s="113"/>
      <c r="C29" s="895">
        <v>2.4</v>
      </c>
      <c r="D29" s="683">
        <f t="shared" ref="D29:D41" si="15">(C29+(C29*D$3))</f>
        <v>2.532</v>
      </c>
      <c r="E29" s="683">
        <f t="shared" ref="E29:E41" si="16">(D29+(D29*E$3))</f>
        <v>3.5194800000000002</v>
      </c>
      <c r="F29" s="879">
        <f t="shared" si="1"/>
        <v>4469.7395999999999</v>
      </c>
      <c r="G29" s="902">
        <f>(F29*1.5)</f>
        <v>6704.6093999999994</v>
      </c>
      <c r="H29" s="263">
        <f t="shared" ref="H29:H41" si="17">(G29*1.21)</f>
        <v>8112.5773739999986</v>
      </c>
      <c r="I29" s="13">
        <f>((G29-(G29*Varta!H$3)))</f>
        <v>6369.3789299999989</v>
      </c>
      <c r="J29" s="13">
        <f>((I29-(I29*Varta!I$3)))</f>
        <v>6178.2975620999987</v>
      </c>
      <c r="K29" s="701">
        <f t="shared" ref="K29:K41" si="18">(J29-(J29*K$3))</f>
        <v>6178.2975620999987</v>
      </c>
      <c r="L29" s="701">
        <f t="shared" ref="L29:L41" si="19">(K29*L$3)</f>
        <v>308.91487810499996</v>
      </c>
      <c r="M29" s="701">
        <f t="shared" ref="M29:M41" si="20">(J29*M$3)</f>
        <v>0</v>
      </c>
      <c r="N29" s="701">
        <f t="shared" ref="N29:N41" si="21">(J29*N$3)</f>
        <v>0</v>
      </c>
      <c r="O29" s="701">
        <f t="shared" ref="O29:O41" si="22">(J29*O$3)</f>
        <v>0</v>
      </c>
      <c r="P29" s="701">
        <f t="shared" ref="P29:P41" si="23">(J29-L29-M29-N29-O29)</f>
        <v>5869.3826839949988</v>
      </c>
      <c r="Q29" s="192">
        <f t="shared" ref="Q29:Q41" si="24">(K29-F29)/F29</f>
        <v>0.38224999999999976</v>
      </c>
      <c r="R29" s="684">
        <f t="shared" ref="R29:R41" si="25">(P29-F29)/P29</f>
        <v>0.2384651264623848</v>
      </c>
      <c r="S29" s="921"/>
      <c r="T29" s="113"/>
      <c r="U29" s="113"/>
      <c r="V29" s="113"/>
      <c r="W29" s="113"/>
      <c r="X29" s="113"/>
    </row>
    <row r="30" spans="1:24">
      <c r="A30" s="113" t="s">
        <v>240</v>
      </c>
      <c r="B30" s="113"/>
      <c r="C30" s="895">
        <v>5.0999999999999996</v>
      </c>
      <c r="D30" s="683">
        <f t="shared" si="15"/>
        <v>5.3804999999999996</v>
      </c>
      <c r="E30" s="683">
        <f t="shared" si="16"/>
        <v>7.4788949999999996</v>
      </c>
      <c r="F30" s="879">
        <f t="shared" si="1"/>
        <v>9498.1966499999999</v>
      </c>
      <c r="G30" s="902">
        <f t="shared" ref="G30:G41" si="26">(F30*1.5)</f>
        <v>14247.294975000001</v>
      </c>
      <c r="H30" s="263">
        <f t="shared" si="17"/>
        <v>17239.226919749999</v>
      </c>
      <c r="I30" s="13">
        <f>((G30-(G30*Varta!H$3)))</f>
        <v>13534.93022625</v>
      </c>
      <c r="J30" s="13">
        <f>((I30-(I30*Varta!I$3)))</f>
        <v>13128.8823194625</v>
      </c>
      <c r="K30" s="701">
        <f t="shared" si="18"/>
        <v>13128.8823194625</v>
      </c>
      <c r="L30" s="701">
        <f t="shared" si="19"/>
        <v>656.44411597312501</v>
      </c>
      <c r="M30" s="701">
        <f t="shared" si="20"/>
        <v>0</v>
      </c>
      <c r="N30" s="701">
        <f t="shared" si="21"/>
        <v>0</v>
      </c>
      <c r="O30" s="701">
        <f t="shared" si="22"/>
        <v>0</v>
      </c>
      <c r="P30" s="701">
        <f t="shared" si="23"/>
        <v>12472.438203489375</v>
      </c>
      <c r="Q30" s="192">
        <f t="shared" si="24"/>
        <v>0.38225000000000003</v>
      </c>
      <c r="R30" s="684">
        <f t="shared" si="25"/>
        <v>0.23846512646238496</v>
      </c>
      <c r="S30" s="921"/>
      <c r="T30" s="113"/>
      <c r="U30" s="113"/>
      <c r="V30" s="113"/>
      <c r="W30" s="113"/>
      <c r="X30" s="113"/>
    </row>
    <row r="31" spans="1:24">
      <c r="A31" s="113" t="s">
        <v>241</v>
      </c>
      <c r="B31" s="113"/>
      <c r="C31" s="895">
        <v>6.69</v>
      </c>
      <c r="D31" s="683">
        <f t="shared" si="15"/>
        <v>7.0579499999999999</v>
      </c>
      <c r="E31" s="683">
        <f t="shared" si="16"/>
        <v>9.8105504999999997</v>
      </c>
      <c r="F31" s="879">
        <f t="shared" si="1"/>
        <v>12459.399135</v>
      </c>
      <c r="G31" s="902">
        <f t="shared" si="26"/>
        <v>18689.098702499999</v>
      </c>
      <c r="H31" s="263">
        <f t="shared" si="17"/>
        <v>22613.809430024998</v>
      </c>
      <c r="I31" s="13">
        <f>((G31-(G31*Varta!H$3)))</f>
        <v>17754.643767375001</v>
      </c>
      <c r="J31" s="13">
        <f>((I31-(I31*Varta!I$3)))</f>
        <v>17222.004454353751</v>
      </c>
      <c r="K31" s="701">
        <f t="shared" si="18"/>
        <v>17222.004454353751</v>
      </c>
      <c r="L31" s="701">
        <f t="shared" si="19"/>
        <v>861.10022271768764</v>
      </c>
      <c r="M31" s="701">
        <f t="shared" si="20"/>
        <v>0</v>
      </c>
      <c r="N31" s="701">
        <f t="shared" si="21"/>
        <v>0</v>
      </c>
      <c r="O31" s="701">
        <f t="shared" si="22"/>
        <v>0</v>
      </c>
      <c r="P31" s="701">
        <f t="shared" si="23"/>
        <v>16360.904231636065</v>
      </c>
      <c r="Q31" s="192">
        <f t="shared" si="24"/>
        <v>0.38225000000000015</v>
      </c>
      <c r="R31" s="684">
        <f t="shared" si="25"/>
        <v>0.23846512646238505</v>
      </c>
      <c r="S31" s="921"/>
      <c r="T31" s="113"/>
      <c r="U31" s="113"/>
      <c r="V31" s="113"/>
      <c r="W31" s="113"/>
      <c r="X31" s="113"/>
    </row>
    <row r="32" spans="1:24">
      <c r="A32" s="113" t="s">
        <v>242</v>
      </c>
      <c r="B32" s="113"/>
      <c r="C32" s="895">
        <v>11.44</v>
      </c>
      <c r="D32" s="683">
        <f t="shared" si="15"/>
        <v>12.069199999999999</v>
      </c>
      <c r="E32" s="683">
        <f t="shared" si="16"/>
        <v>16.776187999999998</v>
      </c>
      <c r="F32" s="879">
        <f t="shared" si="1"/>
        <v>21305.758759999997</v>
      </c>
      <c r="G32" s="902">
        <f t="shared" si="26"/>
        <v>31958.638139999995</v>
      </c>
      <c r="H32" s="263">
        <f t="shared" si="17"/>
        <v>38669.952149399993</v>
      </c>
      <c r="I32" s="13">
        <f>((G32-(G32*Varta!H$3)))</f>
        <v>30360.706232999997</v>
      </c>
      <c r="J32" s="13">
        <f>((I32-(I32*Varta!I$3)))</f>
        <v>29449.885046009997</v>
      </c>
      <c r="K32" s="701">
        <f t="shared" si="18"/>
        <v>29449.885046009997</v>
      </c>
      <c r="L32" s="701">
        <f t="shared" si="19"/>
        <v>1472.4942523005</v>
      </c>
      <c r="M32" s="701">
        <f t="shared" si="20"/>
        <v>0</v>
      </c>
      <c r="N32" s="701">
        <f t="shared" si="21"/>
        <v>0</v>
      </c>
      <c r="O32" s="701">
        <f t="shared" si="22"/>
        <v>0</v>
      </c>
      <c r="P32" s="701">
        <f t="shared" si="23"/>
        <v>27977.390793709495</v>
      </c>
      <c r="Q32" s="192">
        <f t="shared" si="24"/>
        <v>0.38225000000000003</v>
      </c>
      <c r="R32" s="684">
        <f t="shared" si="25"/>
        <v>0.23846512646238494</v>
      </c>
      <c r="S32" s="921"/>
      <c r="T32" s="113"/>
      <c r="U32" s="113"/>
      <c r="V32" s="113"/>
      <c r="W32" s="113"/>
      <c r="X32" s="113"/>
    </row>
    <row r="33" spans="1:24">
      <c r="A33" s="113" t="s">
        <v>243</v>
      </c>
      <c r="B33" s="113"/>
      <c r="C33" s="895">
        <v>16.97</v>
      </c>
      <c r="D33" s="683">
        <f t="shared" si="15"/>
        <v>17.90335</v>
      </c>
      <c r="E33" s="683">
        <f t="shared" si="16"/>
        <v>24.8856565</v>
      </c>
      <c r="F33" s="879">
        <f t="shared" si="1"/>
        <v>31604.783755</v>
      </c>
      <c r="G33" s="902">
        <f t="shared" si="26"/>
        <v>47407.175632500002</v>
      </c>
      <c r="H33" s="263">
        <f t="shared" si="17"/>
        <v>57362.682515325003</v>
      </c>
      <c r="I33" s="13">
        <f>((G33-(G33*Varta!H$3)))</f>
        <v>45036.816850875002</v>
      </c>
      <c r="J33" s="13">
        <f>((I33-(I33*Varta!I$3)))</f>
        <v>43685.712345348751</v>
      </c>
      <c r="K33" s="701">
        <f t="shared" si="18"/>
        <v>43685.712345348751</v>
      </c>
      <c r="L33" s="701">
        <f t="shared" si="19"/>
        <v>2184.2856172674378</v>
      </c>
      <c r="M33" s="701">
        <f t="shared" si="20"/>
        <v>0</v>
      </c>
      <c r="N33" s="701">
        <f t="shared" si="21"/>
        <v>0</v>
      </c>
      <c r="O33" s="701">
        <f t="shared" si="22"/>
        <v>0</v>
      </c>
      <c r="P33" s="701">
        <f t="shared" si="23"/>
        <v>41501.426728081315</v>
      </c>
      <c r="Q33" s="192">
        <f t="shared" si="24"/>
        <v>0.38225000000000003</v>
      </c>
      <c r="R33" s="684">
        <f t="shared" si="25"/>
        <v>0.23846512646238496</v>
      </c>
      <c r="S33" s="921"/>
      <c r="T33" s="113"/>
      <c r="U33" s="113"/>
      <c r="V33" s="113"/>
      <c r="W33" s="113"/>
      <c r="X33" s="113"/>
    </row>
    <row r="34" spans="1:24">
      <c r="A34" s="113" t="s">
        <v>244</v>
      </c>
      <c r="B34" s="113"/>
      <c r="C34" s="895">
        <v>27.37</v>
      </c>
      <c r="D34" s="683">
        <f t="shared" si="15"/>
        <v>28.875350000000001</v>
      </c>
      <c r="E34" s="683">
        <f t="shared" si="16"/>
        <v>40.136736499999998</v>
      </c>
      <c r="F34" s="879">
        <f t="shared" si="1"/>
        <v>50973.655354999995</v>
      </c>
      <c r="G34" s="902">
        <f t="shared" si="26"/>
        <v>76460.483032499993</v>
      </c>
      <c r="H34" s="263">
        <f t="shared" si="17"/>
        <v>92517.184469324988</v>
      </c>
      <c r="I34" s="13">
        <f>((G34-(G34*Varta!H$3)))</f>
        <v>72637.458880874998</v>
      </c>
      <c r="J34" s="13">
        <f>((I34-(I34*Varta!I$3)))</f>
        <v>70458.335114448753</v>
      </c>
      <c r="K34" s="701">
        <f t="shared" si="18"/>
        <v>70458.335114448753</v>
      </c>
      <c r="L34" s="701">
        <f t="shared" si="19"/>
        <v>3522.9167557224378</v>
      </c>
      <c r="M34" s="701">
        <f t="shared" si="20"/>
        <v>0</v>
      </c>
      <c r="N34" s="701">
        <f t="shared" si="21"/>
        <v>0</v>
      </c>
      <c r="O34" s="701">
        <f t="shared" si="22"/>
        <v>0</v>
      </c>
      <c r="P34" s="701">
        <f t="shared" si="23"/>
        <v>66935.418358726311</v>
      </c>
      <c r="Q34" s="192">
        <f t="shared" si="24"/>
        <v>0.3822500000000002</v>
      </c>
      <c r="R34" s="684">
        <f t="shared" si="25"/>
        <v>0.23846512646238499</v>
      </c>
      <c r="S34" s="921"/>
      <c r="T34" s="113"/>
      <c r="U34" s="113"/>
      <c r="V34" s="113"/>
      <c r="W34" s="113"/>
      <c r="X34" s="113"/>
    </row>
    <row r="35" spans="1:24">
      <c r="A35" s="921"/>
      <c r="B35" s="921"/>
      <c r="C35" s="683"/>
      <c r="D35" s="683">
        <f t="shared" si="15"/>
        <v>0</v>
      </c>
      <c r="E35" s="683">
        <f t="shared" si="16"/>
        <v>0</v>
      </c>
      <c r="F35" s="879">
        <f t="shared" si="1"/>
        <v>0</v>
      </c>
      <c r="G35" s="902">
        <f t="shared" si="26"/>
        <v>0</v>
      </c>
      <c r="H35" s="263">
        <f t="shared" si="17"/>
        <v>0</v>
      </c>
      <c r="I35" s="13">
        <f>((G35-(G35*Varta!H$3)))</f>
        <v>0</v>
      </c>
      <c r="J35" s="13">
        <f>((I35-(I35*Varta!I$3)))</f>
        <v>0</v>
      </c>
      <c r="K35" s="701">
        <f t="shared" si="18"/>
        <v>0</v>
      </c>
      <c r="L35" s="701">
        <f t="shared" si="19"/>
        <v>0</v>
      </c>
      <c r="M35" s="701">
        <f t="shared" si="20"/>
        <v>0</v>
      </c>
      <c r="N35" s="701">
        <f t="shared" si="21"/>
        <v>0</v>
      </c>
      <c r="O35" s="701">
        <f t="shared" si="22"/>
        <v>0</v>
      </c>
      <c r="P35" s="701">
        <f t="shared" si="23"/>
        <v>0</v>
      </c>
      <c r="Q35" s="192" t="e">
        <f t="shared" si="24"/>
        <v>#DIV/0!</v>
      </c>
      <c r="R35" s="684" t="e">
        <f t="shared" si="25"/>
        <v>#DIV/0!</v>
      </c>
      <c r="S35" s="921"/>
      <c r="T35" s="921"/>
      <c r="U35" s="921"/>
      <c r="V35" s="921"/>
      <c r="W35" s="921"/>
      <c r="X35" s="921"/>
    </row>
    <row r="36" spans="1:24">
      <c r="A36" s="113" t="s">
        <v>245</v>
      </c>
      <c r="B36" s="113"/>
      <c r="C36" s="895">
        <v>13.19</v>
      </c>
      <c r="D36" s="683">
        <f t="shared" si="15"/>
        <v>13.91545</v>
      </c>
      <c r="E36" s="683">
        <f t="shared" si="16"/>
        <v>19.342475499999999</v>
      </c>
      <c r="F36" s="879">
        <f t="shared" si="1"/>
        <v>24564.943885000001</v>
      </c>
      <c r="G36" s="902">
        <f t="shared" si="26"/>
        <v>36847.415827500001</v>
      </c>
      <c r="H36" s="263">
        <f t="shared" si="17"/>
        <v>44585.373151275002</v>
      </c>
      <c r="I36" s="13">
        <f>((G36-(G36*Varta!H$3)))</f>
        <v>35005.045036125004</v>
      </c>
      <c r="J36" s="13">
        <f>((I36-(I36*Varta!I$3)))</f>
        <v>33954.893685041257</v>
      </c>
      <c r="K36" s="701">
        <f t="shared" si="18"/>
        <v>33954.893685041257</v>
      </c>
      <c r="L36" s="701">
        <f t="shared" si="19"/>
        <v>1697.7446842520631</v>
      </c>
      <c r="M36" s="701">
        <f t="shared" si="20"/>
        <v>0</v>
      </c>
      <c r="N36" s="701">
        <f t="shared" si="21"/>
        <v>0</v>
      </c>
      <c r="O36" s="701">
        <f t="shared" si="22"/>
        <v>0</v>
      </c>
      <c r="P36" s="701">
        <f t="shared" si="23"/>
        <v>32257.149000789195</v>
      </c>
      <c r="Q36" s="192">
        <f t="shared" si="24"/>
        <v>0.38225000000000026</v>
      </c>
      <c r="R36" s="684">
        <f t="shared" si="25"/>
        <v>0.2384651264623851</v>
      </c>
      <c r="S36" s="921"/>
      <c r="T36" s="113"/>
      <c r="U36" s="113"/>
      <c r="V36" s="113"/>
      <c r="W36" s="113"/>
      <c r="X36" s="113"/>
    </row>
    <row r="37" spans="1:24">
      <c r="A37" s="113" t="s">
        <v>246</v>
      </c>
      <c r="B37" s="113"/>
      <c r="C37" s="895">
        <v>18.72</v>
      </c>
      <c r="D37" s="683">
        <f t="shared" si="15"/>
        <v>19.749599999999997</v>
      </c>
      <c r="E37" s="683">
        <f t="shared" si="16"/>
        <v>27.451943999999997</v>
      </c>
      <c r="F37" s="879">
        <f t="shared" si="1"/>
        <v>34863.96888</v>
      </c>
      <c r="G37" s="902">
        <f t="shared" si="26"/>
        <v>52295.953320000001</v>
      </c>
      <c r="H37" s="263">
        <f t="shared" si="17"/>
        <v>63278.103517199997</v>
      </c>
      <c r="I37" s="13">
        <f>((G37-(G37*Varta!H$3)))</f>
        <v>49681.155654000002</v>
      </c>
      <c r="J37" s="13">
        <f>((I37-(I37*Varta!I$3)))</f>
        <v>48190.720984380001</v>
      </c>
      <c r="K37" s="701">
        <f t="shared" si="18"/>
        <v>48190.720984380001</v>
      </c>
      <c r="L37" s="701">
        <f t="shared" si="19"/>
        <v>2409.5360492190002</v>
      </c>
      <c r="M37" s="701">
        <f t="shared" si="20"/>
        <v>0</v>
      </c>
      <c r="N37" s="701">
        <f t="shared" si="21"/>
        <v>0</v>
      </c>
      <c r="O37" s="701">
        <f t="shared" si="22"/>
        <v>0</v>
      </c>
      <c r="P37" s="701">
        <f t="shared" si="23"/>
        <v>45781.184935161</v>
      </c>
      <c r="Q37" s="192">
        <f t="shared" si="24"/>
        <v>0.38225000000000003</v>
      </c>
      <c r="R37" s="684">
        <f t="shared" si="25"/>
        <v>0.23846512646238494</v>
      </c>
      <c r="S37" s="921"/>
      <c r="T37" s="113"/>
      <c r="U37" s="113"/>
      <c r="V37" s="113"/>
      <c r="W37" s="113"/>
      <c r="X37" s="113"/>
    </row>
    <row r="38" spans="1:24">
      <c r="A38" s="113" t="s">
        <v>247</v>
      </c>
      <c r="B38" s="113"/>
      <c r="C38" s="895">
        <v>27.37</v>
      </c>
      <c r="D38" s="683">
        <f t="shared" si="15"/>
        <v>28.875350000000001</v>
      </c>
      <c r="E38" s="683">
        <f t="shared" si="16"/>
        <v>40.136736499999998</v>
      </c>
      <c r="F38" s="879">
        <f t="shared" si="1"/>
        <v>50973.655354999995</v>
      </c>
      <c r="G38" s="902">
        <f t="shared" si="26"/>
        <v>76460.483032499993</v>
      </c>
      <c r="H38" s="263">
        <f t="shared" si="17"/>
        <v>92517.184469324988</v>
      </c>
      <c r="I38" s="13">
        <f>((G38-(G38*Varta!H$3)))</f>
        <v>72637.458880874998</v>
      </c>
      <c r="J38" s="13">
        <f>((I38-(I38*Varta!I$3)))</f>
        <v>70458.335114448753</v>
      </c>
      <c r="K38" s="701">
        <f t="shared" si="18"/>
        <v>70458.335114448753</v>
      </c>
      <c r="L38" s="701">
        <f t="shared" si="19"/>
        <v>3522.9167557224378</v>
      </c>
      <c r="M38" s="701">
        <f t="shared" si="20"/>
        <v>0</v>
      </c>
      <c r="N38" s="701">
        <f t="shared" si="21"/>
        <v>0</v>
      </c>
      <c r="O38" s="701">
        <f t="shared" si="22"/>
        <v>0</v>
      </c>
      <c r="P38" s="701">
        <f t="shared" si="23"/>
        <v>66935.418358726311</v>
      </c>
      <c r="Q38" s="192">
        <f t="shared" si="24"/>
        <v>0.3822500000000002</v>
      </c>
      <c r="R38" s="684">
        <f t="shared" si="25"/>
        <v>0.23846512646238499</v>
      </c>
      <c r="S38" s="921"/>
      <c r="T38" s="113"/>
      <c r="U38" s="113"/>
      <c r="V38" s="113"/>
      <c r="W38" s="113"/>
      <c r="X38" s="113"/>
    </row>
    <row r="39" spans="1:24">
      <c r="A39" s="113" t="s">
        <v>248</v>
      </c>
      <c r="B39" s="113"/>
      <c r="C39" s="895">
        <v>95.25</v>
      </c>
      <c r="D39" s="683">
        <f t="shared" si="15"/>
        <v>100.48875</v>
      </c>
      <c r="E39" s="683">
        <f t="shared" si="16"/>
        <v>139.6793625</v>
      </c>
      <c r="F39" s="879">
        <f t="shared" si="1"/>
        <v>177392.79037499998</v>
      </c>
      <c r="G39" s="902">
        <f t="shared" si="26"/>
        <v>266089.18556249997</v>
      </c>
      <c r="H39" s="263">
        <f t="shared" si="17"/>
        <v>321967.91453062498</v>
      </c>
      <c r="I39" s="13">
        <f>((G39-(G39*Varta!H$3)))</f>
        <v>252784.72628437498</v>
      </c>
      <c r="J39" s="13">
        <f>((I39-(I39*Varta!I$3)))</f>
        <v>245201.18449584371</v>
      </c>
      <c r="K39" s="701">
        <f t="shared" si="18"/>
        <v>245201.18449584371</v>
      </c>
      <c r="L39" s="701">
        <f t="shared" si="19"/>
        <v>12260.059224792187</v>
      </c>
      <c r="M39" s="701">
        <f t="shared" si="20"/>
        <v>0</v>
      </c>
      <c r="N39" s="701">
        <f t="shared" si="21"/>
        <v>0</v>
      </c>
      <c r="O39" s="701">
        <f t="shared" si="22"/>
        <v>0</v>
      </c>
      <c r="P39" s="701">
        <f t="shared" si="23"/>
        <v>232941.12527105154</v>
      </c>
      <c r="Q39" s="192">
        <f t="shared" si="24"/>
        <v>0.38224999999999992</v>
      </c>
      <c r="R39" s="684">
        <f t="shared" si="25"/>
        <v>0.23846512646238494</v>
      </c>
      <c r="S39" s="921"/>
      <c r="T39" s="113"/>
      <c r="U39" s="113"/>
      <c r="V39" s="113"/>
      <c r="W39" s="113"/>
      <c r="X39" s="113"/>
    </row>
    <row r="40" spans="1:24">
      <c r="A40" s="113" t="s">
        <v>249</v>
      </c>
      <c r="B40" s="113"/>
      <c r="C40" s="895">
        <v>110.37</v>
      </c>
      <c r="D40" s="683">
        <f t="shared" si="15"/>
        <v>116.44035000000001</v>
      </c>
      <c r="E40" s="683">
        <f t="shared" si="16"/>
        <v>161.85208650000001</v>
      </c>
      <c r="F40" s="879">
        <f t="shared" si="1"/>
        <v>205552.14985500003</v>
      </c>
      <c r="G40" s="902">
        <f t="shared" si="26"/>
        <v>308328.22478250007</v>
      </c>
      <c r="H40" s="263">
        <f t="shared" si="17"/>
        <v>373077.15198682505</v>
      </c>
      <c r="I40" s="13">
        <f>((G40-(G40*Varta!H$3)))</f>
        <v>292911.81354337506</v>
      </c>
      <c r="J40" s="13">
        <f>((I40-(I40*Varta!I$3)))</f>
        <v>284124.45913707383</v>
      </c>
      <c r="K40" s="701">
        <f t="shared" si="18"/>
        <v>284124.45913707383</v>
      </c>
      <c r="L40" s="701">
        <f t="shared" si="19"/>
        <v>14206.222956853693</v>
      </c>
      <c r="M40" s="701">
        <f t="shared" si="20"/>
        <v>0</v>
      </c>
      <c r="N40" s="701">
        <f t="shared" si="21"/>
        <v>0</v>
      </c>
      <c r="O40" s="701">
        <f t="shared" si="22"/>
        <v>0</v>
      </c>
      <c r="P40" s="701">
        <f t="shared" si="23"/>
        <v>269918.23618022015</v>
      </c>
      <c r="Q40" s="192">
        <f t="shared" si="24"/>
        <v>0.38225000000000026</v>
      </c>
      <c r="R40" s="684">
        <f t="shared" si="25"/>
        <v>0.23846512646238507</v>
      </c>
      <c r="S40" s="921"/>
      <c r="T40" s="113"/>
      <c r="U40" s="113"/>
      <c r="V40" s="113"/>
      <c r="W40" s="113"/>
      <c r="X40" s="113"/>
    </row>
    <row r="41" spans="1:24">
      <c r="A41" s="113" t="s">
        <v>250</v>
      </c>
      <c r="B41" s="113"/>
      <c r="C41" s="895">
        <v>184.37</v>
      </c>
      <c r="D41" s="683">
        <f t="shared" si="15"/>
        <v>194.51035000000002</v>
      </c>
      <c r="E41" s="683">
        <f t="shared" si="16"/>
        <v>270.36938650000002</v>
      </c>
      <c r="F41" s="879">
        <f t="shared" si="1"/>
        <v>343369.12085500004</v>
      </c>
      <c r="G41" s="902">
        <f t="shared" si="26"/>
        <v>515053.68128250004</v>
      </c>
      <c r="H41" s="263">
        <f t="shared" si="17"/>
        <v>623214.95435182506</v>
      </c>
      <c r="I41" s="13">
        <f>((G41-(G41*Varta!H$3)))</f>
        <v>489300.99721837504</v>
      </c>
      <c r="J41" s="13">
        <f>((I41-(I41*Varta!I$3)))</f>
        <v>474621.96730182378</v>
      </c>
      <c r="K41" s="701">
        <f t="shared" si="18"/>
        <v>474621.96730182378</v>
      </c>
      <c r="L41" s="701">
        <f t="shared" si="19"/>
        <v>23731.098365091191</v>
      </c>
      <c r="M41" s="701">
        <f t="shared" si="20"/>
        <v>0</v>
      </c>
      <c r="N41" s="701">
        <f t="shared" si="21"/>
        <v>0</v>
      </c>
      <c r="O41" s="701">
        <f t="shared" si="22"/>
        <v>0</v>
      </c>
      <c r="P41" s="701">
        <f t="shared" si="23"/>
        <v>450890.86893673259</v>
      </c>
      <c r="Q41" s="192">
        <f t="shared" si="24"/>
        <v>0.38224999999999992</v>
      </c>
      <c r="R41" s="684">
        <f t="shared" si="25"/>
        <v>0.23846512646238488</v>
      </c>
      <c r="S41" s="921"/>
      <c r="T41" s="113"/>
      <c r="U41" s="113"/>
      <c r="V41" s="113"/>
      <c r="W41" s="113"/>
      <c r="X41" s="113"/>
    </row>
    <row r="46" spans="1:24">
      <c r="A46" s="921"/>
      <c r="B46" s="921"/>
      <c r="C46" s="921"/>
      <c r="D46" s="146"/>
      <c r="E46" s="921"/>
      <c r="F46" s="921"/>
      <c r="G46" s="921"/>
      <c r="H46" s="921"/>
      <c r="I46" s="921"/>
      <c r="J46" s="921"/>
      <c r="K46" s="921"/>
      <c r="L46" s="921"/>
      <c r="M46" s="921"/>
      <c r="N46" s="921"/>
      <c r="O46" s="921"/>
      <c r="P46" s="921"/>
      <c r="Q46" s="921"/>
      <c r="R46" s="921"/>
      <c r="S46" s="921"/>
      <c r="T46" s="921"/>
      <c r="U46" s="921"/>
      <c r="V46" s="921"/>
      <c r="W46" s="921"/>
      <c r="X46" s="921"/>
    </row>
    <row r="47" spans="1:24">
      <c r="A47" s="921"/>
      <c r="B47" s="921"/>
      <c r="C47" s="921"/>
      <c r="D47" s="197"/>
      <c r="E47" s="921"/>
      <c r="F47" s="921"/>
      <c r="G47" s="921"/>
      <c r="H47" s="921"/>
      <c r="I47" s="921"/>
      <c r="J47" s="921"/>
      <c r="K47" s="921"/>
      <c r="L47" s="921"/>
      <c r="M47" s="921"/>
      <c r="N47" s="921"/>
      <c r="O47" s="921"/>
      <c r="P47" s="921"/>
      <c r="Q47" s="921"/>
      <c r="R47" s="921"/>
      <c r="S47" s="921"/>
      <c r="T47" s="921"/>
      <c r="U47" s="921"/>
      <c r="V47" s="921"/>
      <c r="W47" s="921"/>
      <c r="X47" s="921"/>
    </row>
    <row r="48" spans="1:24">
      <c r="A48" s="921"/>
      <c r="B48" s="921"/>
      <c r="C48" s="921"/>
      <c r="D48" s="666"/>
      <c r="E48" s="921"/>
      <c r="F48" s="921"/>
      <c r="G48" s="921"/>
      <c r="H48" s="921"/>
      <c r="I48" s="921"/>
      <c r="J48" s="921"/>
      <c r="K48" s="921"/>
      <c r="L48" s="921"/>
      <c r="M48" s="921"/>
      <c r="N48" s="921"/>
      <c r="O48" s="921"/>
      <c r="P48" s="921"/>
      <c r="Q48" s="921"/>
      <c r="R48" s="921"/>
      <c r="S48" s="921"/>
      <c r="T48" s="921"/>
      <c r="U48" s="921"/>
      <c r="V48" s="921"/>
      <c r="W48" s="921"/>
      <c r="X48" s="92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39"/>
  <sheetViews>
    <sheetView topLeftCell="A7" workbookViewId="0">
      <selection activeCell="I25" sqref="I25"/>
    </sheetView>
  </sheetViews>
  <sheetFormatPr baseColWidth="10" defaultColWidth="11.44140625" defaultRowHeight="14.4"/>
  <cols>
    <col min="1" max="1" width="14" bestFit="1" customWidth="1"/>
    <col min="3" max="3" width="12.5546875" bestFit="1" customWidth="1"/>
    <col min="4" max="4" width="12.44140625" bestFit="1" customWidth="1"/>
    <col min="9" max="9" width="12.44140625" bestFit="1" customWidth="1"/>
    <col min="10" max="10" width="12.44140625" style="1" bestFit="1" customWidth="1"/>
    <col min="11" max="11" width="12.44140625" bestFit="1" customWidth="1"/>
    <col min="12" max="12" width="10.5546875" customWidth="1"/>
    <col min="13" max="13" width="9.44140625" bestFit="1" customWidth="1"/>
    <col min="14" max="14" width="13" bestFit="1" customWidth="1"/>
    <col min="15" max="15" width="12.44140625" customWidth="1"/>
  </cols>
  <sheetData>
    <row r="1" spans="1:23" ht="18.600000000000001" thickBot="1">
      <c r="A1" s="51"/>
      <c r="B1" s="2"/>
      <c r="C1" s="2"/>
      <c r="D1" s="1"/>
      <c r="E1" s="1"/>
      <c r="F1" s="32"/>
      <c r="G1" s="10"/>
      <c r="H1" s="50"/>
      <c r="I1" s="50"/>
      <c r="J1" s="50"/>
      <c r="K1" s="50"/>
      <c r="L1" s="1"/>
      <c r="M1" s="1"/>
      <c r="N1" s="41"/>
      <c r="O1" s="41"/>
      <c r="P1" s="10"/>
      <c r="Q1" s="50"/>
      <c r="R1" s="50"/>
      <c r="S1" s="921"/>
      <c r="T1" s="178" t="s">
        <v>24</v>
      </c>
      <c r="U1" s="174" t="s">
        <v>25</v>
      </c>
      <c r="V1" s="174"/>
      <c r="W1" s="175">
        <v>10000</v>
      </c>
    </row>
    <row r="2" spans="1:23" ht="21">
      <c r="A2" s="14" t="s">
        <v>251</v>
      </c>
      <c r="B2" s="1"/>
      <c r="C2" s="1"/>
      <c r="D2" s="1"/>
      <c r="E2" s="101">
        <v>45159</v>
      </c>
      <c r="F2" s="1"/>
      <c r="G2" s="10"/>
      <c r="H2" s="52" t="s">
        <v>65</v>
      </c>
      <c r="I2" s="48" t="s">
        <v>66</v>
      </c>
      <c r="K2" s="226">
        <v>0.6</v>
      </c>
      <c r="L2" s="225"/>
      <c r="M2" s="1"/>
      <c r="N2" s="216">
        <v>45224</v>
      </c>
      <c r="O2" s="414"/>
      <c r="P2" s="10"/>
      <c r="Q2" s="40"/>
      <c r="R2" s="40"/>
      <c r="S2" s="921"/>
      <c r="T2" s="185"/>
      <c r="U2" s="183" t="s">
        <v>27</v>
      </c>
      <c r="V2" s="183"/>
      <c r="W2" s="184">
        <v>14000</v>
      </c>
    </row>
    <row r="3" spans="1:23" ht="15" thickBot="1">
      <c r="A3" s="35" t="s">
        <v>252</v>
      </c>
      <c r="B3" s="35">
        <v>193.76</v>
      </c>
      <c r="C3" s="35"/>
      <c r="D3" s="34">
        <f>(B3*Newmax!D$2)</f>
        <v>205385.59999999998</v>
      </c>
      <c r="E3" s="71">
        <v>160470.93834164809</v>
      </c>
      <c r="F3" s="71">
        <f>E3-(E3*Varta!H3)</f>
        <v>152447.39142456569</v>
      </c>
      <c r="G3" s="71">
        <f>(F3-(F3*Varta!I$3))</f>
        <v>147873.96968182872</v>
      </c>
      <c r="H3" s="49">
        <f>(G3-D3)/D3</f>
        <v>-0.28001783142621128</v>
      </c>
      <c r="I3" s="49">
        <f>(G3-D3)/G3</f>
        <v>-0.38892328678208532</v>
      </c>
      <c r="J3" s="50"/>
      <c r="K3" s="227">
        <f>(D3*1.6)</f>
        <v>328616.95999999996</v>
      </c>
      <c r="L3" s="227">
        <f>(K3*1.21)</f>
        <v>397626.52159999992</v>
      </c>
      <c r="M3" s="189"/>
      <c r="N3" s="117"/>
      <c r="O3" s="440">
        <f>CEILING(N3,50)</f>
        <v>0</v>
      </c>
      <c r="P3" s="42">
        <f>(N3/1.21)</f>
        <v>0</v>
      </c>
      <c r="Q3" s="190">
        <f>(P3-D3)/D3</f>
        <v>-1</v>
      </c>
      <c r="R3" s="191" t="e">
        <f>(P3-D3)/P3</f>
        <v>#DIV/0!</v>
      </c>
      <c r="S3" s="921"/>
      <c r="T3" s="179"/>
      <c r="U3" s="180" t="s">
        <v>29</v>
      </c>
      <c r="V3" s="180"/>
      <c r="W3" s="181">
        <v>19000</v>
      </c>
    </row>
    <row r="4" spans="1:23">
      <c r="A4" s="35" t="s">
        <v>253</v>
      </c>
      <c r="B4" s="35">
        <v>227.98</v>
      </c>
      <c r="C4" s="35"/>
      <c r="D4" s="34">
        <f>(B4*Newmax!D$2)</f>
        <v>241658.8</v>
      </c>
      <c r="E4" s="71">
        <v>187655.38167722095</v>
      </c>
      <c r="F4" s="71">
        <f>E4-(E4*Varta!H3)</f>
        <v>178272.6125933599</v>
      </c>
      <c r="G4" s="71">
        <f>(F4-(F4*Varta!I$3))</f>
        <v>172924.4342155591</v>
      </c>
      <c r="H4" s="49">
        <f>(G4-D4)/D4</f>
        <v>-0.2844273239147132</v>
      </c>
      <c r="I4" s="49">
        <f>(G4-D4)/G4</f>
        <v>-0.39748209150570363</v>
      </c>
      <c r="J4" s="50"/>
      <c r="K4" s="227">
        <f>(D4*1.6)</f>
        <v>386654.08</v>
      </c>
      <c r="L4" s="227">
        <f>(K4*1.21)</f>
        <v>467851.43680000002</v>
      </c>
      <c r="M4" s="189"/>
      <c r="N4" s="117"/>
      <c r="O4" s="440">
        <f>CEILING(N4,50)</f>
        <v>0</v>
      </c>
      <c r="P4" s="42">
        <f>(N4/1.21)</f>
        <v>0</v>
      </c>
      <c r="Q4" s="190">
        <f>(P4-D4)/D4</f>
        <v>-1</v>
      </c>
      <c r="R4" s="191" t="e">
        <f>(P4-D4)/P4</f>
        <v>#DIV/0!</v>
      </c>
      <c r="S4" s="921"/>
      <c r="T4" s="921"/>
      <c r="U4" s="921"/>
      <c r="V4" s="921"/>
      <c r="W4" s="921"/>
    </row>
    <row r="6" spans="1:23">
      <c r="A6" s="921"/>
      <c r="B6" s="921"/>
      <c r="C6" s="921"/>
      <c r="D6" s="921"/>
      <c r="E6" s="146"/>
      <c r="F6" s="921"/>
      <c r="G6" s="921"/>
      <c r="H6" s="921"/>
      <c r="I6" s="921"/>
      <c r="K6" s="921"/>
      <c r="L6" s="921"/>
      <c r="M6" s="921"/>
      <c r="N6" s="146"/>
      <c r="O6" s="146"/>
      <c r="P6" s="146"/>
      <c r="Q6" s="921"/>
      <c r="R6" s="921"/>
      <c r="S6" s="921"/>
      <c r="T6" s="921"/>
      <c r="U6" s="921"/>
      <c r="V6" s="921"/>
      <c r="W6" s="921"/>
    </row>
    <row r="7" spans="1:23" ht="21">
      <c r="A7" s="14" t="s">
        <v>254</v>
      </c>
      <c r="B7" s="921"/>
      <c r="C7" s="921"/>
      <c r="D7" s="921"/>
      <c r="E7" s="921"/>
      <c r="F7" s="921"/>
      <c r="G7" s="921"/>
      <c r="H7" s="921"/>
      <c r="I7" s="921"/>
      <c r="K7" s="921"/>
      <c r="L7" s="921"/>
      <c r="M7" s="921"/>
      <c r="N7" s="921"/>
      <c r="O7" s="921"/>
      <c r="P7" s="921"/>
      <c r="Q7" s="921"/>
      <c r="R7" s="921"/>
      <c r="S7" s="921"/>
      <c r="T7" s="921"/>
      <c r="U7" s="921"/>
      <c r="V7" s="921"/>
      <c r="W7" s="921"/>
    </row>
    <row r="8" spans="1:23">
      <c r="A8" s="500" t="s">
        <v>255</v>
      </c>
      <c r="B8" s="921"/>
      <c r="C8" s="921"/>
      <c r="D8" s="146">
        <v>0.12</v>
      </c>
      <c r="E8" s="146">
        <v>0.15</v>
      </c>
      <c r="F8" s="921"/>
      <c r="G8" s="921"/>
      <c r="H8" s="921"/>
      <c r="I8" s="921"/>
      <c r="K8" s="921"/>
      <c r="L8" s="921"/>
      <c r="M8" s="921"/>
      <c r="N8" s="921"/>
      <c r="O8" s="921"/>
      <c r="P8" s="921"/>
      <c r="Q8" s="921"/>
      <c r="R8" s="921"/>
      <c r="S8" s="921"/>
      <c r="T8" s="921"/>
      <c r="U8" s="921"/>
      <c r="V8" s="921"/>
      <c r="W8" s="921"/>
    </row>
    <row r="9" spans="1:23">
      <c r="A9" s="113" t="s">
        <v>256</v>
      </c>
      <c r="B9" s="507" t="s">
        <v>257</v>
      </c>
      <c r="C9" s="275">
        <v>44310</v>
      </c>
      <c r="D9" s="275">
        <f>(C9-(C9*D$8))</f>
        <v>38992.800000000003</v>
      </c>
      <c r="E9" s="113"/>
      <c r="F9" s="921"/>
      <c r="G9" s="921"/>
      <c r="H9" s="921"/>
      <c r="I9" s="921"/>
      <c r="K9" s="921"/>
      <c r="L9" s="921"/>
      <c r="M9" s="921"/>
      <c r="N9" s="921"/>
      <c r="O9" s="921"/>
      <c r="P9" s="921"/>
      <c r="Q9" s="921"/>
      <c r="R9" s="921"/>
      <c r="S9" s="921"/>
      <c r="T9" s="921"/>
      <c r="U9" s="921"/>
      <c r="V9" s="921"/>
      <c r="W9" s="921"/>
    </row>
    <row r="10" spans="1:23">
      <c r="A10" s="113" t="s">
        <v>258</v>
      </c>
      <c r="B10" s="113" t="s">
        <v>259</v>
      </c>
      <c r="C10" s="275">
        <v>52934</v>
      </c>
      <c r="D10" s="275">
        <f t="shared" ref="D10:D24" si="0">(C10-(C10*D$8))</f>
        <v>46581.919999999998</v>
      </c>
      <c r="E10" s="113"/>
      <c r="F10" s="921"/>
      <c r="G10" s="921"/>
      <c r="H10" s="921"/>
      <c r="I10" s="921"/>
      <c r="K10" s="921"/>
      <c r="L10" s="921"/>
      <c r="M10" s="921"/>
      <c r="N10" s="921"/>
      <c r="O10" s="921"/>
      <c r="P10" s="921"/>
      <c r="Q10" s="921"/>
      <c r="R10" s="921"/>
      <c r="S10" s="921"/>
      <c r="T10" s="921"/>
      <c r="U10" s="921"/>
      <c r="V10" s="921"/>
      <c r="W10" s="921"/>
    </row>
    <row r="11" spans="1:23">
      <c r="A11" s="113" t="s">
        <v>260</v>
      </c>
      <c r="B11" s="113" t="s">
        <v>108</v>
      </c>
      <c r="C11" s="275">
        <v>49415</v>
      </c>
      <c r="D11" s="275">
        <f t="shared" si="0"/>
        <v>43485.2</v>
      </c>
      <c r="E11" s="113"/>
      <c r="F11" s="921"/>
      <c r="G11" s="921"/>
      <c r="H11" s="921"/>
      <c r="I11" s="921"/>
      <c r="K11" s="921"/>
      <c r="L11" s="921"/>
      <c r="M11" s="921"/>
      <c r="N11" s="921"/>
      <c r="O11" s="921"/>
      <c r="P11" s="921"/>
      <c r="Q11" s="921"/>
      <c r="R11" s="921"/>
      <c r="S11" s="921"/>
      <c r="T11" s="921"/>
      <c r="U11" s="921"/>
      <c r="V11" s="921"/>
      <c r="W11" s="921"/>
    </row>
    <row r="12" spans="1:23">
      <c r="A12" s="113" t="s">
        <v>261</v>
      </c>
      <c r="B12" s="113" t="s">
        <v>262</v>
      </c>
      <c r="C12" s="275">
        <v>60281</v>
      </c>
      <c r="D12" s="275">
        <f t="shared" si="0"/>
        <v>53047.28</v>
      </c>
      <c r="E12" s="113"/>
      <c r="F12" s="921"/>
      <c r="G12" s="921"/>
      <c r="H12" s="921"/>
      <c r="I12" s="921"/>
      <c r="K12" s="921"/>
      <c r="L12" s="921"/>
      <c r="M12" s="921"/>
      <c r="N12" s="921"/>
      <c r="O12" s="921"/>
      <c r="P12" s="921"/>
      <c r="Q12" s="921"/>
      <c r="R12" s="921"/>
      <c r="S12" s="921"/>
      <c r="T12" s="921"/>
      <c r="U12" s="921"/>
      <c r="V12" s="921"/>
      <c r="W12" s="921"/>
    </row>
    <row r="13" spans="1:23">
      <c r="A13" s="113" t="s">
        <v>263</v>
      </c>
      <c r="B13" s="113" t="s">
        <v>110</v>
      </c>
      <c r="C13" s="275">
        <v>70182</v>
      </c>
      <c r="D13" s="275">
        <f t="shared" si="0"/>
        <v>61760.160000000003</v>
      </c>
      <c r="E13" s="113"/>
      <c r="F13" s="921"/>
      <c r="G13" s="921"/>
      <c r="H13" s="921"/>
      <c r="I13" s="921"/>
      <c r="K13" s="921"/>
      <c r="L13" s="921"/>
      <c r="M13" s="921"/>
      <c r="N13" s="921"/>
      <c r="O13" s="921"/>
      <c r="P13" s="921"/>
      <c r="Q13" s="921"/>
      <c r="R13" s="921"/>
      <c r="S13" s="921"/>
      <c r="T13" s="921"/>
      <c r="U13" s="921"/>
      <c r="V13" s="921"/>
      <c r="W13" s="921"/>
    </row>
    <row r="14" spans="1:23">
      <c r="A14" s="113" t="s">
        <v>264</v>
      </c>
      <c r="B14" s="113" t="s">
        <v>265</v>
      </c>
      <c r="C14" s="275">
        <v>71130</v>
      </c>
      <c r="D14" s="275">
        <f t="shared" si="0"/>
        <v>62594.400000000001</v>
      </c>
      <c r="E14" s="113"/>
      <c r="F14" s="921"/>
      <c r="G14" s="921"/>
      <c r="H14" s="921"/>
      <c r="I14" s="921"/>
      <c r="K14" s="921"/>
      <c r="L14" s="921"/>
      <c r="M14" s="921"/>
      <c r="N14" s="921"/>
      <c r="O14" s="921"/>
      <c r="P14" s="921"/>
      <c r="Q14" s="921"/>
      <c r="R14" s="921"/>
      <c r="S14" s="921"/>
      <c r="T14" s="921"/>
      <c r="U14" s="921"/>
      <c r="V14" s="921"/>
      <c r="W14" s="921"/>
    </row>
    <row r="15" spans="1:23">
      <c r="A15" s="113" t="s">
        <v>266</v>
      </c>
      <c r="B15" s="113" t="s">
        <v>267</v>
      </c>
      <c r="C15" s="275">
        <v>79565</v>
      </c>
      <c r="D15" s="275">
        <f t="shared" si="0"/>
        <v>70017.2</v>
      </c>
      <c r="E15" s="113"/>
      <c r="F15" s="921"/>
      <c r="G15" s="921"/>
      <c r="H15" s="921"/>
      <c r="I15" s="921"/>
      <c r="K15" s="921"/>
      <c r="L15" s="921"/>
      <c r="M15" s="921"/>
      <c r="N15" s="921"/>
      <c r="O15" s="921"/>
      <c r="P15" s="921"/>
      <c r="Q15" s="921"/>
      <c r="R15" s="921"/>
      <c r="S15" s="921"/>
      <c r="T15" s="921"/>
      <c r="U15" s="921"/>
      <c r="V15" s="921"/>
      <c r="W15" s="921"/>
    </row>
    <row r="16" spans="1:23">
      <c r="A16" s="113" t="s">
        <v>268</v>
      </c>
      <c r="B16" s="113" t="s">
        <v>269</v>
      </c>
      <c r="C16" s="275">
        <v>102746</v>
      </c>
      <c r="D16" s="275">
        <f t="shared" si="0"/>
        <v>90416.48</v>
      </c>
      <c r="E16" s="113"/>
      <c r="F16" s="921"/>
      <c r="G16" s="921"/>
      <c r="H16" s="921"/>
      <c r="I16" s="921"/>
      <c r="K16" s="921"/>
      <c r="L16" s="921"/>
      <c r="M16" s="921"/>
      <c r="N16" s="921"/>
      <c r="O16" s="921"/>
      <c r="P16" s="921"/>
      <c r="Q16" s="921"/>
      <c r="R16" s="921"/>
      <c r="S16" s="921"/>
      <c r="T16" s="921"/>
      <c r="U16" s="921"/>
      <c r="V16" s="921"/>
      <c r="W16" s="921"/>
    </row>
    <row r="17" spans="1:14">
      <c r="A17" s="113" t="s">
        <v>270</v>
      </c>
      <c r="B17" s="113" t="s">
        <v>271</v>
      </c>
      <c r="C17" s="275">
        <v>58884</v>
      </c>
      <c r="D17" s="275">
        <f t="shared" si="0"/>
        <v>51817.919999999998</v>
      </c>
      <c r="E17" s="113"/>
      <c r="F17" s="921"/>
      <c r="G17" s="921"/>
      <c r="H17" s="921"/>
      <c r="I17" s="921"/>
      <c r="K17" s="921"/>
      <c r="L17" s="921"/>
      <c r="M17" s="921"/>
      <c r="N17" s="921"/>
    </row>
    <row r="18" spans="1:14">
      <c r="A18" s="113" t="s">
        <v>272</v>
      </c>
      <c r="B18" s="113" t="s">
        <v>259</v>
      </c>
      <c r="C18" s="275">
        <v>69250</v>
      </c>
      <c r="D18" s="275">
        <f t="shared" si="0"/>
        <v>60940</v>
      </c>
      <c r="E18" s="113"/>
      <c r="F18" s="921"/>
      <c r="G18" s="921"/>
      <c r="H18" s="921"/>
      <c r="I18" s="921"/>
      <c r="K18" s="921"/>
      <c r="L18" s="921"/>
      <c r="M18" s="921"/>
      <c r="N18" s="921"/>
    </row>
    <row r="19" spans="1:14">
      <c r="A19" s="113" t="s">
        <v>273</v>
      </c>
      <c r="B19" s="113" t="s">
        <v>269</v>
      </c>
      <c r="C19" s="275">
        <v>90483</v>
      </c>
      <c r="D19" s="275">
        <f t="shared" si="0"/>
        <v>79625.040000000008</v>
      </c>
      <c r="E19" s="113"/>
      <c r="F19" s="921"/>
      <c r="G19" s="921"/>
      <c r="H19" s="921"/>
      <c r="I19" s="921"/>
      <c r="K19" s="921"/>
      <c r="L19" s="921"/>
      <c r="M19" s="921"/>
      <c r="N19" s="921"/>
    </row>
    <row r="20" spans="1:14">
      <c r="A20" s="113" t="s">
        <v>274</v>
      </c>
      <c r="B20" s="113" t="s">
        <v>275</v>
      </c>
      <c r="C20" s="275">
        <v>110162</v>
      </c>
      <c r="D20" s="275">
        <f t="shared" si="0"/>
        <v>96942.56</v>
      </c>
      <c r="E20" s="113"/>
      <c r="F20" s="921"/>
      <c r="G20" s="921"/>
      <c r="H20" s="921"/>
      <c r="I20" s="921"/>
      <c r="K20" s="921"/>
      <c r="L20" s="921"/>
      <c r="M20" s="921"/>
      <c r="N20" s="921"/>
    </row>
    <row r="21" spans="1:14">
      <c r="A21" s="113" t="s">
        <v>276</v>
      </c>
      <c r="B21" s="113" t="s">
        <v>111</v>
      </c>
      <c r="C21" s="275">
        <v>137984</v>
      </c>
      <c r="D21" s="275">
        <f t="shared" si="0"/>
        <v>121425.92</v>
      </c>
      <c r="E21" s="113"/>
      <c r="F21" s="921"/>
      <c r="G21" s="921"/>
      <c r="H21" s="921"/>
      <c r="I21" s="921"/>
      <c r="K21" s="921"/>
      <c r="L21" s="921"/>
      <c r="M21" s="921"/>
      <c r="N21" s="921"/>
    </row>
    <row r="22" spans="1:14" ht="15" thickBot="1">
      <c r="A22" s="113" t="s">
        <v>277</v>
      </c>
      <c r="B22" s="113"/>
      <c r="C22" s="275">
        <v>99250</v>
      </c>
      <c r="D22" s="275">
        <f t="shared" si="0"/>
        <v>87340</v>
      </c>
      <c r="E22" s="113"/>
      <c r="F22" s="921"/>
      <c r="G22" s="921"/>
      <c r="H22" s="921"/>
      <c r="I22" s="921"/>
      <c r="K22" s="921"/>
      <c r="L22" s="921"/>
      <c r="M22" s="921"/>
      <c r="N22" s="921"/>
    </row>
    <row r="23" spans="1:14">
      <c r="A23" s="113" t="s">
        <v>278</v>
      </c>
      <c r="B23" s="113"/>
      <c r="C23" s="275">
        <v>127335</v>
      </c>
      <c r="D23" s="275">
        <f t="shared" si="0"/>
        <v>112054.8</v>
      </c>
      <c r="E23" s="275"/>
      <c r="F23" s="921"/>
      <c r="G23" s="921"/>
      <c r="H23" s="921"/>
      <c r="I23" s="216">
        <v>45403</v>
      </c>
      <c r="J23" s="921"/>
      <c r="K23" s="1"/>
      <c r="L23" s="921"/>
      <c r="M23" s="921"/>
      <c r="N23" s="921"/>
    </row>
    <row r="24" spans="1:14">
      <c r="A24" s="113" t="s">
        <v>279</v>
      </c>
      <c r="B24" s="113"/>
      <c r="C24" s="275">
        <v>165258</v>
      </c>
      <c r="D24" s="275">
        <f t="shared" si="0"/>
        <v>145427.04</v>
      </c>
      <c r="E24" s="113"/>
      <c r="F24" s="921"/>
      <c r="G24" s="921"/>
      <c r="H24" s="921"/>
      <c r="I24" s="112">
        <v>390000</v>
      </c>
      <c r="J24" s="112">
        <f>(I24)</f>
        <v>390000</v>
      </c>
      <c r="K24" s="1">
        <f>(J24/1.21)</f>
        <v>322314.04958677688</v>
      </c>
      <c r="L24" s="135">
        <f>(K24-D24)/D24</f>
        <v>1.2163281985714407</v>
      </c>
      <c r="M24" s="135">
        <f>(K24-D24)/K24</f>
        <v>0.5488032861538461</v>
      </c>
      <c r="N24" s="451">
        <f>(I24+W2)</f>
        <v>404000</v>
      </c>
    </row>
    <row r="25" spans="1:14" ht="15" thickBot="1">
      <c r="A25" s="921"/>
      <c r="B25" s="921"/>
      <c r="C25" s="921"/>
      <c r="D25" s="921"/>
      <c r="E25" s="921"/>
      <c r="F25" s="921"/>
      <c r="G25" s="921"/>
      <c r="H25" s="921"/>
      <c r="I25" s="921"/>
      <c r="K25" s="921"/>
      <c r="L25" s="921"/>
      <c r="M25" s="921"/>
      <c r="N25" s="921"/>
    </row>
    <row r="26" spans="1:14">
      <c r="A26" s="500" t="s">
        <v>151</v>
      </c>
      <c r="B26" s="921"/>
      <c r="C26" s="921"/>
      <c r="D26" s="921"/>
      <c r="E26" s="921"/>
      <c r="F26" s="921"/>
      <c r="G26" s="921"/>
      <c r="H26" s="921"/>
      <c r="I26" s="216">
        <v>45385</v>
      </c>
      <c r="J26" s="414"/>
      <c r="K26" s="921"/>
      <c r="L26" s="921"/>
      <c r="M26" s="921"/>
      <c r="N26" s="414"/>
    </row>
    <row r="27" spans="1:14">
      <c r="A27" s="113" t="s">
        <v>280</v>
      </c>
      <c r="B27" s="113" t="s">
        <v>281</v>
      </c>
      <c r="C27" s="275">
        <v>18650</v>
      </c>
      <c r="D27" s="275">
        <f>(C27-(C27*E$8))</f>
        <v>15852.5</v>
      </c>
      <c r="E27" s="921"/>
      <c r="F27" s="921"/>
      <c r="G27" s="921"/>
      <c r="H27" s="921"/>
      <c r="I27" s="117">
        <f>('Bronco '!R3)</f>
        <v>40600</v>
      </c>
      <c r="J27" s="440">
        <f>CEILING(I27,50)</f>
        <v>40600</v>
      </c>
      <c r="K27" s="42">
        <f>(J27/1.21)</f>
        <v>33553.719008264467</v>
      </c>
      <c r="L27" s="44">
        <f>(K27-D27)/D27</f>
        <v>1.116620028908025</v>
      </c>
      <c r="M27" s="447">
        <f>(K27-D27)/K27</f>
        <v>0.52754864532019707</v>
      </c>
      <c r="N27" s="117">
        <f>(J27)</f>
        <v>40600</v>
      </c>
    </row>
    <row r="28" spans="1:14">
      <c r="A28" s="113" t="s">
        <v>282</v>
      </c>
      <c r="B28" s="113" t="s">
        <v>283</v>
      </c>
      <c r="C28" s="275">
        <v>18100</v>
      </c>
      <c r="D28" s="275">
        <f t="shared" ref="D28:D39" si="1">(C28-(C28*E$8))</f>
        <v>15385</v>
      </c>
      <c r="E28" s="921"/>
      <c r="F28" s="921"/>
      <c r="G28" s="921"/>
      <c r="H28" s="921"/>
      <c r="I28" s="117">
        <f>('Bronco '!R14)</f>
        <v>40900</v>
      </c>
      <c r="J28" s="440">
        <f>CEILING(I28,50)</f>
        <v>40900</v>
      </c>
      <c r="K28" s="42">
        <f t="shared" ref="K28:K39" si="2">(J28/1.21)</f>
        <v>33801.652892561986</v>
      </c>
      <c r="L28" s="44">
        <f t="shared" ref="L28:L39" si="3">(K28-D28)/D28</f>
        <v>1.1970525117037365</v>
      </c>
      <c r="M28" s="447">
        <f t="shared" ref="M28:M39" si="4">(K28-D28)/K28</f>
        <v>0.54484474327628363</v>
      </c>
      <c r="N28" s="117">
        <f t="shared" ref="N28:N39" si="5">(J28)</f>
        <v>40900</v>
      </c>
    </row>
    <row r="29" spans="1:14">
      <c r="A29" s="113" t="s">
        <v>284</v>
      </c>
      <c r="B29" s="113" t="s">
        <v>285</v>
      </c>
      <c r="C29" s="275">
        <v>24528</v>
      </c>
      <c r="D29" s="275">
        <f t="shared" si="1"/>
        <v>20848.8</v>
      </c>
      <c r="E29" s="921"/>
      <c r="F29" s="921"/>
      <c r="G29" s="921"/>
      <c r="H29" s="921"/>
      <c r="I29" s="117">
        <f>('Bronco '!R17)</f>
        <v>55300</v>
      </c>
      <c r="J29" s="440">
        <f>CEILING(I29,50)</f>
        <v>55300</v>
      </c>
      <c r="K29" s="42">
        <f t="shared" si="2"/>
        <v>45702.479338842975</v>
      </c>
      <c r="L29" s="44">
        <f t="shared" si="3"/>
        <v>1.1920915994610231</v>
      </c>
      <c r="M29" s="447">
        <f t="shared" si="4"/>
        <v>0.54381468354430385</v>
      </c>
      <c r="N29" s="117">
        <f t="shared" si="5"/>
        <v>55300</v>
      </c>
    </row>
    <row r="30" spans="1:14">
      <c r="A30" s="113" t="s">
        <v>286</v>
      </c>
      <c r="B30" s="113" t="s">
        <v>287</v>
      </c>
      <c r="C30" s="275">
        <v>24240</v>
      </c>
      <c r="D30" s="275">
        <f t="shared" si="1"/>
        <v>20604</v>
      </c>
      <c r="E30" s="921"/>
      <c r="F30" s="921"/>
      <c r="G30" s="921"/>
      <c r="H30" s="921"/>
      <c r="I30" s="117">
        <f>('Bronco '!R16)</f>
        <v>53750</v>
      </c>
      <c r="J30" s="440">
        <f>CEILING(I30,50)</f>
        <v>53750</v>
      </c>
      <c r="K30" s="42">
        <f t="shared" si="2"/>
        <v>44421.487603305788</v>
      </c>
      <c r="L30" s="44">
        <f t="shared" si="3"/>
        <v>1.1559642595275572</v>
      </c>
      <c r="M30" s="447">
        <f t="shared" si="4"/>
        <v>0.5361704186046512</v>
      </c>
      <c r="N30" s="117">
        <f t="shared" si="5"/>
        <v>53750</v>
      </c>
    </row>
    <row r="31" spans="1:14">
      <c r="A31" s="113" t="s">
        <v>288</v>
      </c>
      <c r="B31" s="113" t="s">
        <v>289</v>
      </c>
      <c r="C31" s="275">
        <v>27192</v>
      </c>
      <c r="D31" s="275">
        <f t="shared" si="1"/>
        <v>23113.200000000001</v>
      </c>
      <c r="E31" s="921"/>
      <c r="F31" s="921"/>
      <c r="G31" s="921"/>
      <c r="H31" s="921"/>
      <c r="I31" s="117">
        <f>('Bronco '!R18)</f>
        <v>68550</v>
      </c>
      <c r="J31" s="440">
        <f t="shared" ref="J31:J39" si="6">CEILING(I31,50)</f>
        <v>68550</v>
      </c>
      <c r="K31" s="42">
        <f t="shared" si="2"/>
        <v>56652.89256198347</v>
      </c>
      <c r="L31" s="44">
        <f t="shared" si="3"/>
        <v>1.45110553977742</v>
      </c>
      <c r="M31" s="447">
        <f t="shared" si="4"/>
        <v>0.59202083150984675</v>
      </c>
      <c r="N31" s="117">
        <f t="shared" si="5"/>
        <v>68550</v>
      </c>
    </row>
    <row r="32" spans="1:14">
      <c r="A32" s="113" t="s">
        <v>290</v>
      </c>
      <c r="B32" s="113" t="s">
        <v>291</v>
      </c>
      <c r="C32" s="275">
        <v>44880</v>
      </c>
      <c r="D32" s="275">
        <f t="shared" si="1"/>
        <v>38148</v>
      </c>
      <c r="E32" s="921"/>
      <c r="F32" s="921"/>
      <c r="G32" s="921"/>
      <c r="H32" s="921"/>
      <c r="I32" s="117">
        <f>('Bronco '!R19)</f>
        <v>90400</v>
      </c>
      <c r="J32" s="440">
        <f t="shared" si="6"/>
        <v>90400</v>
      </c>
      <c r="K32" s="42">
        <f t="shared" si="2"/>
        <v>74710.74380165289</v>
      </c>
      <c r="L32" s="44">
        <f t="shared" si="3"/>
        <v>0.95844457905140223</v>
      </c>
      <c r="M32" s="447">
        <f t="shared" si="4"/>
        <v>0.48939070796460177</v>
      </c>
      <c r="N32" s="117">
        <f t="shared" si="5"/>
        <v>90400</v>
      </c>
    </row>
    <row r="33" spans="1:14">
      <c r="A33" s="113" t="s">
        <v>292</v>
      </c>
      <c r="B33" s="113" t="s">
        <v>293</v>
      </c>
      <c r="C33" s="275">
        <v>48300</v>
      </c>
      <c r="D33" s="275">
        <f t="shared" si="1"/>
        <v>41055</v>
      </c>
      <c r="E33" s="921"/>
      <c r="F33" s="921"/>
      <c r="G33" s="921"/>
      <c r="H33" s="921"/>
      <c r="I33" s="117">
        <f>('Bronco '!R20)</f>
        <v>101900</v>
      </c>
      <c r="J33" s="440">
        <f t="shared" si="6"/>
        <v>101900</v>
      </c>
      <c r="K33" s="42">
        <f t="shared" si="2"/>
        <v>84214.876033057852</v>
      </c>
      <c r="L33" s="44">
        <f t="shared" si="3"/>
        <v>1.0512696634528766</v>
      </c>
      <c r="M33" s="447">
        <f t="shared" si="4"/>
        <v>0.5124970559371933</v>
      </c>
      <c r="N33" s="117">
        <f t="shared" si="5"/>
        <v>101900</v>
      </c>
    </row>
    <row r="34" spans="1:14">
      <c r="A34" s="113" t="s">
        <v>294</v>
      </c>
      <c r="B34" s="113" t="s">
        <v>295</v>
      </c>
      <c r="C34" s="275">
        <v>58100</v>
      </c>
      <c r="D34" s="275">
        <f t="shared" si="1"/>
        <v>49385</v>
      </c>
      <c r="E34" s="921"/>
      <c r="F34" s="921"/>
      <c r="G34" s="921"/>
      <c r="H34" s="921"/>
      <c r="I34" s="117">
        <f>('Bronco '!R21)</f>
        <v>139500</v>
      </c>
      <c r="J34" s="440">
        <f t="shared" si="6"/>
        <v>139500</v>
      </c>
      <c r="K34" s="42">
        <f t="shared" si="2"/>
        <v>115289.25619834711</v>
      </c>
      <c r="L34" s="44">
        <f t="shared" si="3"/>
        <v>1.334499467416161</v>
      </c>
      <c r="M34" s="447">
        <f t="shared" si="4"/>
        <v>0.57164265232974909</v>
      </c>
      <c r="N34" s="117">
        <f t="shared" si="5"/>
        <v>139500</v>
      </c>
    </row>
    <row r="35" spans="1:14">
      <c r="A35" s="113" t="s">
        <v>296</v>
      </c>
      <c r="B35" s="113" t="s">
        <v>297</v>
      </c>
      <c r="C35" s="275">
        <v>64680</v>
      </c>
      <c r="D35" s="275">
        <f t="shared" si="1"/>
        <v>54978</v>
      </c>
      <c r="E35" s="921"/>
      <c r="F35" s="921"/>
      <c r="G35" s="921"/>
      <c r="H35" s="921"/>
      <c r="I35" s="117">
        <f>('Bronco '!R22)</f>
        <v>133200</v>
      </c>
      <c r="J35" s="440">
        <f t="shared" si="6"/>
        <v>133200</v>
      </c>
      <c r="K35" s="42">
        <f t="shared" si="2"/>
        <v>110082.64462809918</v>
      </c>
      <c r="L35" s="44">
        <f t="shared" si="3"/>
        <v>1.0023035510222122</v>
      </c>
      <c r="M35" s="447">
        <f t="shared" si="4"/>
        <v>0.50057522522522524</v>
      </c>
      <c r="N35" s="117">
        <f t="shared" si="5"/>
        <v>133200</v>
      </c>
    </row>
    <row r="36" spans="1:14">
      <c r="A36" s="113" t="s">
        <v>298</v>
      </c>
      <c r="B36" s="113" t="s">
        <v>299</v>
      </c>
      <c r="C36" s="275">
        <v>42000</v>
      </c>
      <c r="D36" s="275">
        <f t="shared" si="1"/>
        <v>35700</v>
      </c>
      <c r="E36" s="921"/>
      <c r="F36" s="921"/>
      <c r="G36" s="921"/>
      <c r="H36" s="921"/>
      <c r="I36" s="117">
        <f>('Bronco '!R10)</f>
        <v>94650</v>
      </c>
      <c r="J36" s="440">
        <f t="shared" si="6"/>
        <v>94650</v>
      </c>
      <c r="K36" s="42">
        <f t="shared" si="2"/>
        <v>78223.140495867774</v>
      </c>
      <c r="L36" s="44">
        <f t="shared" si="3"/>
        <v>1.1911243836377527</v>
      </c>
      <c r="M36" s="447">
        <f t="shared" si="4"/>
        <v>0.54361331220285269</v>
      </c>
      <c r="N36" s="117">
        <f t="shared" si="5"/>
        <v>94650</v>
      </c>
    </row>
    <row r="37" spans="1:14">
      <c r="A37" s="113" t="s">
        <v>300</v>
      </c>
      <c r="B37" s="113" t="s">
        <v>301</v>
      </c>
      <c r="C37" s="275">
        <v>35300</v>
      </c>
      <c r="D37" s="275">
        <f t="shared" si="1"/>
        <v>30005</v>
      </c>
      <c r="E37" s="921"/>
      <c r="F37" s="921"/>
      <c r="G37" s="921"/>
      <c r="H37" s="921"/>
      <c r="I37" s="117">
        <f>('Bronco '!R25)</f>
        <v>77050</v>
      </c>
      <c r="J37" s="440">
        <f t="shared" si="6"/>
        <v>77050</v>
      </c>
      <c r="K37" s="42">
        <f t="shared" si="2"/>
        <v>63677.685950413223</v>
      </c>
      <c r="L37" s="44">
        <f t="shared" si="3"/>
        <v>1.1222358257094891</v>
      </c>
      <c r="M37" s="447">
        <f t="shared" si="4"/>
        <v>0.52879883192731991</v>
      </c>
      <c r="N37" s="117">
        <f t="shared" si="5"/>
        <v>77050</v>
      </c>
    </row>
    <row r="38" spans="1:14">
      <c r="A38" s="113" t="s">
        <v>302</v>
      </c>
      <c r="B38" s="113" t="s">
        <v>303</v>
      </c>
      <c r="C38" s="275">
        <v>25560</v>
      </c>
      <c r="D38" s="275">
        <f t="shared" si="1"/>
        <v>21726</v>
      </c>
      <c r="E38" s="921"/>
      <c r="F38" s="921"/>
      <c r="G38" s="921"/>
      <c r="H38" s="921"/>
      <c r="I38" s="117">
        <f>('Bronco '!R4)</f>
        <v>62000</v>
      </c>
      <c r="J38" s="117">
        <f t="shared" si="6"/>
        <v>62000</v>
      </c>
      <c r="K38" s="42">
        <f t="shared" si="2"/>
        <v>51239.669421487604</v>
      </c>
      <c r="L38" s="44">
        <f t="shared" si="3"/>
        <v>1.358449296763675</v>
      </c>
      <c r="M38" s="447">
        <f t="shared" si="4"/>
        <v>0.57599258064516135</v>
      </c>
      <c r="N38" s="117">
        <f t="shared" si="5"/>
        <v>62000</v>
      </c>
    </row>
    <row r="39" spans="1:14">
      <c r="A39" s="113" t="s">
        <v>304</v>
      </c>
      <c r="B39" s="113" t="s">
        <v>305</v>
      </c>
      <c r="C39" s="275">
        <v>28000</v>
      </c>
      <c r="D39" s="275">
        <f t="shared" si="1"/>
        <v>23800</v>
      </c>
      <c r="E39" s="921"/>
      <c r="F39" s="921"/>
      <c r="G39" s="921"/>
      <c r="H39" s="921"/>
      <c r="I39" s="117">
        <f>('Bronco '!R7)</f>
        <v>69100</v>
      </c>
      <c r="J39" s="117">
        <f t="shared" si="6"/>
        <v>69100</v>
      </c>
      <c r="K39" s="42">
        <f t="shared" si="2"/>
        <v>57107.438016528926</v>
      </c>
      <c r="L39" s="44">
        <f t="shared" si="3"/>
        <v>1.3994721855684422</v>
      </c>
      <c r="M39" s="447">
        <f t="shared" si="4"/>
        <v>0.58324167872648336</v>
      </c>
      <c r="N39" s="117">
        <f t="shared" si="5"/>
        <v>69100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AW35"/>
  <sheetViews>
    <sheetView zoomScale="80" zoomScaleNormal="80" workbookViewId="0">
      <pane xSplit="1" topLeftCell="B1" activePane="topRight" state="frozen"/>
      <selection pane="topRight" activeCell="E5" sqref="E5"/>
    </sheetView>
  </sheetViews>
  <sheetFormatPr baseColWidth="10" defaultColWidth="11.44140625" defaultRowHeight="14.4"/>
  <cols>
    <col min="1" max="1" width="25.44140625" bestFit="1" customWidth="1"/>
    <col min="2" max="2" width="9" bestFit="1" customWidth="1"/>
    <col min="3" max="3" width="6.33203125" customWidth="1"/>
    <col min="4" max="4" width="7.109375" customWidth="1"/>
    <col min="5" max="5" width="11.44140625" bestFit="1" customWidth="1"/>
    <col min="6" max="6" width="11.5546875" bestFit="1" customWidth="1"/>
    <col min="8" max="8" width="10.33203125" bestFit="1" customWidth="1"/>
    <col min="9" max="9" width="9" customWidth="1"/>
    <col min="10" max="10" width="8.6640625" customWidth="1"/>
    <col min="11" max="11" width="1.6640625" style="1" customWidth="1"/>
    <col min="12" max="12" width="10" style="1" customWidth="1"/>
    <col min="13" max="13" width="9.88671875" bestFit="1" customWidth="1"/>
    <col min="14" max="14" width="12.44140625" bestFit="1" customWidth="1"/>
    <col min="15" max="15" width="11.5546875" bestFit="1" customWidth="1"/>
    <col min="16" max="16" width="10.88671875" bestFit="1" customWidth="1"/>
    <col min="17" max="17" width="10.33203125" bestFit="1" customWidth="1"/>
    <col min="18" max="18" width="10" bestFit="1" customWidth="1"/>
    <col min="19" max="19" width="8.6640625" customWidth="1"/>
    <col min="20" max="20" width="2.6640625" customWidth="1"/>
    <col min="21" max="21" width="17.33203125" customWidth="1"/>
    <col min="22" max="22" width="11.5546875" bestFit="1" customWidth="1"/>
    <col min="38" max="38" width="2.44140625" customWidth="1"/>
    <col min="39" max="39" width="12" bestFit="1" customWidth="1"/>
    <col min="47" max="47" width="2.88671875" customWidth="1"/>
  </cols>
  <sheetData>
    <row r="1" spans="1:49">
      <c r="A1" s="921"/>
      <c r="B1" s="921"/>
      <c r="C1" s="921"/>
      <c r="D1" s="921"/>
      <c r="E1" s="921"/>
      <c r="F1" s="965"/>
      <c r="G1" s="965"/>
      <c r="H1" s="965"/>
      <c r="I1" s="965"/>
      <c r="J1" s="965"/>
      <c r="K1" s="518"/>
      <c r="L1" s="518"/>
      <c r="M1" s="921"/>
      <c r="N1" s="921"/>
      <c r="O1" s="965"/>
      <c r="P1" s="965"/>
      <c r="Q1" s="965"/>
      <c r="R1" s="965"/>
      <c r="S1" s="965"/>
      <c r="T1" s="921"/>
      <c r="U1" s="921"/>
      <c r="V1" s="921"/>
      <c r="W1" s="921"/>
      <c r="X1" s="921"/>
      <c r="Y1" s="921"/>
      <c r="Z1" s="921"/>
      <c r="AA1" s="921"/>
      <c r="AB1" s="921"/>
      <c r="AC1" s="921"/>
      <c r="AD1" s="921"/>
      <c r="AE1" s="921"/>
      <c r="AF1" s="921"/>
      <c r="AG1" s="921"/>
      <c r="AH1" s="921"/>
      <c r="AI1" s="921"/>
      <c r="AJ1" s="921"/>
      <c r="AK1" s="921"/>
      <c r="AL1" s="921"/>
      <c r="AM1" s="921"/>
      <c r="AN1" s="921"/>
      <c r="AO1" s="921"/>
      <c r="AP1" s="921"/>
      <c r="AQ1" s="921"/>
      <c r="AR1" s="921"/>
      <c r="AS1" s="921"/>
      <c r="AT1" s="921"/>
      <c r="AU1" s="921"/>
      <c r="AV1" s="921"/>
      <c r="AW1" s="921"/>
    </row>
    <row r="2" spans="1:49" ht="16.2">
      <c r="A2" s="921"/>
      <c r="B2" s="988" t="s">
        <v>306</v>
      </c>
      <c r="C2" s="988"/>
      <c r="D2" s="988"/>
      <c r="E2" s="988"/>
      <c r="F2" s="511"/>
      <c r="G2" s="511"/>
      <c r="H2" s="511"/>
      <c r="I2" s="511"/>
      <c r="J2" s="511"/>
      <c r="K2" s="511"/>
      <c r="L2" s="989" t="s">
        <v>254</v>
      </c>
      <c r="M2" s="989"/>
      <c r="N2" s="989"/>
      <c r="O2" s="511"/>
      <c r="P2" s="511"/>
      <c r="Q2" s="511"/>
      <c r="R2" s="511"/>
      <c r="S2" s="511"/>
      <c r="T2" s="921"/>
      <c r="U2" s="921"/>
      <c r="V2" s="921"/>
      <c r="W2" s="921"/>
      <c r="X2" s="921"/>
      <c r="Y2" s="921"/>
      <c r="Z2" s="988" t="s">
        <v>307</v>
      </c>
      <c r="AA2" s="988"/>
      <c r="AB2" s="988"/>
      <c r="AC2" s="988"/>
      <c r="AD2" s="988"/>
      <c r="AE2" s="988"/>
      <c r="AF2" s="988"/>
      <c r="AG2" s="988"/>
      <c r="AH2" s="988"/>
      <c r="AI2" s="921"/>
      <c r="AJ2" s="921"/>
      <c r="AK2" s="921"/>
      <c r="AL2" s="921"/>
      <c r="AM2" s="921"/>
      <c r="AN2" s="921"/>
      <c r="AO2" s="921"/>
      <c r="AP2" s="921"/>
      <c r="AQ2" s="921"/>
      <c r="AR2" s="921"/>
      <c r="AS2" s="921"/>
      <c r="AT2" s="921"/>
      <c r="AU2" s="921"/>
      <c r="AV2" s="105" t="s">
        <v>308</v>
      </c>
      <c r="AW2" s="921"/>
    </row>
    <row r="3" spans="1:49" ht="21.6" thickBot="1">
      <c r="A3" s="105" t="s">
        <v>19</v>
      </c>
      <c r="B3" s="515"/>
      <c r="C3" s="515"/>
      <c r="D3" s="516" t="s">
        <v>114</v>
      </c>
      <c r="E3" s="517" t="s">
        <v>309</v>
      </c>
      <c r="F3" s="512"/>
      <c r="G3" s="512"/>
      <c r="H3" s="512"/>
      <c r="I3" s="512"/>
      <c r="J3" s="512"/>
      <c r="K3" s="512"/>
      <c r="L3" s="512"/>
      <c r="M3" s="921"/>
      <c r="N3" s="921"/>
      <c r="O3" s="512"/>
      <c r="P3" s="512"/>
      <c r="Q3" s="512"/>
      <c r="R3" s="512"/>
      <c r="S3" s="512"/>
      <c r="T3" s="921"/>
      <c r="U3" s="921"/>
      <c r="V3" s="921"/>
      <c r="W3" s="921"/>
      <c r="X3" s="921"/>
      <c r="Y3" s="921"/>
      <c r="Z3" s="921"/>
      <c r="AA3" s="921"/>
      <c r="AB3" s="921"/>
      <c r="AC3" s="921"/>
      <c r="AD3" s="921"/>
      <c r="AE3" s="921"/>
      <c r="AF3" s="921"/>
      <c r="AG3" s="921" t="s">
        <v>310</v>
      </c>
      <c r="AH3" s="921"/>
      <c r="AI3" s="921"/>
      <c r="AJ3" s="921"/>
      <c r="AK3" s="921"/>
      <c r="AL3" s="921"/>
      <c r="AM3" s="921"/>
      <c r="AN3" s="921"/>
      <c r="AO3" s="921"/>
      <c r="AP3" s="921"/>
      <c r="AQ3" s="921"/>
      <c r="AR3" s="921"/>
      <c r="AS3" s="921"/>
      <c r="AT3" s="921"/>
      <c r="AU3" s="921"/>
      <c r="AV3" s="921"/>
      <c r="AW3" s="921"/>
    </row>
    <row r="4" spans="1:49">
      <c r="A4" s="921"/>
      <c r="B4" s="543">
        <v>45275</v>
      </c>
      <c r="C4" s="544"/>
      <c r="D4" s="545">
        <v>0.23</v>
      </c>
      <c r="E4" s="546">
        <v>1280</v>
      </c>
      <c r="F4" s="216">
        <v>45659</v>
      </c>
      <c r="G4" s="921"/>
      <c r="H4" s="10"/>
      <c r="I4" s="547" t="s">
        <v>311</v>
      </c>
      <c r="J4" s="547" t="s">
        <v>66</v>
      </c>
      <c r="K4" s="519"/>
      <c r="L4" s="519"/>
      <c r="M4" s="921"/>
      <c r="N4" s="523">
        <v>0.15</v>
      </c>
      <c r="O4" s="216">
        <v>45659</v>
      </c>
      <c r="P4" s="921"/>
      <c r="Q4" s="10"/>
      <c r="R4" s="529" t="s">
        <v>311</v>
      </c>
      <c r="S4" s="529" t="s">
        <v>66</v>
      </c>
      <c r="T4" s="921"/>
      <c r="U4" s="921"/>
      <c r="V4" s="216">
        <v>45609</v>
      </c>
      <c r="W4" s="921"/>
      <c r="X4" s="146"/>
      <c r="Y4" s="146">
        <v>0.05</v>
      </c>
      <c r="Z4" s="146">
        <v>0.02</v>
      </c>
      <c r="AA4" s="146"/>
      <c r="AB4" s="146"/>
      <c r="AC4" s="146"/>
      <c r="AD4" s="146"/>
      <c r="AE4" s="146"/>
      <c r="AF4" s="146"/>
      <c r="AG4" s="216">
        <v>45659</v>
      </c>
      <c r="AH4" s="921"/>
      <c r="AI4" s="10"/>
      <c r="AJ4" s="534" t="s">
        <v>311</v>
      </c>
      <c r="AK4" s="534" t="s">
        <v>66</v>
      </c>
      <c r="AL4" s="921"/>
      <c r="AM4" s="921"/>
      <c r="AN4" s="921"/>
      <c r="AO4" s="146">
        <v>0.04</v>
      </c>
      <c r="AP4" s="216">
        <v>45659</v>
      </c>
      <c r="AQ4" s="921"/>
      <c r="AR4" s="10"/>
      <c r="AS4" s="541" t="s">
        <v>311</v>
      </c>
      <c r="AT4" s="541" t="s">
        <v>66</v>
      </c>
      <c r="AU4" s="921"/>
      <c r="AV4" s="921"/>
      <c r="AW4" s="921"/>
    </row>
    <row r="5" spans="1:49">
      <c r="A5" s="522" t="s">
        <v>312</v>
      </c>
      <c r="B5" s="513">
        <v>19.43</v>
      </c>
      <c r="C5" s="514">
        <f>(B5/1.21)</f>
        <v>16.057851239669422</v>
      </c>
      <c r="D5" s="548">
        <f t="shared" ref="D5:D30" si="0">(C5-(C5*D$4))</f>
        <v>12.364545454545453</v>
      </c>
      <c r="E5" s="548">
        <f t="shared" ref="E5:E30" si="1">(D5*E$4)</f>
        <v>15826.618181818179</v>
      </c>
      <c r="F5" s="214">
        <f>([5]Moto!G5*0.95)</f>
        <v>38570</v>
      </c>
      <c r="G5" s="214">
        <f>CEILING(F5,50)</f>
        <v>38600</v>
      </c>
      <c r="H5" s="520">
        <f>(G5/1.21)</f>
        <v>31900.826446280993</v>
      </c>
      <c r="I5" s="521">
        <f>(H5-E5)/E5</f>
        <v>1.015643903188937</v>
      </c>
      <c r="J5" s="521">
        <f>(H5-E5)/H5</f>
        <v>0.50388062176165815</v>
      </c>
      <c r="K5" s="542"/>
      <c r="L5" s="225" t="s">
        <v>280</v>
      </c>
      <c r="M5" s="227">
        <v>18650</v>
      </c>
      <c r="N5" s="525">
        <f>(M5-(M5*N$4))</f>
        <v>15852.5</v>
      </c>
      <c r="O5" s="227">
        <f>([5]Moto!P5*0.95)</f>
        <v>38570</v>
      </c>
      <c r="P5" s="227">
        <f>CEILING(O5,50)</f>
        <v>38600</v>
      </c>
      <c r="Q5" s="526">
        <f>(P5/1.21)</f>
        <v>31900.826446280993</v>
      </c>
      <c r="R5" s="527">
        <f>(Q5-N5)/N5</f>
        <v>1.0123530324100927</v>
      </c>
      <c r="S5" s="527">
        <f>(Q5-N5)/Q5</f>
        <v>0.5030693005181347</v>
      </c>
      <c r="T5" s="921"/>
      <c r="U5" s="530" t="s">
        <v>313</v>
      </c>
      <c r="V5" s="535">
        <v>22704.45</v>
      </c>
      <c r="W5" s="532">
        <f>(V5/1.21)</f>
        <v>18764.008264462813</v>
      </c>
      <c r="X5" s="535">
        <f>(W5-(W5*X$4))</f>
        <v>18764.008264462813</v>
      </c>
      <c r="Y5" s="535">
        <f>(X5-(X5*Y$4))</f>
        <v>17825.807851239671</v>
      </c>
      <c r="Z5" s="535">
        <f>(Y5-(Y5*Z$4))</f>
        <v>17469.291694214877</v>
      </c>
      <c r="AA5" s="535">
        <v>51000</v>
      </c>
      <c r="AB5" s="535">
        <f>(AA5/1.21)</f>
        <v>42148.760330578516</v>
      </c>
      <c r="AC5" s="535">
        <f>(AB5-(AB5*Varta!H$3))</f>
        <v>40041.32231404959</v>
      </c>
      <c r="AD5" s="535">
        <f>(AC5-(AC5*Varta!I$3))</f>
        <v>38840.082644628099</v>
      </c>
      <c r="AE5" s="597">
        <f>(AD5-Z5)/Z5</f>
        <v>1.2233347135356589</v>
      </c>
      <c r="AF5" s="597">
        <f>(AD5-Z5)/AD5</f>
        <v>0.55022516676773803</v>
      </c>
      <c r="AG5" s="531">
        <f>([5]Moto!AH5*0.95)</f>
        <v>41277.5</v>
      </c>
      <c r="AH5" s="531">
        <f>CEILING(AG5,50)</f>
        <v>41300</v>
      </c>
      <c r="AI5" s="532">
        <f>(AH5/1.21)</f>
        <v>34132.231404958678</v>
      </c>
      <c r="AJ5" s="533">
        <f>(AI5-Z5)/Z5</f>
        <v>0.95384174713058878</v>
      </c>
      <c r="AK5" s="533">
        <f>(AI5-Z5)/AI5</f>
        <v>0.48818782203389832</v>
      </c>
      <c r="AL5" s="921"/>
      <c r="AM5" s="536" t="s">
        <v>314</v>
      </c>
      <c r="AN5" s="537">
        <f>(Yuasa!D42)</f>
        <v>0</v>
      </c>
      <c r="AO5" s="537">
        <f>(AN5-(AN5*AO$4))</f>
        <v>0</v>
      </c>
      <c r="AP5" s="538">
        <f>(Yuasa!Q42)</f>
        <v>66700</v>
      </c>
      <c r="AQ5" s="538">
        <f>CEILING(AP5,50)</f>
        <v>66700</v>
      </c>
      <c r="AR5" s="539">
        <f>(AQ5/1.21)</f>
        <v>55123.966942148763</v>
      </c>
      <c r="AS5" s="540" t="e">
        <f>(AR5-AO5)/AO5</f>
        <v>#DIV/0!</v>
      </c>
      <c r="AT5" s="540">
        <f>(AR5-AO5)/AR5</f>
        <v>1</v>
      </c>
      <c r="AU5" s="921"/>
      <c r="AV5" s="921"/>
      <c r="AW5" s="921"/>
    </row>
    <row r="6" spans="1:49">
      <c r="A6" s="522" t="s">
        <v>315</v>
      </c>
      <c r="B6" s="513">
        <v>29.57</v>
      </c>
      <c r="C6" s="514">
        <f t="shared" ref="C6:C30" si="2">(B6/1.21)</f>
        <v>24.438016528925619</v>
      </c>
      <c r="D6" s="548">
        <f t="shared" si="0"/>
        <v>18.817272727272726</v>
      </c>
      <c r="E6" s="548">
        <f t="shared" si="1"/>
        <v>24086.109090909089</v>
      </c>
      <c r="F6" s="214">
        <f>([5]Moto!G6*0.95)</f>
        <v>58900</v>
      </c>
      <c r="G6" s="214">
        <f t="shared" ref="G6:G32" si="3">CEILING(F6,50)</f>
        <v>58900</v>
      </c>
      <c r="H6" s="520">
        <f t="shared" ref="H6:H32" si="4">(G6/1.21)</f>
        <v>48677.685950413223</v>
      </c>
      <c r="I6" s="521">
        <f t="shared" ref="I6:I32" si="5">(H6-E6)/E6</f>
        <v>1.0209858622946213</v>
      </c>
      <c r="J6" s="521">
        <f t="shared" ref="J6:J32" si="6">(H6-E6)/H6</f>
        <v>0.50519198641765706</v>
      </c>
      <c r="K6" s="542"/>
      <c r="L6" s="225" t="s">
        <v>302</v>
      </c>
      <c r="M6" s="227">
        <v>25560</v>
      </c>
      <c r="N6" s="525">
        <f t="shared" ref="N6:N27" si="7">(M6-(M6*N$4))</f>
        <v>21726</v>
      </c>
      <c r="O6" s="227">
        <f>([5]Moto!P6*0.95)</f>
        <v>58900</v>
      </c>
      <c r="P6" s="227">
        <f t="shared" ref="P6:P27" si="8">CEILING(O6,50)</f>
        <v>58900</v>
      </c>
      <c r="Q6" s="526">
        <f t="shared" ref="Q6:Q27" si="9">(P6/1.21)</f>
        <v>48677.685950413223</v>
      </c>
      <c r="R6" s="527">
        <f t="shared" ref="R6:R27" si="10">(Q6-N6)/N6</f>
        <v>1.2405268319254912</v>
      </c>
      <c r="S6" s="527">
        <f t="shared" ref="S6:S27" si="11">(Q6-N6)/Q6</f>
        <v>0.55367640067911716</v>
      </c>
      <c r="T6" s="921"/>
      <c r="U6" s="530"/>
      <c r="V6" s="535"/>
      <c r="W6" s="532"/>
      <c r="X6" s="535"/>
      <c r="Y6" s="535"/>
      <c r="Z6" s="535"/>
      <c r="AA6" s="535"/>
      <c r="AB6" s="535"/>
      <c r="AC6" s="535"/>
      <c r="AD6" s="535"/>
      <c r="AE6" s="597"/>
      <c r="AF6" s="597"/>
      <c r="AG6" s="531">
        <f>([5]Moto!AH6*0.95)</f>
        <v>0</v>
      </c>
      <c r="AH6" s="531"/>
      <c r="AI6" s="532"/>
      <c r="AJ6" s="533"/>
      <c r="AK6" s="533"/>
      <c r="AL6" s="921"/>
      <c r="AM6" s="536" t="s">
        <v>316</v>
      </c>
      <c r="AN6" s="537">
        <f>(Yuasa!D95)</f>
        <v>0</v>
      </c>
      <c r="AO6" s="537">
        <f t="shared" ref="AO6:AO22" si="12">(AN6-(AN6*AO$4))</f>
        <v>0</v>
      </c>
      <c r="AP6" s="538">
        <f>(Yuasa!Q95)</f>
        <v>50250</v>
      </c>
      <c r="AQ6" s="538">
        <f t="shared" ref="AQ6:AQ22" si="13">CEILING(AP6,50)</f>
        <v>50250</v>
      </c>
      <c r="AR6" s="539">
        <f t="shared" ref="AR6:AR22" si="14">(AQ6/1.21)</f>
        <v>41528.925619834714</v>
      </c>
      <c r="AS6" s="540" t="e">
        <f>(AR6-AO6)/AO6</f>
        <v>#DIV/0!</v>
      </c>
      <c r="AT6" s="540">
        <f t="shared" ref="AT6:AT7" si="15">(AR6-AO6)/AR6</f>
        <v>1</v>
      </c>
      <c r="AU6" s="921"/>
      <c r="AV6" s="921"/>
      <c r="AW6" s="921"/>
    </row>
    <row r="7" spans="1:49">
      <c r="A7" s="522" t="s">
        <v>317</v>
      </c>
      <c r="B7" s="513">
        <v>29.36</v>
      </c>
      <c r="C7" s="514"/>
      <c r="D7" s="548">
        <f t="shared" si="0"/>
        <v>0</v>
      </c>
      <c r="E7" s="548">
        <f t="shared" si="1"/>
        <v>0</v>
      </c>
      <c r="F7" s="214">
        <f>([5]Moto!G7*0.95)</f>
        <v>0</v>
      </c>
      <c r="G7" s="214"/>
      <c r="H7" s="520"/>
      <c r="I7" s="521"/>
      <c r="J7" s="521"/>
      <c r="K7" s="542"/>
      <c r="L7" s="528"/>
      <c r="M7" s="227"/>
      <c r="N7" s="525"/>
      <c r="O7" s="227"/>
      <c r="P7" s="227"/>
      <c r="Q7" s="526"/>
      <c r="R7" s="527"/>
      <c r="S7" s="527"/>
      <c r="T7" s="921"/>
      <c r="U7" s="535"/>
      <c r="V7" s="535"/>
      <c r="W7" s="532"/>
      <c r="X7" s="535"/>
      <c r="Y7" s="535"/>
      <c r="Z7" s="535"/>
      <c r="AA7" s="535"/>
      <c r="AB7" s="535"/>
      <c r="AC7" s="535"/>
      <c r="AD7" s="535"/>
      <c r="AE7" s="597"/>
      <c r="AF7" s="597"/>
      <c r="AG7" s="531">
        <f>([5]Moto!AH7*0.95)</f>
        <v>0</v>
      </c>
      <c r="AH7" s="531"/>
      <c r="AI7" s="532"/>
      <c r="AJ7" s="533"/>
      <c r="AK7" s="533"/>
      <c r="AL7" s="921"/>
      <c r="AM7" s="536" t="s">
        <v>318</v>
      </c>
      <c r="AN7" s="537">
        <f>(Yuasa!D90)</f>
        <v>0</v>
      </c>
      <c r="AO7" s="537">
        <f t="shared" si="12"/>
        <v>0</v>
      </c>
      <c r="AP7" s="538">
        <f>(Yuasa!Q90)</f>
        <v>73800</v>
      </c>
      <c r="AQ7" s="538">
        <f t="shared" si="13"/>
        <v>73800</v>
      </c>
      <c r="AR7" s="539">
        <f t="shared" si="14"/>
        <v>60991.735537190085</v>
      </c>
      <c r="AS7" s="540" t="e">
        <f>(AR7-AO7)/AO7</f>
        <v>#DIV/0!</v>
      </c>
      <c r="AT7" s="540">
        <f t="shared" si="15"/>
        <v>1</v>
      </c>
      <c r="AU7" s="921"/>
      <c r="AV7" s="921"/>
      <c r="AW7" s="921"/>
    </row>
    <row r="8" spans="1:49">
      <c r="A8" s="522" t="s">
        <v>319</v>
      </c>
      <c r="B8" s="513">
        <v>26.82</v>
      </c>
      <c r="C8" s="514">
        <f t="shared" si="2"/>
        <v>22.165289256198349</v>
      </c>
      <c r="D8" s="548">
        <f t="shared" si="0"/>
        <v>17.06727272727273</v>
      </c>
      <c r="E8" s="548">
        <f t="shared" si="1"/>
        <v>21846.109090909093</v>
      </c>
      <c r="F8" s="214">
        <v>37100</v>
      </c>
      <c r="G8" s="214">
        <f t="shared" si="3"/>
        <v>37100</v>
      </c>
      <c r="H8" s="520">
        <f t="shared" si="4"/>
        <v>30661.157024793389</v>
      </c>
      <c r="I8" s="521">
        <f t="shared" si="5"/>
        <v>0.40350654192936064</v>
      </c>
      <c r="J8" s="521">
        <f t="shared" si="6"/>
        <v>0.28749886792452828</v>
      </c>
      <c r="K8" s="542"/>
      <c r="L8" s="528"/>
      <c r="M8" s="227"/>
      <c r="N8" s="525"/>
      <c r="O8" s="227"/>
      <c r="P8" s="227"/>
      <c r="Q8" s="526"/>
      <c r="R8" s="527"/>
      <c r="S8" s="527"/>
      <c r="T8" s="921"/>
      <c r="U8" s="530" t="s">
        <v>320</v>
      </c>
      <c r="V8" s="535">
        <v>27671.93</v>
      </c>
      <c r="W8" s="532">
        <f t="shared" ref="W8:W27" si="16">(V8/1.21)</f>
        <v>22869.363636363636</v>
      </c>
      <c r="X8" s="535">
        <f t="shared" ref="X8:X27" si="17">(W8-(W8*X$4))</f>
        <v>22869.363636363636</v>
      </c>
      <c r="Y8" s="535">
        <f t="shared" ref="Y8:Z27" si="18">(X8-(X8*Y$4))</f>
        <v>21725.895454545454</v>
      </c>
      <c r="Z8" s="535">
        <f t="shared" si="18"/>
        <v>21291.377545454547</v>
      </c>
      <c r="AA8" s="535">
        <v>62000</v>
      </c>
      <c r="AB8" s="535">
        <f t="shared" ref="AB8:AB27" si="19">(AA8/1.21)</f>
        <v>51239.669421487604</v>
      </c>
      <c r="AC8" s="535">
        <f>(AB8-(AB8*Varta!H$3))</f>
        <v>48677.685950413223</v>
      </c>
      <c r="AD8" s="535">
        <f>(AC8-(AC8*Varta!I$3))</f>
        <v>47217.355371900827</v>
      </c>
      <c r="AE8" s="597">
        <f t="shared" ref="AE8:AE27" si="20">(AD8-Z8)/Z8</f>
        <v>1.2176749846785355</v>
      </c>
      <c r="AF8" s="597">
        <f t="shared" ref="AF8:AF27" si="21">(AD8-Z8)/AD8</f>
        <v>0.54907729630861324</v>
      </c>
      <c r="AG8" s="531">
        <f>([5]Moto!AH8*0.95)</f>
        <v>57190</v>
      </c>
      <c r="AH8" s="531">
        <f t="shared" ref="AH8:AH32" si="22">CEILING(AG8,50)</f>
        <v>57200</v>
      </c>
      <c r="AI8" s="532">
        <f t="shared" ref="AI8:AI27" si="23">(AH8/1.21)</f>
        <v>47272.727272727272</v>
      </c>
      <c r="AJ8" s="533">
        <f>(AI8-Z8)/Z8</f>
        <v>1.2202756572140834</v>
      </c>
      <c r="AK8" s="533">
        <f>(AI8-Z8)/AI8</f>
        <v>0.54960547500000001</v>
      </c>
      <c r="AL8" s="921"/>
      <c r="AM8" s="537"/>
      <c r="AN8" s="537"/>
      <c r="AO8" s="537">
        <f t="shared" si="12"/>
        <v>0</v>
      </c>
      <c r="AP8" s="538"/>
      <c r="AQ8" s="538"/>
      <c r="AR8" s="539"/>
      <c r="AS8" s="540"/>
      <c r="AT8" s="540"/>
      <c r="AU8" s="921"/>
      <c r="AV8" s="921"/>
      <c r="AW8" s="921"/>
    </row>
    <row r="9" spans="1:49">
      <c r="A9" s="522" t="s">
        <v>321</v>
      </c>
      <c r="B9" s="513">
        <v>32.96</v>
      </c>
      <c r="C9" s="514">
        <f t="shared" si="2"/>
        <v>27.239669421487605</v>
      </c>
      <c r="D9" s="548">
        <f t="shared" si="0"/>
        <v>20.974545454545456</v>
      </c>
      <c r="E9" s="548">
        <f t="shared" si="1"/>
        <v>26847.418181818182</v>
      </c>
      <c r="F9" s="214">
        <f>([5]Moto!G9*0.95)</f>
        <v>65645</v>
      </c>
      <c r="G9" s="214">
        <f t="shared" si="3"/>
        <v>65650</v>
      </c>
      <c r="H9" s="520">
        <f t="shared" si="4"/>
        <v>54256.198347107442</v>
      </c>
      <c r="I9" s="521">
        <f t="shared" si="5"/>
        <v>1.0209093470243349</v>
      </c>
      <c r="J9" s="521">
        <f t="shared" si="6"/>
        <v>0.50517325209444019</v>
      </c>
      <c r="K9" s="542"/>
      <c r="L9" s="225" t="s">
        <v>304</v>
      </c>
      <c r="M9" s="227">
        <v>28000</v>
      </c>
      <c r="N9" s="525">
        <f t="shared" si="7"/>
        <v>23800</v>
      </c>
      <c r="O9" s="227">
        <f>([5]Moto!P9*0.95)</f>
        <v>65645</v>
      </c>
      <c r="P9" s="227">
        <f t="shared" si="8"/>
        <v>65650</v>
      </c>
      <c r="Q9" s="526">
        <f t="shared" si="9"/>
        <v>54256.198347107442</v>
      </c>
      <c r="R9" s="527">
        <f t="shared" si="10"/>
        <v>1.2796721994582958</v>
      </c>
      <c r="S9" s="527">
        <f t="shared" si="11"/>
        <v>0.56134044173648134</v>
      </c>
      <c r="T9" s="921"/>
      <c r="U9" s="530" t="s">
        <v>322</v>
      </c>
      <c r="V9" s="535">
        <v>31067.78</v>
      </c>
      <c r="W9" s="532">
        <f t="shared" si="16"/>
        <v>25675.85123966942</v>
      </c>
      <c r="X9" s="535">
        <f t="shared" si="17"/>
        <v>25675.85123966942</v>
      </c>
      <c r="Y9" s="535">
        <f t="shared" si="18"/>
        <v>24392.058677685949</v>
      </c>
      <c r="Z9" s="535">
        <f t="shared" si="18"/>
        <v>23904.21750413223</v>
      </c>
      <c r="AA9" s="535">
        <v>64000</v>
      </c>
      <c r="AB9" s="535">
        <f t="shared" si="19"/>
        <v>52892.561983471074</v>
      </c>
      <c r="AC9" s="535">
        <f>(AB9-(AB9*Varta!H$3))</f>
        <v>50247.933884297519</v>
      </c>
      <c r="AD9" s="535">
        <f>(AC9-(AC9*Varta!I$3))</f>
        <v>48740.495867768594</v>
      </c>
      <c r="AE9" s="597">
        <f t="shared" si="20"/>
        <v>1.0389914817058126</v>
      </c>
      <c r="AF9" s="597">
        <f t="shared" si="21"/>
        <v>0.50956146262886604</v>
      </c>
      <c r="AG9" s="531">
        <f>([5]Moto!AH9*0.95)</f>
        <v>70252.5</v>
      </c>
      <c r="AH9" s="531">
        <f t="shared" si="22"/>
        <v>70300</v>
      </c>
      <c r="AI9" s="532">
        <f t="shared" si="23"/>
        <v>58099.173553719011</v>
      </c>
      <c r="AJ9" s="533">
        <f>(AI9-Z9)/Z9</f>
        <v>1.4304988667240677</v>
      </c>
      <c r="AK9" s="533">
        <f>(AI9-Z9)/AI9</f>
        <v>0.58856183243243243</v>
      </c>
      <c r="AL9" s="921"/>
      <c r="AM9" s="536" t="s">
        <v>323</v>
      </c>
      <c r="AN9" s="537">
        <f>(Yuasa!D46)</f>
        <v>0</v>
      </c>
      <c r="AO9" s="537">
        <f t="shared" si="12"/>
        <v>0</v>
      </c>
      <c r="AP9" s="538">
        <f>(Yuasa!Q46)</f>
        <v>115650</v>
      </c>
      <c r="AQ9" s="538">
        <f t="shared" si="13"/>
        <v>115650</v>
      </c>
      <c r="AR9" s="539">
        <f t="shared" si="14"/>
        <v>95578.512396694219</v>
      </c>
      <c r="AS9" s="540" t="e">
        <f t="shared" ref="AS9:AS11" si="24">(AR9-AO9)/AO9</f>
        <v>#DIV/0!</v>
      </c>
      <c r="AT9" s="540">
        <f t="shared" ref="AT9:AT11" si="25">(AR9-AO9)/AR9</f>
        <v>1</v>
      </c>
      <c r="AU9" s="921"/>
      <c r="AV9" s="921"/>
      <c r="AW9" s="921"/>
    </row>
    <row r="10" spans="1:49">
      <c r="A10" s="522" t="s">
        <v>324</v>
      </c>
      <c r="B10" s="513">
        <v>39.79</v>
      </c>
      <c r="C10" s="514">
        <f t="shared" si="2"/>
        <v>32.884297520661157</v>
      </c>
      <c r="D10" s="548">
        <f t="shared" si="0"/>
        <v>25.32090909090909</v>
      </c>
      <c r="E10" s="548">
        <f t="shared" si="1"/>
        <v>32410.763636363634</v>
      </c>
      <c r="F10" s="214">
        <f>([5]Moto!G10*0.95)</f>
        <v>79230</v>
      </c>
      <c r="G10" s="214">
        <f t="shared" si="3"/>
        <v>79250</v>
      </c>
      <c r="H10" s="520">
        <f t="shared" si="4"/>
        <v>65495.867768595046</v>
      </c>
      <c r="I10" s="521">
        <f t="shared" si="5"/>
        <v>1.0208060662634679</v>
      </c>
      <c r="J10" s="521">
        <f t="shared" si="6"/>
        <v>0.50514796214511049</v>
      </c>
      <c r="K10" s="542"/>
      <c r="L10" s="528"/>
      <c r="M10" s="227"/>
      <c r="N10" s="525"/>
      <c r="O10" s="227"/>
      <c r="P10" s="227"/>
      <c r="Q10" s="526"/>
      <c r="R10" s="527"/>
      <c r="S10" s="527"/>
      <c r="T10" s="921"/>
      <c r="U10" s="535"/>
      <c r="V10" s="535"/>
      <c r="W10" s="532"/>
      <c r="X10" s="535"/>
      <c r="Y10" s="535"/>
      <c r="Z10" s="535"/>
      <c r="AA10" s="535"/>
      <c r="AB10" s="535"/>
      <c r="AC10" s="535"/>
      <c r="AD10" s="535"/>
      <c r="AE10" s="597"/>
      <c r="AF10" s="597"/>
      <c r="AG10" s="531">
        <f>([5]Moto!AH10*0.95)</f>
        <v>0</v>
      </c>
      <c r="AH10" s="531">
        <f t="shared" si="22"/>
        <v>0</v>
      </c>
      <c r="AI10" s="532"/>
      <c r="AJ10" s="533"/>
      <c r="AK10" s="533"/>
      <c r="AL10" s="921"/>
      <c r="AM10" s="536" t="s">
        <v>325</v>
      </c>
      <c r="AN10" s="537">
        <f>(Yuasa!D47)</f>
        <v>0</v>
      </c>
      <c r="AO10" s="537">
        <f t="shared" si="12"/>
        <v>0</v>
      </c>
      <c r="AP10" s="538">
        <f>(Yuasa!Q47)</f>
        <v>123200</v>
      </c>
      <c r="AQ10" s="538">
        <f t="shared" si="13"/>
        <v>123200</v>
      </c>
      <c r="AR10" s="539">
        <f t="shared" si="14"/>
        <v>101818.18181818182</v>
      </c>
      <c r="AS10" s="540" t="e">
        <f t="shared" si="24"/>
        <v>#DIV/0!</v>
      </c>
      <c r="AT10" s="540">
        <f t="shared" si="25"/>
        <v>1</v>
      </c>
      <c r="AU10" s="921"/>
      <c r="AV10" s="921"/>
      <c r="AW10" s="921"/>
    </row>
    <row r="11" spans="1:49">
      <c r="A11" s="522" t="s">
        <v>326</v>
      </c>
      <c r="B11" s="513">
        <v>42.19</v>
      </c>
      <c r="C11" s="514">
        <f t="shared" si="2"/>
        <v>34.867768595041319</v>
      </c>
      <c r="D11" s="548">
        <f t="shared" si="0"/>
        <v>26.848181818181814</v>
      </c>
      <c r="E11" s="548">
        <f t="shared" si="1"/>
        <v>34365.672727272722</v>
      </c>
      <c r="F11" s="214">
        <f>([5]Moto!G11*0.95)</f>
        <v>83980</v>
      </c>
      <c r="G11" s="214">
        <f t="shared" si="3"/>
        <v>84000</v>
      </c>
      <c r="H11" s="520">
        <f t="shared" si="4"/>
        <v>69421.487603305781</v>
      </c>
      <c r="I11" s="521">
        <f t="shared" si="5"/>
        <v>1.020082311620591</v>
      </c>
      <c r="J11" s="521">
        <f t="shared" si="6"/>
        <v>0.50497066666666668</v>
      </c>
      <c r="K11" s="542"/>
      <c r="L11" s="528"/>
      <c r="M11" s="227"/>
      <c r="N11" s="525"/>
      <c r="O11" s="227"/>
      <c r="P11" s="227"/>
      <c r="Q11" s="526"/>
      <c r="R11" s="527"/>
      <c r="S11" s="527"/>
      <c r="T11" s="921"/>
      <c r="U11" s="535"/>
      <c r="V11" s="535"/>
      <c r="W11" s="532"/>
      <c r="X11" s="535"/>
      <c r="Y11" s="535"/>
      <c r="Z11" s="535"/>
      <c r="AA11" s="535"/>
      <c r="AB11" s="535"/>
      <c r="AC11" s="535"/>
      <c r="AD11" s="535"/>
      <c r="AE11" s="597"/>
      <c r="AF11" s="597"/>
      <c r="AG11" s="531">
        <f>([5]Moto!AH11*0.95)</f>
        <v>0</v>
      </c>
      <c r="AH11" s="531">
        <f t="shared" si="22"/>
        <v>0</v>
      </c>
      <c r="AI11" s="532"/>
      <c r="AJ11" s="533"/>
      <c r="AK11" s="533"/>
      <c r="AL11" s="921"/>
      <c r="AM11" s="536" t="s">
        <v>326</v>
      </c>
      <c r="AN11" s="537">
        <f>(Yuasa!D60)</f>
        <v>0</v>
      </c>
      <c r="AO11" s="537">
        <f t="shared" si="12"/>
        <v>0</v>
      </c>
      <c r="AP11" s="538">
        <f>(Yuasa!Q60)</f>
        <v>146850</v>
      </c>
      <c r="AQ11" s="538">
        <f t="shared" si="13"/>
        <v>146850</v>
      </c>
      <c r="AR11" s="539">
        <f t="shared" si="14"/>
        <v>121363.63636363637</v>
      </c>
      <c r="AS11" s="540" t="e">
        <f t="shared" si="24"/>
        <v>#DIV/0!</v>
      </c>
      <c r="AT11" s="540">
        <f t="shared" si="25"/>
        <v>1</v>
      </c>
      <c r="AU11" s="921"/>
      <c r="AV11" s="921"/>
      <c r="AW11" s="921"/>
    </row>
    <row r="12" spans="1:49">
      <c r="A12" s="522" t="s">
        <v>327</v>
      </c>
      <c r="B12" s="513">
        <v>45.15</v>
      </c>
      <c r="C12" s="514">
        <f t="shared" si="2"/>
        <v>37.314049586776861</v>
      </c>
      <c r="D12" s="548">
        <f t="shared" si="0"/>
        <v>28.731818181818184</v>
      </c>
      <c r="E12" s="548">
        <f t="shared" si="1"/>
        <v>36776.727272727279</v>
      </c>
      <c r="F12" s="214">
        <f>([5]Moto!G12*0.95)</f>
        <v>89917.5</v>
      </c>
      <c r="G12" s="214">
        <f t="shared" si="3"/>
        <v>89950</v>
      </c>
      <c r="H12" s="520">
        <f t="shared" si="4"/>
        <v>74338.842975206615</v>
      </c>
      <c r="I12" s="521">
        <f t="shared" si="5"/>
        <v>1.0213555824020937</v>
      </c>
      <c r="J12" s="521">
        <f t="shared" si="6"/>
        <v>0.50528249027237349</v>
      </c>
      <c r="K12" s="542"/>
      <c r="L12" s="225"/>
      <c r="M12" s="227"/>
      <c r="N12" s="525"/>
      <c r="O12" s="227"/>
      <c r="P12" s="227"/>
      <c r="Q12" s="526"/>
      <c r="R12" s="527"/>
      <c r="S12" s="527"/>
      <c r="T12" s="921"/>
      <c r="U12" s="535"/>
      <c r="V12" s="535"/>
      <c r="W12" s="532"/>
      <c r="X12" s="535"/>
      <c r="Y12" s="535"/>
      <c r="Z12" s="535"/>
      <c r="AA12" s="535"/>
      <c r="AB12" s="535"/>
      <c r="AC12" s="535"/>
      <c r="AD12" s="535"/>
      <c r="AE12" s="597"/>
      <c r="AF12" s="597"/>
      <c r="AG12" s="531">
        <f>([5]Moto!AH12*0.95)</f>
        <v>0</v>
      </c>
      <c r="AH12" s="531">
        <f t="shared" si="22"/>
        <v>0</v>
      </c>
      <c r="AI12" s="532"/>
      <c r="AJ12" s="533"/>
      <c r="AK12" s="533"/>
      <c r="AL12" s="921"/>
      <c r="AM12" s="537"/>
      <c r="AN12" s="537"/>
      <c r="AO12" s="537">
        <f t="shared" si="12"/>
        <v>0</v>
      </c>
      <c r="AP12" s="538"/>
      <c r="AQ12" s="538"/>
      <c r="AR12" s="539"/>
      <c r="AS12" s="540"/>
      <c r="AT12" s="540"/>
      <c r="AU12" s="921"/>
      <c r="AV12" s="921"/>
      <c r="AW12" s="921"/>
    </row>
    <row r="13" spans="1:49">
      <c r="A13" s="522" t="s">
        <v>328</v>
      </c>
      <c r="B13" s="513">
        <v>49.86</v>
      </c>
      <c r="C13" s="514">
        <f t="shared" si="2"/>
        <v>41.206611570247937</v>
      </c>
      <c r="D13" s="548">
        <f t="shared" si="0"/>
        <v>31.72909090909091</v>
      </c>
      <c r="E13" s="548">
        <f t="shared" si="1"/>
        <v>40613.236363636366</v>
      </c>
      <c r="F13" s="214">
        <f>([5]Moto!G13*0.95)</f>
        <v>99275</v>
      </c>
      <c r="G13" s="214">
        <f t="shared" si="3"/>
        <v>99300</v>
      </c>
      <c r="H13" s="520">
        <f t="shared" si="4"/>
        <v>82066.115702479336</v>
      </c>
      <c r="I13" s="521">
        <f t="shared" si="5"/>
        <v>1.0206741213058901</v>
      </c>
      <c r="J13" s="521">
        <f t="shared" si="6"/>
        <v>0.50511564954682775</v>
      </c>
      <c r="K13" s="542"/>
      <c r="L13" s="528"/>
      <c r="M13" s="227"/>
      <c r="N13" s="525"/>
      <c r="O13" s="227"/>
      <c r="P13" s="227"/>
      <c r="Q13" s="526"/>
      <c r="R13" s="527"/>
      <c r="S13" s="527"/>
      <c r="T13" s="921"/>
      <c r="U13" s="530" t="s">
        <v>329</v>
      </c>
      <c r="V13" s="535">
        <v>53513.82</v>
      </c>
      <c r="W13" s="532">
        <f t="shared" si="16"/>
        <v>44226.297520661159</v>
      </c>
      <c r="X13" s="535">
        <f t="shared" si="17"/>
        <v>44226.297520661159</v>
      </c>
      <c r="Y13" s="535">
        <f t="shared" si="18"/>
        <v>42014.9826446281</v>
      </c>
      <c r="Z13" s="535">
        <f t="shared" si="18"/>
        <v>41174.682991735535</v>
      </c>
      <c r="AA13" s="535">
        <v>102000</v>
      </c>
      <c r="AB13" s="535">
        <f t="shared" si="19"/>
        <v>84297.520661157032</v>
      </c>
      <c r="AC13" s="535">
        <f>(AB13-(AB13*Varta!H$3))</f>
        <v>80082.64462809918</v>
      </c>
      <c r="AD13" s="535">
        <f>(AC13-(AC13*Varta!I$3))</f>
        <v>77680.165289256198</v>
      </c>
      <c r="AE13" s="597">
        <f t="shared" si="20"/>
        <v>0.88660020296568987</v>
      </c>
      <c r="AF13" s="597">
        <f t="shared" si="21"/>
        <v>0.4699459915100061</v>
      </c>
      <c r="AG13" s="531">
        <f>([5]Moto!AH13*0.95)</f>
        <v>106257.5</v>
      </c>
      <c r="AH13" s="531">
        <f t="shared" si="22"/>
        <v>106300</v>
      </c>
      <c r="AI13" s="532">
        <f t="shared" si="23"/>
        <v>87851.239669421484</v>
      </c>
      <c r="AJ13" s="533">
        <f>(AI13-Z13)/Z13</f>
        <v>1.1336227333445343</v>
      </c>
      <c r="AK13" s="533">
        <f>(AI13-Z13)/AI13</f>
        <v>0.53131358024459074</v>
      </c>
      <c r="AL13" s="921"/>
      <c r="AM13" s="536" t="s">
        <v>330</v>
      </c>
      <c r="AN13" s="537">
        <f>(Yuasa!D49)</f>
        <v>0</v>
      </c>
      <c r="AO13" s="537">
        <f t="shared" si="12"/>
        <v>0</v>
      </c>
      <c r="AP13" s="538">
        <f>(Yuasa!Q49)</f>
        <v>134050</v>
      </c>
      <c r="AQ13" s="538">
        <f t="shared" si="13"/>
        <v>134050</v>
      </c>
      <c r="AR13" s="539">
        <f t="shared" si="14"/>
        <v>110785.12396694215</v>
      </c>
      <c r="AS13" s="540" t="e">
        <f>(AR13-AO13)/AO13</f>
        <v>#DIV/0!</v>
      </c>
      <c r="AT13" s="540">
        <f t="shared" ref="AT13:AT14" si="26">(AR13-AO13)/AR13</f>
        <v>1</v>
      </c>
      <c r="AU13" s="921"/>
      <c r="AV13" s="921"/>
      <c r="AW13" s="921"/>
    </row>
    <row r="14" spans="1:49">
      <c r="A14" s="522" t="s">
        <v>331</v>
      </c>
      <c r="B14" s="513">
        <v>56.99</v>
      </c>
      <c r="C14" s="514">
        <f t="shared" si="2"/>
        <v>47.099173553719012</v>
      </c>
      <c r="D14" s="548">
        <f t="shared" si="0"/>
        <v>36.266363636363636</v>
      </c>
      <c r="E14" s="548">
        <f t="shared" si="1"/>
        <v>46420.94545454545</v>
      </c>
      <c r="F14" s="214">
        <f>([5]Moto!G14*0.95)</f>
        <v>113477.5</v>
      </c>
      <c r="G14" s="214">
        <f t="shared" si="3"/>
        <v>113500</v>
      </c>
      <c r="H14" s="520">
        <f t="shared" si="4"/>
        <v>93801.652892561993</v>
      </c>
      <c r="I14" s="521">
        <f t="shared" si="5"/>
        <v>1.020675192503584</v>
      </c>
      <c r="J14" s="521">
        <f t="shared" si="6"/>
        <v>0.50511591189427318</v>
      </c>
      <c r="K14" s="542"/>
      <c r="L14" s="528"/>
      <c r="M14" s="227"/>
      <c r="N14" s="525"/>
      <c r="O14" s="227"/>
      <c r="P14" s="227"/>
      <c r="Q14" s="526"/>
      <c r="R14" s="527"/>
      <c r="S14" s="527"/>
      <c r="T14" s="921"/>
      <c r="U14" s="535"/>
      <c r="V14" s="535"/>
      <c r="W14" s="532"/>
      <c r="X14" s="535"/>
      <c r="Y14" s="535"/>
      <c r="Z14" s="535"/>
      <c r="AA14" s="535"/>
      <c r="AB14" s="535"/>
      <c r="AC14" s="535"/>
      <c r="AD14" s="535"/>
      <c r="AE14" s="597"/>
      <c r="AF14" s="597"/>
      <c r="AG14" s="531">
        <f>([5]Moto!AH14*0.95)</f>
        <v>0</v>
      </c>
      <c r="AH14" s="531">
        <f t="shared" si="22"/>
        <v>0</v>
      </c>
      <c r="AI14" s="532"/>
      <c r="AJ14" s="533"/>
      <c r="AK14" s="533"/>
      <c r="AL14" s="921"/>
      <c r="AM14" s="536" t="s">
        <v>332</v>
      </c>
      <c r="AN14" s="537">
        <f>(Yuasa!D71)</f>
        <v>0</v>
      </c>
      <c r="AO14" s="537">
        <f t="shared" si="12"/>
        <v>0</v>
      </c>
      <c r="AP14" s="538">
        <f>(Yuasa!Q71)</f>
        <v>232600</v>
      </c>
      <c r="AQ14" s="538">
        <f t="shared" si="13"/>
        <v>232600</v>
      </c>
      <c r="AR14" s="539">
        <f t="shared" si="14"/>
        <v>192231.40495867768</v>
      </c>
      <c r="AS14" s="540" t="e">
        <f>(AR14-AO14)/AO14</f>
        <v>#DIV/0!</v>
      </c>
      <c r="AT14" s="540">
        <f t="shared" si="26"/>
        <v>1</v>
      </c>
      <c r="AU14" s="921"/>
      <c r="AV14" s="921"/>
      <c r="AW14" s="921"/>
    </row>
    <row r="15" spans="1:49" ht="28.8">
      <c r="A15" s="522" t="s">
        <v>333</v>
      </c>
      <c r="B15" s="513">
        <v>16.04</v>
      </c>
      <c r="C15" s="514">
        <f t="shared" si="2"/>
        <v>13.256198347107437</v>
      </c>
      <c r="D15" s="548">
        <f t="shared" si="0"/>
        <v>10.207272727272727</v>
      </c>
      <c r="E15" s="548">
        <f t="shared" si="1"/>
        <v>13065.30909090909</v>
      </c>
      <c r="F15" s="214">
        <f>([5]Moto!G15*0.95)</f>
        <v>31967.5</v>
      </c>
      <c r="G15" s="214">
        <f t="shared" si="3"/>
        <v>32000</v>
      </c>
      <c r="H15" s="520">
        <f t="shared" si="4"/>
        <v>26446.280991735537</v>
      </c>
      <c r="I15" s="521">
        <f t="shared" si="5"/>
        <v>1.0241603782750917</v>
      </c>
      <c r="J15" s="521">
        <f t="shared" si="6"/>
        <v>0.50596800000000008</v>
      </c>
      <c r="K15" s="542"/>
      <c r="L15" s="528"/>
      <c r="M15" s="227"/>
      <c r="N15" s="525"/>
      <c r="O15" s="227"/>
      <c r="P15" s="227"/>
      <c r="Q15" s="526"/>
      <c r="R15" s="527"/>
      <c r="S15" s="527"/>
      <c r="T15" s="921"/>
      <c r="U15" s="530" t="s">
        <v>334</v>
      </c>
      <c r="V15" s="535">
        <v>19308.61</v>
      </c>
      <c r="W15" s="532">
        <f t="shared" si="16"/>
        <v>15957.528925619836</v>
      </c>
      <c r="X15" s="535">
        <f t="shared" si="17"/>
        <v>15957.528925619836</v>
      </c>
      <c r="Y15" s="535">
        <f t="shared" si="18"/>
        <v>15159.652479338843</v>
      </c>
      <c r="Z15" s="535">
        <f t="shared" si="18"/>
        <v>14856.459429752067</v>
      </c>
      <c r="AA15" s="535">
        <v>43000</v>
      </c>
      <c r="AB15" s="535">
        <f t="shared" si="19"/>
        <v>35537.190082644629</v>
      </c>
      <c r="AC15" s="535">
        <f>(AB15-(AB15*Varta!H$3))</f>
        <v>33760.330578512396</v>
      </c>
      <c r="AD15" s="535">
        <f>(AC15-(AC15*Varta!I$3))</f>
        <v>32747.520661157025</v>
      </c>
      <c r="AE15" s="597">
        <f t="shared" si="20"/>
        <v>1.2042614403520457</v>
      </c>
      <c r="AF15" s="597">
        <f t="shared" si="21"/>
        <v>0.54633330616159193</v>
      </c>
      <c r="AG15" s="531">
        <f>([5]Moto!AH15*0.95)</f>
        <v>34247.5</v>
      </c>
      <c r="AH15" s="531">
        <f t="shared" si="22"/>
        <v>34250</v>
      </c>
      <c r="AI15" s="532">
        <f t="shared" si="23"/>
        <v>28305.785123966944</v>
      </c>
      <c r="AJ15" s="533">
        <f>(AI15-Z15)/Z15</f>
        <v>0.90528471859727122</v>
      </c>
      <c r="AK15" s="533">
        <f>(AI15-Z15)/AI15</f>
        <v>0.47514406102189782</v>
      </c>
      <c r="AL15" s="921"/>
      <c r="AM15" s="536" t="s">
        <v>335</v>
      </c>
      <c r="AN15" s="537">
        <f>(Yuasa!D96)</f>
        <v>0</v>
      </c>
      <c r="AO15" s="537">
        <f t="shared" si="12"/>
        <v>0</v>
      </c>
      <c r="AP15" s="538">
        <f>(Yuasa!Q96)</f>
        <v>69750</v>
      </c>
      <c r="AQ15" s="538">
        <f t="shared" si="13"/>
        <v>69750</v>
      </c>
      <c r="AR15" s="539">
        <f t="shared" si="14"/>
        <v>57644.628099173555</v>
      </c>
      <c r="AS15" s="540" t="e">
        <f t="shared" ref="AS15:AS16" si="27">(AR15-AO15)/AO15</f>
        <v>#DIV/0!</v>
      </c>
      <c r="AT15" s="540">
        <f t="shared" ref="AT15:AT16" si="28">(AR15-AO15)/AR15</f>
        <v>1</v>
      </c>
      <c r="AU15" s="921"/>
      <c r="AV15" s="921"/>
      <c r="AW15" s="921"/>
    </row>
    <row r="16" spans="1:49" ht="28.8">
      <c r="A16" s="522" t="s">
        <v>336</v>
      </c>
      <c r="B16" s="513">
        <v>19.52</v>
      </c>
      <c r="C16" s="514">
        <f t="shared" si="2"/>
        <v>16.132231404958677</v>
      </c>
      <c r="D16" s="548">
        <f t="shared" si="0"/>
        <v>12.421818181818182</v>
      </c>
      <c r="E16" s="548">
        <f t="shared" si="1"/>
        <v>15899.927272727273</v>
      </c>
      <c r="F16" s="214">
        <v>28850</v>
      </c>
      <c r="G16" s="214">
        <f t="shared" si="3"/>
        <v>28850</v>
      </c>
      <c r="H16" s="520">
        <f t="shared" si="4"/>
        <v>23842.975206611573</v>
      </c>
      <c r="I16" s="521">
        <f t="shared" si="5"/>
        <v>0.49956504816904418</v>
      </c>
      <c r="J16" s="521">
        <f t="shared" si="6"/>
        <v>0.33313996533795498</v>
      </c>
      <c r="K16" s="542"/>
      <c r="L16" s="225" t="s">
        <v>282</v>
      </c>
      <c r="M16" s="227">
        <v>18100</v>
      </c>
      <c r="N16" s="525">
        <f t="shared" si="7"/>
        <v>15385</v>
      </c>
      <c r="O16" s="227"/>
      <c r="P16" s="227">
        <f t="shared" si="8"/>
        <v>0</v>
      </c>
      <c r="Q16" s="526">
        <f t="shared" si="9"/>
        <v>0</v>
      </c>
      <c r="R16" s="527">
        <f t="shared" si="10"/>
        <v>-1</v>
      </c>
      <c r="S16" s="527" t="e">
        <f t="shared" si="11"/>
        <v>#DIV/0!</v>
      </c>
      <c r="T16" s="921"/>
      <c r="U16" s="535"/>
      <c r="V16" s="535"/>
      <c r="W16" s="532"/>
      <c r="X16" s="535"/>
      <c r="Y16" s="535"/>
      <c r="Z16" s="535"/>
      <c r="AA16" s="535"/>
      <c r="AB16" s="535"/>
      <c r="AC16" s="535"/>
      <c r="AD16" s="535"/>
      <c r="AE16" s="597"/>
      <c r="AF16" s="597"/>
      <c r="AG16" s="531">
        <f>([5]Moto!AH16*0.95)</f>
        <v>0</v>
      </c>
      <c r="AH16" s="531">
        <f t="shared" si="22"/>
        <v>0</v>
      </c>
      <c r="AI16" s="532"/>
      <c r="AJ16" s="533"/>
      <c r="AK16" s="533"/>
      <c r="AL16" s="921"/>
      <c r="AM16" s="536" t="s">
        <v>337</v>
      </c>
      <c r="AN16" s="537">
        <f>(Yuasa!D97)</f>
        <v>0</v>
      </c>
      <c r="AO16" s="537">
        <f t="shared" si="12"/>
        <v>0</v>
      </c>
      <c r="AP16" s="538">
        <f>(Yuasa!Q97)</f>
        <v>92050</v>
      </c>
      <c r="AQ16" s="538">
        <f t="shared" si="13"/>
        <v>92050</v>
      </c>
      <c r="AR16" s="539">
        <f t="shared" si="14"/>
        <v>76074.380165289258</v>
      </c>
      <c r="AS16" s="540" t="e">
        <f t="shared" si="27"/>
        <v>#DIV/0!</v>
      </c>
      <c r="AT16" s="540">
        <f t="shared" si="28"/>
        <v>1</v>
      </c>
      <c r="AU16" s="921"/>
      <c r="AV16" s="921" t="s">
        <v>338</v>
      </c>
      <c r="AW16" s="921">
        <v>27990</v>
      </c>
    </row>
    <row r="17" spans="1:49">
      <c r="A17" s="522" t="s">
        <v>339</v>
      </c>
      <c r="B17" s="513">
        <v>24.75</v>
      </c>
      <c r="C17" s="514">
        <f t="shared" si="2"/>
        <v>20.454545454545457</v>
      </c>
      <c r="D17" s="548">
        <f t="shared" si="0"/>
        <v>15.750000000000002</v>
      </c>
      <c r="E17" s="548">
        <f t="shared" si="1"/>
        <v>20160.000000000004</v>
      </c>
      <c r="F17" s="214">
        <f>([5]Moto!G17*0.95)</f>
        <v>49257.5</v>
      </c>
      <c r="G17" s="214">
        <f t="shared" si="3"/>
        <v>49300</v>
      </c>
      <c r="H17" s="520">
        <f t="shared" si="4"/>
        <v>40743.801652892565</v>
      </c>
      <c r="I17" s="521">
        <f t="shared" si="5"/>
        <v>1.0210219073855435</v>
      </c>
      <c r="J17" s="521">
        <f t="shared" si="6"/>
        <v>0.50520081135902628</v>
      </c>
      <c r="K17" s="542"/>
      <c r="L17" s="528"/>
      <c r="M17" s="227"/>
      <c r="N17" s="525"/>
      <c r="O17" s="227"/>
      <c r="P17" s="227"/>
      <c r="Q17" s="526"/>
      <c r="R17" s="527"/>
      <c r="S17" s="527"/>
      <c r="T17" s="921"/>
      <c r="U17" s="530" t="s">
        <v>340</v>
      </c>
      <c r="V17" s="535">
        <v>24248.02</v>
      </c>
      <c r="W17" s="532">
        <f t="shared" si="16"/>
        <v>20039.685950413223</v>
      </c>
      <c r="X17" s="535">
        <f t="shared" si="17"/>
        <v>20039.685950413223</v>
      </c>
      <c r="Y17" s="535">
        <f t="shared" si="18"/>
        <v>19037.70165289256</v>
      </c>
      <c r="Z17" s="535">
        <f t="shared" si="18"/>
        <v>18656.947619834707</v>
      </c>
      <c r="AA17" s="535">
        <v>54000</v>
      </c>
      <c r="AB17" s="535">
        <f t="shared" si="19"/>
        <v>44628.099173553717</v>
      </c>
      <c r="AC17" s="535">
        <f>(AB17-(AB17*Varta!H$3))</f>
        <v>42396.694214876028</v>
      </c>
      <c r="AD17" s="535">
        <f>(AC17-(AC17*Varta!I$3))</f>
        <v>41124.793388429745</v>
      </c>
      <c r="AE17" s="597">
        <f t="shared" si="20"/>
        <v>1.2042616094772578</v>
      </c>
      <c r="AF17" s="597">
        <f t="shared" si="21"/>
        <v>0.54633334096983577</v>
      </c>
      <c r="AG17" s="531">
        <f>([5]Moto!AH17*0.95)</f>
        <v>52725</v>
      </c>
      <c r="AH17" s="531">
        <f t="shared" si="22"/>
        <v>52750</v>
      </c>
      <c r="AI17" s="532">
        <f t="shared" si="23"/>
        <v>43595.041322314049</v>
      </c>
      <c r="AJ17" s="533">
        <f>(AI17-Z17)/Z17</f>
        <v>1.3366652579314195</v>
      </c>
      <c r="AK17" s="533">
        <f>(AI17-Z17)/AI17</f>
        <v>0.57203968492891</v>
      </c>
      <c r="AL17" s="921"/>
      <c r="AM17" s="537"/>
      <c r="AN17" s="537"/>
      <c r="AO17" s="537"/>
      <c r="AP17" s="538"/>
      <c r="AQ17" s="538"/>
      <c r="AR17" s="539"/>
      <c r="AS17" s="540"/>
      <c r="AT17" s="540"/>
      <c r="AU17" s="921"/>
      <c r="AV17" s="921"/>
      <c r="AW17" s="921"/>
    </row>
    <row r="18" spans="1:49">
      <c r="A18" s="522" t="s">
        <v>341</v>
      </c>
      <c r="B18" s="513">
        <v>25.62</v>
      </c>
      <c r="C18" s="514">
        <f t="shared" si="2"/>
        <v>21.173553719008265</v>
      </c>
      <c r="D18" s="548">
        <f t="shared" si="0"/>
        <v>16.303636363636365</v>
      </c>
      <c r="E18" s="548">
        <f t="shared" si="1"/>
        <v>20868.654545454548</v>
      </c>
      <c r="F18" s="214">
        <v>37100</v>
      </c>
      <c r="G18" s="214">
        <f t="shared" si="3"/>
        <v>37100</v>
      </c>
      <c r="H18" s="520">
        <f t="shared" si="4"/>
        <v>30661.157024793389</v>
      </c>
      <c r="I18" s="521">
        <f t="shared" si="5"/>
        <v>0.4692445532609465</v>
      </c>
      <c r="J18" s="521">
        <f t="shared" si="6"/>
        <v>0.31937811320754705</v>
      </c>
      <c r="K18" s="542"/>
      <c r="L18" s="225" t="s">
        <v>286</v>
      </c>
      <c r="M18" s="227">
        <v>24240</v>
      </c>
      <c r="N18" s="525">
        <f t="shared" si="7"/>
        <v>20604</v>
      </c>
      <c r="O18" s="227">
        <f>([5]Moto!P18*0.95)</f>
        <v>51062.5</v>
      </c>
      <c r="P18" s="227">
        <f t="shared" si="8"/>
        <v>51100</v>
      </c>
      <c r="Q18" s="526">
        <f t="shared" si="9"/>
        <v>42231.404958677689</v>
      </c>
      <c r="R18" s="527">
        <f t="shared" si="10"/>
        <v>1.0496702076624775</v>
      </c>
      <c r="S18" s="527">
        <f t="shared" si="11"/>
        <v>0.5121166340508807</v>
      </c>
      <c r="T18" s="921"/>
      <c r="U18" s="530" t="s">
        <v>342</v>
      </c>
      <c r="V18" s="535">
        <v>27868.38</v>
      </c>
      <c r="W18" s="532">
        <f t="shared" si="16"/>
        <v>23031.719008264463</v>
      </c>
      <c r="X18" s="535">
        <f t="shared" si="17"/>
        <v>23031.719008264463</v>
      </c>
      <c r="Y18" s="535">
        <f t="shared" si="18"/>
        <v>21880.133057851239</v>
      </c>
      <c r="Z18" s="535">
        <f t="shared" si="18"/>
        <v>21442.530396694216</v>
      </c>
      <c r="AA18" s="535">
        <v>63000</v>
      </c>
      <c r="AB18" s="535">
        <f t="shared" si="19"/>
        <v>52066.115702479343</v>
      </c>
      <c r="AC18" s="535">
        <f>(AB18-(AB18*Varta!H$3))</f>
        <v>49462.809917355378</v>
      </c>
      <c r="AD18" s="535">
        <f>(AC18-(AC18*Varta!I$3))</f>
        <v>47978.925619834714</v>
      </c>
      <c r="AE18" s="597">
        <f t="shared" si="20"/>
        <v>1.2375589416084773</v>
      </c>
      <c r="AF18" s="597">
        <f t="shared" si="21"/>
        <v>0.55308439862542957</v>
      </c>
      <c r="AG18" s="531">
        <f>([5]Moto!AH18*0.95)</f>
        <v>54672.5</v>
      </c>
      <c r="AH18" s="531">
        <f t="shared" si="22"/>
        <v>54700</v>
      </c>
      <c r="AI18" s="532">
        <f t="shared" si="23"/>
        <v>45206.611570247936</v>
      </c>
      <c r="AJ18" s="533">
        <f>(AI18-Z18)/Z18</f>
        <v>1.1082685081429298</v>
      </c>
      <c r="AK18" s="533">
        <f>(AI18-Z18)/AI18</f>
        <v>0.5256771155393053</v>
      </c>
      <c r="AL18" s="921"/>
      <c r="AM18" s="536" t="s">
        <v>343</v>
      </c>
      <c r="AN18" s="537">
        <f>(Yuasa!D98)</f>
        <v>0</v>
      </c>
      <c r="AO18" s="537">
        <f>(AN18-(AN18*AO$4))</f>
        <v>0</v>
      </c>
      <c r="AP18" s="538">
        <f>(Yuasa!Q98)</f>
        <v>42700</v>
      </c>
      <c r="AQ18" s="538">
        <f t="shared" si="13"/>
        <v>42700</v>
      </c>
      <c r="AR18" s="539">
        <f t="shared" si="14"/>
        <v>35289.25619834711</v>
      </c>
      <c r="AS18" s="540" t="e">
        <f t="shared" ref="AS18:AS22" si="29">(AR18-AO18)/AO18</f>
        <v>#DIV/0!</v>
      </c>
      <c r="AT18" s="540">
        <f t="shared" ref="AT18:AT22" si="30">(AR18-AO18)/AR18</f>
        <v>1</v>
      </c>
      <c r="AU18" s="921"/>
      <c r="AV18" s="921" t="s">
        <v>344</v>
      </c>
      <c r="AW18" s="921">
        <v>33990</v>
      </c>
    </row>
    <row r="19" spans="1:49" ht="22.5" customHeight="1">
      <c r="A19" s="522" t="s">
        <v>345</v>
      </c>
      <c r="B19" s="513">
        <v>26.39</v>
      </c>
      <c r="C19" s="514">
        <f t="shared" si="2"/>
        <v>21.809917355371901</v>
      </c>
      <c r="D19" s="548">
        <f t="shared" si="0"/>
        <v>16.793636363636363</v>
      </c>
      <c r="E19" s="548">
        <f t="shared" si="1"/>
        <v>21495.854545454546</v>
      </c>
      <c r="F19" s="214">
        <f>([5]Moto!G19*0.95)</f>
        <v>52535</v>
      </c>
      <c r="G19" s="214">
        <f t="shared" si="3"/>
        <v>52550</v>
      </c>
      <c r="H19" s="520">
        <f t="shared" si="4"/>
        <v>43429.752066115703</v>
      </c>
      <c r="I19" s="521">
        <f t="shared" si="5"/>
        <v>1.0203780209937845</v>
      </c>
      <c r="J19" s="521">
        <f t="shared" si="6"/>
        <v>0.50504312083729785</v>
      </c>
      <c r="K19" s="542"/>
      <c r="L19" s="225" t="s">
        <v>284</v>
      </c>
      <c r="M19" s="227">
        <v>24528</v>
      </c>
      <c r="N19" s="525">
        <f t="shared" si="7"/>
        <v>20848.8</v>
      </c>
      <c r="O19" s="227">
        <f>([5]Moto!P19*0.95)</f>
        <v>52535</v>
      </c>
      <c r="P19" s="227">
        <f t="shared" si="8"/>
        <v>52550</v>
      </c>
      <c r="Q19" s="526">
        <f t="shared" si="9"/>
        <v>43429.752066115703</v>
      </c>
      <c r="R19" s="527">
        <f t="shared" si="10"/>
        <v>1.0830816193793267</v>
      </c>
      <c r="S19" s="527">
        <f t="shared" si="11"/>
        <v>0.51994199809705044</v>
      </c>
      <c r="T19" s="921"/>
      <c r="U19" s="530" t="s">
        <v>346</v>
      </c>
      <c r="V19" s="535">
        <v>29299.69</v>
      </c>
      <c r="W19" s="532">
        <f t="shared" si="16"/>
        <v>24214.619834710742</v>
      </c>
      <c r="X19" s="535">
        <f t="shared" si="17"/>
        <v>24214.619834710742</v>
      </c>
      <c r="Y19" s="535">
        <f t="shared" si="18"/>
        <v>23003.888842975204</v>
      </c>
      <c r="Z19" s="535">
        <f t="shared" si="18"/>
        <v>22543.811066115701</v>
      </c>
      <c r="AA19" s="535">
        <v>66000</v>
      </c>
      <c r="AB19" s="535">
        <f t="shared" si="19"/>
        <v>54545.454545454544</v>
      </c>
      <c r="AC19" s="535">
        <f>(AB19-(AB19*Varta!H$3))</f>
        <v>51818.181818181816</v>
      </c>
      <c r="AD19" s="535">
        <f>(AC19-(AC19*Varta!I$3))</f>
        <v>50263.63636363636</v>
      </c>
      <c r="AE19" s="597">
        <f t="shared" si="20"/>
        <v>1.2295980132296587</v>
      </c>
      <c r="AF19" s="597">
        <f t="shared" si="21"/>
        <v>0.55148865666979074</v>
      </c>
      <c r="AG19" s="531">
        <f>([5]Moto!AH19*0.95)</f>
        <v>56240</v>
      </c>
      <c r="AH19" s="531">
        <f t="shared" si="22"/>
        <v>56250</v>
      </c>
      <c r="AI19" s="532">
        <f t="shared" si="23"/>
        <v>46487.603305785124</v>
      </c>
      <c r="AJ19" s="533">
        <f>(AI19-Z19)/Z19</f>
        <v>1.0621004660413409</v>
      </c>
      <c r="AK19" s="533">
        <f>(AI19-Z19)/AI19</f>
        <v>0.51505757528888896</v>
      </c>
      <c r="AL19" s="921"/>
      <c r="AM19" s="536" t="s">
        <v>345</v>
      </c>
      <c r="AN19" s="537">
        <f>(Yuasa!D76)</f>
        <v>0</v>
      </c>
      <c r="AO19" s="537">
        <f t="shared" si="12"/>
        <v>0</v>
      </c>
      <c r="AP19" s="538">
        <f>(Yuasa!Q76)</f>
        <v>293650</v>
      </c>
      <c r="AQ19" s="538">
        <f t="shared" si="13"/>
        <v>293650</v>
      </c>
      <c r="AR19" s="539">
        <f t="shared" si="14"/>
        <v>242685.95041322315</v>
      </c>
      <c r="AS19" s="540" t="e">
        <f t="shared" si="29"/>
        <v>#DIV/0!</v>
      </c>
      <c r="AT19" s="540">
        <f t="shared" si="30"/>
        <v>1</v>
      </c>
      <c r="AU19" s="921"/>
      <c r="AV19" s="921"/>
      <c r="AW19" s="921"/>
    </row>
    <row r="20" spans="1:49">
      <c r="A20" s="522" t="s">
        <v>347</v>
      </c>
      <c r="B20" s="513">
        <v>32.71</v>
      </c>
      <c r="C20" s="514">
        <f t="shared" si="2"/>
        <v>27.033057851239672</v>
      </c>
      <c r="D20" s="548">
        <f t="shared" si="0"/>
        <v>20.815454545454546</v>
      </c>
      <c r="E20" s="548">
        <f t="shared" si="1"/>
        <v>26643.781818181818</v>
      </c>
      <c r="F20" s="214">
        <v>42750</v>
      </c>
      <c r="G20" s="214">
        <f t="shared" si="3"/>
        <v>42750</v>
      </c>
      <c r="H20" s="520">
        <f t="shared" si="4"/>
        <v>35330.578512396693</v>
      </c>
      <c r="I20" s="521">
        <f t="shared" si="5"/>
        <v>0.32603467306157607</v>
      </c>
      <c r="J20" s="521">
        <f t="shared" si="6"/>
        <v>0.2458719064327485</v>
      </c>
      <c r="K20" s="542"/>
      <c r="L20" s="225" t="s">
        <v>288</v>
      </c>
      <c r="M20" s="227">
        <v>27192</v>
      </c>
      <c r="N20" s="525">
        <f t="shared" si="7"/>
        <v>23113.200000000001</v>
      </c>
      <c r="O20" s="227">
        <f>([5]Moto!P20*0.95)</f>
        <v>65122.5</v>
      </c>
      <c r="P20" s="227">
        <f t="shared" si="8"/>
        <v>65150</v>
      </c>
      <c r="Q20" s="526">
        <f t="shared" si="9"/>
        <v>53842.975206611569</v>
      </c>
      <c r="R20" s="527">
        <f t="shared" si="10"/>
        <v>1.3295335655215015</v>
      </c>
      <c r="S20" s="527">
        <f t="shared" si="11"/>
        <v>0.57072951650038373</v>
      </c>
      <c r="T20" s="921"/>
      <c r="U20" s="530" t="s">
        <v>348</v>
      </c>
      <c r="V20" s="535">
        <v>34688.129999999997</v>
      </c>
      <c r="W20" s="532">
        <f t="shared" si="16"/>
        <v>28667.876033057852</v>
      </c>
      <c r="X20" s="535">
        <f t="shared" si="17"/>
        <v>28667.876033057852</v>
      </c>
      <c r="Y20" s="535">
        <f t="shared" si="18"/>
        <v>27234.48223140496</v>
      </c>
      <c r="Z20" s="535">
        <f t="shared" si="18"/>
        <v>26689.792586776861</v>
      </c>
      <c r="AA20" s="535">
        <v>78000</v>
      </c>
      <c r="AB20" s="535">
        <f t="shared" si="19"/>
        <v>64462.809917355371</v>
      </c>
      <c r="AC20" s="535">
        <f>(AB20-(AB20*Varta!H$3))</f>
        <v>61239.669421487604</v>
      </c>
      <c r="AD20" s="535">
        <f>(AC20-(AC20*Varta!I$3))</f>
        <v>59402.479338842975</v>
      </c>
      <c r="AE20" s="597">
        <f t="shared" si="20"/>
        <v>1.2256628314254201</v>
      </c>
      <c r="AF20" s="597">
        <f t="shared" si="21"/>
        <v>0.55069564631245038</v>
      </c>
      <c r="AG20" s="531">
        <f>([5]Moto!AH20*0.95)</f>
        <v>69682.5</v>
      </c>
      <c r="AH20" s="531">
        <f t="shared" si="22"/>
        <v>69700</v>
      </c>
      <c r="AI20" s="532">
        <f t="shared" si="23"/>
        <v>57603.305785123972</v>
      </c>
      <c r="AJ20" s="533">
        <f>(AI20-Z20)/Z20</f>
        <v>1.1582522830718003</v>
      </c>
      <c r="AK20" s="533">
        <f>(AI20-Z20)/AI20</f>
        <v>0.53666213730272594</v>
      </c>
      <c r="AL20" s="921"/>
      <c r="AM20" s="536" t="s">
        <v>349</v>
      </c>
      <c r="AN20" s="537">
        <f>(Yuasa!D99)</f>
        <v>0</v>
      </c>
      <c r="AO20" s="537">
        <f t="shared" si="12"/>
        <v>0</v>
      </c>
      <c r="AP20" s="538">
        <f>(Yuasa!Q99)</f>
        <v>47250</v>
      </c>
      <c r="AQ20" s="538">
        <f t="shared" si="13"/>
        <v>47250</v>
      </c>
      <c r="AR20" s="539">
        <f t="shared" si="14"/>
        <v>39049.586776859505</v>
      </c>
      <c r="AS20" s="540" t="e">
        <f t="shared" si="29"/>
        <v>#DIV/0!</v>
      </c>
      <c r="AT20" s="540">
        <f t="shared" si="30"/>
        <v>1</v>
      </c>
      <c r="AU20" s="921"/>
      <c r="AV20" s="921"/>
      <c r="AW20" s="921"/>
    </row>
    <row r="21" spans="1:49" ht="24" customHeight="1">
      <c r="A21" s="522" t="s">
        <v>350</v>
      </c>
      <c r="B21" s="513">
        <v>43.14</v>
      </c>
      <c r="C21" s="514">
        <f t="shared" si="2"/>
        <v>35.652892561983471</v>
      </c>
      <c r="D21" s="548">
        <f t="shared" si="0"/>
        <v>27.452727272727273</v>
      </c>
      <c r="E21" s="548">
        <f t="shared" si="1"/>
        <v>35139.490909090906</v>
      </c>
      <c r="F21" s="214">
        <f>([5]Moto!G21*0.95)</f>
        <v>85880</v>
      </c>
      <c r="G21" s="214">
        <f t="shared" si="3"/>
        <v>85900</v>
      </c>
      <c r="H21" s="520">
        <f t="shared" si="4"/>
        <v>70991.735537190078</v>
      </c>
      <c r="I21" s="521">
        <f t="shared" si="5"/>
        <v>1.020283552793984</v>
      </c>
      <c r="J21" s="521">
        <f t="shared" si="6"/>
        <v>0.50501997671711296</v>
      </c>
      <c r="K21" s="542"/>
      <c r="L21" s="225" t="s">
        <v>290</v>
      </c>
      <c r="M21" s="227">
        <v>44880</v>
      </c>
      <c r="N21" s="525">
        <f t="shared" si="7"/>
        <v>38148</v>
      </c>
      <c r="O21" s="227">
        <f>([5]Moto!P21*0.95)</f>
        <v>85880</v>
      </c>
      <c r="P21" s="227">
        <f t="shared" si="8"/>
        <v>85900</v>
      </c>
      <c r="Q21" s="526">
        <f t="shared" si="9"/>
        <v>70991.735537190078</v>
      </c>
      <c r="R21" s="527">
        <f t="shared" si="10"/>
        <v>0.86095563429773714</v>
      </c>
      <c r="S21" s="527">
        <f t="shared" si="11"/>
        <v>0.46264167636786957</v>
      </c>
      <c r="T21" s="921"/>
      <c r="U21" s="530" t="s">
        <v>351</v>
      </c>
      <c r="V21" s="535">
        <v>38112.050000000003</v>
      </c>
      <c r="W21" s="532">
        <f t="shared" si="16"/>
        <v>31497.561983471078</v>
      </c>
      <c r="X21" s="535">
        <f t="shared" si="17"/>
        <v>31497.561983471078</v>
      </c>
      <c r="Y21" s="535">
        <f t="shared" si="18"/>
        <v>29922.683884297523</v>
      </c>
      <c r="Z21" s="535">
        <f t="shared" si="18"/>
        <v>29324.230206611574</v>
      </c>
      <c r="AA21" s="535">
        <v>85000</v>
      </c>
      <c r="AB21" s="535">
        <f t="shared" si="19"/>
        <v>70247.933884297527</v>
      </c>
      <c r="AC21" s="535">
        <f>(AB21-(AB21*Varta!H$3))</f>
        <v>66735.537190082658</v>
      </c>
      <c r="AD21" s="535">
        <f>(AC21-(AC21*Varta!I$3))</f>
        <v>64733.471074380177</v>
      </c>
      <c r="AE21" s="597">
        <f t="shared" si="20"/>
        <v>1.2075079420084853</v>
      </c>
      <c r="AF21" s="597">
        <f t="shared" si="21"/>
        <v>0.54700049727107336</v>
      </c>
      <c r="AG21" s="531">
        <f>([5]Moto!AH21*0.95)</f>
        <v>91912.5</v>
      </c>
      <c r="AH21" s="531">
        <f t="shared" si="22"/>
        <v>91950</v>
      </c>
      <c r="AI21" s="532">
        <f t="shared" si="23"/>
        <v>75991.735537190092</v>
      </c>
      <c r="AJ21" s="533">
        <f>(AI21-Z21)/Z21</f>
        <v>1.5914315568310009</v>
      </c>
      <c r="AK21" s="533">
        <f>(AI21-Z21)/AI21</f>
        <v>0.61411290320826539</v>
      </c>
      <c r="AL21" s="921"/>
      <c r="AM21" s="536" t="s">
        <v>352</v>
      </c>
      <c r="AN21" s="537">
        <f>(Yuasa!D86)</f>
        <v>0</v>
      </c>
      <c r="AO21" s="537">
        <f t="shared" si="12"/>
        <v>0</v>
      </c>
      <c r="AP21" s="538">
        <f>(Yuasa!Q86)</f>
        <v>189600</v>
      </c>
      <c r="AQ21" s="538">
        <f t="shared" si="13"/>
        <v>189600</v>
      </c>
      <c r="AR21" s="539">
        <f t="shared" si="14"/>
        <v>156694.21487603307</v>
      </c>
      <c r="AS21" s="540" t="e">
        <f t="shared" si="29"/>
        <v>#DIV/0!</v>
      </c>
      <c r="AT21" s="540">
        <f t="shared" si="30"/>
        <v>1</v>
      </c>
      <c r="AU21" s="921"/>
      <c r="AV21" s="921"/>
      <c r="AW21" s="921"/>
    </row>
    <row r="22" spans="1:49" ht="20.25" customHeight="1">
      <c r="A22" s="522" t="s">
        <v>353</v>
      </c>
      <c r="B22" s="513">
        <v>48.62</v>
      </c>
      <c r="C22" s="514">
        <f t="shared" si="2"/>
        <v>40.18181818181818</v>
      </c>
      <c r="D22" s="548">
        <f t="shared" si="0"/>
        <v>30.939999999999998</v>
      </c>
      <c r="E22" s="548">
        <f t="shared" si="1"/>
        <v>39603.199999999997</v>
      </c>
      <c r="F22" s="214">
        <v>69300</v>
      </c>
      <c r="G22" s="214">
        <f t="shared" si="3"/>
        <v>69300</v>
      </c>
      <c r="H22" s="520">
        <f t="shared" si="4"/>
        <v>57272.727272727272</v>
      </c>
      <c r="I22" s="521">
        <f t="shared" si="5"/>
        <v>0.44616412998765947</v>
      </c>
      <c r="J22" s="521">
        <f t="shared" si="6"/>
        <v>0.3085155555555556</v>
      </c>
      <c r="K22" s="542"/>
      <c r="L22" s="225" t="s">
        <v>292</v>
      </c>
      <c r="M22" s="227">
        <v>48300</v>
      </c>
      <c r="N22" s="525">
        <f t="shared" si="7"/>
        <v>41055</v>
      </c>
      <c r="O22" s="227">
        <f>([5]Moto!P22*0.95)</f>
        <v>96805</v>
      </c>
      <c r="P22" s="227">
        <f t="shared" si="8"/>
        <v>96850</v>
      </c>
      <c r="Q22" s="526">
        <f t="shared" si="9"/>
        <v>80041.322314049583</v>
      </c>
      <c r="R22" s="527">
        <f t="shared" si="10"/>
        <v>0.949612040288627</v>
      </c>
      <c r="S22" s="527">
        <f t="shared" si="11"/>
        <v>0.48707743933918429</v>
      </c>
      <c r="T22" s="921"/>
      <c r="U22" s="535"/>
      <c r="V22" s="535"/>
      <c r="W22" s="532"/>
      <c r="X22" s="535"/>
      <c r="Y22" s="535"/>
      <c r="Z22" s="535"/>
      <c r="AA22" s="535"/>
      <c r="AB22" s="535"/>
      <c r="AC22" s="535"/>
      <c r="AD22" s="535"/>
      <c r="AE22" s="597"/>
      <c r="AF22" s="597"/>
      <c r="AG22" s="531">
        <f>([5]Moto!AH22*0.95)</f>
        <v>0</v>
      </c>
      <c r="AH22" s="531">
        <f t="shared" si="22"/>
        <v>0</v>
      </c>
      <c r="AI22" s="532"/>
      <c r="AJ22" s="533"/>
      <c r="AK22" s="533"/>
      <c r="AL22" s="921"/>
      <c r="AM22" s="536" t="s">
        <v>354</v>
      </c>
      <c r="AN22" s="537">
        <f>(Yuasa!D87)</f>
        <v>0</v>
      </c>
      <c r="AO22" s="537">
        <f t="shared" si="12"/>
        <v>0</v>
      </c>
      <c r="AP22" s="538">
        <f>(Yuasa!Q87)</f>
        <v>306850</v>
      </c>
      <c r="AQ22" s="538">
        <f t="shared" si="13"/>
        <v>306850</v>
      </c>
      <c r="AR22" s="539">
        <f t="shared" si="14"/>
        <v>253595.04132231406</v>
      </c>
      <c r="AS22" s="540" t="e">
        <f t="shared" si="29"/>
        <v>#DIV/0!</v>
      </c>
      <c r="AT22" s="540">
        <f t="shared" si="30"/>
        <v>1</v>
      </c>
      <c r="AU22" s="921"/>
      <c r="AV22" s="921"/>
      <c r="AW22" s="921"/>
    </row>
    <row r="23" spans="1:49" ht="24" customHeight="1">
      <c r="A23" s="522" t="s">
        <v>355</v>
      </c>
      <c r="B23" s="513">
        <v>66.569999999999993</v>
      </c>
      <c r="C23" s="514">
        <f t="shared" si="2"/>
        <v>55.016528925619831</v>
      </c>
      <c r="D23" s="548">
        <f t="shared" si="0"/>
        <v>42.36272727272727</v>
      </c>
      <c r="E23" s="548">
        <f t="shared" si="1"/>
        <v>54224.290909090909</v>
      </c>
      <c r="F23" s="214">
        <f>([5]Moto!G23*0.95)</f>
        <v>132525</v>
      </c>
      <c r="G23" s="214">
        <f t="shared" si="3"/>
        <v>132550</v>
      </c>
      <c r="H23" s="520">
        <f t="shared" si="4"/>
        <v>109545.45454545454</v>
      </c>
      <c r="I23" s="521">
        <f t="shared" si="5"/>
        <v>1.0202284383785059</v>
      </c>
      <c r="J23" s="521">
        <f t="shared" si="6"/>
        <v>0.50500647302904567</v>
      </c>
      <c r="K23" s="542"/>
      <c r="L23" s="225" t="s">
        <v>294</v>
      </c>
      <c r="M23" s="227">
        <v>58100</v>
      </c>
      <c r="N23" s="525">
        <f t="shared" si="7"/>
        <v>49385</v>
      </c>
      <c r="O23" s="227">
        <f>([5]Moto!P23*0.95)</f>
        <v>132525</v>
      </c>
      <c r="P23" s="227">
        <f t="shared" si="8"/>
        <v>132550</v>
      </c>
      <c r="Q23" s="526">
        <f t="shared" si="9"/>
        <v>109545.45454545454</v>
      </c>
      <c r="R23" s="527">
        <f t="shared" si="10"/>
        <v>1.218192863125535</v>
      </c>
      <c r="S23" s="527">
        <f t="shared" si="11"/>
        <v>0.54918257261410786</v>
      </c>
      <c r="T23" s="921"/>
      <c r="U23" s="535"/>
      <c r="V23" s="535"/>
      <c r="W23" s="532"/>
      <c r="X23" s="535"/>
      <c r="Y23" s="535"/>
      <c r="Z23" s="535"/>
      <c r="AA23" s="535"/>
      <c r="AB23" s="535"/>
      <c r="AC23" s="535"/>
      <c r="AD23" s="535"/>
      <c r="AE23" s="597"/>
      <c r="AF23" s="597"/>
      <c r="AG23" s="531">
        <f>([5]Moto!AH23*0.95)</f>
        <v>0</v>
      </c>
      <c r="AH23" s="531">
        <f t="shared" si="22"/>
        <v>0</v>
      </c>
      <c r="AI23" s="532"/>
      <c r="AJ23" s="533"/>
      <c r="AK23" s="533"/>
      <c r="AL23" s="921"/>
      <c r="AM23" s="537"/>
      <c r="AN23" s="537"/>
      <c r="AO23" s="537"/>
      <c r="AP23" s="538"/>
      <c r="AQ23" s="538"/>
      <c r="AR23" s="539"/>
      <c r="AS23" s="540"/>
      <c r="AT23" s="540"/>
      <c r="AU23" s="921"/>
      <c r="AV23" s="921"/>
      <c r="AW23" s="921"/>
    </row>
    <row r="24" spans="1:49" ht="21" customHeight="1">
      <c r="A24" s="522" t="s">
        <v>356</v>
      </c>
      <c r="B24" s="513">
        <v>63.55</v>
      </c>
      <c r="C24" s="514">
        <f t="shared" si="2"/>
        <v>52.52066115702479</v>
      </c>
      <c r="D24" s="548">
        <f t="shared" si="0"/>
        <v>40.440909090909088</v>
      </c>
      <c r="E24" s="548">
        <f t="shared" si="1"/>
        <v>51764.363636363632</v>
      </c>
      <c r="F24" s="214">
        <f>([5]Moto!G24*0.95)</f>
        <v>126540</v>
      </c>
      <c r="G24" s="214">
        <f t="shared" si="3"/>
        <v>126550</v>
      </c>
      <c r="H24" s="520">
        <f t="shared" si="4"/>
        <v>104586.77685950414</v>
      </c>
      <c r="I24" s="521">
        <f t="shared" si="5"/>
        <v>1.0204397294287149</v>
      </c>
      <c r="J24" s="521">
        <f t="shared" si="6"/>
        <v>0.50505823785065196</v>
      </c>
      <c r="K24" s="542"/>
      <c r="L24" s="225" t="s">
        <v>296</v>
      </c>
      <c r="M24" s="227">
        <v>64680</v>
      </c>
      <c r="N24" s="525">
        <f t="shared" si="7"/>
        <v>54978</v>
      </c>
      <c r="O24" s="227">
        <f>([5]Moto!P24*0.95)</f>
        <v>126540</v>
      </c>
      <c r="P24" s="227">
        <f t="shared" si="8"/>
        <v>126550</v>
      </c>
      <c r="Q24" s="526">
        <f t="shared" si="9"/>
        <v>104586.77685950414</v>
      </c>
      <c r="R24" s="527">
        <f t="shared" si="10"/>
        <v>0.90233869656051768</v>
      </c>
      <c r="S24" s="527">
        <f t="shared" si="11"/>
        <v>0.47433125246937974</v>
      </c>
      <c r="T24" s="921"/>
      <c r="U24" s="535"/>
      <c r="V24" s="535"/>
      <c r="W24" s="532"/>
      <c r="X24" s="535"/>
      <c r="Y24" s="535"/>
      <c r="Z24" s="535"/>
      <c r="AA24" s="535"/>
      <c r="AB24" s="535"/>
      <c r="AC24" s="535"/>
      <c r="AD24" s="535"/>
      <c r="AE24" s="597"/>
      <c r="AF24" s="597"/>
      <c r="AG24" s="531">
        <f>([5]Moto!AH24*0.95)</f>
        <v>0</v>
      </c>
      <c r="AH24" s="531">
        <f t="shared" si="22"/>
        <v>0</v>
      </c>
      <c r="AI24" s="532"/>
      <c r="AJ24" s="533"/>
      <c r="AK24" s="533"/>
      <c r="AL24" s="921"/>
      <c r="AM24" s="537"/>
      <c r="AN24" s="537"/>
      <c r="AO24" s="537"/>
      <c r="AP24" s="538"/>
      <c r="AQ24" s="538"/>
      <c r="AR24" s="539"/>
      <c r="AS24" s="540"/>
      <c r="AT24" s="540"/>
      <c r="AU24" s="921"/>
      <c r="AV24" s="921"/>
      <c r="AW24" s="921"/>
    </row>
    <row r="25" spans="1:49" ht="21" customHeight="1">
      <c r="A25" s="522" t="s">
        <v>357</v>
      </c>
      <c r="B25" s="513">
        <v>63.55</v>
      </c>
      <c r="C25" s="514">
        <f t="shared" si="2"/>
        <v>52.52066115702479</v>
      </c>
      <c r="D25" s="548">
        <f t="shared" si="0"/>
        <v>40.440909090909088</v>
      </c>
      <c r="E25" s="548">
        <f t="shared" si="1"/>
        <v>51764.363636363632</v>
      </c>
      <c r="F25" s="214">
        <f>([5]Moto!G25*0.95)</f>
        <v>126540</v>
      </c>
      <c r="G25" s="214">
        <f t="shared" si="3"/>
        <v>126550</v>
      </c>
      <c r="H25" s="520">
        <f t="shared" si="4"/>
        <v>104586.77685950414</v>
      </c>
      <c r="I25" s="521">
        <f t="shared" si="5"/>
        <v>1.0204397294287149</v>
      </c>
      <c r="J25" s="521">
        <f t="shared" si="6"/>
        <v>0.50505823785065196</v>
      </c>
      <c r="K25" s="542"/>
      <c r="L25" s="528"/>
      <c r="M25" s="227"/>
      <c r="N25" s="525"/>
      <c r="O25" s="227"/>
      <c r="P25" s="227"/>
      <c r="Q25" s="526"/>
      <c r="R25" s="527"/>
      <c r="S25" s="527"/>
      <c r="T25" s="921"/>
      <c r="U25" s="535"/>
      <c r="V25" s="535"/>
      <c r="W25" s="532"/>
      <c r="X25" s="535"/>
      <c r="Y25" s="535"/>
      <c r="Z25" s="535"/>
      <c r="AA25" s="535"/>
      <c r="AB25" s="535"/>
      <c r="AC25" s="535"/>
      <c r="AD25" s="535"/>
      <c r="AE25" s="597"/>
      <c r="AF25" s="597"/>
      <c r="AG25" s="531">
        <f>([5]Moto!AH25*0.95)</f>
        <v>0</v>
      </c>
      <c r="AH25" s="531">
        <f t="shared" si="22"/>
        <v>0</v>
      </c>
      <c r="AI25" s="532"/>
      <c r="AJ25" s="533"/>
      <c r="AK25" s="533"/>
      <c r="AL25" s="921"/>
      <c r="AM25" s="537"/>
      <c r="AN25" s="537"/>
      <c r="AO25" s="537"/>
      <c r="AP25" s="538"/>
      <c r="AQ25" s="538"/>
      <c r="AR25" s="539"/>
      <c r="AS25" s="540"/>
      <c r="AT25" s="540"/>
      <c r="AU25" s="921"/>
      <c r="AV25" s="921"/>
      <c r="AW25" s="921"/>
    </row>
    <row r="26" spans="1:49" ht="19.5" customHeight="1">
      <c r="A26" s="522" t="s">
        <v>358</v>
      </c>
      <c r="B26" s="513">
        <v>25.62</v>
      </c>
      <c r="C26" s="514">
        <f t="shared" si="2"/>
        <v>21.173553719008265</v>
      </c>
      <c r="D26" s="548">
        <f t="shared" si="0"/>
        <v>16.303636363636365</v>
      </c>
      <c r="E26" s="548">
        <f t="shared" si="1"/>
        <v>20868.654545454548</v>
      </c>
      <c r="F26" s="214">
        <f>([5]Moto!G26*0.95)</f>
        <v>51062.5</v>
      </c>
      <c r="G26" s="214">
        <f t="shared" si="3"/>
        <v>51100</v>
      </c>
      <c r="H26" s="520">
        <f t="shared" si="4"/>
        <v>42231.404958677689</v>
      </c>
      <c r="I26" s="521">
        <f t="shared" si="5"/>
        <v>1.0236764601518697</v>
      </c>
      <c r="J26" s="521">
        <f t="shared" si="6"/>
        <v>0.50584986301369861</v>
      </c>
      <c r="K26" s="542"/>
      <c r="L26" s="528"/>
      <c r="M26" s="227"/>
      <c r="N26" s="525"/>
      <c r="O26" s="227"/>
      <c r="P26" s="227"/>
      <c r="Q26" s="526"/>
      <c r="R26" s="527"/>
      <c r="S26" s="527"/>
      <c r="T26" s="921"/>
      <c r="U26" s="530" t="s">
        <v>359</v>
      </c>
      <c r="V26" s="535">
        <v>26352.880000000001</v>
      </c>
      <c r="W26" s="532">
        <f t="shared" si="16"/>
        <v>21779.239669421488</v>
      </c>
      <c r="X26" s="535">
        <f t="shared" si="17"/>
        <v>21779.239669421488</v>
      </c>
      <c r="Y26" s="535">
        <f t="shared" si="18"/>
        <v>20690.277685950412</v>
      </c>
      <c r="Z26" s="535">
        <f t="shared" si="18"/>
        <v>20276.472132231404</v>
      </c>
      <c r="AA26" s="535">
        <v>59000</v>
      </c>
      <c r="AB26" s="535">
        <f t="shared" si="19"/>
        <v>48760.330578512396</v>
      </c>
      <c r="AC26" s="535">
        <f>(AB26-(AB26*Varta!H$3))</f>
        <v>46322.314049586777</v>
      </c>
      <c r="AD26" s="535">
        <f>(AC26-(AC26*Varta!I$3))</f>
        <v>44932.644628099173</v>
      </c>
      <c r="AE26" s="597">
        <f t="shared" si="20"/>
        <v>1.215999131164164</v>
      </c>
      <c r="AF26" s="597">
        <f t="shared" si="21"/>
        <v>0.54873628516512318</v>
      </c>
      <c r="AG26" s="531">
        <f>([5]Moto!AH26*0.95)</f>
        <v>54672.5</v>
      </c>
      <c r="AH26" s="531">
        <f t="shared" si="22"/>
        <v>54700</v>
      </c>
      <c r="AI26" s="532">
        <f t="shared" ref="AI26" si="31">(AH26/1.21)</f>
        <v>45206.611570247936</v>
      </c>
      <c r="AJ26" s="533">
        <f>(AI26-Z26)/Z26</f>
        <v>1.2295106996639558</v>
      </c>
      <c r="AK26" s="533">
        <f>(AI26-Z26)/AI26</f>
        <v>0.551471091773309</v>
      </c>
      <c r="AL26" s="921"/>
      <c r="AM26" s="537"/>
      <c r="AN26" s="537"/>
      <c r="AO26" s="537"/>
      <c r="AP26" s="538"/>
      <c r="AQ26" s="538"/>
      <c r="AR26" s="539"/>
      <c r="AS26" s="540"/>
      <c r="AT26" s="540"/>
      <c r="AU26" s="921"/>
      <c r="AV26" s="921"/>
      <c r="AW26" s="921"/>
    </row>
    <row r="27" spans="1:49" ht="23.25" customHeight="1">
      <c r="A27" s="522" t="s">
        <v>360</v>
      </c>
      <c r="B27" s="513">
        <v>36.76</v>
      </c>
      <c r="C27" s="514">
        <f t="shared" si="2"/>
        <v>30.380165289256198</v>
      </c>
      <c r="D27" s="548">
        <f t="shared" si="0"/>
        <v>23.392727272727271</v>
      </c>
      <c r="E27" s="548">
        <f t="shared" si="1"/>
        <v>29942.690909090907</v>
      </c>
      <c r="F27" s="214">
        <f>([5]Moto!G27*0.95)</f>
        <v>73197.5</v>
      </c>
      <c r="G27" s="214">
        <f t="shared" si="3"/>
        <v>73200</v>
      </c>
      <c r="H27" s="520">
        <f t="shared" si="4"/>
        <v>60495.867768595046</v>
      </c>
      <c r="I27" s="521">
        <f t="shared" si="5"/>
        <v>1.020388479855292</v>
      </c>
      <c r="J27" s="521">
        <f t="shared" si="6"/>
        <v>0.50504568306010933</v>
      </c>
      <c r="K27" s="542"/>
      <c r="L27" s="225" t="s">
        <v>300</v>
      </c>
      <c r="M27" s="227">
        <v>35300</v>
      </c>
      <c r="N27" s="525">
        <f t="shared" si="7"/>
        <v>30005</v>
      </c>
      <c r="O27" s="227">
        <f>([5]Moto!P27*0.95)</f>
        <v>73197.5</v>
      </c>
      <c r="P27" s="227">
        <f t="shared" si="8"/>
        <v>73200</v>
      </c>
      <c r="Q27" s="526">
        <f t="shared" si="9"/>
        <v>60495.867768595046</v>
      </c>
      <c r="R27" s="527">
        <f t="shared" si="10"/>
        <v>1.016192893470923</v>
      </c>
      <c r="S27" s="527">
        <f t="shared" si="11"/>
        <v>0.50401571038251369</v>
      </c>
      <c r="T27" s="921"/>
      <c r="U27" s="530" t="s">
        <v>361</v>
      </c>
      <c r="V27" s="535">
        <v>30534.54</v>
      </c>
      <c r="W27" s="532">
        <f t="shared" si="16"/>
        <v>25235.157024793389</v>
      </c>
      <c r="X27" s="535">
        <f t="shared" si="17"/>
        <v>25235.157024793389</v>
      </c>
      <c r="Y27" s="535">
        <f t="shared" si="18"/>
        <v>23973.39917355372</v>
      </c>
      <c r="Z27" s="535">
        <f t="shared" si="18"/>
        <v>23493.931190082647</v>
      </c>
      <c r="AA27" s="535">
        <v>68000</v>
      </c>
      <c r="AB27" s="535">
        <f t="shared" si="19"/>
        <v>56198.347107438021</v>
      </c>
      <c r="AC27" s="535">
        <f>(AB27-(AB27*Varta!H$3))</f>
        <v>53388.42975206612</v>
      </c>
      <c r="AD27" s="535">
        <f>(AC27-(AC27*Varta!I$3))</f>
        <v>51786.776859504134</v>
      </c>
      <c r="AE27" s="597">
        <f t="shared" si="20"/>
        <v>1.2042618768443731</v>
      </c>
      <c r="AF27" s="597">
        <f t="shared" si="21"/>
        <v>0.54633339599757424</v>
      </c>
      <c r="AG27" s="531">
        <f>([5]Moto!AH27*0.95)</f>
        <v>78327.5</v>
      </c>
      <c r="AH27" s="531">
        <f t="shared" si="22"/>
        <v>78350</v>
      </c>
      <c r="AI27" s="532">
        <f t="shared" si="23"/>
        <v>64752.066115702481</v>
      </c>
      <c r="AJ27" s="533">
        <f>(AI27-Z27)/Z27</f>
        <v>1.7561188288078362</v>
      </c>
      <c r="AK27" s="533">
        <f>(AI27-Z27)/AI27</f>
        <v>0.63717094141671982</v>
      </c>
      <c r="AL27" s="921"/>
      <c r="AM27" s="537"/>
      <c r="AN27" s="537"/>
      <c r="AO27" s="537"/>
      <c r="AP27" s="538"/>
      <c r="AQ27" s="538"/>
      <c r="AR27" s="539"/>
      <c r="AS27" s="540"/>
      <c r="AT27" s="540"/>
      <c r="AU27" s="921"/>
      <c r="AV27" s="921"/>
      <c r="AW27" s="921"/>
    </row>
    <row r="28" spans="1:49" ht="24.75" customHeight="1">
      <c r="A28" s="522" t="s">
        <v>362</v>
      </c>
      <c r="B28" s="513">
        <v>42.16</v>
      </c>
      <c r="C28" s="514">
        <f t="shared" si="2"/>
        <v>34.84297520661157</v>
      </c>
      <c r="D28" s="548">
        <f t="shared" si="0"/>
        <v>26.829090909090908</v>
      </c>
      <c r="E28" s="548">
        <f t="shared" si="1"/>
        <v>34341.236363636359</v>
      </c>
      <c r="F28" s="214">
        <f>([5]Moto!G28*0.95)</f>
        <v>83932.5</v>
      </c>
      <c r="G28" s="214">
        <f t="shared" si="3"/>
        <v>83950</v>
      </c>
      <c r="H28" s="520">
        <f t="shared" si="4"/>
        <v>69380.165289256198</v>
      </c>
      <c r="I28" s="521">
        <f t="shared" si="5"/>
        <v>1.0203164660292272</v>
      </c>
      <c r="J28" s="521">
        <f t="shared" si="6"/>
        <v>0.50502804050029781</v>
      </c>
      <c r="K28" s="542"/>
      <c r="L28" s="225" t="s">
        <v>298</v>
      </c>
      <c r="M28" s="227">
        <v>42000</v>
      </c>
      <c r="N28" s="525">
        <f t="shared" ref="N28" si="32">(M28-(M28*N$4))</f>
        <v>35700</v>
      </c>
      <c r="O28" s="227">
        <v>83950</v>
      </c>
      <c r="P28" s="227">
        <f t="shared" ref="P28" si="33">CEILING(O28,50)</f>
        <v>83950</v>
      </c>
      <c r="Q28" s="526">
        <f t="shared" ref="Q28" si="34">(P28/1.21)</f>
        <v>69380.165289256198</v>
      </c>
      <c r="R28" s="527">
        <f t="shared" ref="R28" si="35">(Q28-N28)/N28</f>
        <v>0.94342199689793271</v>
      </c>
      <c r="S28" s="527">
        <f t="shared" ref="S28" si="36">(Q28-N28)/Q28</f>
        <v>0.4854437164979154</v>
      </c>
      <c r="T28" s="921"/>
      <c r="U28" s="535"/>
      <c r="V28" s="535"/>
      <c r="W28" s="532"/>
      <c r="X28" s="535"/>
      <c r="Y28" s="535"/>
      <c r="Z28" s="535"/>
      <c r="AA28" s="535"/>
      <c r="AB28" s="535"/>
      <c r="AC28" s="535"/>
      <c r="AD28" s="535"/>
      <c r="AE28" s="598"/>
      <c r="AF28" s="598"/>
      <c r="AG28" s="531">
        <f>([5]Moto!AH28*0.95)</f>
        <v>0</v>
      </c>
      <c r="AH28" s="531">
        <f t="shared" si="22"/>
        <v>0</v>
      </c>
      <c r="AI28" s="532"/>
      <c r="AJ28" s="533"/>
      <c r="AK28" s="533"/>
      <c r="AL28" s="921"/>
      <c r="AM28" s="537"/>
      <c r="AN28" s="537"/>
      <c r="AO28" s="537"/>
      <c r="AP28" s="538"/>
      <c r="AQ28" s="538"/>
      <c r="AR28" s="539"/>
      <c r="AS28" s="540"/>
      <c r="AT28" s="540"/>
      <c r="AU28" s="921"/>
      <c r="AV28" s="921"/>
      <c r="AW28" s="921"/>
    </row>
    <row r="29" spans="1:49" ht="21" customHeight="1">
      <c r="A29" s="522" t="s">
        <v>363</v>
      </c>
      <c r="B29" s="513">
        <v>44.73</v>
      </c>
      <c r="C29" s="514">
        <f t="shared" si="2"/>
        <v>36.966942148760332</v>
      </c>
      <c r="D29" s="548">
        <f t="shared" si="0"/>
        <v>28.464545454545455</v>
      </c>
      <c r="E29" s="548">
        <f t="shared" si="1"/>
        <v>36434.618181818179</v>
      </c>
      <c r="F29" s="214">
        <f>([5]Moto!G29*0.95)</f>
        <v>89062.5</v>
      </c>
      <c r="G29" s="214">
        <f t="shared" si="3"/>
        <v>89100</v>
      </c>
      <c r="H29" s="520">
        <f t="shared" si="4"/>
        <v>73636.363636363632</v>
      </c>
      <c r="I29" s="521">
        <f t="shared" si="5"/>
        <v>1.021054900833573</v>
      </c>
      <c r="J29" s="521">
        <f t="shared" si="6"/>
        <v>0.50520888888888893</v>
      </c>
      <c r="K29" s="542"/>
      <c r="L29" s="528"/>
      <c r="M29" s="227"/>
      <c r="N29" s="525"/>
      <c r="O29" s="227"/>
      <c r="P29" s="227"/>
      <c r="Q29" s="526"/>
      <c r="R29" s="527"/>
      <c r="S29" s="527"/>
      <c r="T29" s="921"/>
      <c r="U29" s="535"/>
      <c r="V29" s="535"/>
      <c r="W29" s="532"/>
      <c r="X29" s="535"/>
      <c r="Y29" s="535"/>
      <c r="Z29" s="535"/>
      <c r="AA29" s="535"/>
      <c r="AB29" s="535"/>
      <c r="AC29" s="535"/>
      <c r="AD29" s="535"/>
      <c r="AE29" s="598"/>
      <c r="AF29" s="598"/>
      <c r="AG29" s="531">
        <f>([5]Moto!AH29*0.95)</f>
        <v>0</v>
      </c>
      <c r="AH29" s="531">
        <f t="shared" si="22"/>
        <v>0</v>
      </c>
      <c r="AI29" s="532"/>
      <c r="AJ29" s="533"/>
      <c r="AK29" s="533"/>
      <c r="AL29" s="921"/>
      <c r="AM29" s="537"/>
      <c r="AN29" s="537"/>
      <c r="AO29" s="537"/>
      <c r="AP29" s="538"/>
      <c r="AQ29" s="538"/>
      <c r="AR29" s="539"/>
      <c r="AS29" s="540"/>
      <c r="AT29" s="540"/>
      <c r="AU29" s="921"/>
      <c r="AV29" s="921"/>
      <c r="AW29" s="921"/>
    </row>
    <row r="30" spans="1:49">
      <c r="A30" s="522" t="s">
        <v>364</v>
      </c>
      <c r="B30" s="513">
        <v>60.84</v>
      </c>
      <c r="C30" s="514">
        <f t="shared" si="2"/>
        <v>50.280991735537192</v>
      </c>
      <c r="D30" s="548">
        <f t="shared" si="0"/>
        <v>38.716363636363639</v>
      </c>
      <c r="E30" s="548">
        <f t="shared" si="1"/>
        <v>49556.945454545457</v>
      </c>
      <c r="F30" s="214">
        <f>([5]Moto!G30*0.95)</f>
        <v>121125</v>
      </c>
      <c r="G30" s="214">
        <f>CEILING(F30,50)</f>
        <v>121150</v>
      </c>
      <c r="H30" s="520">
        <f t="shared" si="4"/>
        <v>100123.96694214876</v>
      </c>
      <c r="I30" s="521">
        <f t="shared" si="5"/>
        <v>1.0203821285552055</v>
      </c>
      <c r="J30" s="521">
        <f t="shared" si="6"/>
        <v>0.50504412711514646</v>
      </c>
      <c r="L30" s="225"/>
      <c r="M30" s="227"/>
      <c r="N30" s="225"/>
      <c r="O30" s="227"/>
      <c r="P30" s="227"/>
      <c r="Q30" s="526"/>
      <c r="R30" s="527"/>
      <c r="S30" s="527"/>
      <c r="T30" s="921"/>
      <c r="U30" s="535"/>
      <c r="V30" s="535"/>
      <c r="W30" s="532"/>
      <c r="X30" s="535"/>
      <c r="Y30" s="535"/>
      <c r="Z30" s="535"/>
      <c r="AA30" s="535"/>
      <c r="AB30" s="535"/>
      <c r="AC30" s="535"/>
      <c r="AD30" s="535"/>
      <c r="AE30" s="598"/>
      <c r="AF30" s="598"/>
      <c r="AG30" s="531">
        <f>([5]Moto!AH30*0.95)</f>
        <v>0</v>
      </c>
      <c r="AH30" s="531">
        <f t="shared" si="22"/>
        <v>0</v>
      </c>
      <c r="AI30" s="532"/>
      <c r="AJ30" s="533"/>
      <c r="AK30" s="533"/>
      <c r="AL30" s="921"/>
      <c r="AM30" s="537"/>
      <c r="AN30" s="537"/>
      <c r="AO30" s="537"/>
      <c r="AP30" s="538"/>
      <c r="AQ30" s="538"/>
      <c r="AR30" s="539"/>
      <c r="AS30" s="540"/>
      <c r="AT30" s="540"/>
      <c r="AU30" s="921"/>
      <c r="AV30" s="921"/>
      <c r="AW30" s="921"/>
    </row>
    <row r="31" spans="1:49">
      <c r="A31" s="522" t="s">
        <v>365</v>
      </c>
      <c r="B31" s="549"/>
      <c r="C31" s="54"/>
      <c r="D31" s="54"/>
      <c r="E31" s="54"/>
      <c r="F31" s="214">
        <f>([5]Moto!G31*0.95)</f>
        <v>94050</v>
      </c>
      <c r="G31" s="214">
        <f t="shared" si="3"/>
        <v>94050</v>
      </c>
      <c r="H31" s="520">
        <f t="shared" si="4"/>
        <v>77727.272727272735</v>
      </c>
      <c r="I31" s="521" t="e">
        <f t="shared" si="5"/>
        <v>#DIV/0!</v>
      </c>
      <c r="J31" s="521">
        <f t="shared" si="6"/>
        <v>1</v>
      </c>
      <c r="L31" s="225"/>
      <c r="M31" s="227"/>
      <c r="N31" s="529"/>
      <c r="O31" s="227"/>
      <c r="P31" s="227"/>
      <c r="Q31" s="526"/>
      <c r="R31" s="527"/>
      <c r="S31" s="527"/>
      <c r="T31" s="921"/>
      <c r="U31" s="535"/>
      <c r="V31" s="535"/>
      <c r="W31" s="532"/>
      <c r="X31" s="535"/>
      <c r="Y31" s="535"/>
      <c r="Z31" s="535"/>
      <c r="AA31" s="535"/>
      <c r="AB31" s="535"/>
      <c r="AC31" s="535"/>
      <c r="AD31" s="535"/>
      <c r="AE31" s="598"/>
      <c r="AF31" s="598"/>
      <c r="AG31" s="531">
        <f>([5]Moto!AH31*0.95)</f>
        <v>0</v>
      </c>
      <c r="AH31" s="531">
        <f t="shared" si="22"/>
        <v>0</v>
      </c>
      <c r="AI31" s="532"/>
      <c r="AJ31" s="533"/>
      <c r="AK31" s="533"/>
      <c r="AL31" s="921"/>
      <c r="AM31" s="537"/>
      <c r="AN31" s="537"/>
      <c r="AO31" s="537"/>
      <c r="AP31" s="538"/>
      <c r="AQ31" s="538"/>
      <c r="AR31" s="539"/>
      <c r="AS31" s="540"/>
      <c r="AT31" s="540"/>
      <c r="AU31" s="921"/>
      <c r="AV31" s="921"/>
      <c r="AW31" s="921"/>
    </row>
    <row r="32" spans="1:49">
      <c r="A32" s="522" t="s">
        <v>366</v>
      </c>
      <c r="B32" s="54"/>
      <c r="C32" s="54"/>
      <c r="D32" s="54"/>
      <c r="E32" s="54"/>
      <c r="F32" s="214">
        <f>([5]Moto!G32*0.95)</f>
        <v>57475</v>
      </c>
      <c r="G32" s="214">
        <f t="shared" si="3"/>
        <v>57500</v>
      </c>
      <c r="H32" s="520">
        <f t="shared" si="4"/>
        <v>47520.661157024791</v>
      </c>
      <c r="I32" s="521" t="e">
        <f t="shared" si="5"/>
        <v>#DIV/0!</v>
      </c>
      <c r="J32" s="521">
        <f t="shared" si="6"/>
        <v>1</v>
      </c>
      <c r="L32" s="225"/>
      <c r="M32" s="227"/>
      <c r="N32" s="225"/>
      <c r="O32" s="227"/>
      <c r="P32" s="227"/>
      <c r="Q32" s="526"/>
      <c r="R32" s="527"/>
      <c r="S32" s="527"/>
      <c r="T32" s="921"/>
      <c r="U32" s="535"/>
      <c r="V32" s="535"/>
      <c r="W32" s="532"/>
      <c r="X32" s="535"/>
      <c r="Y32" s="535"/>
      <c r="Z32" s="535"/>
      <c r="AA32" s="535"/>
      <c r="AB32" s="535"/>
      <c r="AC32" s="535"/>
      <c r="AD32" s="535"/>
      <c r="AE32" s="598"/>
      <c r="AF32" s="598"/>
      <c r="AG32" s="531">
        <f>([5]Moto!AH32*0.95)</f>
        <v>0</v>
      </c>
      <c r="AH32" s="531">
        <f t="shared" si="22"/>
        <v>0</v>
      </c>
      <c r="AI32" s="532"/>
      <c r="AJ32" s="533"/>
      <c r="AK32" s="533"/>
      <c r="AL32" s="921"/>
      <c r="AM32" s="537"/>
      <c r="AN32" s="537"/>
      <c r="AO32" s="537"/>
      <c r="AP32" s="538"/>
      <c r="AQ32" s="538"/>
      <c r="AR32" s="539"/>
      <c r="AS32" s="540"/>
      <c r="AT32" s="540"/>
      <c r="AU32" s="921"/>
      <c r="AV32" s="921"/>
      <c r="AW32" s="921"/>
    </row>
    <row r="33" spans="21:37">
      <c r="U33" s="921"/>
      <c r="V33" s="921"/>
      <c r="W33" s="921"/>
      <c r="X33" s="146"/>
      <c r="Y33" s="146"/>
      <c r="Z33" s="146"/>
      <c r="AA33" s="146"/>
      <c r="AB33" s="146"/>
      <c r="AC33" s="146"/>
      <c r="AD33" s="146"/>
      <c r="AE33" s="146"/>
      <c r="AF33" s="146"/>
      <c r="AG33" s="921"/>
      <c r="AH33" s="921"/>
      <c r="AI33" s="921"/>
      <c r="AJ33" s="921"/>
      <c r="AK33" s="921"/>
    </row>
    <row r="34" spans="21:37">
      <c r="U34" s="535" t="s">
        <v>367</v>
      </c>
      <c r="V34" s="535"/>
      <c r="W34" s="535"/>
      <c r="X34" s="535">
        <v>7952.55</v>
      </c>
      <c r="Y34" s="535"/>
      <c r="Z34" s="535">
        <f>(X34-(X34*Z$33))</f>
        <v>7952.55</v>
      </c>
      <c r="AA34" s="535"/>
      <c r="AB34" s="535"/>
      <c r="AC34" s="535"/>
      <c r="AD34" s="535"/>
      <c r="AE34" s="535"/>
      <c r="AF34" s="535"/>
      <c r="AG34" s="535">
        <v>12000</v>
      </c>
      <c r="AH34" s="531">
        <f t="shared" ref="AH34:AH35" si="37">CEILING(AG34,50)</f>
        <v>12000</v>
      </c>
      <c r="AI34" s="576">
        <f>(AH34/1.21)</f>
        <v>9917.3553719008269</v>
      </c>
      <c r="AJ34" s="533">
        <f>(AI34-Z34)/Z34</f>
        <v>0.24706608218757842</v>
      </c>
      <c r="AK34" s="533">
        <f>(AI34-Z34)/AI34</f>
        <v>0.19811787500000003</v>
      </c>
    </row>
    <row r="35" spans="21:37">
      <c r="U35" s="535" t="s">
        <v>368</v>
      </c>
      <c r="V35" s="535"/>
      <c r="W35" s="535"/>
      <c r="X35" s="535">
        <v>9310.69</v>
      </c>
      <c r="Y35" s="535"/>
      <c r="Z35" s="535">
        <f>(X35-(X35*Z$33))</f>
        <v>9310.69</v>
      </c>
      <c r="AA35" s="535"/>
      <c r="AB35" s="535"/>
      <c r="AC35" s="535"/>
      <c r="AD35" s="535"/>
      <c r="AE35" s="535"/>
      <c r="AF35" s="535"/>
      <c r="AG35" s="535">
        <v>15000</v>
      </c>
      <c r="AH35" s="531">
        <f t="shared" si="37"/>
        <v>15000</v>
      </c>
      <c r="AI35" s="576">
        <f>(AH35/1.21)</f>
        <v>12396.694214876034</v>
      </c>
      <c r="AJ35" s="533">
        <f>(AI35-Z35)/Z35</f>
        <v>0.33144742386182258</v>
      </c>
      <c r="AK35" s="533">
        <f>(AI35-Z35)/AI35</f>
        <v>0.24893767333333333</v>
      </c>
    </row>
  </sheetData>
  <mergeCells count="3">
    <mergeCell ref="B2:E2"/>
    <mergeCell ref="L2:N2"/>
    <mergeCell ref="Z2:AH2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Y82"/>
  <sheetViews>
    <sheetView zoomScale="75" zoomScaleNormal="75" workbookViewId="0">
      <pane xSplit="3" ySplit="3" topLeftCell="D46" activePane="bottomRight" state="frozen"/>
      <selection pane="topRight"/>
      <selection pane="bottomLeft"/>
      <selection pane="bottomRight" activeCell="I63" sqref="I63"/>
    </sheetView>
  </sheetViews>
  <sheetFormatPr baseColWidth="10" defaultColWidth="11.44140625" defaultRowHeight="14.4"/>
  <cols>
    <col min="1" max="1" width="15.33203125" customWidth="1"/>
    <col min="2" max="2" width="45.6640625" bestFit="1" customWidth="1"/>
    <col min="3" max="3" width="15.6640625" customWidth="1"/>
    <col min="4" max="4" width="11.44140625" bestFit="1" customWidth="1"/>
    <col min="5" max="5" width="11.5546875" bestFit="1" customWidth="1"/>
    <col min="6" max="6" width="13.88671875" bestFit="1" customWidth="1"/>
    <col min="7" max="7" width="11.109375" bestFit="1" customWidth="1"/>
    <col min="8" max="8" width="12.109375" bestFit="1" customWidth="1"/>
    <col min="9" max="10" width="11" bestFit="1" customWidth="1"/>
    <col min="11" max="11" width="9.88671875" bestFit="1" customWidth="1"/>
    <col min="12" max="12" width="12.33203125" bestFit="1" customWidth="1"/>
    <col min="13" max="13" width="14.88671875" bestFit="1" customWidth="1"/>
    <col min="14" max="14" width="5.33203125" bestFit="1" customWidth="1"/>
    <col min="15" max="15" width="11" bestFit="1" customWidth="1"/>
    <col min="16" max="16" width="8.6640625" bestFit="1" customWidth="1"/>
    <col min="17" max="17" width="10" bestFit="1" customWidth="1"/>
    <col min="18" max="18" width="3" customWidth="1"/>
    <col min="19" max="19" width="5.5546875" customWidth="1"/>
    <col min="20" max="21" width="15.5546875" bestFit="1" customWidth="1"/>
    <col min="22" max="22" width="13.88671875" bestFit="1" customWidth="1"/>
    <col min="23" max="23" width="9.109375" bestFit="1" customWidth="1"/>
    <col min="24" max="24" width="12.88671875" bestFit="1" customWidth="1"/>
    <col min="25" max="25" width="2.109375" customWidth="1"/>
  </cols>
  <sheetData>
    <row r="1" spans="1:24">
      <c r="A1" s="921"/>
      <c r="B1" s="921"/>
      <c r="C1" s="921" t="s">
        <v>0</v>
      </c>
      <c r="D1" s="921" t="s">
        <v>112</v>
      </c>
      <c r="E1" s="921"/>
      <c r="F1" s="921" t="s">
        <v>1</v>
      </c>
      <c r="G1" s="921"/>
      <c r="H1" s="921" t="s">
        <v>2</v>
      </c>
      <c r="I1" s="921"/>
      <c r="J1" s="921"/>
      <c r="K1" s="921" t="s">
        <v>10</v>
      </c>
      <c r="L1" s="921" t="s">
        <v>11</v>
      </c>
      <c r="M1" s="921" t="s">
        <v>12</v>
      </c>
      <c r="N1" s="921">
        <v>10</v>
      </c>
      <c r="O1" s="921" t="s">
        <v>79</v>
      </c>
      <c r="P1" s="921"/>
      <c r="Q1" s="921"/>
      <c r="R1" s="921"/>
      <c r="S1" s="921"/>
      <c r="T1" s="921"/>
      <c r="U1" s="921" t="s">
        <v>4</v>
      </c>
      <c r="V1" s="921"/>
      <c r="W1" s="921"/>
      <c r="X1" s="921"/>
    </row>
    <row r="2" spans="1:24" ht="15" thickBot="1">
      <c r="A2" s="921"/>
      <c r="B2" s="921"/>
      <c r="C2" s="921"/>
      <c r="D2" s="921" t="s">
        <v>369</v>
      </c>
      <c r="E2" s="921"/>
      <c r="F2" s="921"/>
      <c r="G2" s="921"/>
      <c r="H2" s="921"/>
      <c r="I2" s="921"/>
      <c r="J2" s="921"/>
      <c r="K2" s="711">
        <v>0.05</v>
      </c>
      <c r="L2" s="711"/>
      <c r="M2" s="711">
        <v>0.05</v>
      </c>
      <c r="N2" s="711"/>
      <c r="O2" s="921" t="s">
        <v>20</v>
      </c>
      <c r="P2" s="921"/>
      <c r="Q2" s="921"/>
      <c r="R2" s="921"/>
      <c r="S2" s="921"/>
      <c r="T2" s="921"/>
      <c r="U2" s="921"/>
      <c r="V2" s="921"/>
      <c r="W2" s="921"/>
      <c r="X2" s="921"/>
    </row>
    <row r="3" spans="1:24">
      <c r="A3" s="115" t="s">
        <v>370</v>
      </c>
      <c r="B3" s="812" t="s">
        <v>371</v>
      </c>
      <c r="C3" s="812" t="s">
        <v>372</v>
      </c>
      <c r="D3" s="813" t="s">
        <v>373</v>
      </c>
      <c r="E3" s="814">
        <v>0.1792</v>
      </c>
      <c r="F3" s="815">
        <v>1300</v>
      </c>
      <c r="G3" s="101">
        <v>45764</v>
      </c>
      <c r="H3" s="417"/>
      <c r="I3" s="816"/>
      <c r="J3" s="812" t="s">
        <v>8</v>
      </c>
      <c r="K3" s="714">
        <v>0.05</v>
      </c>
      <c r="L3" s="714"/>
      <c r="M3" s="714"/>
      <c r="N3" s="714"/>
      <c r="O3" s="713"/>
      <c r="P3" s="817" t="s">
        <v>16</v>
      </c>
      <c r="Q3" s="817" t="s">
        <v>17</v>
      </c>
      <c r="R3" s="921"/>
      <c r="S3" s="921"/>
      <c r="T3" s="216">
        <v>45854</v>
      </c>
      <c r="U3" s="823"/>
      <c r="V3" s="113"/>
      <c r="W3" s="113" t="s">
        <v>16</v>
      </c>
      <c r="X3" s="113" t="s">
        <v>17</v>
      </c>
    </row>
    <row r="4" spans="1:24" ht="15.6">
      <c r="A4" s="811" t="s">
        <v>374</v>
      </c>
      <c r="B4" s="803" t="s">
        <v>375</v>
      </c>
      <c r="C4" s="803"/>
      <c r="D4" s="802">
        <v>44</v>
      </c>
      <c r="E4" s="804">
        <f>(D4)</f>
        <v>44</v>
      </c>
      <c r="F4" s="802">
        <f>(E4*F$3)</f>
        <v>57200</v>
      </c>
      <c r="G4" s="805">
        <v>77836</v>
      </c>
      <c r="H4" s="804">
        <f>(G4*1.21)</f>
        <v>94181.56</v>
      </c>
      <c r="I4" s="806">
        <f>(G4-(G4*Varta!H$3))</f>
        <v>73944.2</v>
      </c>
      <c r="J4" s="806">
        <f>(I4-(I4*Varta!I$3))</f>
        <v>71725.873999999996</v>
      </c>
      <c r="K4" s="806">
        <f>(J4*K$3)</f>
        <v>3586.2937000000002</v>
      </c>
      <c r="L4" s="806">
        <f>(J4*L$3)</f>
        <v>0</v>
      </c>
      <c r="M4" s="806">
        <f>(J4*M$3)</f>
        <v>0</v>
      </c>
      <c r="N4" s="806">
        <f>(J4*N$3)</f>
        <v>0</v>
      </c>
      <c r="O4" s="806">
        <f>(J4-K4-L4-M4-N4)</f>
        <v>68139.580300000001</v>
      </c>
      <c r="P4" s="533">
        <f>(O4-F4)/F4</f>
        <v>0.19125140384615388</v>
      </c>
      <c r="Q4" s="533">
        <f>(O4-F4)/O4</f>
        <v>0.16054663459674995</v>
      </c>
      <c r="R4" s="249"/>
      <c r="S4" s="112"/>
      <c r="T4" s="579">
        <f>(F4+(F4*0.8))</f>
        <v>102960</v>
      </c>
      <c r="U4" s="579">
        <f t="shared" ref="U4:U72" si="0">CEILING(T4,50)</f>
        <v>103000</v>
      </c>
      <c r="V4" s="824">
        <f>(U4/1.21)</f>
        <v>85123.966942148763</v>
      </c>
      <c r="W4" s="190">
        <f t="shared" ref="W4:W13" si="1">(V4-F4)/F4</f>
        <v>0.48818124024735599</v>
      </c>
      <c r="X4" s="191">
        <f t="shared" ref="X4:X13" si="2">(V4-F4)/V4</f>
        <v>0.32803883495145636</v>
      </c>
    </row>
    <row r="5" spans="1:24" ht="15.6">
      <c r="A5" s="811" t="s">
        <v>374</v>
      </c>
      <c r="B5" s="803" t="s">
        <v>376</v>
      </c>
      <c r="C5" s="803"/>
      <c r="D5" s="802">
        <v>78.760000000000005</v>
      </c>
      <c r="E5" s="804">
        <f>(D5)</f>
        <v>78.760000000000005</v>
      </c>
      <c r="F5" s="802">
        <f t="shared" ref="F5:F72" si="3">(E5*F$3)</f>
        <v>102388</v>
      </c>
      <c r="G5" s="805">
        <v>139326.44</v>
      </c>
      <c r="H5" s="804">
        <f t="shared" ref="H5:H72" si="4">(G5*1.21)</f>
        <v>168584.99239999999</v>
      </c>
      <c r="I5" s="806">
        <f>(G5-(G5*Varta!H$3))</f>
        <v>132360.11800000002</v>
      </c>
      <c r="J5" s="806">
        <f>(I5-(I5*Varta!I$3))</f>
        <v>128389.31446000002</v>
      </c>
      <c r="K5" s="806">
        <f t="shared" ref="K5:K72" si="5">(J5*K$3)</f>
        <v>6419.4657230000012</v>
      </c>
      <c r="L5" s="806">
        <f t="shared" ref="L5:L72" si="6">(J5*L$3)</f>
        <v>0</v>
      </c>
      <c r="M5" s="806">
        <f t="shared" ref="M5:M72" si="7">(J5*M$3)</f>
        <v>0</v>
      </c>
      <c r="N5" s="806">
        <f t="shared" ref="N5:N72" si="8">(J5*N$3)</f>
        <v>0</v>
      </c>
      <c r="O5" s="806">
        <f t="shared" ref="O5:O72" si="9">(J5-K5-L5-M5-N5)</f>
        <v>121969.84873700002</v>
      </c>
      <c r="P5" s="533">
        <f t="shared" ref="P5:P72" si="10">(O5-F5)/F5</f>
        <v>0.19125140384615405</v>
      </c>
      <c r="Q5" s="533">
        <f t="shared" ref="Q5:Q72" si="11">(O5-F5)/O5</f>
        <v>0.16054663459675009</v>
      </c>
      <c r="R5" s="249"/>
      <c r="S5" s="112"/>
      <c r="T5" s="579">
        <f>(F5+(F5*0.8))</f>
        <v>184298.40000000002</v>
      </c>
      <c r="U5" s="579">
        <f t="shared" si="0"/>
        <v>184300</v>
      </c>
      <c r="V5" s="824">
        <f t="shared" ref="V5:V72" si="12">(U5/1.21)</f>
        <v>152314.04958677688</v>
      </c>
      <c r="W5" s="190">
        <f t="shared" si="1"/>
        <v>0.48761622052171033</v>
      </c>
      <c r="X5" s="191">
        <f t="shared" si="2"/>
        <v>0.32778361367335873</v>
      </c>
    </row>
    <row r="6" spans="1:24" ht="15.6">
      <c r="A6" s="811" t="s">
        <v>374</v>
      </c>
      <c r="B6" s="803" t="s">
        <v>377</v>
      </c>
      <c r="C6" s="803"/>
      <c r="D6" s="535">
        <v>77.5</v>
      </c>
      <c r="E6" s="804">
        <f>(D6)</f>
        <v>77.5</v>
      </c>
      <c r="F6" s="802">
        <f t="shared" ref="F6:F24" si="13">(E6*F$3)</f>
        <v>100750</v>
      </c>
      <c r="G6" s="805">
        <v>137097.5</v>
      </c>
      <c r="H6" s="804">
        <f t="shared" ref="H6:H24" si="14">(G6*1.21)</f>
        <v>165887.97500000001</v>
      </c>
      <c r="I6" s="806">
        <f>(G6-(G6*Varta!H$3))</f>
        <v>130242.625</v>
      </c>
      <c r="J6" s="806">
        <f>(I6-(I6*Varta!I$3))</f>
        <v>126335.34625</v>
      </c>
      <c r="K6" s="806">
        <f t="shared" ref="K6:K24" si="15">(J6*K$3)</f>
        <v>6316.7673125000001</v>
      </c>
      <c r="L6" s="806">
        <f t="shared" ref="L6:L14" si="16">(J6*L$3)</f>
        <v>0</v>
      </c>
      <c r="M6" s="806">
        <f t="shared" ref="M6:M14" si="17">(J6*M$3)</f>
        <v>0</v>
      </c>
      <c r="N6" s="806">
        <f t="shared" ref="N6:N14" si="18">(J6*N$3)</f>
        <v>0</v>
      </c>
      <c r="O6" s="806">
        <f t="shared" ref="O6:O24" si="19">(J6-K6-L6-M6-N6)</f>
        <v>120018.5789375</v>
      </c>
      <c r="P6" s="533">
        <f t="shared" ref="P6:P24" si="20">(O6-F6)/F6</f>
        <v>0.19125140384615386</v>
      </c>
      <c r="Q6" s="533">
        <f t="shared" ref="Q6:Q24" si="21">(O6-F6)/O6</f>
        <v>0.16054663459674995</v>
      </c>
      <c r="R6" s="921"/>
      <c r="S6" s="921"/>
      <c r="T6" s="579">
        <f>(F6+(F6*0.8))</f>
        <v>181350</v>
      </c>
      <c r="U6" s="579">
        <f t="shared" ref="U6:U24" si="22">CEILING(T6,50)</f>
        <v>181350</v>
      </c>
      <c r="V6" s="824">
        <f t="shared" ref="V6:V24" si="23">(U6/1.21)</f>
        <v>149876.03305785125</v>
      </c>
      <c r="W6" s="199">
        <f t="shared" si="1"/>
        <v>0.48760330578512406</v>
      </c>
      <c r="X6" s="191">
        <f t="shared" si="2"/>
        <v>0.32777777777777783</v>
      </c>
    </row>
    <row r="7" spans="1:24" ht="15.6">
      <c r="A7" s="811" t="s">
        <v>374</v>
      </c>
      <c r="B7" s="803" t="s">
        <v>378</v>
      </c>
      <c r="C7" s="803"/>
      <c r="D7" s="535"/>
      <c r="E7" s="804">
        <f>(D7-(D7*E$3))</f>
        <v>0</v>
      </c>
      <c r="F7" s="802">
        <f t="shared" si="13"/>
        <v>0</v>
      </c>
      <c r="G7" s="805">
        <v>0</v>
      </c>
      <c r="H7" s="804">
        <f t="shared" si="14"/>
        <v>0</v>
      </c>
      <c r="I7" s="806">
        <f>(G7-(G7*Varta!H$3))</f>
        <v>0</v>
      </c>
      <c r="J7" s="806">
        <f>(I7-(I7*Varta!I$3))</f>
        <v>0</v>
      </c>
      <c r="K7" s="806">
        <f t="shared" si="15"/>
        <v>0</v>
      </c>
      <c r="L7" s="806">
        <f t="shared" si="16"/>
        <v>0</v>
      </c>
      <c r="M7" s="806">
        <f t="shared" si="17"/>
        <v>0</v>
      </c>
      <c r="N7" s="806">
        <f t="shared" si="18"/>
        <v>0</v>
      </c>
      <c r="O7" s="806">
        <f t="shared" si="19"/>
        <v>0</v>
      </c>
      <c r="P7" s="533" t="e">
        <f t="shared" si="20"/>
        <v>#DIV/0!</v>
      </c>
      <c r="Q7" s="533" t="e">
        <f t="shared" si="21"/>
        <v>#DIV/0!</v>
      </c>
      <c r="R7" s="921"/>
      <c r="S7" s="112"/>
      <c r="T7" s="579">
        <v>30400</v>
      </c>
      <c r="U7" s="579">
        <f t="shared" si="22"/>
        <v>30400</v>
      </c>
      <c r="V7" s="824">
        <f t="shared" si="23"/>
        <v>25123.96694214876</v>
      </c>
      <c r="W7" s="199" t="e">
        <f t="shared" si="1"/>
        <v>#DIV/0!</v>
      </c>
      <c r="X7" s="191">
        <f t="shared" si="2"/>
        <v>1</v>
      </c>
    </row>
    <row r="8" spans="1:24" ht="15.6">
      <c r="A8" s="811" t="s">
        <v>374</v>
      </c>
      <c r="B8" s="803" t="s">
        <v>379</v>
      </c>
      <c r="C8" s="803"/>
      <c r="D8" s="535">
        <v>542</v>
      </c>
      <c r="E8" s="804">
        <f>(D8)</f>
        <v>542</v>
      </c>
      <c r="F8" s="802">
        <f t="shared" si="13"/>
        <v>704600</v>
      </c>
      <c r="G8" s="805">
        <v>958798</v>
      </c>
      <c r="H8" s="804">
        <f t="shared" si="14"/>
        <v>1160145.58</v>
      </c>
      <c r="I8" s="806">
        <f>(G8-(G8*Varta!H$3))</f>
        <v>910858.1</v>
      </c>
      <c r="J8" s="806">
        <f>(I8-(I8*Varta!I$3))</f>
        <v>883532.35699999996</v>
      </c>
      <c r="K8" s="806">
        <f t="shared" si="15"/>
        <v>44176.617850000002</v>
      </c>
      <c r="L8" s="806">
        <f t="shared" si="16"/>
        <v>0</v>
      </c>
      <c r="M8" s="806">
        <f t="shared" si="17"/>
        <v>0</v>
      </c>
      <c r="N8" s="806">
        <f t="shared" si="18"/>
        <v>0</v>
      </c>
      <c r="O8" s="806">
        <f t="shared" si="19"/>
        <v>839355.73914999992</v>
      </c>
      <c r="P8" s="533">
        <f t="shared" si="20"/>
        <v>0.19125140384615374</v>
      </c>
      <c r="Q8" s="533">
        <f t="shared" si="21"/>
        <v>0.16054663459674987</v>
      </c>
      <c r="R8" s="921"/>
      <c r="S8" s="112"/>
      <c r="T8" s="579">
        <f>(F8+(F8*0.8))</f>
        <v>1268280</v>
      </c>
      <c r="U8" s="579">
        <f t="shared" si="22"/>
        <v>1268300</v>
      </c>
      <c r="V8" s="824">
        <f t="shared" si="23"/>
        <v>1048181.8181818182</v>
      </c>
      <c r="W8" s="199">
        <f t="shared" si="1"/>
        <v>0.48762676437953201</v>
      </c>
      <c r="X8" s="191">
        <f t="shared" si="2"/>
        <v>0.32778837814397227</v>
      </c>
    </row>
    <row r="9" spans="1:24" ht="15.6">
      <c r="A9" s="811" t="s">
        <v>374</v>
      </c>
      <c r="B9" s="803" t="s">
        <v>380</v>
      </c>
      <c r="C9" s="803"/>
      <c r="D9" s="535">
        <v>280</v>
      </c>
      <c r="E9" s="804">
        <f t="shared" ref="E9:E10" si="24">(D9)</f>
        <v>280</v>
      </c>
      <c r="F9" s="802">
        <f t="shared" si="13"/>
        <v>364000</v>
      </c>
      <c r="G9" s="805">
        <v>495320</v>
      </c>
      <c r="H9" s="804">
        <f t="shared" si="14"/>
        <v>599337.19999999995</v>
      </c>
      <c r="I9" s="806">
        <f>(G9-(G9*Varta!H$3))</f>
        <v>470554</v>
      </c>
      <c r="J9" s="806">
        <f>(I9-(I9*Varta!I$3))</f>
        <v>456437.38</v>
      </c>
      <c r="K9" s="806">
        <f t="shared" si="15"/>
        <v>22821.869000000002</v>
      </c>
      <c r="L9" s="806">
        <f t="shared" si="16"/>
        <v>0</v>
      </c>
      <c r="M9" s="806">
        <f t="shared" si="17"/>
        <v>0</v>
      </c>
      <c r="N9" s="806">
        <f t="shared" si="18"/>
        <v>0</v>
      </c>
      <c r="O9" s="806">
        <f t="shared" si="19"/>
        <v>433615.511</v>
      </c>
      <c r="P9" s="533">
        <f t="shared" si="20"/>
        <v>0.19125140384615386</v>
      </c>
      <c r="Q9" s="533">
        <f t="shared" si="21"/>
        <v>0.16054663459674992</v>
      </c>
      <c r="R9" s="921"/>
      <c r="S9" s="921"/>
      <c r="T9" s="579">
        <f>(F9+(F9*0.8))</f>
        <v>655200</v>
      </c>
      <c r="U9" s="579">
        <f t="shared" si="22"/>
        <v>655200</v>
      </c>
      <c r="V9" s="824">
        <f t="shared" si="23"/>
        <v>541487.6033057851</v>
      </c>
      <c r="W9" s="199">
        <f t="shared" si="1"/>
        <v>0.4876033057851239</v>
      </c>
      <c r="X9" s="191">
        <f t="shared" si="2"/>
        <v>0.32777777777777772</v>
      </c>
    </row>
    <row r="10" spans="1:24" ht="15.6">
      <c r="A10" s="811" t="s">
        <v>374</v>
      </c>
      <c r="B10" s="803" t="s">
        <v>381</v>
      </c>
      <c r="C10" s="803"/>
      <c r="D10" s="535">
        <v>97</v>
      </c>
      <c r="E10" s="804">
        <f t="shared" si="24"/>
        <v>97</v>
      </c>
      <c r="F10" s="802">
        <f t="shared" si="13"/>
        <v>126100</v>
      </c>
      <c r="G10" s="805">
        <v>171593</v>
      </c>
      <c r="H10" s="804">
        <f t="shared" si="14"/>
        <v>207627.53</v>
      </c>
      <c r="I10" s="806">
        <f>(G10-(G10*Varta!H$3))</f>
        <v>163013.35</v>
      </c>
      <c r="J10" s="806">
        <f>(I10-(I10*Varta!I$3))</f>
        <v>158122.94950000002</v>
      </c>
      <c r="K10" s="806">
        <f t="shared" si="15"/>
        <v>7906.1474750000016</v>
      </c>
      <c r="L10" s="806">
        <f t="shared" si="16"/>
        <v>0</v>
      </c>
      <c r="M10" s="806">
        <f t="shared" si="17"/>
        <v>0</v>
      </c>
      <c r="N10" s="806">
        <f t="shared" si="18"/>
        <v>0</v>
      </c>
      <c r="O10" s="806">
        <f t="shared" si="19"/>
        <v>150216.80202500001</v>
      </c>
      <c r="P10" s="533">
        <f t="shared" si="20"/>
        <v>0.19125140384615394</v>
      </c>
      <c r="Q10" s="533">
        <f t="shared" si="21"/>
        <v>0.16054663459675</v>
      </c>
      <c r="R10" s="921"/>
      <c r="S10" s="921"/>
      <c r="T10" s="579">
        <f>(F10+(F10*0.8))</f>
        <v>226980</v>
      </c>
      <c r="U10" s="579">
        <f t="shared" si="22"/>
        <v>227000</v>
      </c>
      <c r="V10" s="824">
        <f t="shared" si="23"/>
        <v>187603.30578512399</v>
      </c>
      <c r="W10" s="199">
        <f t="shared" si="1"/>
        <v>0.4877343837043932</v>
      </c>
      <c r="X10" s="191">
        <f t="shared" si="2"/>
        <v>0.3278370044052864</v>
      </c>
    </row>
    <row r="11" spans="1:24" ht="15.6">
      <c r="A11" s="811" t="s">
        <v>382</v>
      </c>
      <c r="B11" s="897" t="s">
        <v>383</v>
      </c>
      <c r="C11" s="803">
        <v>20220</v>
      </c>
      <c r="D11" s="807">
        <v>8.8000000000000007</v>
      </c>
      <c r="E11" s="804">
        <f>(D11-(D11*18%))</f>
        <v>7.2160000000000011</v>
      </c>
      <c r="F11" s="802">
        <f t="shared" si="13"/>
        <v>9380.8000000000011</v>
      </c>
      <c r="G11" s="805">
        <v>12765.103999999999</v>
      </c>
      <c r="H11" s="804">
        <f t="shared" si="14"/>
        <v>15445.775839999998</v>
      </c>
      <c r="I11" s="806">
        <f>(G11-(G11*Varta!H$3))</f>
        <v>12126.8488</v>
      </c>
      <c r="J11" s="806">
        <f>(I11-(I11*Varta!I$3))</f>
        <v>11763.043336000001</v>
      </c>
      <c r="K11" s="806">
        <f t="shared" si="15"/>
        <v>588.15216680000003</v>
      </c>
      <c r="L11" s="806">
        <f t="shared" si="16"/>
        <v>0</v>
      </c>
      <c r="M11" s="806">
        <f t="shared" si="17"/>
        <v>0</v>
      </c>
      <c r="N11" s="806">
        <f t="shared" si="18"/>
        <v>0</v>
      </c>
      <c r="O11" s="806">
        <f t="shared" si="19"/>
        <v>11174.8911692</v>
      </c>
      <c r="P11" s="533">
        <f t="shared" si="20"/>
        <v>0.19125140384615372</v>
      </c>
      <c r="Q11" s="533">
        <f t="shared" si="21"/>
        <v>0.16054663459674984</v>
      </c>
      <c r="R11" s="921"/>
      <c r="S11" s="112"/>
      <c r="T11" s="579">
        <v>16430</v>
      </c>
      <c r="U11" s="579">
        <f t="shared" si="22"/>
        <v>16450</v>
      </c>
      <c r="V11" s="824">
        <f t="shared" si="23"/>
        <v>13595.041322314049</v>
      </c>
      <c r="W11" s="199">
        <f t="shared" si="1"/>
        <v>0.44924114385916425</v>
      </c>
      <c r="X11" s="191">
        <f t="shared" si="2"/>
        <v>0.30998370820668686</v>
      </c>
    </row>
    <row r="12" spans="1:24" ht="15.6">
      <c r="A12" s="811" t="s">
        <v>382</v>
      </c>
      <c r="B12" s="897" t="s">
        <v>384</v>
      </c>
      <c r="C12" s="803">
        <v>18200</v>
      </c>
      <c r="D12" s="807">
        <v>32.33</v>
      </c>
      <c r="E12" s="804">
        <f>(D12-(D12*18%))</f>
        <v>26.510599999999997</v>
      </c>
      <c r="F12" s="802">
        <f t="shared" si="13"/>
        <v>34463.78</v>
      </c>
      <c r="G12" s="805">
        <v>46897.251399999994</v>
      </c>
      <c r="H12" s="804">
        <f t="shared" si="14"/>
        <v>56745.674193999992</v>
      </c>
      <c r="I12" s="806">
        <f>(G12-(G12*Varta!H$3))</f>
        <v>44552.388829999996</v>
      </c>
      <c r="J12" s="806">
        <f>(I12-(I12*Varta!I$3))</f>
        <v>43215.817165099994</v>
      </c>
      <c r="K12" s="806">
        <f t="shared" si="15"/>
        <v>2160.7908582549999</v>
      </c>
      <c r="L12" s="806">
        <f t="shared" si="16"/>
        <v>0</v>
      </c>
      <c r="M12" s="806">
        <f t="shared" si="17"/>
        <v>0</v>
      </c>
      <c r="N12" s="806">
        <f t="shared" si="18"/>
        <v>0</v>
      </c>
      <c r="O12" s="806">
        <f t="shared" si="19"/>
        <v>41055.026306844993</v>
      </c>
      <c r="P12" s="533">
        <f t="shared" si="20"/>
        <v>0.19125140384615369</v>
      </c>
      <c r="Q12" s="533">
        <f t="shared" si="21"/>
        <v>0.16054663459674981</v>
      </c>
      <c r="R12" s="921"/>
      <c r="S12" s="112"/>
      <c r="T12" s="579">
        <v>65790</v>
      </c>
      <c r="U12" s="579">
        <f t="shared" si="22"/>
        <v>65800</v>
      </c>
      <c r="V12" s="824">
        <f t="shared" si="23"/>
        <v>54380.165289256198</v>
      </c>
      <c r="W12" s="199">
        <f t="shared" si="1"/>
        <v>0.57789323426670547</v>
      </c>
      <c r="X12" s="191">
        <f t="shared" si="2"/>
        <v>0.36624355927051672</v>
      </c>
    </row>
    <row r="13" spans="1:24" ht="15.6">
      <c r="A13" s="811" t="s">
        <v>382</v>
      </c>
      <c r="B13" s="803" t="s">
        <v>385</v>
      </c>
      <c r="C13" s="803">
        <v>19282</v>
      </c>
      <c r="D13" s="809">
        <v>19.93</v>
      </c>
      <c r="E13" s="804">
        <f>(D13-(D13*26.56%))</f>
        <v>14.636592</v>
      </c>
      <c r="F13" s="802">
        <f t="shared" si="13"/>
        <v>19027.569599999999</v>
      </c>
      <c r="G13" s="805">
        <v>25892.131248000002</v>
      </c>
      <c r="H13" s="804">
        <f t="shared" si="14"/>
        <v>31329.47881008</v>
      </c>
      <c r="I13" s="806">
        <f>(G13-(G13*Varta!H$3))</f>
        <v>24597.524685600001</v>
      </c>
      <c r="J13" s="806">
        <f>(I13-(I13*Varta!I$3))</f>
        <v>23859.598945032001</v>
      </c>
      <c r="K13" s="806">
        <f t="shared" si="15"/>
        <v>1192.9799472516002</v>
      </c>
      <c r="L13" s="806">
        <f t="shared" si="16"/>
        <v>0</v>
      </c>
      <c r="M13" s="806">
        <f t="shared" si="17"/>
        <v>0</v>
      </c>
      <c r="N13" s="806">
        <f t="shared" si="18"/>
        <v>0</v>
      </c>
      <c r="O13" s="806">
        <f t="shared" si="19"/>
        <v>22666.618997780402</v>
      </c>
      <c r="P13" s="533">
        <f t="shared" si="20"/>
        <v>0.19125140384615405</v>
      </c>
      <c r="Q13" s="533">
        <f t="shared" si="21"/>
        <v>0.16054663459675006</v>
      </c>
      <c r="R13" s="249"/>
      <c r="S13" s="112"/>
      <c r="T13" s="579">
        <v>43000</v>
      </c>
      <c r="U13" s="579">
        <f t="shared" si="22"/>
        <v>43000</v>
      </c>
      <c r="V13" s="824">
        <f t="shared" si="23"/>
        <v>35537.190082644629</v>
      </c>
      <c r="W13" s="199">
        <f t="shared" si="1"/>
        <v>0.86766837960454135</v>
      </c>
      <c r="X13" s="191">
        <f t="shared" si="2"/>
        <v>0.46457304148837214</v>
      </c>
    </row>
    <row r="14" spans="1:24" ht="15.6">
      <c r="A14" s="811" t="s">
        <v>382</v>
      </c>
      <c r="B14" s="897" t="s">
        <v>386</v>
      </c>
      <c r="C14" s="803">
        <v>19286</v>
      </c>
      <c r="D14" s="535">
        <v>23.64</v>
      </c>
      <c r="E14" s="535">
        <f>(D14-(D14*26.56%))</f>
        <v>17.361215999999999</v>
      </c>
      <c r="F14" s="535">
        <f t="shared" si="13"/>
        <v>22569.5808</v>
      </c>
      <c r="G14" s="805">
        <v>30711.991103999997</v>
      </c>
      <c r="H14" s="804">
        <f t="shared" si="14"/>
        <v>37161.509235839992</v>
      </c>
      <c r="I14" s="806">
        <f>(G14-(G14*Varta!H$3))</f>
        <v>29176.391548799998</v>
      </c>
      <c r="J14" s="806">
        <f>(I14-(I14*Varta!I$3))</f>
        <v>28301.099802335997</v>
      </c>
      <c r="K14" s="806">
        <f t="shared" si="15"/>
        <v>1415.0549901167999</v>
      </c>
      <c r="L14" s="806">
        <f t="shared" si="16"/>
        <v>0</v>
      </c>
      <c r="M14" s="806">
        <f t="shared" si="17"/>
        <v>0</v>
      </c>
      <c r="N14" s="806">
        <f t="shared" si="18"/>
        <v>0</v>
      </c>
      <c r="O14" s="806">
        <f t="shared" si="19"/>
        <v>26886.044812219196</v>
      </c>
      <c r="P14" s="533">
        <f t="shared" si="20"/>
        <v>0.19125140384615366</v>
      </c>
      <c r="Q14" s="533">
        <f t="shared" si="21"/>
        <v>0.16054663459674981</v>
      </c>
      <c r="R14" s="921"/>
      <c r="S14" s="921"/>
      <c r="T14" s="579">
        <v>51850</v>
      </c>
      <c r="U14" s="579">
        <f>CEILING(T14,50)</f>
        <v>51850</v>
      </c>
      <c r="V14" s="42">
        <f t="shared" si="23"/>
        <v>42851.239669421491</v>
      </c>
      <c r="W14" s="715">
        <f>((V14-(F14))/(F14))</f>
        <v>0.89862807152454915</v>
      </c>
      <c r="X14" s="716">
        <f>((V14-(F14))/V14)</f>
        <v>0.4733039003278689</v>
      </c>
    </row>
    <row r="15" spans="1:24" ht="15.6">
      <c r="A15" s="822" t="s">
        <v>382</v>
      </c>
      <c r="B15" s="811" t="s">
        <v>387</v>
      </c>
      <c r="C15" s="811">
        <v>49622</v>
      </c>
      <c r="D15" s="535">
        <v>14.7</v>
      </c>
      <c r="E15" s="535">
        <f>(D15-(D15*25.56%))</f>
        <v>10.942679999999999</v>
      </c>
      <c r="F15" s="532">
        <f t="shared" si="13"/>
        <v>14225.483999999999</v>
      </c>
      <c r="G15" s="805">
        <v>19357.600919999997</v>
      </c>
      <c r="H15" s="804">
        <f t="shared" si="14"/>
        <v>23422.697113199996</v>
      </c>
      <c r="I15" s="806">
        <f>(G15-(G15*Varta!H$3))</f>
        <v>18389.720873999999</v>
      </c>
      <c r="J15" s="806">
        <f>(I15-(I15*Varta!I$3))</f>
        <v>17838.029247779999</v>
      </c>
      <c r="K15" s="806">
        <f t="shared" si="15"/>
        <v>891.90146238900002</v>
      </c>
      <c r="L15" s="806">
        <f t="shared" ref="L15:L16" si="25">(J15*L$3)</f>
        <v>0</v>
      </c>
      <c r="M15" s="806">
        <f t="shared" ref="M15:M16" si="26">(J15*M$3)</f>
        <v>0</v>
      </c>
      <c r="N15" s="806">
        <f t="shared" ref="N15:N16" si="27">(J15*N$3)</f>
        <v>0</v>
      </c>
      <c r="O15" s="806">
        <f t="shared" si="19"/>
        <v>16946.127785391</v>
      </c>
      <c r="P15" s="533">
        <f>(O15-F15)/F15</f>
        <v>0.19125140384615394</v>
      </c>
      <c r="Q15" s="533">
        <f t="shared" si="21"/>
        <v>0.16054663459675</v>
      </c>
      <c r="R15" s="921"/>
      <c r="S15" s="921"/>
      <c r="T15" s="579">
        <v>27940</v>
      </c>
      <c r="U15" s="579">
        <f t="shared" si="22"/>
        <v>27950</v>
      </c>
      <c r="V15" s="42">
        <f t="shared" si="23"/>
        <v>23099.173553719011</v>
      </c>
      <c r="W15" s="715">
        <f>((V15-(F15))/(F15))</f>
        <v>0.62378823481289025</v>
      </c>
      <c r="X15" s="716">
        <f>((V15-(F15))/V15)</f>
        <v>0.38415614883720944</v>
      </c>
    </row>
    <row r="16" spans="1:24" ht="15.6">
      <c r="A16" s="811" t="s">
        <v>388</v>
      </c>
      <c r="B16" s="897" t="s">
        <v>389</v>
      </c>
      <c r="C16" s="803" t="s">
        <v>390</v>
      </c>
      <c r="D16" s="807">
        <v>9.58</v>
      </c>
      <c r="E16" s="804">
        <f>(D16-(D16*26.6%))</f>
        <v>7.03172</v>
      </c>
      <c r="F16" s="802">
        <f t="shared" si="13"/>
        <v>9141.2360000000008</v>
      </c>
      <c r="G16" s="805">
        <v>12439.112679999998</v>
      </c>
      <c r="H16" s="804">
        <f t="shared" si="14"/>
        <v>15051.326342799997</v>
      </c>
      <c r="I16" s="806">
        <f>(G16-(G16*Varta!H$3))</f>
        <v>11817.157045999998</v>
      </c>
      <c r="J16" s="806">
        <f>(I16-(I16*Varta!I$3))</f>
        <v>11462.642334619999</v>
      </c>
      <c r="K16" s="806">
        <f t="shared" si="15"/>
        <v>573.132116731</v>
      </c>
      <c r="L16" s="806">
        <f t="shared" si="25"/>
        <v>0</v>
      </c>
      <c r="M16" s="806">
        <f t="shared" si="26"/>
        <v>0</v>
      </c>
      <c r="N16" s="806">
        <f t="shared" si="27"/>
        <v>0</v>
      </c>
      <c r="O16" s="806">
        <f t="shared" si="19"/>
        <v>10889.510217888999</v>
      </c>
      <c r="P16" s="533">
        <f t="shared" si="20"/>
        <v>0.19125140384615366</v>
      </c>
      <c r="Q16" s="533">
        <f t="shared" si="21"/>
        <v>0.16054663459674981</v>
      </c>
      <c r="R16" s="249"/>
      <c r="S16" s="112"/>
      <c r="T16" s="579">
        <v>19680</v>
      </c>
      <c r="U16" s="579">
        <f t="shared" si="22"/>
        <v>19700</v>
      </c>
      <c r="V16" s="824">
        <f t="shared" si="23"/>
        <v>16280.991735537191</v>
      </c>
      <c r="W16" s="199">
        <f>(V16-F16)/F16</f>
        <v>0.78104927337366514</v>
      </c>
      <c r="X16" s="191">
        <f>(V16-F16)/V16</f>
        <v>0.43853322030456848</v>
      </c>
    </row>
    <row r="17" spans="1:25" ht="15.6">
      <c r="A17" s="811" t="s">
        <v>391</v>
      </c>
      <c r="B17" s="898" t="s">
        <v>392</v>
      </c>
      <c r="C17" s="811">
        <v>27168</v>
      </c>
      <c r="D17" s="535">
        <v>48.73</v>
      </c>
      <c r="E17" s="804">
        <f>(D17-(D17*E$3))</f>
        <v>39.997583999999996</v>
      </c>
      <c r="F17" s="802">
        <f t="shared" si="13"/>
        <v>51996.859199999992</v>
      </c>
      <c r="G17" s="805">
        <v>70755.726095999999</v>
      </c>
      <c r="H17" s="804">
        <f t="shared" si="14"/>
        <v>85614.428576159989</v>
      </c>
      <c r="I17" s="806">
        <f>(G17-(G17*Varta!H$3))</f>
        <v>67217.939791199999</v>
      </c>
      <c r="J17" s="806">
        <f>(I17-(I17*Varta!I$3))</f>
        <v>65201.401597463999</v>
      </c>
      <c r="K17" s="806">
        <f t="shared" si="15"/>
        <v>3260.0700798732</v>
      </c>
      <c r="L17" s="806">
        <f t="shared" ref="L17:L24" si="28">(J17*L$3)</f>
        <v>0</v>
      </c>
      <c r="M17" s="806">
        <f t="shared" ref="M17:M24" si="29">(J17*M$3)</f>
        <v>0</v>
      </c>
      <c r="N17" s="806">
        <f t="shared" ref="N17:N24" si="30">(J17*N$3)</f>
        <v>0</v>
      </c>
      <c r="O17" s="806">
        <f t="shared" si="19"/>
        <v>61941.331517590799</v>
      </c>
      <c r="P17" s="533">
        <f>(O17-F17)/F17</f>
        <v>0.19125140384615402</v>
      </c>
      <c r="Q17" s="533">
        <f t="shared" si="21"/>
        <v>0.16054663459675006</v>
      </c>
      <c r="R17" s="921"/>
      <c r="S17" s="921"/>
      <c r="T17" s="579">
        <v>95620</v>
      </c>
      <c r="U17" s="579">
        <f t="shared" si="22"/>
        <v>95650</v>
      </c>
      <c r="V17" s="824">
        <f t="shared" si="23"/>
        <v>79049.586776859505</v>
      </c>
      <c r="W17" s="629">
        <f>(V17-F17)/F17</f>
        <v>0.52027618577507306</v>
      </c>
      <c r="X17" s="630">
        <f>(V17-F17)/V17</f>
        <v>0.34222478168322018</v>
      </c>
      <c r="Y17" s="921"/>
    </row>
    <row r="18" spans="1:25" ht="15.6">
      <c r="A18" s="811" t="s">
        <v>382</v>
      </c>
      <c r="B18" s="811" t="s">
        <v>393</v>
      </c>
      <c r="C18" s="811">
        <v>25046</v>
      </c>
      <c r="D18" s="535">
        <v>13.71</v>
      </c>
      <c r="E18" s="535">
        <f>(D18-(D18*18%))</f>
        <v>11.2422</v>
      </c>
      <c r="F18" s="535">
        <f t="shared" si="13"/>
        <v>14614.86</v>
      </c>
      <c r="G18" s="805">
        <v>19887.451799999999</v>
      </c>
      <c r="H18" s="804">
        <f t="shared" si="14"/>
        <v>24063.816677999999</v>
      </c>
      <c r="I18" s="806">
        <f>(G18-(G18*Varta!H$3))</f>
        <v>18893.07921</v>
      </c>
      <c r="J18" s="806">
        <f>(I18-(I18*Varta!I$3))</f>
        <v>18326.2868337</v>
      </c>
      <c r="K18" s="806">
        <f t="shared" si="15"/>
        <v>916.31434168500004</v>
      </c>
      <c r="L18" s="806">
        <f t="shared" si="28"/>
        <v>0</v>
      </c>
      <c r="M18" s="806">
        <f t="shared" si="29"/>
        <v>0</v>
      </c>
      <c r="N18" s="806">
        <f t="shared" si="30"/>
        <v>0</v>
      </c>
      <c r="O18" s="806">
        <f t="shared" si="19"/>
        <v>17409.972492015</v>
      </c>
      <c r="P18" s="533">
        <f t="shared" si="20"/>
        <v>0.1912514038461538</v>
      </c>
      <c r="Q18" s="533">
        <f t="shared" si="21"/>
        <v>0.16054663459674989</v>
      </c>
      <c r="R18" s="921"/>
      <c r="S18" s="921"/>
      <c r="T18" s="579">
        <v>26550</v>
      </c>
      <c r="U18" s="831">
        <f t="shared" si="22"/>
        <v>26550</v>
      </c>
      <c r="V18" s="42">
        <f t="shared" si="23"/>
        <v>21942.14876033058</v>
      </c>
      <c r="W18" s="715">
        <f>((V18-(F18))/(F18))</f>
        <v>0.50135880605976235</v>
      </c>
      <c r="X18" s="716">
        <f>((V18-(F18))/V18)</f>
        <v>0.33393670056497177</v>
      </c>
      <c r="Y18" s="112"/>
    </row>
    <row r="19" spans="1:25" ht="15.6">
      <c r="A19" s="811" t="s">
        <v>382</v>
      </c>
      <c r="B19" s="898" t="s">
        <v>394</v>
      </c>
      <c r="C19" s="811">
        <v>49621</v>
      </c>
      <c r="D19" s="535">
        <v>21.34</v>
      </c>
      <c r="E19" s="535">
        <f>(D19-(D19*25.56%))</f>
        <v>15.885496</v>
      </c>
      <c r="F19" s="535">
        <f t="shared" si="13"/>
        <v>20651.144799999998</v>
      </c>
      <c r="G19" s="805">
        <v>28101.442424000001</v>
      </c>
      <c r="H19" s="804">
        <f t="shared" si="14"/>
        <v>34002.745333040002</v>
      </c>
      <c r="I19" s="806">
        <f>(G19-(G19*Varta!H$3))</f>
        <v>26696.370302800002</v>
      </c>
      <c r="J19" s="806">
        <f>(I19-(I19*Varta!I$3))</f>
        <v>25895.479193716001</v>
      </c>
      <c r="K19" s="806">
        <f t="shared" si="15"/>
        <v>1294.7739596858</v>
      </c>
      <c r="L19" s="806">
        <f t="shared" si="28"/>
        <v>0</v>
      </c>
      <c r="M19" s="806">
        <f t="shared" si="29"/>
        <v>0</v>
      </c>
      <c r="N19" s="806">
        <f t="shared" si="30"/>
        <v>0</v>
      </c>
      <c r="O19" s="806">
        <f t="shared" si="19"/>
        <v>24600.7052340302</v>
      </c>
      <c r="P19" s="533">
        <f t="shared" si="20"/>
        <v>0.19125140384615394</v>
      </c>
      <c r="Q19" s="533">
        <f t="shared" si="21"/>
        <v>0.16054663459675</v>
      </c>
      <c r="R19" s="921"/>
      <c r="S19" s="921"/>
      <c r="T19" s="579">
        <v>44500</v>
      </c>
      <c r="U19" s="831">
        <f t="shared" si="22"/>
        <v>44500</v>
      </c>
      <c r="V19" s="42">
        <f t="shared" si="23"/>
        <v>36776.859504132233</v>
      </c>
      <c r="W19" s="715">
        <f>((V19-(F19))/(F19))</f>
        <v>0.78086299138884718</v>
      </c>
      <c r="X19" s="716">
        <f>((V19-(F19))/V19)</f>
        <v>0.43847448970786523</v>
      </c>
      <c r="Y19" s="112"/>
    </row>
    <row r="20" spans="1:25" ht="15.6">
      <c r="A20" s="811" t="s">
        <v>382</v>
      </c>
      <c r="B20" s="897" t="s">
        <v>395</v>
      </c>
      <c r="C20" s="803">
        <v>19999</v>
      </c>
      <c r="D20" s="535">
        <v>36</v>
      </c>
      <c r="E20" s="804">
        <f>(D20-(D20*E$3))</f>
        <v>29.5488</v>
      </c>
      <c r="F20" s="802">
        <f t="shared" si="13"/>
        <v>38413.440000000002</v>
      </c>
      <c r="G20" s="805">
        <v>52271.8272</v>
      </c>
      <c r="H20" s="804">
        <f t="shared" si="14"/>
        <v>63248.910911999999</v>
      </c>
      <c r="I20" s="806">
        <f>(G20-(G20*Varta!H$3))</f>
        <v>49658.235840000001</v>
      </c>
      <c r="J20" s="806">
        <f>(I20-(I20*Varta!I$3))</f>
        <v>48168.4887648</v>
      </c>
      <c r="K20" s="806">
        <f t="shared" si="15"/>
        <v>2408.4244382400002</v>
      </c>
      <c r="L20" s="806">
        <f t="shared" si="28"/>
        <v>0</v>
      </c>
      <c r="M20" s="806">
        <f t="shared" si="29"/>
        <v>0</v>
      </c>
      <c r="N20" s="806">
        <f t="shared" si="30"/>
        <v>0</v>
      </c>
      <c r="O20" s="806">
        <f t="shared" si="19"/>
        <v>45760.064326560001</v>
      </c>
      <c r="P20" s="533">
        <f t="shared" si="20"/>
        <v>0.1912514038461538</v>
      </c>
      <c r="Q20" s="533">
        <f t="shared" si="21"/>
        <v>0.16054663459674989</v>
      </c>
      <c r="R20" s="921"/>
      <c r="S20" s="112"/>
      <c r="T20" s="579">
        <v>68000</v>
      </c>
      <c r="U20" s="579">
        <f t="shared" si="22"/>
        <v>68000</v>
      </c>
      <c r="V20" s="824">
        <f t="shared" si="23"/>
        <v>56198.347107438021</v>
      </c>
      <c r="W20" s="199">
        <f>(V20-F20)/F20</f>
        <v>0.4629865772874811</v>
      </c>
      <c r="X20" s="191">
        <f>(V20-F20)/V20</f>
        <v>0.31646672941176474</v>
      </c>
      <c r="Y20" s="921"/>
    </row>
    <row r="21" spans="1:25" ht="15.6">
      <c r="A21" s="811" t="s">
        <v>388</v>
      </c>
      <c r="B21" s="811" t="s">
        <v>396</v>
      </c>
      <c r="C21" s="811" t="s">
        <v>397</v>
      </c>
      <c r="D21" s="535">
        <v>36</v>
      </c>
      <c r="E21" s="535">
        <f>(D21-(D21*E$3))</f>
        <v>29.5488</v>
      </c>
      <c r="F21" s="535">
        <f t="shared" si="13"/>
        <v>38413.440000000002</v>
      </c>
      <c r="G21" s="805">
        <v>52271.8272</v>
      </c>
      <c r="H21" s="804">
        <f t="shared" si="14"/>
        <v>63248.910911999999</v>
      </c>
      <c r="I21" s="806">
        <f>(G21-(G21*Varta!H$3))</f>
        <v>49658.235840000001</v>
      </c>
      <c r="J21" s="806">
        <f>(I21-(I21*Varta!I$3))</f>
        <v>48168.4887648</v>
      </c>
      <c r="K21" s="806">
        <f t="shared" si="15"/>
        <v>2408.4244382400002</v>
      </c>
      <c r="L21" s="806">
        <f t="shared" si="28"/>
        <v>0</v>
      </c>
      <c r="M21" s="806">
        <f t="shared" si="29"/>
        <v>0</v>
      </c>
      <c r="N21" s="806">
        <f t="shared" si="30"/>
        <v>0</v>
      </c>
      <c r="O21" s="806">
        <f t="shared" si="19"/>
        <v>45760.064326560001</v>
      </c>
      <c r="P21" s="533">
        <f t="shared" si="20"/>
        <v>0.1912514038461538</v>
      </c>
      <c r="Q21" s="533">
        <f t="shared" si="21"/>
        <v>0.16054663459674989</v>
      </c>
      <c r="R21" s="921"/>
      <c r="S21" s="921"/>
      <c r="T21" s="579">
        <v>68000</v>
      </c>
      <c r="U21" s="579">
        <f t="shared" si="22"/>
        <v>68000</v>
      </c>
      <c r="V21" s="42">
        <f t="shared" si="23"/>
        <v>56198.347107438021</v>
      </c>
      <c r="W21" s="715">
        <f>((V21-(F21))/(F21))</f>
        <v>0.4629865772874811</v>
      </c>
      <c r="X21" s="716">
        <f>((V21-(F21))/V21)</f>
        <v>0.31646672941176474</v>
      </c>
      <c r="Y21" s="921"/>
    </row>
    <row r="22" spans="1:25" ht="15.6">
      <c r="A22" s="811" t="s">
        <v>391</v>
      </c>
      <c r="B22" s="897" t="s">
        <v>398</v>
      </c>
      <c r="C22" s="803">
        <v>100648</v>
      </c>
      <c r="D22" s="810">
        <v>24.75</v>
      </c>
      <c r="E22" s="804">
        <f>(D22-(D22*18%))</f>
        <v>20.295000000000002</v>
      </c>
      <c r="F22" s="802">
        <f t="shared" si="13"/>
        <v>26383.500000000004</v>
      </c>
      <c r="G22" s="805">
        <v>35901.855000000003</v>
      </c>
      <c r="H22" s="804">
        <f t="shared" si="14"/>
        <v>43441.244550000003</v>
      </c>
      <c r="I22" s="806">
        <f>(G22-(G22*Varta!H$3))</f>
        <v>34106.76225</v>
      </c>
      <c r="J22" s="806">
        <f>(I22-(I22*Varta!I$3))</f>
        <v>33083.559382500003</v>
      </c>
      <c r="K22" s="806">
        <f t="shared" si="15"/>
        <v>1654.1779691250003</v>
      </c>
      <c r="L22" s="806">
        <f t="shared" si="28"/>
        <v>0</v>
      </c>
      <c r="M22" s="806">
        <f t="shared" si="29"/>
        <v>0</v>
      </c>
      <c r="N22" s="806">
        <f t="shared" si="30"/>
        <v>0</v>
      </c>
      <c r="O22" s="806">
        <f t="shared" si="19"/>
        <v>31429.381413375002</v>
      </c>
      <c r="P22" s="533">
        <f t="shared" si="20"/>
        <v>0.19125140384615374</v>
      </c>
      <c r="Q22" s="533">
        <f t="shared" si="21"/>
        <v>0.16054663459674987</v>
      </c>
      <c r="R22" s="249"/>
      <c r="S22" s="112"/>
      <c r="T22" s="579">
        <v>47200</v>
      </c>
      <c r="U22" s="579">
        <f t="shared" si="22"/>
        <v>47200</v>
      </c>
      <c r="V22" s="824">
        <f t="shared" si="23"/>
        <v>39008.264462809915</v>
      </c>
      <c r="W22" s="199">
        <f>(V22-F22)/F22</f>
        <v>0.47850984375878519</v>
      </c>
      <c r="X22" s="191">
        <f>(V22-F22)/V22</f>
        <v>0.3236433262711863</v>
      </c>
      <c r="Y22" s="921"/>
    </row>
    <row r="23" spans="1:25" ht="15.6">
      <c r="A23" s="811" t="s">
        <v>388</v>
      </c>
      <c r="B23" s="898" t="s">
        <v>399</v>
      </c>
      <c r="C23" s="811" t="s">
        <v>400</v>
      </c>
      <c r="D23" s="535">
        <v>52</v>
      </c>
      <c r="E23" s="535">
        <f>(D23-(D23*E$3))</f>
        <v>42.681600000000003</v>
      </c>
      <c r="F23" s="535">
        <f t="shared" si="13"/>
        <v>55486.080000000002</v>
      </c>
      <c r="G23" s="805">
        <v>75503.750400000004</v>
      </c>
      <c r="H23" s="804">
        <f t="shared" si="14"/>
        <v>91359.53798400001</v>
      </c>
      <c r="I23" s="806">
        <f>(G23-(G23*Varta!H$3))</f>
        <v>71728.562879999998</v>
      </c>
      <c r="J23" s="806">
        <f>(I23-(I23*Varta!I$3))</f>
        <v>69576.705993600001</v>
      </c>
      <c r="K23" s="806">
        <f t="shared" si="15"/>
        <v>3478.8352996800004</v>
      </c>
      <c r="L23" s="806">
        <f t="shared" si="28"/>
        <v>0</v>
      </c>
      <c r="M23" s="806">
        <f t="shared" si="29"/>
        <v>0</v>
      </c>
      <c r="N23" s="806">
        <f t="shared" si="30"/>
        <v>0</v>
      </c>
      <c r="O23" s="806">
        <f t="shared" si="19"/>
        <v>66097.870693920006</v>
      </c>
      <c r="P23" s="533">
        <f t="shared" si="20"/>
        <v>0.19125140384615391</v>
      </c>
      <c r="Q23" s="533">
        <f t="shared" si="21"/>
        <v>0.16054663459674998</v>
      </c>
      <c r="R23" s="921"/>
      <c r="S23" s="921"/>
      <c r="T23" s="579">
        <v>116599</v>
      </c>
      <c r="U23" s="831">
        <f t="shared" si="22"/>
        <v>116600</v>
      </c>
      <c r="V23" s="42">
        <f t="shared" si="23"/>
        <v>96363.636363636368</v>
      </c>
      <c r="W23" s="715">
        <f>((V23-(F23))/(F23))</f>
        <v>0.73671732376185817</v>
      </c>
      <c r="X23" s="716">
        <f>((V23-(F23))/V23)</f>
        <v>0.42420105660377361</v>
      </c>
      <c r="Y23" s="112"/>
    </row>
    <row r="24" spans="1:25" ht="15.6">
      <c r="A24" s="811" t="s">
        <v>388</v>
      </c>
      <c r="B24" s="811" t="s">
        <v>401</v>
      </c>
      <c r="C24" s="811" t="s">
        <v>402</v>
      </c>
      <c r="D24" s="535">
        <v>45</v>
      </c>
      <c r="E24" s="535">
        <f>(D24-(D24*E$3))</f>
        <v>36.936</v>
      </c>
      <c r="F24" s="535">
        <f t="shared" si="13"/>
        <v>48016.800000000003</v>
      </c>
      <c r="G24" s="805">
        <v>65339.783999999992</v>
      </c>
      <c r="H24" s="804">
        <f t="shared" si="14"/>
        <v>79061.13863999999</v>
      </c>
      <c r="I24" s="806">
        <f>(G24-(G24*Varta!H$3))</f>
        <v>62072.794799999989</v>
      </c>
      <c r="J24" s="806">
        <f>(I24-(I24*Varta!I$3))</f>
        <v>60210.61095599999</v>
      </c>
      <c r="K24" s="806">
        <f t="shared" si="15"/>
        <v>3010.5305477999996</v>
      </c>
      <c r="L24" s="806">
        <f t="shared" si="28"/>
        <v>0</v>
      </c>
      <c r="M24" s="806">
        <f t="shared" si="29"/>
        <v>0</v>
      </c>
      <c r="N24" s="806">
        <f t="shared" si="30"/>
        <v>0</v>
      </c>
      <c r="O24" s="806">
        <f t="shared" si="19"/>
        <v>57200.080408199989</v>
      </c>
      <c r="P24" s="533">
        <f t="shared" si="20"/>
        <v>0.19125140384615352</v>
      </c>
      <c r="Q24" s="533">
        <f t="shared" si="21"/>
        <v>0.1605466345967497</v>
      </c>
      <c r="R24" s="921"/>
      <c r="S24" s="921"/>
      <c r="T24" s="579">
        <v>97799</v>
      </c>
      <c r="U24" s="579">
        <f t="shared" si="22"/>
        <v>97800</v>
      </c>
      <c r="V24" s="42">
        <f t="shared" si="23"/>
        <v>80826.446280991731</v>
      </c>
      <c r="W24" s="715">
        <f>((V24-(F24))/(F24))</f>
        <v>0.68329514422018389</v>
      </c>
      <c r="X24" s="716">
        <f>((V24-(F24))/V24)</f>
        <v>0.4059271165644171</v>
      </c>
      <c r="Y24" s="921"/>
    </row>
    <row r="25" spans="1:25" ht="15.6">
      <c r="A25" s="811" t="s">
        <v>388</v>
      </c>
      <c r="B25" s="897" t="s">
        <v>403</v>
      </c>
      <c r="C25" s="803" t="s">
        <v>404</v>
      </c>
      <c r="D25" s="802">
        <v>92</v>
      </c>
      <c r="E25" s="804">
        <f>(D25-(D25*39.52%))</f>
        <v>55.641599999999997</v>
      </c>
      <c r="F25" s="802">
        <f t="shared" si="3"/>
        <v>72334.080000000002</v>
      </c>
      <c r="G25" s="805">
        <v>98429.990399999981</v>
      </c>
      <c r="H25" s="804">
        <f t="shared" si="4"/>
        <v>119100.28838399997</v>
      </c>
      <c r="I25" s="806">
        <f>(G25-(G25*Varta!H$3))</f>
        <v>93508.490879999983</v>
      </c>
      <c r="J25" s="806">
        <f>(I25-(I25*Varta!I$3))</f>
        <v>90703.236153599981</v>
      </c>
      <c r="K25" s="806">
        <f t="shared" si="5"/>
        <v>4535.1618076799996</v>
      </c>
      <c r="L25" s="806">
        <f t="shared" si="6"/>
        <v>0</v>
      </c>
      <c r="M25" s="806">
        <f t="shared" si="7"/>
        <v>0</v>
      </c>
      <c r="N25" s="806">
        <f t="shared" si="8"/>
        <v>0</v>
      </c>
      <c r="O25" s="806">
        <f t="shared" si="9"/>
        <v>86168.074345919988</v>
      </c>
      <c r="P25" s="533">
        <f t="shared" si="10"/>
        <v>0.19125140384615363</v>
      </c>
      <c r="Q25" s="533">
        <f t="shared" si="11"/>
        <v>0.16054663459674978</v>
      </c>
      <c r="R25" s="249"/>
      <c r="S25" s="112"/>
      <c r="T25" s="579">
        <v>205499</v>
      </c>
      <c r="U25" s="579">
        <f t="shared" si="0"/>
        <v>205500</v>
      </c>
      <c r="V25" s="824">
        <f t="shared" si="12"/>
        <v>169834.71074380167</v>
      </c>
      <c r="W25" s="190">
        <f t="shared" ref="W25:W30" si="31">(V25-F25)/F25</f>
        <v>1.347921073217516</v>
      </c>
      <c r="X25" s="191">
        <f t="shared" ref="X25:X30" si="32">(V25-F25)/V25</f>
        <v>0.57409130510948903</v>
      </c>
      <c r="Y25" s="921"/>
    </row>
    <row r="26" spans="1:25" ht="15.6">
      <c r="A26" s="811" t="s">
        <v>388</v>
      </c>
      <c r="B26" s="897" t="s">
        <v>405</v>
      </c>
      <c r="C26" s="803" t="s">
        <v>406</v>
      </c>
      <c r="D26" s="802">
        <v>110</v>
      </c>
      <c r="E26" s="804">
        <f t="shared" ref="E26:E72" si="33">(D26-(D26*E$3))</f>
        <v>90.287999999999997</v>
      </c>
      <c r="F26" s="802">
        <f t="shared" si="3"/>
        <v>117374.39999999999</v>
      </c>
      <c r="G26" s="805">
        <v>159719.47200000001</v>
      </c>
      <c r="H26" s="804">
        <f t="shared" si="4"/>
        <v>193260.56112</v>
      </c>
      <c r="I26" s="806">
        <f>(G26-(G26*Varta!H$3))</f>
        <v>151733.49840000001</v>
      </c>
      <c r="J26" s="806">
        <f>(I26-(I26*Varta!I$3))</f>
        <v>147181.49344800002</v>
      </c>
      <c r="K26" s="806">
        <f t="shared" si="5"/>
        <v>7359.0746724000019</v>
      </c>
      <c r="L26" s="806">
        <f t="shared" si="6"/>
        <v>0</v>
      </c>
      <c r="M26" s="806">
        <f t="shared" si="7"/>
        <v>0</v>
      </c>
      <c r="N26" s="806">
        <f t="shared" si="8"/>
        <v>0</v>
      </c>
      <c r="O26" s="806">
        <f t="shared" si="9"/>
        <v>139822.41877560003</v>
      </c>
      <c r="P26" s="533">
        <f t="shared" si="10"/>
        <v>0.19125140384615419</v>
      </c>
      <c r="Q26" s="533">
        <f t="shared" si="11"/>
        <v>0.16054663459675017</v>
      </c>
      <c r="R26" s="249"/>
      <c r="S26" s="112"/>
      <c r="T26" s="579">
        <v>247399</v>
      </c>
      <c r="U26" s="579">
        <f t="shared" si="0"/>
        <v>247400</v>
      </c>
      <c r="V26" s="824">
        <f t="shared" si="12"/>
        <v>204462.80991735536</v>
      </c>
      <c r="W26" s="190">
        <f t="shared" si="31"/>
        <v>0.74197107646433447</v>
      </c>
      <c r="X26" s="191">
        <f t="shared" si="32"/>
        <v>0.42593765561843172</v>
      </c>
      <c r="Y26" s="921"/>
    </row>
    <row r="27" spans="1:25" ht="15.6">
      <c r="A27" s="811" t="s">
        <v>388</v>
      </c>
      <c r="B27" s="897" t="s">
        <v>407</v>
      </c>
      <c r="C27" s="803" t="s">
        <v>408</v>
      </c>
      <c r="D27" s="802">
        <v>58</v>
      </c>
      <c r="E27" s="804">
        <f t="shared" si="33"/>
        <v>47.606400000000001</v>
      </c>
      <c r="F27" s="802">
        <f t="shared" si="3"/>
        <v>61888.32</v>
      </c>
      <c r="G27" s="805">
        <v>84215.72159999999</v>
      </c>
      <c r="H27" s="804">
        <f t="shared" si="4"/>
        <v>101901.02313599999</v>
      </c>
      <c r="I27" s="806">
        <f>(G27-(G27*Varta!H$3))</f>
        <v>80004.935519999985</v>
      </c>
      <c r="J27" s="806">
        <f>(I27-(I27*Varta!I$3))</f>
        <v>77604.787454399979</v>
      </c>
      <c r="K27" s="806">
        <f t="shared" si="5"/>
        <v>3880.2393727199992</v>
      </c>
      <c r="L27" s="806">
        <f t="shared" si="6"/>
        <v>0</v>
      </c>
      <c r="M27" s="806">
        <f t="shared" si="7"/>
        <v>0</v>
      </c>
      <c r="N27" s="806">
        <f t="shared" si="8"/>
        <v>0</v>
      </c>
      <c r="O27" s="806">
        <f t="shared" si="9"/>
        <v>73724.548081679983</v>
      </c>
      <c r="P27" s="533">
        <f t="shared" si="10"/>
        <v>0.19125140384615358</v>
      </c>
      <c r="Q27" s="533">
        <f t="shared" si="11"/>
        <v>0.16054663459674973</v>
      </c>
      <c r="R27" s="249"/>
      <c r="S27" s="112"/>
      <c r="T27" s="579">
        <v>130899</v>
      </c>
      <c r="U27" s="579">
        <f t="shared" si="0"/>
        <v>130900</v>
      </c>
      <c r="V27" s="824">
        <f t="shared" si="12"/>
        <v>108181.81818181819</v>
      </c>
      <c r="W27" s="190">
        <f t="shared" si="31"/>
        <v>0.74801672079349046</v>
      </c>
      <c r="X27" s="191">
        <f t="shared" si="32"/>
        <v>0.42792309243697485</v>
      </c>
      <c r="Y27" s="921"/>
    </row>
    <row r="28" spans="1:25" ht="15.6">
      <c r="A28" s="811" t="s">
        <v>388</v>
      </c>
      <c r="B28" s="803" t="s">
        <v>409</v>
      </c>
      <c r="C28" s="803" t="s">
        <v>410</v>
      </c>
      <c r="D28" s="802">
        <v>76</v>
      </c>
      <c r="E28" s="804">
        <f>(D28-(D28*20%))</f>
        <v>60.8</v>
      </c>
      <c r="F28" s="802">
        <f t="shared" si="3"/>
        <v>79040</v>
      </c>
      <c r="G28" s="805">
        <v>107555.2</v>
      </c>
      <c r="H28" s="804">
        <f t="shared" si="4"/>
        <v>130141.79199999999</v>
      </c>
      <c r="I28" s="806">
        <f>(G28-(G28*Varta!H$3))</f>
        <v>102177.44</v>
      </c>
      <c r="J28" s="806">
        <f>(I28-(I28*Varta!I$3))</f>
        <v>99112.116800000003</v>
      </c>
      <c r="K28" s="806">
        <f t="shared" si="5"/>
        <v>4955.6058400000002</v>
      </c>
      <c r="L28" s="806">
        <f t="shared" si="6"/>
        <v>0</v>
      </c>
      <c r="M28" s="806">
        <f t="shared" si="7"/>
        <v>0</v>
      </c>
      <c r="N28" s="806">
        <f t="shared" si="8"/>
        <v>0</v>
      </c>
      <c r="O28" s="806">
        <f t="shared" si="9"/>
        <v>94156.51096</v>
      </c>
      <c r="P28" s="533">
        <f t="shared" si="10"/>
        <v>0.19125140384615383</v>
      </c>
      <c r="Q28" s="533">
        <f t="shared" si="11"/>
        <v>0.16054663459674992</v>
      </c>
      <c r="R28" s="249"/>
      <c r="S28" s="112"/>
      <c r="T28" s="579">
        <v>170599</v>
      </c>
      <c r="U28" s="579">
        <f t="shared" si="0"/>
        <v>170600</v>
      </c>
      <c r="V28" s="824">
        <f t="shared" si="12"/>
        <v>140991.73553719008</v>
      </c>
      <c r="W28" s="190">
        <f t="shared" si="31"/>
        <v>0.78380232207983402</v>
      </c>
      <c r="X28" s="191">
        <f t="shared" si="32"/>
        <v>0.43939976553341148</v>
      </c>
      <c r="Y28" s="921"/>
    </row>
    <row r="29" spans="1:25" ht="15.6">
      <c r="A29" s="811" t="s">
        <v>388</v>
      </c>
      <c r="B29" s="803" t="s">
        <v>411</v>
      </c>
      <c r="C29" s="803" t="s">
        <v>412</v>
      </c>
      <c r="D29" s="802">
        <v>120</v>
      </c>
      <c r="E29" s="804">
        <f>(D29-(D29*20%))</f>
        <v>96</v>
      </c>
      <c r="F29" s="802">
        <f t="shared" si="3"/>
        <v>124800</v>
      </c>
      <c r="G29" s="805">
        <v>169824</v>
      </c>
      <c r="H29" s="804">
        <f t="shared" si="4"/>
        <v>205487.04</v>
      </c>
      <c r="I29" s="806">
        <f>(G29-(G29*Varta!H$3))</f>
        <v>161332.79999999999</v>
      </c>
      <c r="J29" s="806">
        <f>(I29-(I29*Varta!I$3))</f>
        <v>156492.81599999999</v>
      </c>
      <c r="K29" s="806">
        <f t="shared" si="5"/>
        <v>7824.6408000000001</v>
      </c>
      <c r="L29" s="806">
        <f t="shared" si="6"/>
        <v>0</v>
      </c>
      <c r="M29" s="806">
        <f t="shared" si="7"/>
        <v>0</v>
      </c>
      <c r="N29" s="806">
        <f t="shared" si="8"/>
        <v>0</v>
      </c>
      <c r="O29" s="806">
        <f t="shared" si="9"/>
        <v>148668.1752</v>
      </c>
      <c r="P29" s="533">
        <f t="shared" si="10"/>
        <v>0.19125140384615383</v>
      </c>
      <c r="Q29" s="533">
        <f t="shared" si="11"/>
        <v>0.16054663459674992</v>
      </c>
      <c r="R29" s="249"/>
      <c r="S29" s="112"/>
      <c r="T29" s="579">
        <v>266799</v>
      </c>
      <c r="U29" s="579">
        <f t="shared" si="0"/>
        <v>266800</v>
      </c>
      <c r="V29" s="824">
        <f t="shared" si="12"/>
        <v>220495.86776859505</v>
      </c>
      <c r="W29" s="190">
        <f t="shared" si="31"/>
        <v>0.76679381224835785</v>
      </c>
      <c r="X29" s="191">
        <f t="shared" si="32"/>
        <v>0.43400299850074964</v>
      </c>
      <c r="Y29" s="921"/>
    </row>
    <row r="30" spans="1:25" ht="15.6">
      <c r="A30" s="811" t="s">
        <v>388</v>
      </c>
      <c r="B30" s="897" t="s">
        <v>413</v>
      </c>
      <c r="C30" s="803" t="s">
        <v>414</v>
      </c>
      <c r="D30" s="802">
        <v>146</v>
      </c>
      <c r="E30" s="804">
        <f t="shared" si="33"/>
        <v>119.8368</v>
      </c>
      <c r="F30" s="802">
        <f t="shared" si="3"/>
        <v>155787.84</v>
      </c>
      <c r="G30" s="805">
        <v>211991.29920000001</v>
      </c>
      <c r="H30" s="804">
        <f t="shared" si="4"/>
        <v>256509.47203199999</v>
      </c>
      <c r="I30" s="806">
        <f>(G30-(G30*Varta!H$3))</f>
        <v>201391.73424000002</v>
      </c>
      <c r="J30" s="806">
        <f>(I30-(I30*Varta!I$3))</f>
        <v>195349.98221280001</v>
      </c>
      <c r="K30" s="806">
        <f t="shared" si="5"/>
        <v>9767.4991106400012</v>
      </c>
      <c r="L30" s="806">
        <f t="shared" si="6"/>
        <v>0</v>
      </c>
      <c r="M30" s="806">
        <f t="shared" si="7"/>
        <v>0</v>
      </c>
      <c r="N30" s="806">
        <f t="shared" si="8"/>
        <v>0</v>
      </c>
      <c r="O30" s="806">
        <f t="shared" si="9"/>
        <v>185582.48310216001</v>
      </c>
      <c r="P30" s="533">
        <f t="shared" si="10"/>
        <v>0.19125140384615394</v>
      </c>
      <c r="Q30" s="533">
        <f t="shared" si="11"/>
        <v>0.16054663459675</v>
      </c>
      <c r="R30" s="249"/>
      <c r="S30" s="112"/>
      <c r="T30" s="579">
        <v>295199</v>
      </c>
      <c r="U30" s="579">
        <f t="shared" si="0"/>
        <v>295200</v>
      </c>
      <c r="V30" s="824">
        <f t="shared" si="12"/>
        <v>243966.94214876034</v>
      </c>
      <c r="W30" s="190">
        <f t="shared" si="31"/>
        <v>0.56602044260168405</v>
      </c>
      <c r="X30" s="191">
        <f t="shared" si="32"/>
        <v>0.36143873170731711</v>
      </c>
      <c r="Y30" s="921"/>
    </row>
    <row r="31" spans="1:25" ht="15.6">
      <c r="A31" s="811" t="s">
        <v>388</v>
      </c>
      <c r="B31" s="811" t="s">
        <v>415</v>
      </c>
      <c r="C31" s="811" t="s">
        <v>416</v>
      </c>
      <c r="D31" s="535">
        <v>55</v>
      </c>
      <c r="E31" s="535">
        <f>(D31-(D31*E$3))</f>
        <v>45.143999999999998</v>
      </c>
      <c r="F31" s="535">
        <f>(E31*F$3)</f>
        <v>58687.199999999997</v>
      </c>
      <c r="G31" s="805">
        <v>79859.736000000004</v>
      </c>
      <c r="H31" s="804">
        <f>(G31*1.21)</f>
        <v>96630.280559999999</v>
      </c>
      <c r="I31" s="806">
        <f>(G31-(G31*Varta!H$3))</f>
        <v>75866.749200000006</v>
      </c>
      <c r="J31" s="806">
        <f>(I31-(I31*Varta!I$3))</f>
        <v>73590.746724000011</v>
      </c>
      <c r="K31" s="806">
        <f>(J31*K$3)</f>
        <v>3679.5373362000009</v>
      </c>
      <c r="L31" s="806">
        <f>(J31*L$3)</f>
        <v>0</v>
      </c>
      <c r="M31" s="806">
        <f>(J31*M$3)</f>
        <v>0</v>
      </c>
      <c r="N31" s="806">
        <f>(J31*N$3)</f>
        <v>0</v>
      </c>
      <c r="O31" s="806">
        <f>(J31-K31-L31-M31-N31)</f>
        <v>69911.209387800016</v>
      </c>
      <c r="P31" s="533">
        <f>(O31-F31)/F31</f>
        <v>0.19125140384615419</v>
      </c>
      <c r="Q31" s="533">
        <f>(O31-F31)/O31</f>
        <v>0.16054663459675017</v>
      </c>
      <c r="R31" s="921"/>
      <c r="S31" s="921"/>
      <c r="T31" s="579">
        <v>114199</v>
      </c>
      <c r="U31" s="579">
        <f>CEILING(T31,50)</f>
        <v>114200</v>
      </c>
      <c r="V31" s="42">
        <f>(U31/1.21)</f>
        <v>94380.165289256198</v>
      </c>
      <c r="W31" s="715">
        <f>((V31-(F31))/(F31))</f>
        <v>0.60818995094767181</v>
      </c>
      <c r="X31" s="716">
        <f>((V31-(F31))/V31)</f>
        <v>0.37818290718038533</v>
      </c>
      <c r="Y31" s="921"/>
    </row>
    <row r="32" spans="1:25" ht="15.6">
      <c r="A32" s="811" t="s">
        <v>388</v>
      </c>
      <c r="B32" s="811" t="s">
        <v>417</v>
      </c>
      <c r="C32" s="811" t="s">
        <v>418</v>
      </c>
      <c r="D32" s="535">
        <v>15</v>
      </c>
      <c r="E32" s="535">
        <f>(D32-(D32*20%))</f>
        <v>12</v>
      </c>
      <c r="F32" s="535">
        <f>(E32*F$3)</f>
        <v>15600</v>
      </c>
      <c r="G32" s="805">
        <v>21228</v>
      </c>
      <c r="H32" s="804">
        <f>(G32*1.21)</f>
        <v>25685.88</v>
      </c>
      <c r="I32" s="806">
        <f>(G32-(G32*Varta!H$3))</f>
        <v>20166.599999999999</v>
      </c>
      <c r="J32" s="806">
        <f>(I32-(I32*Varta!I$3))</f>
        <v>19561.601999999999</v>
      </c>
      <c r="K32" s="806">
        <f>(J32*K$3)</f>
        <v>978.08010000000002</v>
      </c>
      <c r="L32" s="806">
        <f>(J32*L$3)</f>
        <v>0</v>
      </c>
      <c r="M32" s="806">
        <f>(J32*M$3)</f>
        <v>0</v>
      </c>
      <c r="N32" s="806">
        <f>(J32*N$3)</f>
        <v>0</v>
      </c>
      <c r="O32" s="806">
        <f>(J32-K32-L32-M32-N32)</f>
        <v>18583.5219</v>
      </c>
      <c r="P32" s="533">
        <f>(O32-F32)/F32</f>
        <v>0.19125140384615383</v>
      </c>
      <c r="Q32" s="533">
        <f>(O32-F32)/O32</f>
        <v>0.16054663459674992</v>
      </c>
      <c r="R32" s="921"/>
      <c r="S32" s="921"/>
      <c r="T32" s="579">
        <v>36199</v>
      </c>
      <c r="U32" s="579">
        <f>CEILING(T32,50)</f>
        <v>36200</v>
      </c>
      <c r="V32" s="42">
        <f>(U32/1.21)</f>
        <v>29917.355371900827</v>
      </c>
      <c r="W32" s="715">
        <f>((V32-(F32))/(F32))</f>
        <v>0.91777919050646328</v>
      </c>
      <c r="X32" s="716">
        <f>((V32-(F32))/V32)</f>
        <v>0.47856353591160222</v>
      </c>
      <c r="Y32" s="921"/>
    </row>
    <row r="33" spans="1:25" ht="15.6">
      <c r="A33" s="811" t="s">
        <v>388</v>
      </c>
      <c r="B33" s="803" t="s">
        <v>419</v>
      </c>
      <c r="C33" s="803" t="s">
        <v>420</v>
      </c>
      <c r="D33" s="808">
        <v>22</v>
      </c>
      <c r="E33" s="804">
        <f>(D33-(D33*20%))</f>
        <v>17.600000000000001</v>
      </c>
      <c r="F33" s="802">
        <f>(E33*F$3)</f>
        <v>22880.000000000004</v>
      </c>
      <c r="G33" s="805">
        <v>31134.399999999998</v>
      </c>
      <c r="H33" s="804">
        <f t="shared" si="4"/>
        <v>37672.623999999996</v>
      </c>
      <c r="I33" s="806">
        <f>(G33-(G33*Varta!H$3))</f>
        <v>29577.679999999997</v>
      </c>
      <c r="J33" s="806">
        <f>(I33-(I33*Varta!I$3))</f>
        <v>28690.349599999998</v>
      </c>
      <c r="K33" s="806">
        <f t="shared" si="5"/>
        <v>1434.51748</v>
      </c>
      <c r="L33" s="806">
        <f t="shared" si="6"/>
        <v>0</v>
      </c>
      <c r="M33" s="806">
        <f t="shared" si="7"/>
        <v>0</v>
      </c>
      <c r="N33" s="806">
        <f t="shared" si="8"/>
        <v>0</v>
      </c>
      <c r="O33" s="806">
        <f t="shared" si="9"/>
        <v>27255.832119999999</v>
      </c>
      <c r="P33" s="533">
        <f t="shared" si="10"/>
        <v>0.19125140384615361</v>
      </c>
      <c r="Q33" s="533">
        <f t="shared" si="11"/>
        <v>0.16054663459674978</v>
      </c>
      <c r="R33" s="249"/>
      <c r="S33" s="112"/>
      <c r="T33" s="579">
        <v>52199</v>
      </c>
      <c r="U33" s="579">
        <f t="shared" si="0"/>
        <v>52200</v>
      </c>
      <c r="V33" s="824">
        <f t="shared" si="12"/>
        <v>43140.495867768594</v>
      </c>
      <c r="W33" s="199">
        <f>(V33-F33)/F33</f>
        <v>0.88551118303184384</v>
      </c>
      <c r="X33" s="191">
        <f>(V33-F33)/V33</f>
        <v>0.4696398467432949</v>
      </c>
      <c r="Y33" s="921"/>
    </row>
    <row r="34" spans="1:25" ht="15.6">
      <c r="A34" s="811" t="s">
        <v>388</v>
      </c>
      <c r="B34" s="803" t="s">
        <v>421</v>
      </c>
      <c r="C34" s="803" t="s">
        <v>422</v>
      </c>
      <c r="D34" s="808">
        <v>27</v>
      </c>
      <c r="E34" s="804">
        <f>(D34-(D34*20%))</f>
        <v>21.6</v>
      </c>
      <c r="F34" s="802">
        <f t="shared" si="3"/>
        <v>28080.000000000004</v>
      </c>
      <c r="G34" s="805">
        <v>38210.400000000001</v>
      </c>
      <c r="H34" s="804">
        <f t="shared" si="4"/>
        <v>46234.584000000003</v>
      </c>
      <c r="I34" s="806">
        <f>(G34-(G34*Varta!H$3))</f>
        <v>36299.880000000005</v>
      </c>
      <c r="J34" s="806">
        <f>(I34-(I34*Varta!I$3))</f>
        <v>35210.883600000001</v>
      </c>
      <c r="K34" s="806">
        <f t="shared" si="5"/>
        <v>1760.5441800000001</v>
      </c>
      <c r="L34" s="806">
        <f t="shared" si="6"/>
        <v>0</v>
      </c>
      <c r="M34" s="806">
        <f t="shared" si="7"/>
        <v>0</v>
      </c>
      <c r="N34" s="806">
        <f t="shared" si="8"/>
        <v>0</v>
      </c>
      <c r="O34" s="806">
        <f t="shared" si="9"/>
        <v>33450.339420000004</v>
      </c>
      <c r="P34" s="533">
        <f>(O34-F34)/F34</f>
        <v>0.19125140384615383</v>
      </c>
      <c r="Q34" s="533">
        <f>(O34-F34)/O34</f>
        <v>0.16054663459674992</v>
      </c>
      <c r="R34" s="249"/>
      <c r="S34" s="112"/>
      <c r="T34" s="579">
        <v>63099</v>
      </c>
      <c r="U34" s="579">
        <f t="shared" si="0"/>
        <v>63100</v>
      </c>
      <c r="V34" s="824">
        <f t="shared" si="12"/>
        <v>52148.760330578516</v>
      </c>
      <c r="W34" s="199">
        <f>(V34-F34)/F34</f>
        <v>0.85714958442231159</v>
      </c>
      <c r="X34" s="191">
        <f>(V34-F34)/V34</f>
        <v>0.46154041204437396</v>
      </c>
      <c r="Y34" s="921"/>
    </row>
    <row r="35" spans="1:25" ht="15.6">
      <c r="A35" s="811" t="s">
        <v>388</v>
      </c>
      <c r="B35" s="811" t="s">
        <v>423</v>
      </c>
      <c r="C35" s="811" t="s">
        <v>424</v>
      </c>
      <c r="D35" s="535">
        <v>10</v>
      </c>
      <c r="E35" s="804">
        <f>(D35-(D35*20%))</f>
        <v>8</v>
      </c>
      <c r="F35" s="802">
        <f t="shared" ref="F35:F45" si="34">(E35*F$3)</f>
        <v>10400</v>
      </c>
      <c r="G35" s="805">
        <v>14152</v>
      </c>
      <c r="H35" s="804">
        <f t="shared" ref="H35:H45" si="35">(G35*1.21)</f>
        <v>17123.919999999998</v>
      </c>
      <c r="I35" s="806">
        <f>(G35-(G35*Varta!H$3))</f>
        <v>13444.4</v>
      </c>
      <c r="J35" s="806">
        <f>(I35-(I35*Varta!I$3))</f>
        <v>13041.067999999999</v>
      </c>
      <c r="K35" s="806">
        <f t="shared" ref="K35:K45" si="36">(J35*K$3)</f>
        <v>652.05340000000001</v>
      </c>
      <c r="L35" s="806">
        <f t="shared" ref="L35:L45" si="37">(J35*L$3)</f>
        <v>0</v>
      </c>
      <c r="M35" s="806">
        <f t="shared" ref="M35:M45" si="38">(J35*M$3)</f>
        <v>0</v>
      </c>
      <c r="N35" s="806">
        <f t="shared" ref="N35:N45" si="39">(J35*N$3)</f>
        <v>0</v>
      </c>
      <c r="O35" s="806">
        <f t="shared" ref="O35:O45" si="40">(J35-K35-L35-M35-N35)</f>
        <v>12389.014599999999</v>
      </c>
      <c r="P35" s="533">
        <f t="shared" ref="P35:P45" si="41">(O35-F35)/F35</f>
        <v>0.19125140384615372</v>
      </c>
      <c r="Q35" s="533">
        <f t="shared" ref="Q35:Q45" si="42">(O35-F35)/O35</f>
        <v>0.16054663459674984</v>
      </c>
      <c r="R35" s="921"/>
      <c r="S35" s="921"/>
      <c r="T35" s="820">
        <v>24399</v>
      </c>
      <c r="U35" s="820">
        <f>CEILING(T35,50)</f>
        <v>24400</v>
      </c>
      <c r="V35" s="825">
        <f>(U35/1.21)</f>
        <v>20165.289256198346</v>
      </c>
      <c r="W35" s="629">
        <f>((V35-(F35+F36))/(F35+F36))</f>
        <v>0.62338422704981789</v>
      </c>
      <c r="X35" s="630">
        <f>((V35-(F35+F36))/V35)</f>
        <v>0.38400288524590159</v>
      </c>
      <c r="Y35" s="921"/>
    </row>
    <row r="36" spans="1:25" ht="15.6">
      <c r="A36" s="811" t="s">
        <v>388</v>
      </c>
      <c r="B36" s="811" t="s">
        <v>425</v>
      </c>
      <c r="C36" s="811" t="s">
        <v>426</v>
      </c>
      <c r="D36" s="535">
        <v>2</v>
      </c>
      <c r="E36" s="804">
        <f>(D36-(D36*22.24%))</f>
        <v>1.5552000000000001</v>
      </c>
      <c r="F36" s="802">
        <f t="shared" si="34"/>
        <v>2021.7600000000002</v>
      </c>
      <c r="G36" s="805">
        <v>2751.1488000000004</v>
      </c>
      <c r="H36" s="804">
        <f t="shared" si="35"/>
        <v>3328.8900480000002</v>
      </c>
      <c r="I36" s="806">
        <f>(G36-(G36*Varta!H$3))</f>
        <v>2613.5913600000003</v>
      </c>
      <c r="J36" s="806">
        <f>(I36-(I36*Varta!I$3))</f>
        <v>2535.1836192000005</v>
      </c>
      <c r="K36" s="806">
        <f t="shared" si="36"/>
        <v>126.75918096000004</v>
      </c>
      <c r="L36" s="806">
        <f t="shared" si="37"/>
        <v>0</v>
      </c>
      <c r="M36" s="806">
        <f t="shared" si="38"/>
        <v>0</v>
      </c>
      <c r="N36" s="806">
        <f t="shared" si="39"/>
        <v>0</v>
      </c>
      <c r="O36" s="806">
        <f t="shared" si="40"/>
        <v>2408.4244382400007</v>
      </c>
      <c r="P36" s="533">
        <f t="shared" si="41"/>
        <v>0.19125140384615405</v>
      </c>
      <c r="Q36" s="533">
        <f t="shared" si="42"/>
        <v>0.16054663459675006</v>
      </c>
      <c r="R36" s="921"/>
      <c r="S36" s="921"/>
      <c r="T36" s="820"/>
      <c r="U36" s="820"/>
      <c r="V36" s="825"/>
      <c r="W36" s="629"/>
      <c r="X36" s="630"/>
      <c r="Y36" s="921"/>
    </row>
    <row r="37" spans="1:25" ht="15.6">
      <c r="A37" s="811" t="s">
        <v>388</v>
      </c>
      <c r="B37" s="898" t="s">
        <v>427</v>
      </c>
      <c r="C37" s="811" t="s">
        <v>428</v>
      </c>
      <c r="D37" s="535">
        <v>12</v>
      </c>
      <c r="E37" s="535">
        <f t="shared" ref="E37:E45" si="43">(D37-(D37*E$3))</f>
        <v>9.8496000000000006</v>
      </c>
      <c r="F37" s="535">
        <f t="shared" si="34"/>
        <v>12804.480000000001</v>
      </c>
      <c r="G37" s="805">
        <v>17423.9424</v>
      </c>
      <c r="H37" s="804">
        <f t="shared" si="35"/>
        <v>21082.970303999999</v>
      </c>
      <c r="I37" s="806">
        <f>(G37-(G37*Varta!H$3))</f>
        <v>16552.745279999999</v>
      </c>
      <c r="J37" s="806">
        <f>(I37-(I37*Varta!I$3))</f>
        <v>16056.1629216</v>
      </c>
      <c r="K37" s="806">
        <f t="shared" si="36"/>
        <v>802.80814608000003</v>
      </c>
      <c r="L37" s="806">
        <f t="shared" si="37"/>
        <v>0</v>
      </c>
      <c r="M37" s="806">
        <f t="shared" si="38"/>
        <v>0</v>
      </c>
      <c r="N37" s="806">
        <f t="shared" si="39"/>
        <v>0</v>
      </c>
      <c r="O37" s="806">
        <f t="shared" si="40"/>
        <v>15253.35477552</v>
      </c>
      <c r="P37" s="533">
        <f t="shared" si="41"/>
        <v>0.19125140384615369</v>
      </c>
      <c r="Q37" s="533">
        <f t="shared" si="42"/>
        <v>0.16054663459674984</v>
      </c>
      <c r="R37" s="921"/>
      <c r="S37" s="921"/>
      <c r="T37" s="579">
        <v>28699</v>
      </c>
      <c r="U37" s="831">
        <f t="shared" ref="U37:U45" si="44">CEILING(T37,50)</f>
        <v>28700</v>
      </c>
      <c r="V37" s="42">
        <f t="shared" ref="V37:V45" si="45">(U37/1.21)</f>
        <v>23719.008264462809</v>
      </c>
      <c r="W37" s="715">
        <f>((V37-(F37))/(F37))</f>
        <v>0.85239918094782507</v>
      </c>
      <c r="X37" s="716">
        <f>((V37-(F37))/V37)</f>
        <v>0.46015955400696856</v>
      </c>
      <c r="Y37" s="112"/>
    </row>
    <row r="38" spans="1:25" ht="15.6">
      <c r="A38" s="811" t="s">
        <v>388</v>
      </c>
      <c r="B38" s="898" t="s">
        <v>429</v>
      </c>
      <c r="C38" s="811" t="s">
        <v>430</v>
      </c>
      <c r="D38" s="535">
        <v>14</v>
      </c>
      <c r="E38" s="804">
        <f t="shared" si="43"/>
        <v>11.491199999999999</v>
      </c>
      <c r="F38" s="802">
        <f t="shared" si="34"/>
        <v>14938.56</v>
      </c>
      <c r="G38" s="805">
        <v>20327.932799999999</v>
      </c>
      <c r="H38" s="804">
        <f t="shared" si="35"/>
        <v>24596.798687999999</v>
      </c>
      <c r="I38" s="806">
        <f>(G38-(G38*Varta!H$3))</f>
        <v>19311.53616</v>
      </c>
      <c r="J38" s="806">
        <f>(I38-(I38*Varta!I$3))</f>
        <v>18732.1900752</v>
      </c>
      <c r="K38" s="806">
        <f t="shared" si="36"/>
        <v>936.60950376000005</v>
      </c>
      <c r="L38" s="806">
        <f t="shared" si="37"/>
        <v>0</v>
      </c>
      <c r="M38" s="806">
        <f t="shared" si="38"/>
        <v>0</v>
      </c>
      <c r="N38" s="806">
        <f t="shared" si="39"/>
        <v>0</v>
      </c>
      <c r="O38" s="806">
        <f t="shared" si="40"/>
        <v>17795.580571440001</v>
      </c>
      <c r="P38" s="533">
        <f t="shared" si="41"/>
        <v>0.19125140384615397</v>
      </c>
      <c r="Q38" s="533">
        <f t="shared" si="42"/>
        <v>0.16054663459675</v>
      </c>
      <c r="R38" s="921"/>
      <c r="S38" s="921"/>
      <c r="T38" s="579">
        <v>34299</v>
      </c>
      <c r="U38" s="579">
        <f t="shared" si="44"/>
        <v>34300</v>
      </c>
      <c r="V38" s="824">
        <f t="shared" si="45"/>
        <v>28347.10743801653</v>
      </c>
      <c r="W38" s="190">
        <f>(V38-F38)/F38</f>
        <v>0.89757964877582119</v>
      </c>
      <c r="X38" s="191">
        <f>(V38-F38)/V38</f>
        <v>0.47301289795918372</v>
      </c>
      <c r="Y38" s="921"/>
    </row>
    <row r="39" spans="1:25" ht="15.6">
      <c r="A39" s="811" t="s">
        <v>388</v>
      </c>
      <c r="B39" s="898" t="s">
        <v>431</v>
      </c>
      <c r="C39" s="811" t="s">
        <v>432</v>
      </c>
      <c r="D39" s="535">
        <v>14</v>
      </c>
      <c r="E39" s="804">
        <f t="shared" si="43"/>
        <v>11.491199999999999</v>
      </c>
      <c r="F39" s="802">
        <f t="shared" si="34"/>
        <v>14938.56</v>
      </c>
      <c r="G39" s="805">
        <v>20327.932799999999</v>
      </c>
      <c r="H39" s="804">
        <f t="shared" si="35"/>
        <v>24596.798687999999</v>
      </c>
      <c r="I39" s="806">
        <f>(G39-(G39*Varta!H$3))</f>
        <v>19311.53616</v>
      </c>
      <c r="J39" s="806">
        <f>(I39-(I39*Varta!I$3))</f>
        <v>18732.1900752</v>
      </c>
      <c r="K39" s="806">
        <f t="shared" si="36"/>
        <v>936.60950376000005</v>
      </c>
      <c r="L39" s="806">
        <f t="shared" si="37"/>
        <v>0</v>
      </c>
      <c r="M39" s="806">
        <f t="shared" si="38"/>
        <v>0</v>
      </c>
      <c r="N39" s="806">
        <f t="shared" si="39"/>
        <v>0</v>
      </c>
      <c r="O39" s="806">
        <f t="shared" si="40"/>
        <v>17795.580571440001</v>
      </c>
      <c r="P39" s="533">
        <f t="shared" si="41"/>
        <v>0.19125140384615397</v>
      </c>
      <c r="Q39" s="533">
        <f t="shared" si="42"/>
        <v>0.16054663459675</v>
      </c>
      <c r="R39" s="921"/>
      <c r="S39" s="921"/>
      <c r="T39" s="579">
        <v>34299</v>
      </c>
      <c r="U39" s="579">
        <f t="shared" si="44"/>
        <v>34300</v>
      </c>
      <c r="V39" s="824">
        <f t="shared" si="45"/>
        <v>28347.10743801653</v>
      </c>
      <c r="W39" s="190">
        <f>(V39-F39)/F39</f>
        <v>0.89757964877582119</v>
      </c>
      <c r="X39" s="191">
        <f>(V39-F39)/V39</f>
        <v>0.47301289795918372</v>
      </c>
      <c r="Y39" s="921"/>
    </row>
    <row r="40" spans="1:25" ht="15.6">
      <c r="A40" s="811" t="s">
        <v>388</v>
      </c>
      <c r="B40" s="897" t="s">
        <v>433</v>
      </c>
      <c r="C40" s="803" t="s">
        <v>434</v>
      </c>
      <c r="D40" s="535">
        <v>10</v>
      </c>
      <c r="E40" s="804">
        <f>(D40-(D40*20%))</f>
        <v>8</v>
      </c>
      <c r="F40" s="802">
        <f t="shared" si="34"/>
        <v>10400</v>
      </c>
      <c r="G40" s="805">
        <v>14519.951999999999</v>
      </c>
      <c r="H40" s="804">
        <f t="shared" si="35"/>
        <v>17569.141919999998</v>
      </c>
      <c r="I40" s="806">
        <f>(G40-(G40*Varta!H$3))</f>
        <v>13793.954399999999</v>
      </c>
      <c r="J40" s="806">
        <f>(I40-(I40*Varta!I$3))</f>
        <v>13380.135767999998</v>
      </c>
      <c r="K40" s="806">
        <f t="shared" si="36"/>
        <v>669.0067884</v>
      </c>
      <c r="L40" s="806">
        <f t="shared" si="37"/>
        <v>0</v>
      </c>
      <c r="M40" s="806">
        <f t="shared" si="38"/>
        <v>0</v>
      </c>
      <c r="N40" s="806">
        <f t="shared" si="39"/>
        <v>0</v>
      </c>
      <c r="O40" s="806">
        <f t="shared" si="40"/>
        <v>12711.128979599998</v>
      </c>
      <c r="P40" s="533">
        <f t="shared" si="41"/>
        <v>0.22222394034615367</v>
      </c>
      <c r="Q40" s="533">
        <f t="shared" si="42"/>
        <v>0.18181933196564309</v>
      </c>
      <c r="R40" s="1"/>
      <c r="S40" s="1"/>
      <c r="T40" s="579">
        <v>24399</v>
      </c>
      <c r="U40" s="579">
        <f t="shared" si="44"/>
        <v>24400</v>
      </c>
      <c r="V40" s="826">
        <f t="shared" si="45"/>
        <v>20165.289256198346</v>
      </c>
      <c r="W40" s="199">
        <f>(V40-F40)/F40</f>
        <v>0.93897012078830255</v>
      </c>
      <c r="X40" s="191">
        <f>(V40-F40)/V40</f>
        <v>0.48426229508196716</v>
      </c>
      <c r="Y40" s="921"/>
    </row>
    <row r="41" spans="1:25" ht="15.6">
      <c r="A41" s="811" t="s">
        <v>388</v>
      </c>
      <c r="B41" s="898" t="s">
        <v>435</v>
      </c>
      <c r="C41" s="811" t="s">
        <v>436</v>
      </c>
      <c r="D41" s="535">
        <v>18</v>
      </c>
      <c r="E41" s="535">
        <f t="shared" si="43"/>
        <v>14.7744</v>
      </c>
      <c r="F41" s="535">
        <f t="shared" si="34"/>
        <v>19206.72</v>
      </c>
      <c r="G41" s="805">
        <v>26135.9136</v>
      </c>
      <c r="H41" s="804">
        <f t="shared" si="35"/>
        <v>31624.455456</v>
      </c>
      <c r="I41" s="806">
        <f>(G41-(G41*Varta!H$3))</f>
        <v>24829.117920000001</v>
      </c>
      <c r="J41" s="806">
        <f>(I41-(I41*Varta!I$3))</f>
        <v>24084.2443824</v>
      </c>
      <c r="K41" s="806">
        <f t="shared" si="36"/>
        <v>1204.2122191200001</v>
      </c>
      <c r="L41" s="806">
        <f t="shared" si="37"/>
        <v>0</v>
      </c>
      <c r="M41" s="806">
        <f t="shared" si="38"/>
        <v>0</v>
      </c>
      <c r="N41" s="806">
        <f t="shared" si="39"/>
        <v>0</v>
      </c>
      <c r="O41" s="806">
        <f t="shared" si="40"/>
        <v>22880.032163280001</v>
      </c>
      <c r="P41" s="533">
        <f t="shared" si="41"/>
        <v>0.1912514038461538</v>
      </c>
      <c r="Q41" s="533">
        <f t="shared" si="42"/>
        <v>0.16054663459674989</v>
      </c>
      <c r="R41" s="921"/>
      <c r="S41" s="921"/>
      <c r="T41" s="579">
        <v>42999</v>
      </c>
      <c r="U41" s="831">
        <f t="shared" si="44"/>
        <v>43000</v>
      </c>
      <c r="V41" s="42">
        <f t="shared" si="45"/>
        <v>35537.190082644629</v>
      </c>
      <c r="W41" s="715">
        <f>((V41-(F41))/(F41))</f>
        <v>0.850247730098873</v>
      </c>
      <c r="X41" s="716">
        <f>((V41-(F41))/V41)</f>
        <v>0.45953183255813951</v>
      </c>
      <c r="Y41" s="112"/>
    </row>
    <row r="42" spans="1:25" ht="15.6">
      <c r="A42" s="811" t="s">
        <v>388</v>
      </c>
      <c r="B42" s="897" t="s">
        <v>437</v>
      </c>
      <c r="C42" s="803" t="s">
        <v>438</v>
      </c>
      <c r="D42" s="802">
        <v>23</v>
      </c>
      <c r="E42" s="804">
        <f t="shared" si="43"/>
        <v>18.878399999999999</v>
      </c>
      <c r="F42" s="802">
        <f t="shared" si="34"/>
        <v>24541.919999999998</v>
      </c>
      <c r="G42" s="805">
        <v>33395.889599999995</v>
      </c>
      <c r="H42" s="804">
        <f t="shared" si="35"/>
        <v>40409.026415999993</v>
      </c>
      <c r="I42" s="806">
        <f>(G42-(G42*Varta!H$3))</f>
        <v>31726.095119999994</v>
      </c>
      <c r="J42" s="806">
        <f>(I42-(I42*Varta!I$3))</f>
        <v>30774.312266399993</v>
      </c>
      <c r="K42" s="806">
        <f t="shared" si="36"/>
        <v>1538.7156133199996</v>
      </c>
      <c r="L42" s="806">
        <f t="shared" si="37"/>
        <v>0</v>
      </c>
      <c r="M42" s="806">
        <f t="shared" si="38"/>
        <v>0</v>
      </c>
      <c r="N42" s="806">
        <f t="shared" si="39"/>
        <v>0</v>
      </c>
      <c r="O42" s="806">
        <f t="shared" si="40"/>
        <v>29235.596653079992</v>
      </c>
      <c r="P42" s="533">
        <f t="shared" si="41"/>
        <v>0.19125140384615363</v>
      </c>
      <c r="Q42" s="533">
        <f t="shared" si="42"/>
        <v>0.16054663459674978</v>
      </c>
      <c r="R42" s="249"/>
      <c r="S42" s="112"/>
      <c r="T42" s="579">
        <v>41199</v>
      </c>
      <c r="U42" s="579">
        <f t="shared" si="44"/>
        <v>41200</v>
      </c>
      <c r="V42" s="824">
        <f t="shared" si="45"/>
        <v>34049.586776859505</v>
      </c>
      <c r="W42" s="190">
        <f>(V42-F42)/F42</f>
        <v>0.38740517355037862</v>
      </c>
      <c r="X42" s="191">
        <f>(V42-F42)/V42</f>
        <v>0.27923001941747583</v>
      </c>
      <c r="Y42" s="921"/>
    </row>
    <row r="43" spans="1:25" ht="15.6">
      <c r="A43" s="811" t="s">
        <v>388</v>
      </c>
      <c r="B43" s="897" t="s">
        <v>439</v>
      </c>
      <c r="C43" s="803" t="s">
        <v>440</v>
      </c>
      <c r="D43" s="802">
        <v>140</v>
      </c>
      <c r="E43" s="804">
        <f t="shared" si="43"/>
        <v>114.91200000000001</v>
      </c>
      <c r="F43" s="802">
        <f t="shared" si="34"/>
        <v>149385.60000000001</v>
      </c>
      <c r="G43" s="805">
        <v>203279.32800000001</v>
      </c>
      <c r="H43" s="804">
        <f t="shared" si="35"/>
        <v>245967.98688000001</v>
      </c>
      <c r="I43" s="806">
        <f>(G43-(G43*Varta!H$3))</f>
        <v>193115.3616</v>
      </c>
      <c r="J43" s="806">
        <f>(I43-(I43*Varta!I$3))</f>
        <v>187321.90075200002</v>
      </c>
      <c r="K43" s="806">
        <f t="shared" si="36"/>
        <v>9366.0950376000019</v>
      </c>
      <c r="L43" s="806">
        <f t="shared" si="37"/>
        <v>0</v>
      </c>
      <c r="M43" s="806">
        <f t="shared" si="38"/>
        <v>0</v>
      </c>
      <c r="N43" s="806">
        <f t="shared" si="39"/>
        <v>0</v>
      </c>
      <c r="O43" s="806">
        <f t="shared" si="40"/>
        <v>177955.80571440002</v>
      </c>
      <c r="P43" s="533">
        <f t="shared" si="41"/>
        <v>0.19125140384615394</v>
      </c>
      <c r="Q43" s="533">
        <f t="shared" si="42"/>
        <v>0.16054663459674998</v>
      </c>
      <c r="R43" s="249"/>
      <c r="S43" s="112"/>
      <c r="T43" s="579">
        <v>315699</v>
      </c>
      <c r="U43" s="579">
        <f t="shared" si="44"/>
        <v>315700</v>
      </c>
      <c r="V43" s="824">
        <f t="shared" si="45"/>
        <v>260909.09090909091</v>
      </c>
      <c r="W43" s="190">
        <f>(V43-F43)/F43</f>
        <v>0.74654779917937808</v>
      </c>
      <c r="X43" s="191">
        <f>(V43-F43)/V43</f>
        <v>0.42744195121951217</v>
      </c>
      <c r="Y43" s="921"/>
    </row>
    <row r="44" spans="1:25" ht="15.6">
      <c r="A44" s="811" t="s">
        <v>388</v>
      </c>
      <c r="B44" s="898" t="s">
        <v>441</v>
      </c>
      <c r="C44" s="811" t="s">
        <v>442</v>
      </c>
      <c r="D44" s="535">
        <v>230</v>
      </c>
      <c r="E44" s="804">
        <f>(D44-(D44*26.56%))</f>
        <v>168.91200000000001</v>
      </c>
      <c r="F44" s="802">
        <f t="shared" si="34"/>
        <v>219585.6</v>
      </c>
      <c r="G44" s="805">
        <v>333958.89599999995</v>
      </c>
      <c r="H44" s="804">
        <f t="shared" si="35"/>
        <v>404090.2641599999</v>
      </c>
      <c r="I44" s="806">
        <f>(G44-(G44*Varta!H$3))</f>
        <v>317260.95119999995</v>
      </c>
      <c r="J44" s="806">
        <f>(I44-(I44*Varta!I$3))</f>
        <v>307743.12266399997</v>
      </c>
      <c r="K44" s="806">
        <f t="shared" si="36"/>
        <v>15387.156133199998</v>
      </c>
      <c r="L44" s="806">
        <f t="shared" si="37"/>
        <v>0</v>
      </c>
      <c r="M44" s="806">
        <f t="shared" si="38"/>
        <v>0</v>
      </c>
      <c r="N44" s="806">
        <f t="shared" si="39"/>
        <v>0</v>
      </c>
      <c r="O44" s="806">
        <f t="shared" si="40"/>
        <v>292355.96653079998</v>
      </c>
      <c r="P44" s="533">
        <f t="shared" si="41"/>
        <v>0.33139862782805418</v>
      </c>
      <c r="Q44" s="533">
        <f t="shared" si="42"/>
        <v>0.24891014674446041</v>
      </c>
      <c r="R44" s="921"/>
      <c r="S44" s="921"/>
      <c r="T44" s="579">
        <v>460740</v>
      </c>
      <c r="U44" s="579">
        <f t="shared" si="44"/>
        <v>460750</v>
      </c>
      <c r="V44" s="826">
        <f t="shared" si="45"/>
        <v>380785.12396694213</v>
      </c>
      <c r="W44" s="199">
        <f>(V44-F44)/F44</f>
        <v>0.7341079012783267</v>
      </c>
      <c r="X44" s="191">
        <f>(V44-F44)/V44</f>
        <v>0.42333461530113942</v>
      </c>
      <c r="Y44" s="921"/>
    </row>
    <row r="45" spans="1:25" ht="15.6">
      <c r="A45" s="811" t="s">
        <v>388</v>
      </c>
      <c r="B45" s="898" t="s">
        <v>443</v>
      </c>
      <c r="C45" s="811" t="s">
        <v>444</v>
      </c>
      <c r="D45" s="535">
        <v>60</v>
      </c>
      <c r="E45" s="535">
        <f t="shared" si="43"/>
        <v>49.247999999999998</v>
      </c>
      <c r="F45" s="535">
        <f t="shared" si="34"/>
        <v>64022.399999999994</v>
      </c>
      <c r="G45" s="805">
        <v>87119.712</v>
      </c>
      <c r="H45" s="804">
        <f t="shared" si="35"/>
        <v>105414.85152</v>
      </c>
      <c r="I45" s="806">
        <f>(G45-(G45*Varta!H$3))</f>
        <v>82763.7264</v>
      </c>
      <c r="J45" s="806">
        <f>(I45-(I45*Varta!I$3))</f>
        <v>80280.814608000001</v>
      </c>
      <c r="K45" s="806">
        <f t="shared" si="36"/>
        <v>4014.0407304</v>
      </c>
      <c r="L45" s="806">
        <f t="shared" si="37"/>
        <v>0</v>
      </c>
      <c r="M45" s="806">
        <f t="shared" si="38"/>
        <v>0</v>
      </c>
      <c r="N45" s="806">
        <f t="shared" si="39"/>
        <v>0</v>
      </c>
      <c r="O45" s="806">
        <f t="shared" si="40"/>
        <v>76266.773877600004</v>
      </c>
      <c r="P45" s="533">
        <f t="shared" si="41"/>
        <v>0.19125140384615402</v>
      </c>
      <c r="Q45" s="533">
        <f t="shared" si="42"/>
        <v>0.16054663459675006</v>
      </c>
      <c r="R45" s="921"/>
      <c r="S45" s="921"/>
      <c r="T45" s="579">
        <v>138099</v>
      </c>
      <c r="U45" s="579">
        <f t="shared" si="44"/>
        <v>138100</v>
      </c>
      <c r="V45" s="42">
        <f t="shared" si="45"/>
        <v>114132.23140495869</v>
      </c>
      <c r="W45" s="715">
        <f>((V45-(F45))/(F45))</f>
        <v>0.782692173441775</v>
      </c>
      <c r="X45" s="716">
        <f>((V45-(F45))/V45)</f>
        <v>0.43905065894279516</v>
      </c>
      <c r="Y45" s="921"/>
    </row>
    <row r="46" spans="1:25" ht="15.6">
      <c r="A46" s="811" t="s">
        <v>388</v>
      </c>
      <c r="B46" s="897" t="s">
        <v>445</v>
      </c>
      <c r="C46" s="803" t="s">
        <v>446</v>
      </c>
      <c r="D46" s="802">
        <v>84</v>
      </c>
      <c r="E46" s="804">
        <f t="shared" si="33"/>
        <v>68.947199999999995</v>
      </c>
      <c r="F46" s="802">
        <f t="shared" si="3"/>
        <v>89631.360000000001</v>
      </c>
      <c r="G46" s="805">
        <v>121967.59679999998</v>
      </c>
      <c r="H46" s="804">
        <f t="shared" si="4"/>
        <v>147580.79212799997</v>
      </c>
      <c r="I46" s="806">
        <f>(G46-(G46*Varta!H$3))</f>
        <v>115869.21695999999</v>
      </c>
      <c r="J46" s="806">
        <f>(I46-(I46*Varta!I$3))</f>
        <v>112393.14045119999</v>
      </c>
      <c r="K46" s="806">
        <f t="shared" si="5"/>
        <v>5619.6570225599999</v>
      </c>
      <c r="L46" s="806">
        <f t="shared" si="6"/>
        <v>0</v>
      </c>
      <c r="M46" s="806">
        <f t="shared" si="7"/>
        <v>0</v>
      </c>
      <c r="N46" s="806">
        <f t="shared" si="8"/>
        <v>0</v>
      </c>
      <c r="O46" s="806">
        <f t="shared" si="9"/>
        <v>106773.48342863999</v>
      </c>
      <c r="P46" s="533">
        <f t="shared" si="10"/>
        <v>0.19125140384615369</v>
      </c>
      <c r="Q46" s="533">
        <f t="shared" si="11"/>
        <v>0.16054663459674981</v>
      </c>
      <c r="R46" s="249"/>
      <c r="S46" s="112"/>
      <c r="T46" s="579">
        <v>173599</v>
      </c>
      <c r="U46" s="579">
        <f t="shared" si="0"/>
        <v>173600</v>
      </c>
      <c r="V46" s="824">
        <f t="shared" si="12"/>
        <v>143471.07438016529</v>
      </c>
      <c r="W46" s="190">
        <f>(V46-F46)/F46</f>
        <v>0.60067943162042037</v>
      </c>
      <c r="X46" s="191">
        <f>(V46-F46)/V46</f>
        <v>0.3752652903225806</v>
      </c>
      <c r="Y46" s="921"/>
    </row>
    <row r="47" spans="1:25" ht="15.6">
      <c r="A47" s="811" t="s">
        <v>388</v>
      </c>
      <c r="B47" s="897" t="s">
        <v>447</v>
      </c>
      <c r="C47" s="803"/>
      <c r="D47" s="802">
        <v>105</v>
      </c>
      <c r="E47" s="804">
        <f t="shared" si="33"/>
        <v>86.183999999999997</v>
      </c>
      <c r="F47" s="802">
        <f t="shared" si="3"/>
        <v>112039.2</v>
      </c>
      <c r="G47" s="805">
        <v>152459.49599999998</v>
      </c>
      <c r="H47" s="804">
        <f t="shared" si="4"/>
        <v>184475.99015999999</v>
      </c>
      <c r="I47" s="806">
        <f>(G47-(G47*Varta!H$3))</f>
        <v>144836.52119999999</v>
      </c>
      <c r="J47" s="806">
        <f>(I47-(I47*Varta!I$3))</f>
        <v>140491.42556399998</v>
      </c>
      <c r="K47" s="806">
        <f t="shared" si="5"/>
        <v>7024.5712781999991</v>
      </c>
      <c r="L47" s="806">
        <f t="shared" si="6"/>
        <v>0</v>
      </c>
      <c r="M47" s="806">
        <f t="shared" si="7"/>
        <v>0</v>
      </c>
      <c r="N47" s="806">
        <f t="shared" si="8"/>
        <v>0</v>
      </c>
      <c r="O47" s="806">
        <f t="shared" si="9"/>
        <v>133466.85428579999</v>
      </c>
      <c r="P47" s="533">
        <f t="shared" si="10"/>
        <v>0.19125140384615374</v>
      </c>
      <c r="Q47" s="533">
        <f t="shared" si="11"/>
        <v>0.16054663459674987</v>
      </c>
      <c r="R47" s="249"/>
      <c r="S47" s="112"/>
      <c r="T47" s="579">
        <f>(F47+(F47*0.8))</f>
        <v>201670.56</v>
      </c>
      <c r="U47" s="579">
        <f t="shared" si="0"/>
        <v>201700</v>
      </c>
      <c r="V47" s="824">
        <f t="shared" si="12"/>
        <v>166694.21487603307</v>
      </c>
      <c r="W47" s="190">
        <f>(V47-F47)/F47</f>
        <v>0.48782046708681498</v>
      </c>
      <c r="X47" s="191">
        <f>(V47-F47)/V47</f>
        <v>0.32787589489340613</v>
      </c>
      <c r="Y47" s="921"/>
    </row>
    <row r="48" spans="1:25" ht="15.6">
      <c r="A48" s="811" t="s">
        <v>388</v>
      </c>
      <c r="B48" s="898" t="s">
        <v>448</v>
      </c>
      <c r="C48" s="811" t="s">
        <v>449</v>
      </c>
      <c r="D48" s="535">
        <v>84</v>
      </c>
      <c r="E48" s="535">
        <f>(D48-(D48*E$3))</f>
        <v>68.947199999999995</v>
      </c>
      <c r="F48" s="535">
        <f>(E48*F$3)</f>
        <v>89631.360000000001</v>
      </c>
      <c r="G48" s="805">
        <v>121967.59679999998</v>
      </c>
      <c r="H48" s="804">
        <f>(G48*1.21)</f>
        <v>147580.79212799997</v>
      </c>
      <c r="I48" s="806">
        <f>(G48-(G48*Varta!H$3))</f>
        <v>115869.21695999999</v>
      </c>
      <c r="J48" s="806">
        <f>(I48-(I48*Varta!I$3))</f>
        <v>112393.14045119999</v>
      </c>
      <c r="K48" s="806">
        <f>(J48*K$3)</f>
        <v>5619.6570225599999</v>
      </c>
      <c r="L48" s="806">
        <f>(J48*L$3)</f>
        <v>0</v>
      </c>
      <c r="M48" s="806">
        <f>(J48*M$3)</f>
        <v>0</v>
      </c>
      <c r="N48" s="806">
        <f>(J48*N$3)</f>
        <v>0</v>
      </c>
      <c r="O48" s="806">
        <f>(J48-K48-L48-M48-N48)</f>
        <v>106773.48342863999</v>
      </c>
      <c r="P48" s="533">
        <f>(O48-F48)/F48</f>
        <v>0.19125140384615369</v>
      </c>
      <c r="Q48" s="533">
        <f>(O48-F48)/O48</f>
        <v>0.16054663459674981</v>
      </c>
      <c r="R48" s="921"/>
      <c r="S48" s="921"/>
      <c r="T48" s="579">
        <v>173599</v>
      </c>
      <c r="U48" s="579">
        <f>CEILING(T48,50)</f>
        <v>173600</v>
      </c>
      <c r="V48" s="42">
        <f>(U48/1.21)</f>
        <v>143471.07438016529</v>
      </c>
      <c r="W48" s="715">
        <f>((V48-(F48))/(F48))</f>
        <v>0.60067943162042037</v>
      </c>
      <c r="X48" s="716">
        <f>((V48-(F48))/V48)</f>
        <v>0.3752652903225806</v>
      </c>
      <c r="Y48" s="921"/>
    </row>
    <row r="49" spans="1:25" ht="15.6">
      <c r="A49" s="811" t="s">
        <v>388</v>
      </c>
      <c r="B49" s="898" t="s">
        <v>450</v>
      </c>
      <c r="C49" s="811" t="s">
        <v>451</v>
      </c>
      <c r="D49" s="535">
        <v>115</v>
      </c>
      <c r="E49" s="535">
        <f t="shared" ref="E49" si="46">(D49-(D49*E$3))</f>
        <v>94.391999999999996</v>
      </c>
      <c r="F49" s="535">
        <f t="shared" ref="F49" si="47">(E49*F$3)</f>
        <v>122709.59999999999</v>
      </c>
      <c r="G49" s="805">
        <v>166979.44799999997</v>
      </c>
      <c r="H49" s="804">
        <f t="shared" ref="H49" si="48">(G49*1.21)</f>
        <v>202045.13207999995</v>
      </c>
      <c r="I49" s="806">
        <f>(G49-(G49*Varta!H$3))</f>
        <v>158630.47559999998</v>
      </c>
      <c r="J49" s="806">
        <f>(I49-(I49*Varta!I$3))</f>
        <v>153871.56133199998</v>
      </c>
      <c r="K49" s="806">
        <f t="shared" ref="K49" si="49">(J49*K$3)</f>
        <v>7693.5780665999991</v>
      </c>
      <c r="L49" s="806">
        <f t="shared" ref="L49" si="50">(J49*L$3)</f>
        <v>0</v>
      </c>
      <c r="M49" s="806">
        <f t="shared" ref="M49" si="51">(J49*M$3)</f>
        <v>0</v>
      </c>
      <c r="N49" s="806">
        <f t="shared" ref="N49" si="52">(J49*N$3)</f>
        <v>0</v>
      </c>
      <c r="O49" s="806">
        <f t="shared" ref="O49" si="53">(J49-K49-L49-M49-N49)</f>
        <v>146177.98326539999</v>
      </c>
      <c r="P49" s="533">
        <f t="shared" ref="P49" si="54">(O49-F49)/F49</f>
        <v>0.19125140384615386</v>
      </c>
      <c r="Q49" s="533">
        <f t="shared" ref="Q49" si="55">(O49-F49)/O49</f>
        <v>0.16054663459674995</v>
      </c>
      <c r="R49" s="921"/>
      <c r="S49" s="921"/>
      <c r="T49" s="579">
        <v>225499</v>
      </c>
      <c r="U49" s="579">
        <f t="shared" ref="U49" si="56">CEILING(T49,50)</f>
        <v>225500</v>
      </c>
      <c r="V49" s="42">
        <f t="shared" ref="V49" si="57">(U49/1.21)</f>
        <v>186363.63636363638</v>
      </c>
      <c r="W49" s="715">
        <f>((V49-(F49))/(F49))</f>
        <v>0.51873721667772033</v>
      </c>
      <c r="X49" s="716">
        <f>((V49-(F49))/V49)</f>
        <v>0.34155824390243916</v>
      </c>
      <c r="Y49" s="921"/>
    </row>
    <row r="50" spans="1:25" ht="15.6">
      <c r="A50" s="811" t="s">
        <v>388</v>
      </c>
      <c r="B50" s="803" t="s">
        <v>452</v>
      </c>
      <c r="C50" s="803" t="s">
        <v>453</v>
      </c>
      <c r="D50" s="535">
        <v>67</v>
      </c>
      <c r="E50" s="804">
        <f>(D50-(D50*25%))</f>
        <v>50.25</v>
      </c>
      <c r="F50" s="802">
        <f>(E50*F$3)</f>
        <v>65325</v>
      </c>
      <c r="G50" s="805">
        <v>87565.5</v>
      </c>
      <c r="H50" s="804">
        <f>(G50*1.21)</f>
        <v>105954.25499999999</v>
      </c>
      <c r="I50" s="806">
        <f>(G50-(G50*Varta!H$3))</f>
        <v>83187.225000000006</v>
      </c>
      <c r="J50" s="806">
        <f>(I50-(I50*Varta!I$3))</f>
        <v>80691.608250000005</v>
      </c>
      <c r="K50" s="806">
        <f>(J50*K$3)</f>
        <v>4034.5804125000004</v>
      </c>
      <c r="L50" s="806">
        <f>(J50*L$3)</f>
        <v>0</v>
      </c>
      <c r="M50" s="806">
        <f>(J50*M$3)</f>
        <v>0</v>
      </c>
      <c r="N50" s="806">
        <f>(J50*N$3)</f>
        <v>0</v>
      </c>
      <c r="O50" s="806">
        <f>(J50-K50-L50-M50-N50)</f>
        <v>76657.027837500005</v>
      </c>
      <c r="P50" s="533">
        <f>(O50-F50)/F50</f>
        <v>0.1734715321469576</v>
      </c>
      <c r="Q50" s="533">
        <f>(O50-F50)/O50</f>
        <v>0.14782764421185227</v>
      </c>
      <c r="R50" s="249"/>
      <c r="S50" s="112"/>
      <c r="T50" s="579">
        <f>(F50+(F50*0.8))</f>
        <v>117585</v>
      </c>
      <c r="U50" s="579">
        <f>CEILING(T50,50)</f>
        <v>117600</v>
      </c>
      <c r="V50" s="824">
        <f>(U50/1.21)</f>
        <v>97190.082644628099</v>
      </c>
      <c r="W50" s="199">
        <f>(V50-F50)/F50</f>
        <v>0.48779307531003596</v>
      </c>
      <c r="X50" s="191">
        <f>(V50-F50)/V50</f>
        <v>0.32786352040816324</v>
      </c>
      <c r="Y50" s="921"/>
    </row>
    <row r="51" spans="1:25" ht="15.6">
      <c r="A51" s="811" t="s">
        <v>388</v>
      </c>
      <c r="B51" s="811" t="s">
        <v>454</v>
      </c>
      <c r="C51" s="803" t="s">
        <v>453</v>
      </c>
      <c r="D51" s="535">
        <v>4.47</v>
      </c>
      <c r="E51" s="535">
        <f>(D51-(D51*25%))</f>
        <v>3.3525</v>
      </c>
      <c r="F51" s="535">
        <f>(E51*F$3)</f>
        <v>4358.25</v>
      </c>
      <c r="G51" s="805">
        <v>5837.7000000000007</v>
      </c>
      <c r="H51" s="804">
        <f>(G51*1.21)</f>
        <v>7063.6170000000011</v>
      </c>
      <c r="I51" s="806">
        <f>(G51-(G51*Varta!H$3))</f>
        <v>5545.8150000000005</v>
      </c>
      <c r="J51" s="806">
        <f>(I51-(I51*Varta!I$3))</f>
        <v>5379.4405500000003</v>
      </c>
      <c r="K51" s="806">
        <f>(J51*K$3)</f>
        <v>268.97202750000002</v>
      </c>
      <c r="L51" s="806">
        <f>(J51*L$3)</f>
        <v>0</v>
      </c>
      <c r="M51" s="806">
        <f>(J51*M$3)</f>
        <v>0</v>
      </c>
      <c r="N51" s="806">
        <f>(J51*N$3)</f>
        <v>0</v>
      </c>
      <c r="O51" s="806">
        <f>(J51-K51-L51-M51-N51)</f>
        <v>5110.4685225000003</v>
      </c>
      <c r="P51" s="533">
        <f>(O51-F51)/F51</f>
        <v>0.17259646016176225</v>
      </c>
      <c r="Q51" s="533">
        <f>(O51-F51)/O51</f>
        <v>0.14719169469260737</v>
      </c>
      <c r="R51" s="921"/>
      <c r="S51" s="921"/>
      <c r="T51" s="579">
        <v>8900</v>
      </c>
      <c r="U51" s="579">
        <f>CEILING(T51,50)</f>
        <v>8900</v>
      </c>
      <c r="V51" s="42">
        <f>(U51/1.21)</f>
        <v>7355.3719008264461</v>
      </c>
      <c r="W51" s="715">
        <f>((V51-(F51))/(F51))</f>
        <v>0.68768930208832579</v>
      </c>
      <c r="X51" s="716">
        <f>((V51-(F51))/V51)</f>
        <v>0.4074738764044944</v>
      </c>
      <c r="Y51" s="921"/>
    </row>
    <row r="52" spans="1:25" ht="15.6">
      <c r="A52" s="811" t="s">
        <v>388</v>
      </c>
      <c r="B52" s="897" t="s">
        <v>455</v>
      </c>
      <c r="C52" s="803" t="s">
        <v>456</v>
      </c>
      <c r="D52" s="535">
        <v>79</v>
      </c>
      <c r="E52" s="804">
        <f t="shared" si="33"/>
        <v>64.843199999999996</v>
      </c>
      <c r="F52" s="802">
        <f t="shared" si="3"/>
        <v>84296.159999999989</v>
      </c>
      <c r="G52" s="805">
        <v>114707.62079999999</v>
      </c>
      <c r="H52" s="804">
        <f t="shared" si="4"/>
        <v>138796.22116799999</v>
      </c>
      <c r="I52" s="806">
        <f>(G52-(G52*Varta!H$3))</f>
        <v>108972.23976</v>
      </c>
      <c r="J52" s="806">
        <f>(I52-(I52*Varta!I$3))</f>
        <v>105703.0725672</v>
      </c>
      <c r="K52" s="806">
        <f t="shared" si="5"/>
        <v>5285.1536283599999</v>
      </c>
      <c r="L52" s="806">
        <f t="shared" si="6"/>
        <v>0</v>
      </c>
      <c r="M52" s="806">
        <f t="shared" si="7"/>
        <v>0</v>
      </c>
      <c r="N52" s="806">
        <f t="shared" si="8"/>
        <v>0</v>
      </c>
      <c r="O52" s="806">
        <f>(J52-K52-L52-M52-N52)</f>
        <v>100417.91893884</v>
      </c>
      <c r="P52" s="533">
        <f t="shared" si="10"/>
        <v>0.19125140384615397</v>
      </c>
      <c r="Q52" s="533">
        <f t="shared" si="11"/>
        <v>0.16054663459675</v>
      </c>
      <c r="R52" s="249"/>
      <c r="S52" s="112"/>
      <c r="T52" s="579">
        <v>164699</v>
      </c>
      <c r="U52" s="579">
        <f t="shared" si="0"/>
        <v>164700</v>
      </c>
      <c r="V52" s="824">
        <f t="shared" si="12"/>
        <v>136115.70247933886</v>
      </c>
      <c r="W52" s="199">
        <f>(V52-F52)/F52</f>
        <v>0.61473194602623504</v>
      </c>
      <c r="X52" s="191">
        <f>(V52-F52)/V52</f>
        <v>0.38070216393442635</v>
      </c>
      <c r="Y52" s="921"/>
    </row>
    <row r="53" spans="1:25" ht="15.6">
      <c r="A53" s="811" t="s">
        <v>388</v>
      </c>
      <c r="B53" s="897" t="s">
        <v>457</v>
      </c>
      <c r="C53" s="803" t="s">
        <v>458</v>
      </c>
      <c r="D53" s="808">
        <v>82</v>
      </c>
      <c r="E53" s="804">
        <f t="shared" si="33"/>
        <v>67.305599999999998</v>
      </c>
      <c r="F53" s="802">
        <f t="shared" si="3"/>
        <v>87497.279999999999</v>
      </c>
      <c r="G53" s="805">
        <v>119063.60639999999</v>
      </c>
      <c r="H53" s="804">
        <f t="shared" si="4"/>
        <v>144066.96374399998</v>
      </c>
      <c r="I53" s="806">
        <f>(G53-(G53*Varta!H$3))</f>
        <v>113110.42607999999</v>
      </c>
      <c r="J53" s="806">
        <f>(I53-(I53*Varta!I$3))</f>
        <v>109717.11329759999</v>
      </c>
      <c r="K53" s="806">
        <f t="shared" si="5"/>
        <v>5485.8556648800004</v>
      </c>
      <c r="L53" s="806">
        <f t="shared" si="6"/>
        <v>0</v>
      </c>
      <c r="M53" s="806">
        <f t="shared" si="7"/>
        <v>0</v>
      </c>
      <c r="N53" s="806">
        <f t="shared" si="8"/>
        <v>0</v>
      </c>
      <c r="O53" s="806">
        <f t="shared" si="9"/>
        <v>104231.25763271999</v>
      </c>
      <c r="P53" s="533">
        <f t="shared" si="10"/>
        <v>0.19125140384615377</v>
      </c>
      <c r="Q53" s="533">
        <f t="shared" si="11"/>
        <v>0.16054663459674989</v>
      </c>
      <c r="R53" s="249"/>
      <c r="S53" s="112"/>
      <c r="T53" s="579">
        <v>169599</v>
      </c>
      <c r="U53" s="579">
        <f t="shared" si="0"/>
        <v>169600</v>
      </c>
      <c r="V53" s="824">
        <f t="shared" si="12"/>
        <v>140165.28925619836</v>
      </c>
      <c r="W53" s="199">
        <f>(V53-F53)/F53</f>
        <v>0.60193881748322187</v>
      </c>
      <c r="X53" s="191">
        <f>(V53-F53)/V53</f>
        <v>0.37575643396226421</v>
      </c>
      <c r="Y53" s="921"/>
    </row>
    <row r="54" spans="1:25" ht="15.6">
      <c r="A54" s="811" t="s">
        <v>388</v>
      </c>
      <c r="B54" s="898" t="s">
        <v>459</v>
      </c>
      <c r="C54" s="811" t="s">
        <v>460</v>
      </c>
      <c r="D54" s="535">
        <v>35</v>
      </c>
      <c r="E54" s="804">
        <f>(D54-(D54*E$3))</f>
        <v>28.728000000000002</v>
      </c>
      <c r="F54" s="802">
        <f>(E54*F$3)</f>
        <v>37346.400000000001</v>
      </c>
      <c r="G54" s="805">
        <v>50819.832000000002</v>
      </c>
      <c r="H54" s="804">
        <f>(G54*1.21)</f>
        <v>61491.996720000003</v>
      </c>
      <c r="I54" s="806">
        <f>(G54-(G54*Varta!H$3))</f>
        <v>48278.840400000001</v>
      </c>
      <c r="J54" s="806">
        <f>(I54-(I54*Varta!I$3))</f>
        <v>46830.475188000004</v>
      </c>
      <c r="K54" s="806">
        <f>(J54*K$3)</f>
        <v>2341.5237594000005</v>
      </c>
      <c r="L54" s="806">
        <f>(J54*L$3)</f>
        <v>0</v>
      </c>
      <c r="M54" s="806">
        <f>(J54*M$3)</f>
        <v>0</v>
      </c>
      <c r="N54" s="806">
        <f>(J54*N$3)</f>
        <v>0</v>
      </c>
      <c r="O54" s="806">
        <f>(J54-K54-L54-M54-N54)</f>
        <v>44488.951428600005</v>
      </c>
      <c r="P54" s="533">
        <f>(O54-F54)/F54</f>
        <v>0.19125140384615394</v>
      </c>
      <c r="Q54" s="533">
        <f>(O54-F54)/O54</f>
        <v>0.16054663459674998</v>
      </c>
      <c r="R54" s="249"/>
      <c r="S54" s="112"/>
      <c r="T54" s="579">
        <v>82399</v>
      </c>
      <c r="U54" s="579">
        <f>CEILING(T54,50)</f>
        <v>82400</v>
      </c>
      <c r="V54" s="824">
        <f>(U54/1.21)</f>
        <v>68099.173553719011</v>
      </c>
      <c r="W54" s="199">
        <f>(V54-F54)/F54</f>
        <v>0.82344679952335453</v>
      </c>
      <c r="X54" s="191">
        <f>(V54-F54)/V54</f>
        <v>0.4515880582524272</v>
      </c>
      <c r="Y54" s="921"/>
    </row>
    <row r="55" spans="1:25" ht="15.6">
      <c r="A55" s="811" t="s">
        <v>388</v>
      </c>
      <c r="B55" s="897" t="s">
        <v>461</v>
      </c>
      <c r="C55" s="803" t="s">
        <v>462</v>
      </c>
      <c r="D55" s="807">
        <v>26</v>
      </c>
      <c r="E55" s="804">
        <f t="shared" si="33"/>
        <v>21.340800000000002</v>
      </c>
      <c r="F55" s="802">
        <f t="shared" si="3"/>
        <v>27743.040000000001</v>
      </c>
      <c r="G55" s="805">
        <v>37751.875200000002</v>
      </c>
      <c r="H55" s="804">
        <f t="shared" si="4"/>
        <v>45679.768992000005</v>
      </c>
      <c r="I55" s="806">
        <f>(G55-(G55*Varta!H$3))</f>
        <v>35864.281439999999</v>
      </c>
      <c r="J55" s="806">
        <f>(I55-(I55*Varta!I$3))</f>
        <v>34788.3529968</v>
      </c>
      <c r="K55" s="806">
        <f t="shared" si="5"/>
        <v>1739.4176498400002</v>
      </c>
      <c r="L55" s="806">
        <f t="shared" si="6"/>
        <v>0</v>
      </c>
      <c r="M55" s="806">
        <f t="shared" si="7"/>
        <v>0</v>
      </c>
      <c r="N55" s="806">
        <f t="shared" si="8"/>
        <v>0</v>
      </c>
      <c r="O55" s="806">
        <f t="shared" si="9"/>
        <v>33048.935346960003</v>
      </c>
      <c r="P55" s="533">
        <f t="shared" si="10"/>
        <v>0.19125140384615391</v>
      </c>
      <c r="Q55" s="533">
        <f t="shared" si="11"/>
        <v>0.16054663459674998</v>
      </c>
      <c r="R55" s="249"/>
      <c r="S55" s="112"/>
      <c r="T55" s="579">
        <v>62699</v>
      </c>
      <c r="U55" s="579">
        <f t="shared" si="0"/>
        <v>62700</v>
      </c>
      <c r="V55" s="824">
        <f t="shared" si="12"/>
        <v>51818.181818181816</v>
      </c>
      <c r="W55" s="199">
        <f>(V55-F55)/F55</f>
        <v>0.86779032932879074</v>
      </c>
      <c r="X55" s="191">
        <f>(V55-F55)/V55</f>
        <v>0.46460799999999997</v>
      </c>
      <c r="Y55" s="921"/>
    </row>
    <row r="56" spans="1:25" ht="15.6">
      <c r="A56" s="822" t="s">
        <v>388</v>
      </c>
      <c r="B56" s="898" t="s">
        <v>463</v>
      </c>
      <c r="C56" s="811" t="s">
        <v>464</v>
      </c>
      <c r="D56" s="535">
        <v>138</v>
      </c>
      <c r="E56" s="535">
        <f>(D56-(D56*E$3))</f>
        <v>113.2704</v>
      </c>
      <c r="F56" s="535">
        <f t="shared" ref="F56:F63" si="58">(E56*F$3)</f>
        <v>147251.51999999999</v>
      </c>
      <c r="G56" s="805">
        <v>200375.3376</v>
      </c>
      <c r="H56" s="804">
        <f t="shared" ref="H56:H63" si="59">(G56*1.21)</f>
        <v>242454.15849599999</v>
      </c>
      <c r="I56" s="806">
        <f>(G56-(G56*Varta!H$3))</f>
        <v>190356.57071999999</v>
      </c>
      <c r="J56" s="806">
        <f>(I56-(I56*Varta!I$3))</f>
        <v>184645.87359839998</v>
      </c>
      <c r="K56" s="806">
        <f>(J56*K$3)</f>
        <v>9232.2936799199997</v>
      </c>
      <c r="L56" s="806">
        <f>(J56*L$3)</f>
        <v>0</v>
      </c>
      <c r="M56" s="806">
        <f>(J56*M$3)</f>
        <v>0</v>
      </c>
      <c r="N56" s="806">
        <f>(J56*N$3)</f>
        <v>0</v>
      </c>
      <c r="O56" s="806">
        <f t="shared" ref="O56:O63" si="60">(J56-K56-L56-M56-N56)</f>
        <v>175413.57991847998</v>
      </c>
      <c r="P56" s="533">
        <f t="shared" ref="P56:P63" si="61">(O56-F56)/F56</f>
        <v>0.19125140384615383</v>
      </c>
      <c r="Q56" s="533">
        <f t="shared" ref="Q56:Q63" si="62">(O56-F56)/O56</f>
        <v>0.16054663459674992</v>
      </c>
      <c r="R56" s="921"/>
      <c r="S56" s="921"/>
      <c r="T56" s="579">
        <v>282399</v>
      </c>
      <c r="U56" s="579">
        <f t="shared" ref="U56:U63" si="63">CEILING(T56,50)</f>
        <v>282400</v>
      </c>
      <c r="V56" s="42">
        <f t="shared" ref="V56:V63" si="64">(U56/1.21)</f>
        <v>233388.42975206612</v>
      </c>
      <c r="W56" s="715">
        <f>((V56-(F56))/(F56))</f>
        <v>0.58496448628894382</v>
      </c>
      <c r="X56" s="716">
        <f>((V56-(F56))/V56)</f>
        <v>0.3690710368271955</v>
      </c>
      <c r="Y56" s="921"/>
    </row>
    <row r="57" spans="1:25" ht="15.6">
      <c r="A57" s="811" t="s">
        <v>388</v>
      </c>
      <c r="B57" s="898" t="s">
        <v>465</v>
      </c>
      <c r="C57" s="811" t="s">
        <v>466</v>
      </c>
      <c r="D57" s="535">
        <v>155</v>
      </c>
      <c r="E57" s="535">
        <f>(D57-(D57*13.6%))</f>
        <v>133.91999999999999</v>
      </c>
      <c r="F57" s="535">
        <f t="shared" si="58"/>
        <v>174095.99999999997</v>
      </c>
      <c r="G57" s="805">
        <v>236904.47999999998</v>
      </c>
      <c r="H57" s="804">
        <f t="shared" si="59"/>
        <v>286654.42079999996</v>
      </c>
      <c r="I57" s="806">
        <f>(G57-(G57*Varta!H$3))</f>
        <v>225059.25599999999</v>
      </c>
      <c r="J57" s="806">
        <f>(I57-(I57*Varta!I$3))</f>
        <v>218307.47831999999</v>
      </c>
      <c r="K57" s="806">
        <f t="shared" ref="K57:K71" si="65">(J57*K$3)</f>
        <v>10915.373916</v>
      </c>
      <c r="L57" s="806">
        <f t="shared" ref="L57:L71" si="66">(J57*L$3)</f>
        <v>0</v>
      </c>
      <c r="M57" s="806">
        <f t="shared" ref="M57:M71" si="67">(J57*M$3)</f>
        <v>0</v>
      </c>
      <c r="N57" s="806">
        <f t="shared" ref="N57:N70" si="68">(J57*N$3)</f>
        <v>0</v>
      </c>
      <c r="O57" s="806">
        <f t="shared" si="60"/>
        <v>207392.10440399998</v>
      </c>
      <c r="P57" s="533">
        <f t="shared" si="61"/>
        <v>0.19125140384615394</v>
      </c>
      <c r="Q57" s="533">
        <f t="shared" si="62"/>
        <v>0.16054663459675</v>
      </c>
      <c r="R57" s="921"/>
      <c r="S57" s="921"/>
      <c r="T57" s="579">
        <v>345799</v>
      </c>
      <c r="U57" s="579">
        <f t="shared" si="63"/>
        <v>345800</v>
      </c>
      <c r="V57" s="42">
        <f t="shared" si="64"/>
        <v>285785.12396694213</v>
      </c>
      <c r="W57" s="715">
        <f>((V57-(F57))/(F57))</f>
        <v>0.64153756529123118</v>
      </c>
      <c r="X57" s="716">
        <f>((V57-(F57))/V57)</f>
        <v>0.39081503759398506</v>
      </c>
      <c r="Y57" s="921"/>
    </row>
    <row r="58" spans="1:25" ht="15.6">
      <c r="A58" s="811" t="s">
        <v>388</v>
      </c>
      <c r="B58" s="811" t="s">
        <v>467</v>
      </c>
      <c r="C58" s="811" t="s">
        <v>468</v>
      </c>
      <c r="D58" s="535">
        <v>285</v>
      </c>
      <c r="E58" s="804">
        <f>(D58-(D58*E$3))</f>
        <v>233.928</v>
      </c>
      <c r="F58" s="802">
        <f t="shared" si="58"/>
        <v>304106.40000000002</v>
      </c>
      <c r="G58" s="805">
        <v>413818.63199999993</v>
      </c>
      <c r="H58" s="804">
        <f t="shared" si="59"/>
        <v>500720.54471999989</v>
      </c>
      <c r="I58" s="806">
        <f>(G58-(G58*Varta!H$3))</f>
        <v>393127.70039999991</v>
      </c>
      <c r="J58" s="806">
        <f>(I58-(I58*Varta!I$3))</f>
        <v>381333.86938799993</v>
      </c>
      <c r="K58" s="806">
        <f t="shared" si="65"/>
        <v>19066.693469399997</v>
      </c>
      <c r="L58" s="806">
        <f t="shared" si="66"/>
        <v>0</v>
      </c>
      <c r="M58" s="806">
        <f t="shared" si="67"/>
        <v>0</v>
      </c>
      <c r="N58" s="806">
        <f t="shared" si="68"/>
        <v>0</v>
      </c>
      <c r="O58" s="806">
        <f t="shared" si="60"/>
        <v>362267.17591859994</v>
      </c>
      <c r="P58" s="533">
        <f t="shared" si="61"/>
        <v>0.19125140384615355</v>
      </c>
      <c r="Q58" s="533">
        <f t="shared" si="62"/>
        <v>0.16054663459674973</v>
      </c>
      <c r="R58" s="921"/>
      <c r="S58" s="921"/>
      <c r="T58" s="579">
        <v>569099</v>
      </c>
      <c r="U58" s="579">
        <f t="shared" si="63"/>
        <v>569100</v>
      </c>
      <c r="V58" s="826">
        <f t="shared" si="64"/>
        <v>470330.57851239672</v>
      </c>
      <c r="W58" s="199">
        <f>(V58-F58)/F58</f>
        <v>0.54659875133307512</v>
      </c>
      <c r="X58" s="191">
        <f>(V58-F58)/V58</f>
        <v>0.3534198840274117</v>
      </c>
      <c r="Y58" s="921"/>
    </row>
    <row r="59" spans="1:25" ht="15.6">
      <c r="A59" s="811" t="s">
        <v>388</v>
      </c>
      <c r="B59" s="811" t="s">
        <v>469</v>
      </c>
      <c r="C59" s="811" t="s">
        <v>470</v>
      </c>
      <c r="D59" s="535">
        <v>135</v>
      </c>
      <c r="E59" s="804">
        <f>(D59-(D59*E$3))</f>
        <v>110.80799999999999</v>
      </c>
      <c r="F59" s="802">
        <f t="shared" si="58"/>
        <v>144050.4</v>
      </c>
      <c r="G59" s="805">
        <v>196019.35199999996</v>
      </c>
      <c r="H59" s="804">
        <f t="shared" si="59"/>
        <v>237183.41591999994</v>
      </c>
      <c r="I59" s="806">
        <f>(G59-(G59*Varta!H$3))</f>
        <v>186218.38439999995</v>
      </c>
      <c r="J59" s="806">
        <f>(I59-(I59*Varta!I$3))</f>
        <v>180631.83286799994</v>
      </c>
      <c r="K59" s="806">
        <f t="shared" si="65"/>
        <v>9031.5916433999973</v>
      </c>
      <c r="L59" s="806">
        <f t="shared" si="66"/>
        <v>0</v>
      </c>
      <c r="M59" s="806">
        <f t="shared" si="67"/>
        <v>0</v>
      </c>
      <c r="N59" s="806">
        <f t="shared" si="68"/>
        <v>0</v>
      </c>
      <c r="O59" s="806">
        <f t="shared" si="60"/>
        <v>171600.24122459994</v>
      </c>
      <c r="P59" s="533">
        <f t="shared" si="61"/>
        <v>0.19125140384615349</v>
      </c>
      <c r="Q59" s="533">
        <f t="shared" si="62"/>
        <v>0.1605466345967497</v>
      </c>
      <c r="R59" s="921"/>
      <c r="S59" s="921"/>
      <c r="T59" s="579">
        <v>280999</v>
      </c>
      <c r="U59" s="579">
        <f t="shared" si="63"/>
        <v>281000</v>
      </c>
      <c r="V59" s="824">
        <f t="shared" si="64"/>
        <v>232231.40495867768</v>
      </c>
      <c r="W59" s="199">
        <f>(V59-F59)/F59</f>
        <v>0.61215383614816543</v>
      </c>
      <c r="X59" s="191">
        <f>(V59-F59)/V59</f>
        <v>0.37971180071174376</v>
      </c>
      <c r="Y59" s="921"/>
    </row>
    <row r="60" spans="1:25" ht="15.6">
      <c r="A60" s="811" t="s">
        <v>388</v>
      </c>
      <c r="B60" s="811" t="s">
        <v>471</v>
      </c>
      <c r="C60" s="821" t="s">
        <v>472</v>
      </c>
      <c r="D60" s="535">
        <v>210</v>
      </c>
      <c r="E60" s="535">
        <f>(D60-(D60*E$3))</f>
        <v>172.36799999999999</v>
      </c>
      <c r="F60" s="535">
        <f t="shared" si="58"/>
        <v>224078.4</v>
      </c>
      <c r="G60" s="805">
        <v>304918.99199999997</v>
      </c>
      <c r="H60" s="804">
        <f t="shared" si="59"/>
        <v>368951.98031999997</v>
      </c>
      <c r="I60" s="806">
        <f>(G60-(G60*Varta!H$3))</f>
        <v>289673.04239999998</v>
      </c>
      <c r="J60" s="806">
        <f>(I60-(I60*Varta!I$3))</f>
        <v>280982.85112799995</v>
      </c>
      <c r="K60" s="806">
        <f t="shared" si="65"/>
        <v>14049.142556399998</v>
      </c>
      <c r="L60" s="806">
        <f t="shared" si="66"/>
        <v>0</v>
      </c>
      <c r="M60" s="806">
        <f t="shared" si="67"/>
        <v>0</v>
      </c>
      <c r="N60" s="806">
        <f t="shared" si="68"/>
        <v>0</v>
      </c>
      <c r="O60" s="806">
        <f t="shared" si="60"/>
        <v>266933.70857159997</v>
      </c>
      <c r="P60" s="533">
        <f t="shared" si="61"/>
        <v>0.19125140384615374</v>
      </c>
      <c r="Q60" s="533">
        <f t="shared" si="62"/>
        <v>0.16054663459674987</v>
      </c>
      <c r="R60" s="921"/>
      <c r="S60" s="921"/>
      <c r="T60" s="579">
        <v>466099</v>
      </c>
      <c r="U60" s="579">
        <f t="shared" si="63"/>
        <v>466100</v>
      </c>
      <c r="V60" s="42">
        <f t="shared" si="64"/>
        <v>385206.61157024797</v>
      </c>
      <c r="W60" s="715">
        <f>((V60-(F60))/(F60))</f>
        <v>0.71907069833704629</v>
      </c>
      <c r="X60" s="716">
        <f>((V60-(F60))/V60)</f>
        <v>0.41829035829221206</v>
      </c>
      <c r="Y60" s="921"/>
    </row>
    <row r="61" spans="1:25" ht="15.6">
      <c r="A61" s="811" t="s">
        <v>388</v>
      </c>
      <c r="B61" s="811" t="s">
        <v>473</v>
      </c>
      <c r="C61" s="811" t="s">
        <v>474</v>
      </c>
      <c r="D61" s="535">
        <v>76</v>
      </c>
      <c r="E61" s="535">
        <f>(D61-(D61*E3))</f>
        <v>62.380800000000001</v>
      </c>
      <c r="F61" s="535">
        <f t="shared" si="58"/>
        <v>81095.040000000008</v>
      </c>
      <c r="G61" s="805">
        <v>116159.61599999999</v>
      </c>
      <c r="H61" s="804">
        <f t="shared" si="59"/>
        <v>140553.13535999999</v>
      </c>
      <c r="I61" s="806">
        <f>(G61-(G61*Varta!H$3))</f>
        <v>110351.63519999999</v>
      </c>
      <c r="J61" s="806">
        <f>(I61-(I61*Varta!I$3))</f>
        <v>107041.08614399999</v>
      </c>
      <c r="K61" s="806">
        <f t="shared" si="65"/>
        <v>5352.0543072</v>
      </c>
      <c r="L61" s="806">
        <f t="shared" si="66"/>
        <v>0</v>
      </c>
      <c r="M61" s="806">
        <f t="shared" si="67"/>
        <v>0</v>
      </c>
      <c r="N61" s="806">
        <f t="shared" si="68"/>
        <v>0</v>
      </c>
      <c r="O61" s="806">
        <f t="shared" si="60"/>
        <v>101689.03183679999</v>
      </c>
      <c r="P61" s="533">
        <f t="shared" si="61"/>
        <v>0.25394884615384583</v>
      </c>
      <c r="Q61" s="533">
        <f t="shared" si="62"/>
        <v>0.20251930286691225</v>
      </c>
      <c r="R61" s="921"/>
      <c r="S61" s="921"/>
      <c r="T61" s="579">
        <v>171999</v>
      </c>
      <c r="U61" s="579">
        <f t="shared" si="63"/>
        <v>172000</v>
      </c>
      <c r="V61" s="42">
        <f t="shared" si="64"/>
        <v>142148.76033057852</v>
      </c>
      <c r="W61" s="715">
        <f>((V61-(F61))/(F61))</f>
        <v>0.7528662706199849</v>
      </c>
      <c r="X61" s="716">
        <f>((V61-(F61))/V61)</f>
        <v>0.42950582325581393</v>
      </c>
      <c r="Y61" s="921"/>
    </row>
    <row r="62" spans="1:25" ht="15.6">
      <c r="A62" s="811" t="s">
        <v>388</v>
      </c>
      <c r="B62" s="811" t="s">
        <v>475</v>
      </c>
      <c r="C62" s="811" t="s">
        <v>476</v>
      </c>
      <c r="D62" s="535">
        <v>36</v>
      </c>
      <c r="E62" s="535">
        <f>(D62-(D62*E$3))</f>
        <v>29.5488</v>
      </c>
      <c r="F62" s="535">
        <f t="shared" si="58"/>
        <v>38413.440000000002</v>
      </c>
      <c r="G62" s="805">
        <v>52271.8272</v>
      </c>
      <c r="H62" s="804">
        <f t="shared" si="59"/>
        <v>63248.910911999999</v>
      </c>
      <c r="I62" s="806">
        <f>(G62-(G62*Varta!H$3))</f>
        <v>49658.235840000001</v>
      </c>
      <c r="J62" s="806">
        <f>(I62-(I62*Varta!I$3))</f>
        <v>48168.4887648</v>
      </c>
      <c r="K62" s="806">
        <f t="shared" si="65"/>
        <v>2408.4244382400002</v>
      </c>
      <c r="L62" s="806">
        <f t="shared" si="66"/>
        <v>0</v>
      </c>
      <c r="M62" s="806">
        <f t="shared" si="67"/>
        <v>0</v>
      </c>
      <c r="N62" s="806">
        <f t="shared" si="68"/>
        <v>0</v>
      </c>
      <c r="O62" s="806">
        <f t="shared" si="60"/>
        <v>45760.064326560001</v>
      </c>
      <c r="P62" s="533">
        <f t="shared" si="61"/>
        <v>0.1912514038461538</v>
      </c>
      <c r="Q62" s="533">
        <f t="shared" si="62"/>
        <v>0.16054663459674989</v>
      </c>
      <c r="R62" s="921"/>
      <c r="S62" s="921"/>
      <c r="T62" s="579">
        <v>78799</v>
      </c>
      <c r="U62" s="831">
        <f t="shared" si="63"/>
        <v>78800</v>
      </c>
      <c r="V62" s="42">
        <f t="shared" si="64"/>
        <v>65123.966942148763</v>
      </c>
      <c r="W62" s="715">
        <f>((V62-(F62))/(F62))</f>
        <v>0.69534326897431631</v>
      </c>
      <c r="X62" s="716">
        <f>((V62-(F62))/V62)</f>
        <v>0.41014895431472081</v>
      </c>
      <c r="Y62" s="112"/>
    </row>
    <row r="63" spans="1:25" ht="15.6">
      <c r="A63" s="811" t="s">
        <v>388</v>
      </c>
      <c r="B63" s="811" t="s">
        <v>477</v>
      </c>
      <c r="C63" s="811" t="s">
        <v>478</v>
      </c>
      <c r="D63" s="535">
        <v>30</v>
      </c>
      <c r="E63" s="535">
        <f>(D63-(D63*E$3))</f>
        <v>24.623999999999999</v>
      </c>
      <c r="F63" s="535">
        <f t="shared" si="58"/>
        <v>32011.199999999997</v>
      </c>
      <c r="G63" s="805">
        <v>43559.856</v>
      </c>
      <c r="H63" s="804">
        <f t="shared" si="59"/>
        <v>52707.425759999998</v>
      </c>
      <c r="I63" s="806">
        <f>(G63-(G63*Varta!H$3))</f>
        <v>41381.8632</v>
      </c>
      <c r="J63" s="806">
        <f>(I63-(I63*Varta!I$3))</f>
        <v>40140.407304</v>
      </c>
      <c r="K63" s="806">
        <f t="shared" si="65"/>
        <v>2007.0203652</v>
      </c>
      <c r="L63" s="806">
        <f t="shared" si="66"/>
        <v>0</v>
      </c>
      <c r="M63" s="806">
        <f t="shared" si="67"/>
        <v>0</v>
      </c>
      <c r="N63" s="806">
        <f t="shared" si="68"/>
        <v>0</v>
      </c>
      <c r="O63" s="806">
        <f t="shared" si="60"/>
        <v>38133.386938800002</v>
      </c>
      <c r="P63" s="533">
        <f t="shared" si="61"/>
        <v>0.19125140384615402</v>
      </c>
      <c r="Q63" s="533">
        <f t="shared" si="62"/>
        <v>0.16054663459675006</v>
      </c>
      <c r="R63" s="921"/>
      <c r="S63" s="921"/>
      <c r="T63" s="579">
        <v>66799</v>
      </c>
      <c r="U63" s="831">
        <f t="shared" si="63"/>
        <v>66800</v>
      </c>
      <c r="V63" s="42">
        <f t="shared" si="64"/>
        <v>55206.611570247936</v>
      </c>
      <c r="W63" s="715">
        <f>((V63-(F63))/(F63))</f>
        <v>0.7246030005200661</v>
      </c>
      <c r="X63" s="716">
        <f>((V63-(F63))/V63)</f>
        <v>0.4201564071856288</v>
      </c>
      <c r="Y63" s="112"/>
    </row>
    <row r="64" spans="1:25" ht="15.6">
      <c r="A64" s="811" t="s">
        <v>388</v>
      </c>
      <c r="B64" s="898" t="s">
        <v>479</v>
      </c>
      <c r="C64" s="811" t="s">
        <v>480</v>
      </c>
      <c r="D64" s="535">
        <v>22</v>
      </c>
      <c r="E64" s="804">
        <f t="shared" si="33"/>
        <v>18.057600000000001</v>
      </c>
      <c r="F64" s="802">
        <f t="shared" si="3"/>
        <v>23474.880000000001</v>
      </c>
      <c r="G64" s="805">
        <v>31943.894400000001</v>
      </c>
      <c r="H64" s="804">
        <f t="shared" si="4"/>
        <v>38652.112223999997</v>
      </c>
      <c r="I64" s="806">
        <f>(G64-(G64*Varta!H$3))</f>
        <v>30346.699680000002</v>
      </c>
      <c r="J64" s="806">
        <f>(I64-(I64*Varta!I$3))</f>
        <v>29436.2986896</v>
      </c>
      <c r="K64" s="806">
        <f t="shared" si="65"/>
        <v>1471.8149344800001</v>
      </c>
      <c r="L64" s="806">
        <f t="shared" si="66"/>
        <v>0</v>
      </c>
      <c r="M64" s="806">
        <f t="shared" si="67"/>
        <v>0</v>
      </c>
      <c r="N64" s="806">
        <f t="shared" si="68"/>
        <v>0</v>
      </c>
      <c r="O64" s="806">
        <f t="shared" si="9"/>
        <v>27964.48375512</v>
      </c>
      <c r="P64" s="533">
        <f t="shared" si="10"/>
        <v>0.1912514038461538</v>
      </c>
      <c r="Q64" s="533">
        <f t="shared" si="11"/>
        <v>0.16054663459674989</v>
      </c>
      <c r="R64" s="249"/>
      <c r="S64" s="112"/>
      <c r="T64" s="579">
        <f>(F64+(F64*0.8))</f>
        <v>42254.784</v>
      </c>
      <c r="U64" s="579">
        <f t="shared" si="0"/>
        <v>42300</v>
      </c>
      <c r="V64" s="824">
        <f t="shared" si="12"/>
        <v>34958.677685950417</v>
      </c>
      <c r="W64" s="199">
        <f>(V64-F64)/F64</f>
        <v>0.48919516035653499</v>
      </c>
      <c r="X64" s="191">
        <f>(V64-F64)/V64</f>
        <v>0.32849634042553194</v>
      </c>
      <c r="Y64" s="921"/>
    </row>
    <row r="65" spans="1:25" ht="15.6">
      <c r="A65" s="811" t="s">
        <v>388</v>
      </c>
      <c r="B65" s="898" t="s">
        <v>481</v>
      </c>
      <c r="C65" s="811" t="s">
        <v>482</v>
      </c>
      <c r="D65" s="535">
        <v>35</v>
      </c>
      <c r="E65" s="535">
        <f>(D65-(D65*25%))</f>
        <v>26.25</v>
      </c>
      <c r="F65" s="535">
        <f t="shared" ref="F65:F70" si="69">(E65*F$3)</f>
        <v>34125</v>
      </c>
      <c r="G65" s="805">
        <v>46436.25</v>
      </c>
      <c r="H65" s="804">
        <f>(G65*1.21)</f>
        <v>56187.862499999996</v>
      </c>
      <c r="I65" s="806">
        <f>(G65-(G65*Varta!H$3))</f>
        <v>44114.4375</v>
      </c>
      <c r="J65" s="806">
        <f>(I65-(I65*Varta!I$3))</f>
        <v>42791.004374999997</v>
      </c>
      <c r="K65" s="806">
        <f t="shared" si="65"/>
        <v>2139.5502187500001</v>
      </c>
      <c r="L65" s="806">
        <f t="shared" si="66"/>
        <v>0</v>
      </c>
      <c r="M65" s="806">
        <f t="shared" si="67"/>
        <v>0</v>
      </c>
      <c r="N65" s="806">
        <f t="shared" si="68"/>
        <v>0</v>
      </c>
      <c r="O65" s="806">
        <f>(J65-K65-L65-M65-N65)</f>
        <v>40651.454156249994</v>
      </c>
      <c r="P65" s="533">
        <f>(O65-F65)/F65</f>
        <v>0.19125140384615369</v>
      </c>
      <c r="Q65" s="533">
        <f>(O65-F65)/O65</f>
        <v>0.16054663459674981</v>
      </c>
      <c r="R65" s="921"/>
      <c r="S65" s="921"/>
      <c r="T65" s="579">
        <v>79000</v>
      </c>
      <c r="U65" s="831">
        <f t="shared" ref="U65:U70" si="70">CEILING(T65,50)</f>
        <v>79000</v>
      </c>
      <c r="V65" s="42">
        <f t="shared" ref="V65:V70" si="71">(U65/1.21)</f>
        <v>65289.25619834711</v>
      </c>
      <c r="W65" s="715">
        <f t="shared" ref="W65:W70" si="72">((V65-(F65))/(F65))</f>
        <v>0.91323827687464054</v>
      </c>
      <c r="X65" s="716">
        <f t="shared" ref="X65:X70" si="73">((V65-(F65))/V65)</f>
        <v>0.47732594936708861</v>
      </c>
      <c r="Y65" s="112"/>
    </row>
    <row r="66" spans="1:25" ht="15.6">
      <c r="A66" s="811" t="s">
        <v>388</v>
      </c>
      <c r="B66" s="811" t="s">
        <v>483</v>
      </c>
      <c r="C66" s="811" t="s">
        <v>484</v>
      </c>
      <c r="D66" s="535">
        <v>38</v>
      </c>
      <c r="E66" s="535">
        <f>(D66-(D66*E$3))</f>
        <v>31.1904</v>
      </c>
      <c r="F66" s="535">
        <f t="shared" si="69"/>
        <v>40547.520000000004</v>
      </c>
      <c r="G66" s="805">
        <v>55175.817600000002</v>
      </c>
      <c r="H66" s="804">
        <f>(G66*1.21)</f>
        <v>66762.739296</v>
      </c>
      <c r="I66" s="806">
        <f>(G66-(G66*Varta!H$3))</f>
        <v>52417.026720000002</v>
      </c>
      <c r="J66" s="806">
        <f>(I66-(I66*Varta!I$3))</f>
        <v>50844.5159184</v>
      </c>
      <c r="K66" s="806">
        <f t="shared" si="65"/>
        <v>2542.2257959200001</v>
      </c>
      <c r="L66" s="806">
        <f t="shared" si="66"/>
        <v>0</v>
      </c>
      <c r="M66" s="806">
        <f t="shared" si="67"/>
        <v>0</v>
      </c>
      <c r="N66" s="806">
        <f t="shared" si="68"/>
        <v>0</v>
      </c>
      <c r="O66" s="806">
        <f>(J66-K66-L66-M66-N66)</f>
        <v>48302.290122480001</v>
      </c>
      <c r="P66" s="533">
        <f>(O66-F66)/F66</f>
        <v>0.19125140384615374</v>
      </c>
      <c r="Q66" s="533">
        <f>(O66-F66)/O66</f>
        <v>0.16054663459674987</v>
      </c>
      <c r="R66" s="921"/>
      <c r="S66" s="921"/>
      <c r="T66" s="579">
        <v>81699</v>
      </c>
      <c r="U66" s="579">
        <f t="shared" si="70"/>
        <v>81700</v>
      </c>
      <c r="V66" s="42">
        <f t="shared" si="71"/>
        <v>67520.661157024791</v>
      </c>
      <c r="W66" s="715">
        <f t="shared" si="72"/>
        <v>0.6652229570889856</v>
      </c>
      <c r="X66" s="716">
        <f t="shared" si="73"/>
        <v>0.39947981395348831</v>
      </c>
      <c r="Y66" s="921"/>
    </row>
    <row r="67" spans="1:25" ht="15.6">
      <c r="A67" s="811" t="s">
        <v>388</v>
      </c>
      <c r="B67" s="811" t="s">
        <v>485</v>
      </c>
      <c r="C67" s="811" t="s">
        <v>486</v>
      </c>
      <c r="D67" s="535">
        <v>145</v>
      </c>
      <c r="E67" s="535">
        <f>(D67-(D67*17.92%))</f>
        <v>119.01599999999999</v>
      </c>
      <c r="F67" s="532">
        <f t="shared" si="69"/>
        <v>154720.79999999999</v>
      </c>
      <c r="G67" s="805">
        <v>210539.30399999997</v>
      </c>
      <c r="H67" s="804">
        <f t="shared" ref="H67:H68" si="74">(G67*1.21)</f>
        <v>254752.55783999996</v>
      </c>
      <c r="I67" s="806">
        <f>(G67-(G67*Varta!H$3))</f>
        <v>200012.33879999997</v>
      </c>
      <c r="J67" s="806">
        <f>(I67-(I67*Varta!I$3))</f>
        <v>194011.96863599998</v>
      </c>
      <c r="K67" s="806">
        <f t="shared" si="65"/>
        <v>9700.5984317999992</v>
      </c>
      <c r="L67" s="806">
        <f t="shared" si="66"/>
        <v>0</v>
      </c>
      <c r="M67" s="806">
        <f t="shared" si="67"/>
        <v>0</v>
      </c>
      <c r="N67" s="806">
        <f t="shared" si="68"/>
        <v>0</v>
      </c>
      <c r="O67" s="806">
        <f t="shared" ref="O67:O69" si="75">(J67-K67-L67-M67-N67)</f>
        <v>184311.37020419998</v>
      </c>
      <c r="P67" s="533">
        <f t="shared" ref="P67:P69" si="76">(O67-F67)/F67</f>
        <v>0.1912514038461538</v>
      </c>
      <c r="Q67" s="533">
        <f t="shared" ref="Q67:Q69" si="77">(O67-F67)/O67</f>
        <v>0.16054663459674989</v>
      </c>
      <c r="R67" s="921"/>
      <c r="S67" s="921"/>
      <c r="T67" s="579">
        <v>267499</v>
      </c>
      <c r="U67" s="579">
        <f t="shared" si="70"/>
        <v>267500</v>
      </c>
      <c r="V67" s="42">
        <f t="shared" si="71"/>
        <v>221074.38016528927</v>
      </c>
      <c r="W67" s="715">
        <f t="shared" si="72"/>
        <v>0.4288601155454812</v>
      </c>
      <c r="X67" s="716">
        <f t="shared" si="73"/>
        <v>0.30014142803738331</v>
      </c>
      <c r="Y67" s="921"/>
    </row>
    <row r="68" spans="1:25" ht="15.6">
      <c r="A68" s="811" t="s">
        <v>388</v>
      </c>
      <c r="B68" s="898" t="s">
        <v>487</v>
      </c>
      <c r="C68" s="811" t="s">
        <v>488</v>
      </c>
      <c r="D68" s="535">
        <v>48</v>
      </c>
      <c r="E68" s="535">
        <f>(D68-(D68*17.92%))</f>
        <v>39.398399999999995</v>
      </c>
      <c r="F68" s="532">
        <f>(E68*F$3)</f>
        <v>51217.919999999991</v>
      </c>
      <c r="G68" s="805">
        <v>69695.769599999985</v>
      </c>
      <c r="H68" s="804">
        <f t="shared" si="74"/>
        <v>84331.88121599998</v>
      </c>
      <c r="I68" s="806">
        <f>(G68-(G68*Varta!H$3))</f>
        <v>66210.981119999982</v>
      </c>
      <c r="J68" s="806">
        <f>(I68-(I68*Varta!I$3))</f>
        <v>64224.651686399986</v>
      </c>
      <c r="K68" s="806">
        <f t="shared" si="65"/>
        <v>3211.2325843199997</v>
      </c>
      <c r="L68" s="806">
        <f t="shared" si="66"/>
        <v>0</v>
      </c>
      <c r="M68" s="806">
        <f t="shared" si="67"/>
        <v>0</v>
      </c>
      <c r="N68" s="806">
        <f t="shared" si="68"/>
        <v>0</v>
      </c>
      <c r="O68" s="806">
        <f t="shared" si="75"/>
        <v>61013.419102079984</v>
      </c>
      <c r="P68" s="533">
        <f t="shared" si="76"/>
        <v>0.19125140384615374</v>
      </c>
      <c r="Q68" s="533">
        <f t="shared" si="77"/>
        <v>0.16054663459674987</v>
      </c>
      <c r="R68" s="921"/>
      <c r="S68" s="921"/>
      <c r="T68" s="579">
        <v>109299</v>
      </c>
      <c r="U68" s="579">
        <f t="shared" si="70"/>
        <v>109300</v>
      </c>
      <c r="V68" s="42">
        <f t="shared" si="71"/>
        <v>90330.578512396693</v>
      </c>
      <c r="W68" s="715">
        <f t="shared" si="72"/>
        <v>0.76365183342854825</v>
      </c>
      <c r="X68" s="716">
        <f t="shared" si="73"/>
        <v>0.43299466422689853</v>
      </c>
      <c r="Y68" s="921"/>
    </row>
    <row r="69" spans="1:25" ht="15.6">
      <c r="A69" s="822" t="s">
        <v>388</v>
      </c>
      <c r="B69" s="898" t="s">
        <v>489</v>
      </c>
      <c r="C69" s="811" t="s">
        <v>490</v>
      </c>
      <c r="D69" s="535">
        <v>160</v>
      </c>
      <c r="E69" s="535">
        <f>(D69-(D69*E$3))</f>
        <v>131.328</v>
      </c>
      <c r="F69" s="535">
        <f t="shared" si="69"/>
        <v>170726.39999999999</v>
      </c>
      <c r="G69" s="805">
        <v>232319.23199999999</v>
      </c>
      <c r="H69" s="804">
        <f>(G69*1.21)</f>
        <v>281106.27071999997</v>
      </c>
      <c r="I69" s="806">
        <f>(G69-(G69*Varta!H$3))</f>
        <v>220703.27039999998</v>
      </c>
      <c r="J69" s="806">
        <f>(I69-(I69*Varta!I$3))</f>
        <v>214082.17228799997</v>
      </c>
      <c r="K69" s="806">
        <f t="shared" si="65"/>
        <v>10704.1086144</v>
      </c>
      <c r="L69" s="806">
        <f t="shared" si="66"/>
        <v>0</v>
      </c>
      <c r="M69" s="806">
        <f t="shared" si="67"/>
        <v>0</v>
      </c>
      <c r="N69" s="806">
        <f>(J69*N$3)</f>
        <v>0</v>
      </c>
      <c r="O69" s="806">
        <f t="shared" si="75"/>
        <v>203378.06367359997</v>
      </c>
      <c r="P69" s="533">
        <f t="shared" si="76"/>
        <v>0.19125140384615372</v>
      </c>
      <c r="Q69" s="533">
        <f t="shared" si="77"/>
        <v>0.16054663459674984</v>
      </c>
      <c r="R69" s="921"/>
      <c r="S69" s="921"/>
      <c r="T69" s="579">
        <v>357899</v>
      </c>
      <c r="U69" s="579">
        <f t="shared" si="70"/>
        <v>357900</v>
      </c>
      <c r="V69" s="42">
        <f t="shared" si="71"/>
        <v>295785.12396694213</v>
      </c>
      <c r="W69" s="715">
        <f t="shared" si="72"/>
        <v>0.73250958238996511</v>
      </c>
      <c r="X69" s="716">
        <f t="shared" si="73"/>
        <v>0.42280261525565799</v>
      </c>
      <c r="Y69" s="921"/>
    </row>
    <row r="70" spans="1:25" ht="15.6">
      <c r="A70" s="811" t="s">
        <v>388</v>
      </c>
      <c r="B70" s="898" t="s">
        <v>491</v>
      </c>
      <c r="C70" s="811" t="s">
        <v>492</v>
      </c>
      <c r="D70" s="535">
        <v>75</v>
      </c>
      <c r="E70" s="535">
        <f>(D70-(D70*E$3))</f>
        <v>61.56</v>
      </c>
      <c r="F70" s="535">
        <f t="shared" si="69"/>
        <v>80028</v>
      </c>
      <c r="G70" s="805">
        <v>108899.64</v>
      </c>
      <c r="H70" s="804">
        <f t="shared" ref="H70" si="78">(G70*1.21)</f>
        <v>131768.5644</v>
      </c>
      <c r="I70" s="806">
        <f>(G70-(G70*Varta!H$3))</f>
        <v>103454.658</v>
      </c>
      <c r="J70" s="806">
        <f>(I70-(I70*Varta!I$3))</f>
        <v>100351.01826</v>
      </c>
      <c r="K70" s="806">
        <f t="shared" si="65"/>
        <v>5017.550913</v>
      </c>
      <c r="L70" s="806">
        <f t="shared" si="66"/>
        <v>0</v>
      </c>
      <c r="M70" s="806">
        <f t="shared" si="67"/>
        <v>0</v>
      </c>
      <c r="N70" s="806">
        <f t="shared" si="68"/>
        <v>0</v>
      </c>
      <c r="O70" s="806">
        <f>(J70-K70-L70-M70-N70)</f>
        <v>95333.467346999998</v>
      </c>
      <c r="P70" s="533">
        <f>(O70-F70)/F70</f>
        <v>0.19125140384615383</v>
      </c>
      <c r="Q70" s="533">
        <f t="shared" ref="Q70" si="79">(O70-F70)/O70</f>
        <v>0.16054663459674992</v>
      </c>
      <c r="R70" s="921"/>
      <c r="S70" s="921"/>
      <c r="T70" s="579">
        <v>163299</v>
      </c>
      <c r="U70" s="579">
        <f t="shared" si="70"/>
        <v>163300</v>
      </c>
      <c r="V70" s="42">
        <f t="shared" si="71"/>
        <v>134958.67768595042</v>
      </c>
      <c r="W70" s="715">
        <f t="shared" si="72"/>
        <v>0.68639323344267533</v>
      </c>
      <c r="X70" s="716">
        <f t="shared" si="73"/>
        <v>0.40701849357011638</v>
      </c>
      <c r="Y70" s="921"/>
    </row>
    <row r="71" spans="1:25" ht="15.6">
      <c r="A71" s="811" t="s">
        <v>388</v>
      </c>
      <c r="B71" s="898" t="s">
        <v>493</v>
      </c>
      <c r="C71" s="811" t="s">
        <v>494</v>
      </c>
      <c r="D71" s="535">
        <v>3.2</v>
      </c>
      <c r="E71" s="804">
        <f>(D71-(D71*25%))</f>
        <v>2.4000000000000004</v>
      </c>
      <c r="F71" s="802">
        <f t="shared" si="3"/>
        <v>3120.0000000000005</v>
      </c>
      <c r="G71" s="805">
        <v>4245.6000000000004</v>
      </c>
      <c r="H71" s="804">
        <f t="shared" si="4"/>
        <v>5137.1760000000004</v>
      </c>
      <c r="I71" s="806">
        <f>(G71-(G71*Varta!H$3))</f>
        <v>4033.32</v>
      </c>
      <c r="J71" s="806">
        <f>(I71-(I71*Varta!I$3))</f>
        <v>3912.3204000000001</v>
      </c>
      <c r="K71" s="806">
        <f t="shared" si="65"/>
        <v>195.61602000000002</v>
      </c>
      <c r="L71" s="806">
        <f t="shared" si="66"/>
        <v>0</v>
      </c>
      <c r="M71" s="806">
        <f t="shared" si="67"/>
        <v>0</v>
      </c>
      <c r="N71" s="806">
        <f t="shared" si="8"/>
        <v>0</v>
      </c>
      <c r="O71" s="806">
        <f t="shared" si="9"/>
        <v>3716.7043800000001</v>
      </c>
      <c r="P71" s="533">
        <f t="shared" si="10"/>
        <v>0.19125140384615372</v>
      </c>
      <c r="Q71" s="533">
        <f t="shared" si="11"/>
        <v>0.16054663459674984</v>
      </c>
      <c r="R71" s="921"/>
      <c r="S71" s="921"/>
      <c r="T71" s="579">
        <v>6500</v>
      </c>
      <c r="U71" s="579">
        <f t="shared" si="0"/>
        <v>6500</v>
      </c>
      <c r="V71" s="824">
        <f t="shared" si="12"/>
        <v>5371.9008264462809</v>
      </c>
      <c r="W71" s="629">
        <f>(V71-F71)/F71</f>
        <v>0.72176308539944878</v>
      </c>
      <c r="X71" s="630">
        <f>(V71-F71)/V71</f>
        <v>0.41919999999999991</v>
      </c>
      <c r="Y71" s="921"/>
    </row>
    <row r="72" spans="1:25" ht="15.6">
      <c r="A72" s="811" t="s">
        <v>388</v>
      </c>
      <c r="B72" s="898" t="s">
        <v>495</v>
      </c>
      <c r="C72" s="811" t="s">
        <v>496</v>
      </c>
      <c r="D72" s="535">
        <v>2.5</v>
      </c>
      <c r="E72" s="804">
        <f t="shared" si="33"/>
        <v>2.052</v>
      </c>
      <c r="F72" s="802">
        <f t="shared" si="3"/>
        <v>2667.6</v>
      </c>
      <c r="G72" s="805">
        <v>3629.9879999999998</v>
      </c>
      <c r="H72" s="804">
        <f t="shared" si="4"/>
        <v>4392.2854799999996</v>
      </c>
      <c r="I72" s="806">
        <f>(G72-(G72*Varta!H$3))</f>
        <v>3448.4885999999997</v>
      </c>
      <c r="J72" s="806">
        <f>(I72-(I72*Varta!I$3))</f>
        <v>3345.0339419999996</v>
      </c>
      <c r="K72" s="806">
        <f t="shared" si="5"/>
        <v>167.2516971</v>
      </c>
      <c r="L72" s="806">
        <f t="shared" si="6"/>
        <v>0</v>
      </c>
      <c r="M72" s="806">
        <f t="shared" si="7"/>
        <v>0</v>
      </c>
      <c r="N72" s="806">
        <f t="shared" si="8"/>
        <v>0</v>
      </c>
      <c r="O72" s="806">
        <f t="shared" si="9"/>
        <v>3177.7822448999996</v>
      </c>
      <c r="P72" s="533">
        <f t="shared" si="10"/>
        <v>0.19125140384615372</v>
      </c>
      <c r="Q72" s="533">
        <f t="shared" si="11"/>
        <v>0.16054663459674984</v>
      </c>
      <c r="R72" s="921"/>
      <c r="S72" s="921"/>
      <c r="T72" s="579">
        <v>6000</v>
      </c>
      <c r="U72" s="579">
        <f t="shared" si="0"/>
        <v>6000</v>
      </c>
      <c r="V72" s="824">
        <f t="shared" si="12"/>
        <v>4958.6776859504134</v>
      </c>
      <c r="W72" s="629">
        <f>(V72-F72)/F72</f>
        <v>0.85885353349468196</v>
      </c>
      <c r="X72" s="630">
        <f>(V72-F72)/V72</f>
        <v>0.46203400000000006</v>
      </c>
      <c r="Y72" s="921"/>
    </row>
    <row r="73" spans="1:25" ht="15.6">
      <c r="A73" s="811" t="s">
        <v>388</v>
      </c>
      <c r="B73" s="811" t="s">
        <v>497</v>
      </c>
      <c r="C73" s="811" t="s">
        <v>498</v>
      </c>
      <c r="D73" s="535">
        <v>22</v>
      </c>
      <c r="E73" s="535">
        <f>(D73-(D73*30%))</f>
        <v>15.4</v>
      </c>
      <c r="F73" s="535">
        <f>(E73*F$3)</f>
        <v>20020</v>
      </c>
      <c r="G73" s="805">
        <v>31943.894400000001</v>
      </c>
      <c r="H73" s="804">
        <f>(G73*1.21)</f>
        <v>38652.112223999997</v>
      </c>
      <c r="I73" s="806">
        <f>(G73-(G73*Varta!H$3))</f>
        <v>30346.699680000002</v>
      </c>
      <c r="J73" s="806">
        <f>(I73-(I73*Varta!I$3))</f>
        <v>29436.2986896</v>
      </c>
      <c r="K73" s="806">
        <f>(J73*K$3)</f>
        <v>1471.8149344800001</v>
      </c>
      <c r="L73" s="806">
        <f>(J73*L$3)</f>
        <v>0</v>
      </c>
      <c r="M73" s="806">
        <f>(J73*M$3)</f>
        <v>0</v>
      </c>
      <c r="N73" s="806">
        <f>(J73*N$3)</f>
        <v>0</v>
      </c>
      <c r="O73" s="806">
        <f t="shared" ref="O73:O82" si="80">(J73-K73-L73-M73-N73)</f>
        <v>27964.48375512</v>
      </c>
      <c r="P73" s="533">
        <f t="shared" ref="P73:P82" si="81">(O73-F73)/F73</f>
        <v>0.3968273603956044</v>
      </c>
      <c r="Q73" s="533">
        <f>(O73-F73)/O73</f>
        <v>0.28409191546993778</v>
      </c>
      <c r="R73" s="921"/>
      <c r="S73" s="921"/>
      <c r="T73" s="579">
        <v>46099</v>
      </c>
      <c r="U73" s="579">
        <f t="shared" ref="U73:U82" si="82">CEILING(T73,50)</f>
        <v>46100</v>
      </c>
      <c r="V73" s="42">
        <f t="shared" ref="V73:V82" si="83">(U73/1.21)</f>
        <v>38099.173553719011</v>
      </c>
      <c r="W73" s="715">
        <f>((V73-(F73))/(F73))</f>
        <v>0.90305562206388668</v>
      </c>
      <c r="X73" s="716">
        <f>((V73-(F73))/V73)</f>
        <v>0.47452928416485901</v>
      </c>
      <c r="Y73" s="921"/>
    </row>
    <row r="74" spans="1:25" ht="15.6">
      <c r="A74" s="811" t="s">
        <v>388</v>
      </c>
      <c r="B74" s="811" t="s">
        <v>499</v>
      </c>
      <c r="C74" s="811" t="s">
        <v>500</v>
      </c>
      <c r="D74" s="535">
        <v>2.5</v>
      </c>
      <c r="E74" s="535">
        <f>(D74-(D74*30%))</f>
        <v>1.75</v>
      </c>
      <c r="F74" s="535">
        <f>(E74*F$3)</f>
        <v>2275</v>
      </c>
      <c r="G74" s="805">
        <v>3095.75</v>
      </c>
      <c r="H74" s="804">
        <f>(G74*1.21)</f>
        <v>3745.8575000000001</v>
      </c>
      <c r="I74" s="806">
        <f>(G74-(G74*Varta!H$3))</f>
        <v>2940.9625000000001</v>
      </c>
      <c r="J74" s="806">
        <f>(I74-(I74*Varta!I$3))</f>
        <v>2852.7336250000003</v>
      </c>
      <c r="K74" s="806">
        <f>(J74*K$3)</f>
        <v>142.63668125000001</v>
      </c>
      <c r="L74" s="806">
        <f>(J74*L$3)</f>
        <v>0</v>
      </c>
      <c r="M74" s="806">
        <f>(J74*M$3)</f>
        <v>0</v>
      </c>
      <c r="N74" s="806">
        <f>(J74*N$3)</f>
        <v>0</v>
      </c>
      <c r="O74" s="806">
        <f t="shared" si="80"/>
        <v>2710.0969437500003</v>
      </c>
      <c r="P74" s="533">
        <f t="shared" si="81"/>
        <v>0.19125140384615397</v>
      </c>
      <c r="Q74" s="533">
        <f>(O74-F74)/O74</f>
        <v>0.16054663459675</v>
      </c>
      <c r="R74" s="921"/>
      <c r="S74" s="921"/>
      <c r="T74" s="579">
        <v>4800</v>
      </c>
      <c r="U74" s="579">
        <f t="shared" si="82"/>
        <v>4800</v>
      </c>
      <c r="V74" s="42">
        <f t="shared" si="83"/>
        <v>3966.9421487603308</v>
      </c>
      <c r="W74" s="715">
        <f>((V74-(F74))/(F74))</f>
        <v>0.7437108346199256</v>
      </c>
      <c r="X74" s="716">
        <f>((V74-(F74))/V74)</f>
        <v>0.42651041666666673</v>
      </c>
      <c r="Y74" s="921"/>
    </row>
    <row r="75" spans="1:25" ht="15.6">
      <c r="A75" s="811" t="s">
        <v>388</v>
      </c>
      <c r="B75" s="811" t="s">
        <v>501</v>
      </c>
      <c r="C75" s="811" t="s">
        <v>502</v>
      </c>
      <c r="D75" s="535">
        <v>60</v>
      </c>
      <c r="E75" s="535">
        <f t="shared" ref="E75" si="84">(D75-(D75*25%))</f>
        <v>45</v>
      </c>
      <c r="F75" s="535">
        <f t="shared" ref="F75:F82" si="85">(E75*F$3)</f>
        <v>58500</v>
      </c>
      <c r="G75" s="805">
        <v>79605</v>
      </c>
      <c r="H75" s="804">
        <f t="shared" ref="H75:H82" si="86">(G75*1.21)</f>
        <v>96322.05</v>
      </c>
      <c r="I75" s="806">
        <f>(G75-(G75*Varta!H$3))</f>
        <v>75624.75</v>
      </c>
      <c r="J75" s="806">
        <f>(I75-(I75*Varta!I$3))</f>
        <v>73356.007500000007</v>
      </c>
      <c r="K75" s="806">
        <f t="shared" ref="K75:K82" si="87">(J75*K$3)</f>
        <v>3667.8003750000007</v>
      </c>
      <c r="L75" s="535"/>
      <c r="M75" s="535"/>
      <c r="N75" s="535"/>
      <c r="O75" s="806">
        <f t="shared" si="80"/>
        <v>69688.207125000001</v>
      </c>
      <c r="P75" s="533">
        <f t="shared" si="81"/>
        <v>0.19125140384615386</v>
      </c>
      <c r="Q75" s="533">
        <f t="shared" ref="Q75:Q82" si="88">(O75-F75)/O75</f>
        <v>0.16054663459674995</v>
      </c>
      <c r="R75" s="921"/>
      <c r="S75" s="921"/>
      <c r="T75" s="579">
        <v>135599</v>
      </c>
      <c r="U75" s="579">
        <f t="shared" si="82"/>
        <v>135600</v>
      </c>
      <c r="V75" s="42">
        <f t="shared" si="83"/>
        <v>112066.11570247934</v>
      </c>
      <c r="W75" s="715">
        <f t="shared" ref="W75:W82" si="89">((V75-(F75))/(F75))</f>
        <v>0.91566009747827926</v>
      </c>
      <c r="X75" s="716">
        <f t="shared" ref="X75:X82" si="90">((V75-(F75))/V75)</f>
        <v>0.4779867256637168</v>
      </c>
      <c r="Y75" s="921"/>
    </row>
    <row r="76" spans="1:25" ht="15.6">
      <c r="A76" s="811" t="s">
        <v>388</v>
      </c>
      <c r="B76" s="811" t="s">
        <v>503</v>
      </c>
      <c r="C76" s="811" t="s">
        <v>504</v>
      </c>
      <c r="D76" s="535">
        <v>20</v>
      </c>
      <c r="E76" s="535">
        <f>(D76-(D76*26.56%))</f>
        <v>14.687999999999999</v>
      </c>
      <c r="F76" s="535">
        <f t="shared" si="85"/>
        <v>19094.399999999998</v>
      </c>
      <c r="G76" s="805">
        <v>25983.071999999996</v>
      </c>
      <c r="H76" s="804">
        <f t="shared" si="86"/>
        <v>31439.517119999993</v>
      </c>
      <c r="I76" s="806">
        <f>(G76-(G76*Varta!H$3))</f>
        <v>24683.918399999995</v>
      </c>
      <c r="J76" s="806">
        <f>(I76-(I76*Varta!I$3))</f>
        <v>23943.400847999994</v>
      </c>
      <c r="K76" s="806">
        <f t="shared" si="87"/>
        <v>1197.1700423999998</v>
      </c>
      <c r="L76" s="535"/>
      <c r="M76" s="535"/>
      <c r="N76" s="535"/>
      <c r="O76" s="806">
        <f t="shared" si="80"/>
        <v>22746.230805599993</v>
      </c>
      <c r="P76" s="533">
        <f t="shared" si="81"/>
        <v>0.19125140384615361</v>
      </c>
      <c r="Q76" s="533">
        <f t="shared" si="88"/>
        <v>0.16054663459674975</v>
      </c>
      <c r="R76" s="921"/>
      <c r="S76" s="921"/>
      <c r="T76" s="579">
        <v>44070</v>
      </c>
      <c r="U76" s="579">
        <f t="shared" si="82"/>
        <v>44100</v>
      </c>
      <c r="V76" s="42">
        <f t="shared" si="83"/>
        <v>36446.280991735541</v>
      </c>
      <c r="W76" s="715">
        <f t="shared" si="89"/>
        <v>0.90874188200391448</v>
      </c>
      <c r="X76" s="716">
        <f t="shared" si="90"/>
        <v>0.47609469387755116</v>
      </c>
      <c r="Y76" s="921"/>
    </row>
    <row r="77" spans="1:25" ht="15.6">
      <c r="A77" s="811" t="s">
        <v>388</v>
      </c>
      <c r="B77" s="811" t="s">
        <v>505</v>
      </c>
      <c r="C77" s="811" t="s">
        <v>506</v>
      </c>
      <c r="D77" s="535">
        <v>36</v>
      </c>
      <c r="E77" s="535">
        <f t="shared" ref="E77" si="91">(D77-(D77*26.56%))</f>
        <v>26.438400000000001</v>
      </c>
      <c r="F77" s="535">
        <f t="shared" si="85"/>
        <v>34369.919999999998</v>
      </c>
      <c r="G77" s="805">
        <v>46769.529600000002</v>
      </c>
      <c r="H77" s="804">
        <f t="shared" si="86"/>
        <v>56591.130815999997</v>
      </c>
      <c r="I77" s="806">
        <f>(G77-(G77*Varta!H$3))</f>
        <v>44431.053120000004</v>
      </c>
      <c r="J77" s="806">
        <f>(I77-(I77*Varta!I$3))</f>
        <v>43098.121526400006</v>
      </c>
      <c r="K77" s="806">
        <f t="shared" si="87"/>
        <v>2154.9060763200005</v>
      </c>
      <c r="L77" s="535"/>
      <c r="M77" s="535"/>
      <c r="N77" s="535"/>
      <c r="O77" s="806">
        <f t="shared" si="80"/>
        <v>40943.215450080002</v>
      </c>
      <c r="P77" s="533">
        <f t="shared" si="81"/>
        <v>0.19125140384615397</v>
      </c>
      <c r="Q77" s="533">
        <f t="shared" si="88"/>
        <v>0.16054663459675003</v>
      </c>
      <c r="R77" s="921"/>
      <c r="S77" s="921"/>
      <c r="T77" s="579">
        <v>82799</v>
      </c>
      <c r="U77" s="579">
        <f t="shared" si="82"/>
        <v>82800</v>
      </c>
      <c r="V77" s="42">
        <f t="shared" si="83"/>
        <v>68429.752066115703</v>
      </c>
      <c r="W77" s="715">
        <f t="shared" si="89"/>
        <v>0.99097792680680397</v>
      </c>
      <c r="X77" s="716">
        <f t="shared" si="90"/>
        <v>0.49773426086956524</v>
      </c>
      <c r="Y77" s="921"/>
    </row>
    <row r="78" spans="1:25" ht="15.6">
      <c r="A78" s="811" t="s">
        <v>388</v>
      </c>
      <c r="B78" s="811" t="s">
        <v>507</v>
      </c>
      <c r="C78" s="811" t="s">
        <v>508</v>
      </c>
      <c r="D78" s="535">
        <v>65</v>
      </c>
      <c r="E78" s="535">
        <f>(D78-(D78*30.88%))</f>
        <v>44.927999999999997</v>
      </c>
      <c r="F78" s="535">
        <f t="shared" si="85"/>
        <v>58406.399999999994</v>
      </c>
      <c r="G78" s="805">
        <v>79477.631999999998</v>
      </c>
      <c r="H78" s="804">
        <f t="shared" si="86"/>
        <v>96167.93471999999</v>
      </c>
      <c r="I78" s="806">
        <f>(G78-(G78*Varta!H$3))</f>
        <v>75503.750400000004</v>
      </c>
      <c r="J78" s="806">
        <f>(I78-(I78*Varta!I$3))</f>
        <v>73238.637887999997</v>
      </c>
      <c r="K78" s="806">
        <f t="shared" si="87"/>
        <v>3661.9318944000001</v>
      </c>
      <c r="L78" s="535"/>
      <c r="M78" s="535"/>
      <c r="N78" s="535"/>
      <c r="O78" s="806">
        <f t="shared" si="80"/>
        <v>69576.705993600001</v>
      </c>
      <c r="P78" s="533">
        <f t="shared" si="81"/>
        <v>0.19125140384615397</v>
      </c>
      <c r="Q78" s="533">
        <f t="shared" si="88"/>
        <v>0.16054663459675003</v>
      </c>
      <c r="R78" s="921"/>
      <c r="S78" s="921"/>
      <c r="T78" s="579">
        <v>147999</v>
      </c>
      <c r="U78" s="579">
        <f t="shared" si="82"/>
        <v>148000</v>
      </c>
      <c r="V78" s="42">
        <f t="shared" si="83"/>
        <v>122314.04958677686</v>
      </c>
      <c r="W78" s="715">
        <f t="shared" si="89"/>
        <v>1.0941891571262203</v>
      </c>
      <c r="X78" s="716">
        <f t="shared" si="90"/>
        <v>0.52248821621621633</v>
      </c>
      <c r="Y78" s="921"/>
    </row>
    <row r="79" spans="1:25" ht="15.6">
      <c r="A79" s="811" t="s">
        <v>388</v>
      </c>
      <c r="B79" s="811" t="s">
        <v>509</v>
      </c>
      <c r="C79" s="811" t="s">
        <v>510</v>
      </c>
      <c r="D79" s="535">
        <v>10</v>
      </c>
      <c r="E79" s="535">
        <f>(D79-(D79*20%))</f>
        <v>8</v>
      </c>
      <c r="F79" s="535">
        <f t="shared" si="85"/>
        <v>10400</v>
      </c>
      <c r="G79" s="805">
        <v>14300</v>
      </c>
      <c r="H79" s="804">
        <f t="shared" si="86"/>
        <v>17303</v>
      </c>
      <c r="I79" s="806">
        <f>(G79-(G79*Varta!H$3))</f>
        <v>13585</v>
      </c>
      <c r="J79" s="806">
        <f>(I79-(I79*Varta!I$3))</f>
        <v>13177.45</v>
      </c>
      <c r="K79" s="806">
        <f t="shared" si="87"/>
        <v>658.87250000000006</v>
      </c>
      <c r="L79" s="535"/>
      <c r="M79" s="535"/>
      <c r="N79" s="535"/>
      <c r="O79" s="806">
        <f t="shared" si="80"/>
        <v>12518.577500000001</v>
      </c>
      <c r="P79" s="533">
        <f t="shared" si="81"/>
        <v>0.20370937500000011</v>
      </c>
      <c r="Q79" s="533">
        <f t="shared" si="88"/>
        <v>0.16923468341351092</v>
      </c>
      <c r="R79" s="921"/>
      <c r="S79" s="921"/>
      <c r="T79" s="579">
        <v>24399</v>
      </c>
      <c r="U79" s="579">
        <f t="shared" si="82"/>
        <v>24400</v>
      </c>
      <c r="V79" s="42">
        <f t="shared" si="83"/>
        <v>20165.289256198346</v>
      </c>
      <c r="W79" s="715">
        <f t="shared" si="89"/>
        <v>0.93897012078830255</v>
      </c>
      <c r="X79" s="716">
        <f t="shared" si="90"/>
        <v>0.48426229508196716</v>
      </c>
      <c r="Y79" s="921"/>
    </row>
    <row r="80" spans="1:25" ht="15.6">
      <c r="A80" s="811" t="s">
        <v>388</v>
      </c>
      <c r="B80" s="811" t="s">
        <v>511</v>
      </c>
      <c r="C80" s="535">
        <v>15480</v>
      </c>
      <c r="D80" s="535">
        <v>16.899999999999999</v>
      </c>
      <c r="E80" s="535">
        <f>(D80-(D80*26.56%))</f>
        <v>12.411359999999998</v>
      </c>
      <c r="F80" s="535">
        <f t="shared" si="85"/>
        <v>16134.767999999998</v>
      </c>
      <c r="G80" s="805">
        <v>22185.305999999997</v>
      </c>
      <c r="H80" s="804">
        <f t="shared" si="86"/>
        <v>26844.220259999995</v>
      </c>
      <c r="I80" s="806">
        <f>(G80-(G80*Varta!H$3))</f>
        <v>21076.040699999998</v>
      </c>
      <c r="J80" s="806">
        <f>(I80-(I80*Varta!I$3))</f>
        <v>20443.759478999997</v>
      </c>
      <c r="K80" s="806">
        <f t="shared" si="87"/>
        <v>1022.1879739499999</v>
      </c>
      <c r="L80" s="535"/>
      <c r="M80" s="535"/>
      <c r="N80" s="535"/>
      <c r="O80" s="806">
        <f t="shared" si="80"/>
        <v>19421.571505049997</v>
      </c>
      <c r="P80" s="533">
        <f t="shared" si="81"/>
        <v>0.20370937499999991</v>
      </c>
      <c r="Q80" s="533">
        <f t="shared" si="88"/>
        <v>0.16923468341351078</v>
      </c>
      <c r="R80" s="921"/>
      <c r="S80" s="921"/>
      <c r="T80" s="579">
        <v>38980</v>
      </c>
      <c r="U80" s="579">
        <f t="shared" si="82"/>
        <v>39000</v>
      </c>
      <c r="V80" s="42">
        <f t="shared" si="83"/>
        <v>32231.404958677685</v>
      </c>
      <c r="W80" s="715">
        <f t="shared" si="89"/>
        <v>0.99763671585966962</v>
      </c>
      <c r="X80" s="716">
        <f t="shared" si="90"/>
        <v>0.49940848000000004</v>
      </c>
      <c r="Y80" s="921"/>
    </row>
    <row r="81" spans="1:24" ht="15.6">
      <c r="A81" s="811" t="s">
        <v>388</v>
      </c>
      <c r="B81" s="811" t="s">
        <v>512</v>
      </c>
      <c r="C81" s="811" t="s">
        <v>513</v>
      </c>
      <c r="D81" s="535">
        <v>72</v>
      </c>
      <c r="E81" s="535">
        <f>(D81-(D81*26.56%))</f>
        <v>52.876800000000003</v>
      </c>
      <c r="F81" s="535">
        <f t="shared" si="85"/>
        <v>68739.839999999997</v>
      </c>
      <c r="G81" s="805">
        <v>94517.28</v>
      </c>
      <c r="H81" s="804">
        <f t="shared" si="86"/>
        <v>114365.90879999999</v>
      </c>
      <c r="I81" s="806">
        <f>(G81-(G81*Varta!H$3))</f>
        <v>89791.415999999997</v>
      </c>
      <c r="J81" s="806">
        <f>(I81-(I81*Varta!I$3))</f>
        <v>87097.673519999997</v>
      </c>
      <c r="K81" s="806">
        <f t="shared" si="87"/>
        <v>4354.8836760000004</v>
      </c>
      <c r="L81" s="535"/>
      <c r="M81" s="535"/>
      <c r="N81" s="535"/>
      <c r="O81" s="806">
        <f t="shared" si="80"/>
        <v>82742.789843999999</v>
      </c>
      <c r="P81" s="533">
        <f t="shared" si="81"/>
        <v>0.20370937500000005</v>
      </c>
      <c r="Q81" s="533">
        <f t="shared" si="88"/>
        <v>0.16923468341351086</v>
      </c>
      <c r="R81" s="921"/>
      <c r="S81" s="921"/>
      <c r="T81" s="579">
        <v>149080</v>
      </c>
      <c r="U81" s="950">
        <f t="shared" si="82"/>
        <v>149100</v>
      </c>
      <c r="V81" s="42">
        <f t="shared" si="83"/>
        <v>123223.14049586777</v>
      </c>
      <c r="W81" s="715">
        <f t="shared" si="89"/>
        <v>0.79260150294018406</v>
      </c>
      <c r="X81" s="716">
        <f t="shared" si="90"/>
        <v>0.4421515331991952</v>
      </c>
    </row>
    <row r="82" spans="1:24" ht="15.6">
      <c r="A82" s="811" t="s">
        <v>388</v>
      </c>
      <c r="B82" s="811" t="s">
        <v>514</v>
      </c>
      <c r="C82" s="811" t="s">
        <v>515</v>
      </c>
      <c r="D82" s="535">
        <v>20</v>
      </c>
      <c r="E82" s="535">
        <f>(D82-(D82*26.56%))</f>
        <v>14.687999999999999</v>
      </c>
      <c r="F82" s="535">
        <f t="shared" si="85"/>
        <v>19094.399999999998</v>
      </c>
      <c r="G82" s="805">
        <v>26254.799999999996</v>
      </c>
      <c r="H82" s="804">
        <f t="shared" si="86"/>
        <v>31768.307999999994</v>
      </c>
      <c r="I82" s="806">
        <f>(G82-(G82*Varta!H$3))</f>
        <v>24942.059999999998</v>
      </c>
      <c r="J82" s="806">
        <f>(I82-(I82*Varta!I$3))</f>
        <v>24193.798199999997</v>
      </c>
      <c r="K82" s="806">
        <f t="shared" si="87"/>
        <v>1209.6899099999998</v>
      </c>
      <c r="L82" s="535"/>
      <c r="M82" s="535"/>
      <c r="N82" s="535"/>
      <c r="O82" s="806">
        <f t="shared" si="80"/>
        <v>22984.108289999996</v>
      </c>
      <c r="P82" s="533">
        <f t="shared" si="81"/>
        <v>0.20370937499999994</v>
      </c>
      <c r="Q82" s="533">
        <f t="shared" si="88"/>
        <v>0.16923468341351081</v>
      </c>
      <c r="R82" s="921"/>
      <c r="S82" s="921"/>
      <c r="T82" s="579">
        <v>44070</v>
      </c>
      <c r="U82" s="950">
        <f t="shared" si="82"/>
        <v>44100</v>
      </c>
      <c r="V82" s="42">
        <f t="shared" si="83"/>
        <v>36446.280991735541</v>
      </c>
      <c r="W82" s="715">
        <f t="shared" si="89"/>
        <v>0.90874188200391448</v>
      </c>
      <c r="X82" s="716">
        <f t="shared" si="90"/>
        <v>0.47609469387755116</v>
      </c>
    </row>
  </sheetData>
  <autoFilter ref="A1:P99" xr:uid="{00000000-0001-0000-0B00-000000000000}"/>
  <conditionalFormatting sqref="C60">
    <cfRule type="expression" dxfId="19" priority="41">
      <formula>COUNTIF(C41:C85,C60)&gt;1</formula>
    </cfRule>
    <cfRule type="expression" dxfId="18" priority="42">
      <formula>#REF!="PVP CYBER"</formula>
    </cfRule>
    <cfRule type="expression" dxfId="17" priority="43">
      <formula>#REF!="40% CYBER"</formula>
    </cfRule>
    <cfRule type="expression" dxfId="16" priority="44">
      <formula>#REF!="50% CYBER"</formula>
    </cfRule>
    <cfRule type="expression" dxfId="15" priority="45">
      <formula>#REF!="20% CYBER"</formula>
    </cfRule>
    <cfRule type="expression" dxfId="14" priority="46">
      <formula>#REF!="25% CYBER"</formula>
    </cfRule>
    <cfRule type="expression" dxfId="13" priority="47">
      <formula>NOT(#REF!=0)</formula>
    </cfRule>
    <cfRule type="expression" dxfId="12" priority="48">
      <formula>#REF!="SOBRESTOCK"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CACA-C13E-4DC6-9F8F-407064E2C514}">
  <sheetPr filterMode="1"/>
  <dimension ref="A1:S478"/>
  <sheetViews>
    <sheetView workbookViewId="0">
      <pane xSplit="4" ySplit="2" topLeftCell="K41" activePane="bottomRight" state="frozen"/>
      <selection pane="topRight"/>
      <selection pane="bottomLeft"/>
      <selection pane="bottomRight" activeCell="R55" sqref="R55"/>
    </sheetView>
  </sheetViews>
  <sheetFormatPr baseColWidth="10" defaultColWidth="11.44140625" defaultRowHeight="14.4"/>
  <cols>
    <col min="1" max="1" width="9.33203125" customWidth="1"/>
    <col min="3" max="3" width="35.5546875" customWidth="1"/>
    <col min="4" max="5" width="16" customWidth="1"/>
    <col min="10" max="10" width="13" bestFit="1" customWidth="1"/>
    <col min="11" max="12" width="14.44140625" customWidth="1"/>
    <col min="15" max="15" width="12.5546875" bestFit="1" customWidth="1"/>
    <col min="16" max="18" width="12.5546875" customWidth="1"/>
  </cols>
  <sheetData>
    <row r="1" spans="1:19" ht="28.8">
      <c r="A1" s="921"/>
      <c r="B1" s="921"/>
      <c r="C1" s="921"/>
      <c r="D1" s="921"/>
      <c r="E1" s="718" t="s">
        <v>516</v>
      </c>
      <c r="F1" s="921"/>
      <c r="G1" s="921"/>
      <c r="H1" s="921"/>
      <c r="I1" s="921"/>
      <c r="J1" s="921"/>
      <c r="K1" s="921"/>
      <c r="L1" s="921"/>
      <c r="M1" s="921"/>
      <c r="N1" s="921"/>
      <c r="O1" s="921"/>
      <c r="P1" s="921"/>
      <c r="Q1" s="921"/>
      <c r="R1" s="921"/>
      <c r="S1" s="921"/>
    </row>
    <row r="2" spans="1:19">
      <c r="A2" s="113" t="s">
        <v>517</v>
      </c>
      <c r="B2" s="113" t="s">
        <v>370</v>
      </c>
      <c r="C2" s="915" t="s">
        <v>518</v>
      </c>
      <c r="D2" s="113" t="s">
        <v>519</v>
      </c>
      <c r="E2" s="828" t="s">
        <v>520</v>
      </c>
      <c r="F2" s="828">
        <v>45505</v>
      </c>
      <c r="G2" s="828">
        <v>45536</v>
      </c>
      <c r="H2" s="828">
        <v>45551</v>
      </c>
      <c r="I2" s="828">
        <v>45572</v>
      </c>
      <c r="J2" s="828">
        <v>45593</v>
      </c>
      <c r="K2" s="828">
        <v>45621</v>
      </c>
      <c r="L2" s="828">
        <v>45627</v>
      </c>
      <c r="M2" s="828">
        <v>45658</v>
      </c>
      <c r="N2" s="828">
        <v>45689</v>
      </c>
      <c r="O2" s="828">
        <v>45717</v>
      </c>
      <c r="P2" s="828">
        <v>45748</v>
      </c>
      <c r="Q2" s="828">
        <v>45778</v>
      </c>
      <c r="R2" s="828">
        <v>45809</v>
      </c>
      <c r="S2" s="828">
        <v>45839</v>
      </c>
    </row>
    <row r="3" spans="1:19" hidden="1">
      <c r="A3" s="921">
        <v>7</v>
      </c>
      <c r="B3" s="733" t="s">
        <v>521</v>
      </c>
      <c r="C3" s="733" t="s">
        <v>522</v>
      </c>
      <c r="D3" s="733" t="s">
        <v>523</v>
      </c>
      <c r="E3" s="912">
        <f>('[4]INTEC (listas)'!R2)</f>
        <v>0</v>
      </c>
      <c r="F3" s="912">
        <f>('[6]INTEC (listas)'!R2)</f>
        <v>0</v>
      </c>
      <c r="G3" s="913">
        <v>0</v>
      </c>
      <c r="H3" s="913">
        <v>0</v>
      </c>
      <c r="I3" s="913"/>
      <c r="J3" s="913"/>
      <c r="K3" s="912">
        <v>0</v>
      </c>
      <c r="L3" s="912">
        <v>0</v>
      </c>
      <c r="M3" s="912"/>
      <c r="N3" s="914"/>
      <c r="O3" s="733"/>
      <c r="P3" s="922"/>
      <c r="Q3" s="922"/>
      <c r="R3" s="922"/>
      <c r="S3" s="921"/>
    </row>
    <row r="4" spans="1:19" hidden="1">
      <c r="A4" s="921">
        <v>8</v>
      </c>
      <c r="B4" s="113" t="s">
        <v>521</v>
      </c>
      <c r="C4" s="113" t="s">
        <v>524</v>
      </c>
      <c r="D4" s="113" t="s">
        <v>525</v>
      </c>
      <c r="E4" s="657">
        <f>('[4]INTEC (listas)'!R3)</f>
        <v>0</v>
      </c>
      <c r="F4" s="657">
        <f>('[6]INTEC (listas)'!R3)</f>
        <v>0</v>
      </c>
      <c r="G4" s="113">
        <v>0</v>
      </c>
      <c r="H4" s="658">
        <v>0</v>
      </c>
      <c r="I4" s="658"/>
      <c r="J4" s="658"/>
      <c r="K4" s="657">
        <v>0</v>
      </c>
      <c r="L4" s="657">
        <v>0</v>
      </c>
      <c r="M4" s="657"/>
      <c r="N4" s="827"/>
      <c r="O4" s="113"/>
      <c r="P4" s="922"/>
      <c r="Q4" s="922"/>
      <c r="R4" s="922"/>
      <c r="S4" s="921"/>
    </row>
    <row r="5" spans="1:19" hidden="1">
      <c r="A5" s="921">
        <v>9</v>
      </c>
      <c r="B5" s="113" t="s">
        <v>521</v>
      </c>
      <c r="C5" s="113" t="s">
        <v>526</v>
      </c>
      <c r="D5" s="113" t="s">
        <v>527</v>
      </c>
      <c r="E5" s="657">
        <f>('[4]INTEC (listas)'!R4)</f>
        <v>0</v>
      </c>
      <c r="F5" s="657">
        <f>('[6]INTEC (listas)'!R4)</f>
        <v>0</v>
      </c>
      <c r="G5" s="113">
        <v>0</v>
      </c>
      <c r="H5" s="658">
        <v>0</v>
      </c>
      <c r="I5" s="658"/>
      <c r="J5" s="658"/>
      <c r="K5" s="657">
        <v>0</v>
      </c>
      <c r="L5" s="657">
        <v>0</v>
      </c>
      <c r="M5" s="657"/>
      <c r="N5" s="827"/>
      <c r="O5" s="113"/>
      <c r="P5" s="922"/>
      <c r="Q5" s="922"/>
      <c r="R5" s="922"/>
      <c r="S5" s="921"/>
    </row>
    <row r="6" spans="1:19">
      <c r="A6" s="113">
        <v>10</v>
      </c>
      <c r="B6" s="113" t="s">
        <v>521</v>
      </c>
      <c r="C6" s="113" t="s">
        <v>528</v>
      </c>
      <c r="D6" s="113" t="s">
        <v>81</v>
      </c>
      <c r="E6" s="657">
        <f>('[4]INTEC (listas)'!R5)</f>
        <v>56647.455000000002</v>
      </c>
      <c r="F6" s="657">
        <f>('[6]INTEC (listas)'!R5)</f>
        <v>51826.395000000004</v>
      </c>
      <c r="G6" s="658">
        <v>46643.755500000007</v>
      </c>
      <c r="H6" s="658">
        <v>46643.755500000007</v>
      </c>
      <c r="I6" s="658">
        <v>52210.546787500003</v>
      </c>
      <c r="J6" s="658">
        <v>52210.546787500003</v>
      </c>
      <c r="K6" s="657">
        <v>47627.082580000002</v>
      </c>
      <c r="L6" s="657">
        <v>47627.082580000002</v>
      </c>
      <c r="M6" s="657">
        <v>48445.309500000003</v>
      </c>
      <c r="N6" s="657">
        <v>49033.225079999997</v>
      </c>
      <c r="O6" s="658">
        <v>48960.8246</v>
      </c>
      <c r="P6" s="658">
        <v>54143.887000000002</v>
      </c>
      <c r="Q6" s="658">
        <v>54602.733500000002</v>
      </c>
      <c r="R6" s="658">
        <v>53445.256199999996</v>
      </c>
      <c r="S6" s="658">
        <f>('INTEC (listas)'!L5)</f>
        <v>55370.632782599998</v>
      </c>
    </row>
    <row r="7" spans="1:19">
      <c r="A7" s="113">
        <v>11</v>
      </c>
      <c r="B7" s="113" t="s">
        <v>521</v>
      </c>
      <c r="C7" s="113" t="s">
        <v>529</v>
      </c>
      <c r="D7" s="113" t="s">
        <v>83</v>
      </c>
      <c r="E7" s="657">
        <f>('[4]INTEC (listas)'!R6)</f>
        <v>60987.435000000005</v>
      </c>
      <c r="F7" s="657">
        <f>('[6]INTEC (listas)'!R6)</f>
        <v>55797.014999999999</v>
      </c>
      <c r="G7" s="658">
        <v>50217.313499999997</v>
      </c>
      <c r="H7" s="658">
        <v>50217.313499999997</v>
      </c>
      <c r="I7" s="658">
        <v>56210.598137500005</v>
      </c>
      <c r="J7" s="658">
        <v>56210.598137500005</v>
      </c>
      <c r="K7" s="657">
        <v>51275.977059999997</v>
      </c>
      <c r="L7" s="657">
        <v>51275.977059999997</v>
      </c>
      <c r="M7" s="657">
        <v>52156.891500000005</v>
      </c>
      <c r="N7" s="657">
        <v>52789.849560000002</v>
      </c>
      <c r="O7" s="658">
        <v>52711.902200000004</v>
      </c>
      <c r="P7" s="658">
        <v>58292.059000000001</v>
      </c>
      <c r="Q7" s="658">
        <v>58786.059500000003</v>
      </c>
      <c r="R7" s="658">
        <v>57539.903400000003</v>
      </c>
      <c r="S7" s="658">
        <f>('INTEC (listas)'!L6)</f>
        <v>59612.790508200007</v>
      </c>
    </row>
    <row r="8" spans="1:19">
      <c r="A8" s="113">
        <v>12</v>
      </c>
      <c r="B8" s="113" t="s">
        <v>521</v>
      </c>
      <c r="C8" s="113" t="s">
        <v>530</v>
      </c>
      <c r="D8" s="113" t="s">
        <v>531</v>
      </c>
      <c r="E8" s="657">
        <f>('[4]INTEC (listas)'!R7)</f>
        <v>60987.435000000005</v>
      </c>
      <c r="F8" s="657">
        <f>('[6]INTEC (listas)'!R7)</f>
        <v>55797.014999999999</v>
      </c>
      <c r="G8" s="658">
        <v>50217.313499999997</v>
      </c>
      <c r="H8" s="658">
        <v>50217.313499999997</v>
      </c>
      <c r="I8" s="658">
        <v>56210.598137500005</v>
      </c>
      <c r="J8" s="658">
        <v>56210.598137500005</v>
      </c>
      <c r="K8" s="657">
        <v>51275.977059999997</v>
      </c>
      <c r="L8" s="657">
        <v>51275.977059999997</v>
      </c>
      <c r="M8" s="657">
        <v>52156.891500000005</v>
      </c>
      <c r="N8" s="657">
        <v>52789.849560000002</v>
      </c>
      <c r="O8" s="658">
        <v>52711.902200000004</v>
      </c>
      <c r="P8" s="658">
        <v>58292.059000000001</v>
      </c>
      <c r="Q8" s="658">
        <v>58786.059500000003</v>
      </c>
      <c r="R8" s="658">
        <v>57539.903400000003</v>
      </c>
      <c r="S8" s="658">
        <f>('INTEC (listas)'!L7)</f>
        <v>59612.790508200007</v>
      </c>
    </row>
    <row r="9" spans="1:19">
      <c r="A9" s="113">
        <v>13</v>
      </c>
      <c r="B9" s="113" t="s">
        <v>521</v>
      </c>
      <c r="C9" s="113" t="s">
        <v>532</v>
      </c>
      <c r="D9" s="113" t="s">
        <v>533</v>
      </c>
      <c r="E9" s="657">
        <f>('[4]INTEC (listas)'!R8)</f>
        <v>58415.594999999994</v>
      </c>
      <c r="F9" s="657">
        <f>('[6]INTEC (listas)'!R8)</f>
        <v>0</v>
      </c>
      <c r="G9" s="658">
        <v>0</v>
      </c>
      <c r="H9" s="658">
        <v>0</v>
      </c>
      <c r="I9" s="658">
        <v>0</v>
      </c>
      <c r="J9" s="658">
        <v>0</v>
      </c>
      <c r="K9" s="657">
        <v>0</v>
      </c>
      <c r="L9" s="657">
        <v>44991.769899999999</v>
      </c>
      <c r="M9" s="657">
        <v>45764.722500000003</v>
      </c>
      <c r="N9" s="657">
        <v>46320.107400000008</v>
      </c>
      <c r="O9" s="658">
        <v>46251.713000000003</v>
      </c>
      <c r="P9" s="658">
        <v>51147.985000000001</v>
      </c>
      <c r="Q9" s="658">
        <v>51581.442500000005</v>
      </c>
      <c r="R9" s="658">
        <v>50488.011000000006</v>
      </c>
      <c r="S9" s="658">
        <f>('INTEC (listas)'!L8)</f>
        <v>52306.852203000002</v>
      </c>
    </row>
    <row r="10" spans="1:19">
      <c r="A10" s="113">
        <v>14</v>
      </c>
      <c r="B10" s="113" t="s">
        <v>521</v>
      </c>
      <c r="C10" s="113" t="s">
        <v>534</v>
      </c>
      <c r="D10" s="113" t="s">
        <v>535</v>
      </c>
      <c r="E10" s="657">
        <f>('[4]INTEC (listas)'!R9)</f>
        <v>57330.6</v>
      </c>
      <c r="F10" s="657">
        <f>('[6]INTEC (listas)'!R9)</f>
        <v>52451.4</v>
      </c>
      <c r="G10" s="658">
        <v>47206.259999999995</v>
      </c>
      <c r="H10" s="658">
        <v>47206.259999999995</v>
      </c>
      <c r="I10" s="658">
        <v>52840.184500000003</v>
      </c>
      <c r="J10" s="658">
        <v>52840.184500000003</v>
      </c>
      <c r="K10" s="657">
        <v>48201.445599999999</v>
      </c>
      <c r="L10" s="657">
        <v>48201.445599999999</v>
      </c>
      <c r="M10" s="657">
        <v>49029.539999999994</v>
      </c>
      <c r="N10" s="657">
        <v>49624.545599999998</v>
      </c>
      <c r="O10" s="658">
        <v>49551.271999999997</v>
      </c>
      <c r="P10" s="658">
        <v>54796.84</v>
      </c>
      <c r="Q10" s="658">
        <v>55261.219999999994</v>
      </c>
      <c r="R10" s="658">
        <v>54089.783999999992</v>
      </c>
      <c r="S10" s="658">
        <f>('INTEC (listas)'!L9)</f>
        <v>56038.379831999991</v>
      </c>
    </row>
    <row r="11" spans="1:19">
      <c r="A11" s="113">
        <v>15</v>
      </c>
      <c r="B11" s="113" t="s">
        <v>521</v>
      </c>
      <c r="C11" s="113" t="s">
        <v>536</v>
      </c>
      <c r="D11" s="113" t="s">
        <v>537</v>
      </c>
      <c r="E11" s="657">
        <f>('[4]INTEC (listas)'!R10)</f>
        <v>61081.2</v>
      </c>
      <c r="F11" s="657">
        <f>('[6]INTEC (listas)'!R10)</f>
        <v>55882.8</v>
      </c>
      <c r="G11" s="658">
        <v>50294.520000000004</v>
      </c>
      <c r="H11" s="658">
        <v>50294.520000000004</v>
      </c>
      <c r="I11" s="658">
        <v>56297.019000000008</v>
      </c>
      <c r="J11" s="658">
        <v>56297.019000000008</v>
      </c>
      <c r="K11" s="657">
        <v>51354.811200000004</v>
      </c>
      <c r="L11" s="657">
        <v>51354.811200000004</v>
      </c>
      <c r="M11" s="657">
        <v>52237.08</v>
      </c>
      <c r="N11" s="657">
        <v>52871.011200000001</v>
      </c>
      <c r="O11" s="658">
        <v>52792.944000000003</v>
      </c>
      <c r="P11" s="658">
        <v>58381.68</v>
      </c>
      <c r="Q11" s="658">
        <v>58876.44</v>
      </c>
      <c r="R11" s="658">
        <v>57628.368000000002</v>
      </c>
      <c r="S11" s="658">
        <f>('INTEC (listas)'!L10)</f>
        <v>59704.442064000003</v>
      </c>
    </row>
    <row r="12" spans="1:19">
      <c r="A12" s="113">
        <v>16</v>
      </c>
      <c r="B12" s="113" t="s">
        <v>521</v>
      </c>
      <c r="C12" s="113" t="s">
        <v>538</v>
      </c>
      <c r="D12" s="113" t="s">
        <v>539</v>
      </c>
      <c r="E12" s="657">
        <f>('[4]INTEC (listas)'!R11)</f>
        <v>62849.34</v>
      </c>
      <c r="F12" s="657">
        <f>('[6]INTEC (listas)'!R11)</f>
        <v>57500.460000000006</v>
      </c>
      <c r="G12" s="658">
        <v>51750.413999999997</v>
      </c>
      <c r="H12" s="658">
        <v>51750.413999999997</v>
      </c>
      <c r="I12" s="658">
        <v>57926.669549999999</v>
      </c>
      <c r="J12" s="658">
        <v>57926.669549999999</v>
      </c>
      <c r="K12" s="657">
        <v>52841.397840000005</v>
      </c>
      <c r="L12" s="657">
        <v>52841.397840000005</v>
      </c>
      <c r="M12" s="657">
        <v>53749.205999999998</v>
      </c>
      <c r="N12" s="657">
        <v>54401.487840000002</v>
      </c>
      <c r="O12" s="658">
        <v>54321.160799999998</v>
      </c>
      <c r="P12" s="658">
        <v>60071.675999999999</v>
      </c>
      <c r="Q12" s="658">
        <v>60580.758000000002</v>
      </c>
      <c r="R12" s="658">
        <v>59296.5576</v>
      </c>
      <c r="S12" s="658">
        <f>('INTEC (listas)'!L11)</f>
        <v>61432.728544800004</v>
      </c>
    </row>
    <row r="13" spans="1:19">
      <c r="A13" s="113">
        <v>17</v>
      </c>
      <c r="B13" s="113" t="s">
        <v>521</v>
      </c>
      <c r="C13" s="113" t="s">
        <v>540</v>
      </c>
      <c r="D13" s="113" t="s">
        <v>541</v>
      </c>
      <c r="E13" s="657">
        <f>('[4]INTEC (listas)'!R12)</f>
        <v>62849.34</v>
      </c>
      <c r="F13" s="657">
        <f>('[6]INTEC (listas)'!R12)</f>
        <v>57500.460000000006</v>
      </c>
      <c r="G13" s="658">
        <v>51750.413999999997</v>
      </c>
      <c r="H13" s="658">
        <v>51750.413999999997</v>
      </c>
      <c r="I13" s="658">
        <v>57926.669549999999</v>
      </c>
      <c r="J13" s="658">
        <v>57926.669549999999</v>
      </c>
      <c r="K13" s="657">
        <v>52841.397840000005</v>
      </c>
      <c r="L13" s="657">
        <v>52841.397840000005</v>
      </c>
      <c r="M13" s="657">
        <v>53749.205999999998</v>
      </c>
      <c r="N13" s="657">
        <v>54401.487840000002</v>
      </c>
      <c r="O13" s="658">
        <v>54321.160799999998</v>
      </c>
      <c r="P13" s="658">
        <v>60071.675999999999</v>
      </c>
      <c r="Q13" s="658">
        <v>60580.758000000002</v>
      </c>
      <c r="R13" s="658">
        <v>59296.5576</v>
      </c>
      <c r="S13" s="658">
        <f>('INTEC (listas)'!L12)</f>
        <v>61432.728544800004</v>
      </c>
    </row>
    <row r="14" spans="1:19">
      <c r="A14" s="113">
        <v>18</v>
      </c>
      <c r="B14" s="113" t="s">
        <v>521</v>
      </c>
      <c r="C14" s="113" t="s">
        <v>542</v>
      </c>
      <c r="D14" s="113" t="s">
        <v>543</v>
      </c>
      <c r="E14" s="657">
        <f>('[4]INTEC (listas)'!R13)</f>
        <v>68984.25</v>
      </c>
      <c r="F14" s="657">
        <f>('[6]INTEC (listas)'!R13)</f>
        <v>63113.249999999993</v>
      </c>
      <c r="G14" s="658">
        <v>56801.924999999996</v>
      </c>
      <c r="H14" s="658">
        <v>56801.924999999996</v>
      </c>
      <c r="I14" s="658">
        <v>63581.063124999993</v>
      </c>
      <c r="J14" s="658">
        <v>63581.063124999993</v>
      </c>
      <c r="K14" s="657">
        <v>57999.402999999998</v>
      </c>
      <c r="L14" s="657">
        <v>57999.402999999998</v>
      </c>
      <c r="M14" s="657">
        <v>58995.825000000004</v>
      </c>
      <c r="N14" s="657">
        <v>59711.777999999998</v>
      </c>
      <c r="O14" s="658">
        <v>59623.61</v>
      </c>
      <c r="P14" s="658">
        <v>65935.45</v>
      </c>
      <c r="Q14" s="658">
        <v>66494.224999999991</v>
      </c>
      <c r="R14" s="658">
        <v>65084.67</v>
      </c>
      <c r="S14" s="658">
        <f>('INTEC (listas)'!L13)</f>
        <v>67429.358909999995</v>
      </c>
    </row>
    <row r="15" spans="1:19">
      <c r="A15" s="113">
        <v>19</v>
      </c>
      <c r="B15" s="113" t="s">
        <v>521</v>
      </c>
      <c r="C15" s="113" t="s">
        <v>544</v>
      </c>
      <c r="D15" s="113" t="s">
        <v>545</v>
      </c>
      <c r="E15" s="657">
        <f>('[4]INTEC (listas)'!R14)</f>
        <v>68984.25</v>
      </c>
      <c r="F15" s="657">
        <f>('[6]INTEC (listas)'!R14)</f>
        <v>63113.249999999993</v>
      </c>
      <c r="G15" s="658">
        <v>56801.924999999996</v>
      </c>
      <c r="H15" s="658">
        <v>56801.924999999996</v>
      </c>
      <c r="I15" s="658">
        <v>63581.063124999993</v>
      </c>
      <c r="J15" s="658">
        <v>63581.063124999993</v>
      </c>
      <c r="K15" s="657">
        <v>57999.402999999998</v>
      </c>
      <c r="L15" s="657">
        <v>57999.402999999998</v>
      </c>
      <c r="M15" s="657">
        <v>58995.825000000004</v>
      </c>
      <c r="N15" s="657">
        <v>59711.777999999998</v>
      </c>
      <c r="O15" s="658">
        <v>59623.61</v>
      </c>
      <c r="P15" s="658">
        <v>65935.45</v>
      </c>
      <c r="Q15" s="658">
        <v>66494.224999999991</v>
      </c>
      <c r="R15" s="658">
        <v>65084.67</v>
      </c>
      <c r="S15" s="658">
        <f>('INTEC (listas)'!L14)</f>
        <v>67429.358909999995</v>
      </c>
    </row>
    <row r="16" spans="1:19">
      <c r="A16" s="113">
        <v>20</v>
      </c>
      <c r="B16" s="113" t="s">
        <v>521</v>
      </c>
      <c r="C16" s="113" t="s">
        <v>546</v>
      </c>
      <c r="D16" s="113" t="s">
        <v>547</v>
      </c>
      <c r="E16" s="657">
        <f>('[4]INTEC (listas)'!R15)</f>
        <v>77356.125</v>
      </c>
      <c r="F16" s="657">
        <f>('[6]INTEC (listas)'!R15)</f>
        <v>70772.625</v>
      </c>
      <c r="G16" s="658">
        <v>63695.362499999996</v>
      </c>
      <c r="H16" s="658">
        <v>63695.362499999996</v>
      </c>
      <c r="I16" s="658">
        <v>71297.211562499986</v>
      </c>
      <c r="J16" s="658">
        <v>71297.211562499986</v>
      </c>
      <c r="K16" s="657">
        <v>65038.165500000003</v>
      </c>
      <c r="L16" s="657">
        <v>65038.165500000003</v>
      </c>
      <c r="M16" s="657">
        <v>66155.512499999997</v>
      </c>
      <c r="N16" s="657">
        <v>66958.353000000003</v>
      </c>
      <c r="O16" s="658">
        <v>66859.485000000001</v>
      </c>
      <c r="P16" s="658">
        <v>73937.324999999997</v>
      </c>
      <c r="Q16" s="658">
        <v>74563.912499999991</v>
      </c>
      <c r="R16" s="658">
        <v>72983.294999999998</v>
      </c>
      <c r="S16" s="658">
        <f>('INTEC (listas)'!L15)</f>
        <v>75612.533534999995</v>
      </c>
    </row>
    <row r="17" spans="1:19">
      <c r="A17" s="113">
        <v>21</v>
      </c>
      <c r="B17" s="113" t="s">
        <v>521</v>
      </c>
      <c r="C17" s="113" t="s">
        <v>548</v>
      </c>
      <c r="D17" s="113" t="s">
        <v>549</v>
      </c>
      <c r="E17" s="657">
        <f>('[4]INTEC (listas)'!R16)</f>
        <v>77356.125</v>
      </c>
      <c r="F17" s="657">
        <f>('[6]INTEC (listas)'!R16)</f>
        <v>70772.625</v>
      </c>
      <c r="G17" s="658">
        <v>63695.362499999996</v>
      </c>
      <c r="H17" s="658">
        <v>63695.362499999996</v>
      </c>
      <c r="I17" s="658">
        <v>71297.211562499986</v>
      </c>
      <c r="J17" s="658">
        <v>71297.211562499986</v>
      </c>
      <c r="K17" s="657">
        <v>65038.165500000003</v>
      </c>
      <c r="L17" s="657">
        <v>65038.165500000003</v>
      </c>
      <c r="M17" s="657">
        <v>66155.512499999997</v>
      </c>
      <c r="N17" s="657">
        <v>66958.353000000003</v>
      </c>
      <c r="O17" s="658">
        <v>66859.485000000001</v>
      </c>
      <c r="P17" s="658">
        <v>73937.324999999997</v>
      </c>
      <c r="Q17" s="658">
        <v>74563.912499999991</v>
      </c>
      <c r="R17" s="658">
        <v>72983.294999999998</v>
      </c>
      <c r="S17" s="658">
        <f>('INTEC (listas)'!L16)</f>
        <v>75612.533534999995</v>
      </c>
    </row>
    <row r="18" spans="1:19">
      <c r="A18" s="113">
        <v>22</v>
      </c>
      <c r="B18" s="113" t="s">
        <v>521</v>
      </c>
      <c r="C18" s="113" t="s">
        <v>550</v>
      </c>
      <c r="D18" s="113" t="s">
        <v>551</v>
      </c>
      <c r="E18" s="657">
        <f>('[4]INTEC (listas)'!R17)</f>
        <v>82955.235000000015</v>
      </c>
      <c r="F18" s="657">
        <f>('[6]INTEC (listas)'!R17)</f>
        <v>75895.214999999997</v>
      </c>
      <c r="G18" s="658">
        <v>68305.693499999994</v>
      </c>
      <c r="H18" s="658">
        <v>68305.693499999994</v>
      </c>
      <c r="I18" s="658">
        <v>76457.771637500002</v>
      </c>
      <c r="J18" s="658">
        <v>76457.771637500002</v>
      </c>
      <c r="K18" s="657">
        <v>69745.689859999999</v>
      </c>
      <c r="L18" s="657">
        <v>69745.689859999999</v>
      </c>
      <c r="M18" s="657">
        <v>70943.911500000002</v>
      </c>
      <c r="N18" s="657">
        <v>71804.862359999999</v>
      </c>
      <c r="O18" s="658">
        <v>71698.838200000013</v>
      </c>
      <c r="P18" s="658">
        <v>79288.979000000007</v>
      </c>
      <c r="Q18" s="658">
        <v>79960.919500000004</v>
      </c>
      <c r="R18" s="658">
        <v>78265.895400000009</v>
      </c>
      <c r="S18" s="658">
        <f>('INTEC (listas)'!L17)</f>
        <v>81085.440724200002</v>
      </c>
    </row>
    <row r="19" spans="1:19">
      <c r="A19" s="113">
        <v>23</v>
      </c>
      <c r="B19" s="113" t="s">
        <v>521</v>
      </c>
      <c r="C19" s="113" t="s">
        <v>552</v>
      </c>
      <c r="D19" s="113" t="s">
        <v>553</v>
      </c>
      <c r="E19" s="657">
        <f>('[4]INTEC (listas)'!R18)</f>
        <v>82955.235000000015</v>
      </c>
      <c r="F19" s="657">
        <f>('[6]INTEC (listas)'!R18)</f>
        <v>75895.214999999997</v>
      </c>
      <c r="G19" s="658">
        <v>68305.693499999994</v>
      </c>
      <c r="H19" s="658">
        <v>68305.693499999994</v>
      </c>
      <c r="I19" s="658">
        <v>76457.771637500002</v>
      </c>
      <c r="J19" s="658">
        <v>76457.771637500002</v>
      </c>
      <c r="K19" s="657">
        <v>69745.689859999999</v>
      </c>
      <c r="L19" s="657">
        <v>69745.689859999999</v>
      </c>
      <c r="M19" s="657">
        <v>70943.911500000002</v>
      </c>
      <c r="N19" s="657">
        <v>71804.862359999999</v>
      </c>
      <c r="O19" s="658">
        <v>71698.838200000013</v>
      </c>
      <c r="P19" s="658">
        <v>79288.979000000007</v>
      </c>
      <c r="Q19" s="658">
        <v>79960.919500000004</v>
      </c>
      <c r="R19" s="658">
        <v>78265.895400000009</v>
      </c>
      <c r="S19" s="658">
        <f>('INTEC (listas)'!L18)</f>
        <v>81085.440724200002</v>
      </c>
    </row>
    <row r="20" spans="1:19">
      <c r="A20" s="113">
        <v>24</v>
      </c>
      <c r="B20" s="113" t="s">
        <v>521</v>
      </c>
      <c r="C20" s="113" t="s">
        <v>554</v>
      </c>
      <c r="D20" s="113" t="s">
        <v>555</v>
      </c>
      <c r="E20" s="657">
        <f>('[4]INTEC (listas)'!R19)</f>
        <v>112986.825</v>
      </c>
      <c r="F20" s="657">
        <f>('[6]INTEC (listas)'!R19)</f>
        <v>103370.925</v>
      </c>
      <c r="G20" s="658">
        <v>93033.83249999999</v>
      </c>
      <c r="H20" s="658">
        <v>93033.83249999999</v>
      </c>
      <c r="I20" s="658">
        <v>104137.13931249999</v>
      </c>
      <c r="J20" s="658">
        <v>104137.13931249999</v>
      </c>
      <c r="K20" s="657">
        <v>94995.138699999981</v>
      </c>
      <c r="L20" s="657">
        <v>94995.138699999981</v>
      </c>
      <c r="M20" s="657">
        <v>96627.142499999987</v>
      </c>
      <c r="N20" s="657">
        <v>97799.776199999993</v>
      </c>
      <c r="O20" s="658">
        <v>97655.369000000006</v>
      </c>
      <c r="P20" s="658">
        <v>107993.30499999998</v>
      </c>
      <c r="Q20" s="658">
        <v>108908.50249999999</v>
      </c>
      <c r="R20" s="658">
        <v>106599.84299999998</v>
      </c>
      <c r="S20" s="658">
        <f>('INTEC (listas)'!L19)</f>
        <v>110440.12473899998</v>
      </c>
    </row>
    <row r="21" spans="1:19">
      <c r="A21" s="113">
        <v>25</v>
      </c>
      <c r="B21" s="113" t="s">
        <v>521</v>
      </c>
      <c r="C21" s="113" t="s">
        <v>556</v>
      </c>
      <c r="D21" s="113" t="s">
        <v>557</v>
      </c>
      <c r="E21" s="657">
        <f>('[4]INTEC (listas)'!R20)</f>
        <v>89398.23</v>
      </c>
      <c r="F21" s="657">
        <f>('[6]INTEC (listas)'!R20)</f>
        <v>0</v>
      </c>
      <c r="G21" s="658">
        <v>0</v>
      </c>
      <c r="H21" s="658">
        <v>0</v>
      </c>
      <c r="I21" s="658">
        <v>0</v>
      </c>
      <c r="J21" s="658">
        <v>0</v>
      </c>
      <c r="K21" s="657">
        <v>0</v>
      </c>
      <c r="L21" s="657">
        <v>0</v>
      </c>
      <c r="M21" s="657">
        <v>0</v>
      </c>
      <c r="N21" s="657">
        <v>0</v>
      </c>
      <c r="O21" s="658">
        <v>0</v>
      </c>
      <c r="P21" s="658">
        <v>0</v>
      </c>
      <c r="Q21" s="658">
        <v>0</v>
      </c>
      <c r="R21" s="658">
        <v>0</v>
      </c>
      <c r="S21" s="658">
        <f>('INTEC (listas)'!L20)</f>
        <v>0</v>
      </c>
    </row>
    <row r="22" spans="1:19">
      <c r="A22" s="113">
        <v>26</v>
      </c>
      <c r="B22" s="113" t="s">
        <v>521</v>
      </c>
      <c r="C22" s="113" t="s">
        <v>558</v>
      </c>
      <c r="D22" s="113" t="s">
        <v>559</v>
      </c>
      <c r="E22" s="657">
        <f>('[4]INTEC (listas)'!R21)</f>
        <v>89398.23</v>
      </c>
      <c r="F22" s="657">
        <f>('[6]INTEC (listas)'!R21)</f>
        <v>0</v>
      </c>
      <c r="G22" s="658">
        <v>0</v>
      </c>
      <c r="H22" s="658">
        <v>0</v>
      </c>
      <c r="I22" s="658">
        <v>0</v>
      </c>
      <c r="J22" s="658">
        <v>0</v>
      </c>
      <c r="K22" s="657">
        <v>0</v>
      </c>
      <c r="L22" s="657">
        <v>0</v>
      </c>
      <c r="M22" s="657">
        <v>0</v>
      </c>
      <c r="N22" s="657">
        <v>0</v>
      </c>
      <c r="O22" s="658">
        <v>0</v>
      </c>
      <c r="P22" s="658">
        <v>0</v>
      </c>
      <c r="Q22" s="658">
        <v>0</v>
      </c>
      <c r="R22" s="658">
        <v>0</v>
      </c>
      <c r="S22" s="658">
        <f>('INTEC (listas)'!L21)</f>
        <v>0</v>
      </c>
    </row>
    <row r="23" spans="1:19">
      <c r="A23" s="113">
        <v>27</v>
      </c>
      <c r="B23" s="113" t="s">
        <v>521</v>
      </c>
      <c r="C23" s="113" t="s">
        <v>560</v>
      </c>
      <c r="D23" s="113" t="s">
        <v>561</v>
      </c>
      <c r="E23" s="657">
        <f>('[4]INTEC (listas)'!R22)</f>
        <v>69346.2</v>
      </c>
      <c r="F23" s="657">
        <f>('[6]INTEC (listas)'!R22)</f>
        <v>74583.929999999993</v>
      </c>
      <c r="G23" s="658">
        <v>67125.536999999997</v>
      </c>
      <c r="H23" s="658">
        <v>67125.536999999997</v>
      </c>
      <c r="I23" s="658">
        <v>75136.767025000008</v>
      </c>
      <c r="J23" s="658">
        <v>75136.767025000008</v>
      </c>
      <c r="K23" s="657">
        <v>68540.653720000002</v>
      </c>
      <c r="L23" s="657">
        <v>68540.653720000002</v>
      </c>
      <c r="M23" s="657">
        <v>69718.172999999995</v>
      </c>
      <c r="N23" s="657">
        <v>70564.248720000003</v>
      </c>
      <c r="O23" s="658">
        <v>70460.056400000001</v>
      </c>
      <c r="P23" s="658">
        <v>77919.058000000005</v>
      </c>
      <c r="Q23" s="658">
        <v>78579.38900000001</v>
      </c>
      <c r="R23" s="658">
        <v>76913.650800000003</v>
      </c>
      <c r="S23" s="658">
        <f>('INTEC (listas)'!L22)</f>
        <v>79684.481228399993</v>
      </c>
    </row>
    <row r="24" spans="1:19">
      <c r="A24" s="113">
        <v>28</v>
      </c>
      <c r="B24" s="113" t="s">
        <v>521</v>
      </c>
      <c r="C24" s="113" t="s">
        <v>562</v>
      </c>
      <c r="D24" s="113" t="s">
        <v>563</v>
      </c>
      <c r="E24" s="657">
        <f>('[4]INTEC (listas)'!R23)</f>
        <v>86504.91</v>
      </c>
      <c r="F24" s="657">
        <f>('[6]INTEC (listas)'!R23)</f>
        <v>79142.790000000008</v>
      </c>
      <c r="G24" s="658">
        <v>71228.511000000013</v>
      </c>
      <c r="H24" s="658">
        <v>71228.511000000013</v>
      </c>
      <c r="I24" s="658">
        <v>79729.418575000018</v>
      </c>
      <c r="J24" s="658">
        <v>79729.418575000018</v>
      </c>
      <c r="K24" s="657">
        <v>72730.125159999996</v>
      </c>
      <c r="L24" s="657">
        <v>72730.125159999996</v>
      </c>
      <c r="M24" s="657">
        <v>73979.618999999992</v>
      </c>
      <c r="N24" s="657">
        <v>74877.410159999999</v>
      </c>
      <c r="O24" s="658">
        <v>74766.849199999997</v>
      </c>
      <c r="P24" s="658">
        <v>82681.774000000005</v>
      </c>
      <c r="Q24" s="658">
        <v>83382.467000000004</v>
      </c>
      <c r="R24" s="658">
        <v>81614.912400000001</v>
      </c>
      <c r="S24" s="658">
        <f>('INTEC (listas)'!L23)</f>
        <v>84555.106765200006</v>
      </c>
    </row>
    <row r="25" spans="1:19">
      <c r="A25" s="113">
        <v>29</v>
      </c>
      <c r="B25" s="113" t="s">
        <v>521</v>
      </c>
      <c r="C25" s="113" t="s">
        <v>564</v>
      </c>
      <c r="D25" s="113" t="s">
        <v>565</v>
      </c>
      <c r="E25" s="657">
        <f>('[4]INTEC (listas)'!R24)</f>
        <v>86504.91</v>
      </c>
      <c r="F25" s="657">
        <f>('[6]INTEC (listas)'!R24)</f>
        <v>79142.790000000008</v>
      </c>
      <c r="G25" s="658">
        <v>71228.511000000013</v>
      </c>
      <c r="H25" s="658">
        <v>71228.511000000013</v>
      </c>
      <c r="I25" s="658">
        <v>79729.418575000018</v>
      </c>
      <c r="J25" s="658">
        <v>79729.418575000018</v>
      </c>
      <c r="K25" s="657">
        <v>72730.125159999996</v>
      </c>
      <c r="L25" s="657">
        <v>72730.125159999996</v>
      </c>
      <c r="M25" s="657">
        <v>73979.618999999992</v>
      </c>
      <c r="N25" s="657">
        <v>74877.410159999999</v>
      </c>
      <c r="O25" s="658">
        <v>74766.849199999997</v>
      </c>
      <c r="P25" s="658">
        <v>82681.774000000005</v>
      </c>
      <c r="Q25" s="658">
        <v>83382.467000000004</v>
      </c>
      <c r="R25" s="658">
        <v>81614.912400000001</v>
      </c>
      <c r="S25" s="658">
        <f>('INTEC (listas)'!L24)</f>
        <v>84555.106765200006</v>
      </c>
    </row>
    <row r="26" spans="1:19">
      <c r="A26" s="113">
        <v>30</v>
      </c>
      <c r="B26" s="113" t="s">
        <v>521</v>
      </c>
      <c r="C26" s="113" t="s">
        <v>566</v>
      </c>
      <c r="D26" s="113" t="s">
        <v>567</v>
      </c>
      <c r="E26" s="657">
        <f>('[4]INTEC (listas)'!R25)</f>
        <v>105646.36500000001</v>
      </c>
      <c r="F26" s="657">
        <f>('[6]INTEC (listas)'!R25)</f>
        <v>96655.184999999998</v>
      </c>
      <c r="G26" s="658">
        <v>86989.666500000007</v>
      </c>
      <c r="H26" s="658">
        <v>86989.666500000007</v>
      </c>
      <c r="I26" s="658">
        <v>97371.620362500005</v>
      </c>
      <c r="J26" s="658">
        <v>97371.620362500005</v>
      </c>
      <c r="K26" s="657">
        <v>88823.551739999995</v>
      </c>
      <c r="L26" s="657">
        <v>88823.551739999995</v>
      </c>
      <c r="M26" s="657">
        <v>90349.528500000015</v>
      </c>
      <c r="N26" s="657">
        <v>91445.979240000001</v>
      </c>
      <c r="O26" s="658">
        <v>91310.953800000018</v>
      </c>
      <c r="P26" s="658">
        <v>100977.26100000001</v>
      </c>
      <c r="Q26" s="658">
        <v>101833.00050000001</v>
      </c>
      <c r="R26" s="658">
        <v>99674.328599999993</v>
      </c>
      <c r="S26" s="658">
        <f>('INTEC (listas)'!L25)</f>
        <v>103265.11722780002</v>
      </c>
    </row>
    <row r="27" spans="1:19">
      <c r="A27" s="113">
        <v>31</v>
      </c>
      <c r="B27" s="113" t="s">
        <v>521</v>
      </c>
      <c r="C27" s="113" t="s">
        <v>568</v>
      </c>
      <c r="D27" s="113" t="s">
        <v>569</v>
      </c>
      <c r="E27" s="657">
        <f>('[4]INTEC (listas)'!R26)</f>
        <v>105646.36500000001</v>
      </c>
      <c r="F27" s="657">
        <f>('[6]INTEC (listas)'!R26)</f>
        <v>96655.184999999998</v>
      </c>
      <c r="G27" s="658">
        <v>86989.666500000007</v>
      </c>
      <c r="H27" s="658">
        <v>86989.666500000007</v>
      </c>
      <c r="I27" s="658">
        <v>97371.620362500005</v>
      </c>
      <c r="J27" s="658">
        <v>97371.620362500005</v>
      </c>
      <c r="K27" s="657">
        <v>88823.551739999995</v>
      </c>
      <c r="L27" s="657">
        <v>88823.551739999995</v>
      </c>
      <c r="M27" s="657">
        <v>90349.528500000015</v>
      </c>
      <c r="N27" s="657">
        <v>91445.979240000001</v>
      </c>
      <c r="O27" s="658">
        <v>91310.953800000018</v>
      </c>
      <c r="P27" s="658">
        <v>100977.26100000001</v>
      </c>
      <c r="Q27" s="658">
        <v>101833.00050000001</v>
      </c>
      <c r="R27" s="658">
        <v>99674.328599999993</v>
      </c>
      <c r="S27" s="658">
        <f>('INTEC (listas)'!L26)</f>
        <v>103265.11722780002</v>
      </c>
    </row>
    <row r="28" spans="1:19">
      <c r="A28" s="113">
        <v>32</v>
      </c>
      <c r="B28" s="113" t="s">
        <v>521</v>
      </c>
      <c r="C28" s="113" t="s">
        <v>570</v>
      </c>
      <c r="D28" s="113" t="s">
        <v>571</v>
      </c>
      <c r="E28" s="657">
        <f>('[4]INTEC (listas)'!R27)</f>
        <v>127167</v>
      </c>
      <c r="F28" s="657">
        <f>('[6]INTEC (listas)'!R27)</f>
        <v>127167</v>
      </c>
      <c r="G28" s="658">
        <v>114450.29999999999</v>
      </c>
      <c r="H28" s="658">
        <v>114450.29999999999</v>
      </c>
      <c r="I28" s="658">
        <v>128109.59749999999</v>
      </c>
      <c r="J28" s="658">
        <v>128109.59749999999</v>
      </c>
      <c r="K28" s="657">
        <v>125627.83309999999</v>
      </c>
      <c r="L28" s="657">
        <v>125627.83309999999</v>
      </c>
      <c r="M28" s="657">
        <v>127786.10249999999</v>
      </c>
      <c r="N28" s="657">
        <v>129336.87059999999</v>
      </c>
      <c r="O28" s="658">
        <v>129145.897</v>
      </c>
      <c r="P28" s="658">
        <v>142817.465</v>
      </c>
      <c r="Q28" s="658">
        <v>144027.7825</v>
      </c>
      <c r="R28" s="658">
        <v>140974.65899999999</v>
      </c>
      <c r="S28" s="658">
        <f>('INTEC (listas)'!L27)</f>
        <v>0</v>
      </c>
    </row>
    <row r="29" spans="1:19">
      <c r="A29" s="113">
        <v>33</v>
      </c>
      <c r="B29" s="113" t="s">
        <v>521</v>
      </c>
      <c r="C29" s="113" t="s">
        <v>572</v>
      </c>
      <c r="D29" s="113" t="s">
        <v>573</v>
      </c>
      <c r="E29" s="657">
        <f>('[4]INTEC (listas)'!R28)</f>
        <v>108820.98</v>
      </c>
      <c r="F29" s="657">
        <f>('[6]INTEC (listas)'!R28)</f>
        <v>99559.62</v>
      </c>
      <c r="G29" s="658">
        <v>89603.657999999996</v>
      </c>
      <c r="H29" s="658">
        <v>89603.657999999996</v>
      </c>
      <c r="I29" s="658">
        <v>100297.58385</v>
      </c>
      <c r="J29" s="658">
        <v>100297.58385</v>
      </c>
      <c r="K29" s="657">
        <v>91492.650479999997</v>
      </c>
      <c r="L29" s="657">
        <v>91492.650479999997</v>
      </c>
      <c r="M29" s="657">
        <v>93064.481999999989</v>
      </c>
      <c r="N29" s="657">
        <v>94193.880479999993</v>
      </c>
      <c r="O29" s="658">
        <v>94054.797600000005</v>
      </c>
      <c r="P29" s="658">
        <v>104011.572</v>
      </c>
      <c r="Q29" s="658">
        <v>104893.026</v>
      </c>
      <c r="R29" s="658">
        <v>102669.48719999999</v>
      </c>
      <c r="S29" s="658">
        <f>('INTEC (listas)'!L28)</f>
        <v>106368.17704559998</v>
      </c>
    </row>
    <row r="30" spans="1:19">
      <c r="A30" s="113">
        <v>34</v>
      </c>
      <c r="B30" s="113" t="s">
        <v>521</v>
      </c>
      <c r="C30" s="113" t="s">
        <v>574</v>
      </c>
      <c r="D30" s="113" t="s">
        <v>575</v>
      </c>
      <c r="E30" s="657">
        <f>('[4]INTEC (listas)'!R29)</f>
        <v>125725.47</v>
      </c>
      <c r="F30" s="657">
        <f>('[6]INTEC (listas)'!R29)</f>
        <v>115025.43</v>
      </c>
      <c r="G30" s="658">
        <v>103522.887</v>
      </c>
      <c r="H30" s="658">
        <v>103522.887</v>
      </c>
      <c r="I30" s="658">
        <v>115878.03077500001</v>
      </c>
      <c r="J30" s="658">
        <v>115878.03077500001</v>
      </c>
      <c r="K30" s="657">
        <v>105705.31972</v>
      </c>
      <c r="L30" s="657">
        <v>105705.31972</v>
      </c>
      <c r="M30" s="657">
        <v>107521.32299999999</v>
      </c>
      <c r="N30" s="657">
        <v>108826.16471999999</v>
      </c>
      <c r="O30" s="658">
        <v>108665.4764</v>
      </c>
      <c r="P30" s="658">
        <v>120168.958</v>
      </c>
      <c r="Q30" s="658">
        <v>121187.33899999999</v>
      </c>
      <c r="R30" s="658">
        <v>118618.39080000001</v>
      </c>
      <c r="S30" s="658">
        <f>('INTEC (listas)'!L29)</f>
        <v>122891.64324840001</v>
      </c>
    </row>
    <row r="31" spans="1:19">
      <c r="A31" s="113">
        <v>35</v>
      </c>
      <c r="B31" s="113" t="s">
        <v>521</v>
      </c>
      <c r="C31" s="113" t="s">
        <v>576</v>
      </c>
      <c r="D31" s="113" t="s">
        <v>577</v>
      </c>
      <c r="E31" s="657">
        <f>('[4]INTEC (listas)'!R30)</f>
        <v>0</v>
      </c>
      <c r="F31" s="657">
        <f>('[6]INTEC (listas)'!R30)</f>
        <v>0</v>
      </c>
      <c r="G31" s="658">
        <v>0</v>
      </c>
      <c r="H31" s="658">
        <v>0</v>
      </c>
      <c r="I31" s="658">
        <v>0</v>
      </c>
      <c r="J31" s="658">
        <v>0</v>
      </c>
      <c r="K31" s="657">
        <v>0</v>
      </c>
      <c r="L31" s="657">
        <v>0</v>
      </c>
      <c r="M31" s="657">
        <v>0</v>
      </c>
      <c r="N31" s="657">
        <v>153604.20095999996</v>
      </c>
      <c r="O31" s="658">
        <v>153377.3952</v>
      </c>
      <c r="P31" s="658">
        <v>144174.58299999998</v>
      </c>
      <c r="Q31" s="658">
        <v>145396.40150000001</v>
      </c>
      <c r="R31" s="658">
        <v>142314.26579999999</v>
      </c>
      <c r="S31" s="658">
        <f>('INTEC (listas)'!L30)</f>
        <v>147441.1671234</v>
      </c>
    </row>
    <row r="32" spans="1:19">
      <c r="A32" s="113">
        <v>36</v>
      </c>
      <c r="B32" s="113" t="s">
        <v>521</v>
      </c>
      <c r="C32" s="113" t="s">
        <v>578</v>
      </c>
      <c r="D32" s="113" t="s">
        <v>579</v>
      </c>
      <c r="E32" s="657">
        <f>('[4]INTEC (listas)'!R31)</f>
        <v>188293.51499999998</v>
      </c>
      <c r="F32" s="657">
        <f>('[6]INTEC (listas)'!R31)</f>
        <v>172268.535</v>
      </c>
      <c r="G32" s="658">
        <v>155041.68150000001</v>
      </c>
      <c r="H32" s="658">
        <v>155041.68150000001</v>
      </c>
      <c r="I32" s="658">
        <v>173545.4377375</v>
      </c>
      <c r="J32" s="658">
        <v>173545.4377375</v>
      </c>
      <c r="K32" s="657">
        <v>158310.21513999999</v>
      </c>
      <c r="L32" s="657">
        <v>158310.21513999999</v>
      </c>
      <c r="M32" s="657">
        <v>161029.96349999998</v>
      </c>
      <c r="N32" s="657">
        <v>162984.16764</v>
      </c>
      <c r="O32" s="658">
        <v>162743.51179999998</v>
      </c>
      <c r="P32" s="658">
        <v>165568.39599999998</v>
      </c>
      <c r="Q32" s="658">
        <v>166971.51799999998</v>
      </c>
      <c r="R32" s="658">
        <v>163432.02960000001</v>
      </c>
      <c r="S32" s="658">
        <f>('INTEC (listas)'!L31)</f>
        <v>169319.70280080001</v>
      </c>
    </row>
    <row r="33" spans="1:19">
      <c r="A33" s="113">
        <v>37</v>
      </c>
      <c r="B33" s="113" t="s">
        <v>521</v>
      </c>
      <c r="C33" s="113" t="s">
        <v>580</v>
      </c>
      <c r="D33" s="113" t="s">
        <v>581</v>
      </c>
      <c r="E33" s="657">
        <f>('[4]INTEC (listas)'!R32)</f>
        <v>200255.25</v>
      </c>
      <c r="F33" s="657">
        <f>('[6]INTEC (listas)'!R32)</f>
        <v>183212.25</v>
      </c>
      <c r="G33" s="658">
        <v>164891.02499999999</v>
      </c>
      <c r="H33" s="658">
        <v>164891.02499999999</v>
      </c>
      <c r="I33" s="658">
        <v>184570.270625</v>
      </c>
      <c r="J33" s="658">
        <v>184570.270625</v>
      </c>
      <c r="K33" s="657">
        <v>168367.19899999999</v>
      </c>
      <c r="L33" s="657">
        <v>168367.19899999999</v>
      </c>
      <c r="M33" s="657">
        <v>171259.72500000001</v>
      </c>
      <c r="N33" s="657">
        <v>173338.07399999999</v>
      </c>
      <c r="O33" s="658">
        <v>173082.13</v>
      </c>
      <c r="P33" s="658">
        <v>166528.62099999998</v>
      </c>
      <c r="Q33" s="658">
        <v>167939.8805</v>
      </c>
      <c r="R33" s="658">
        <v>164379.86459999997</v>
      </c>
      <c r="S33" s="658">
        <f>('INTEC (listas)'!L32)</f>
        <v>170301.68375579998</v>
      </c>
    </row>
    <row r="34" spans="1:19">
      <c r="A34" s="113">
        <v>38</v>
      </c>
      <c r="B34" s="113" t="s">
        <v>521</v>
      </c>
      <c r="C34" s="113" t="s">
        <v>582</v>
      </c>
      <c r="D34" s="113" t="s">
        <v>583</v>
      </c>
      <c r="E34" s="657">
        <f>('[4]INTEC (listas)'!R33)</f>
        <v>230059.125</v>
      </c>
      <c r="F34" s="657">
        <f>('[6]INTEC (listas)'!R33)</f>
        <v>210479.625</v>
      </c>
      <c r="G34" s="658">
        <v>189431.66250000001</v>
      </c>
      <c r="H34" s="658">
        <v>189431.66250000001</v>
      </c>
      <c r="I34" s="658">
        <v>212039.7590625</v>
      </c>
      <c r="J34" s="113">
        <v>212039.7590625</v>
      </c>
      <c r="K34" s="657">
        <v>193425.19349999999</v>
      </c>
      <c r="L34" s="657">
        <v>193425.19349999999</v>
      </c>
      <c r="M34" s="657">
        <v>196748.21250000002</v>
      </c>
      <c r="N34" s="657">
        <v>199135.88099999999</v>
      </c>
      <c r="O34" s="658">
        <v>198841.84500000003</v>
      </c>
      <c r="P34" s="658">
        <v>202300.20299999998</v>
      </c>
      <c r="Q34" s="658">
        <v>204014.61149999997</v>
      </c>
      <c r="R34" s="658">
        <v>199689.87779999999</v>
      </c>
      <c r="S34" s="658">
        <f>('INTEC (listas)'!L33)</f>
        <v>206883.74759940003</v>
      </c>
    </row>
    <row r="35" spans="1:19">
      <c r="A35" s="113">
        <v>39</v>
      </c>
      <c r="B35" s="113" t="s">
        <v>521</v>
      </c>
      <c r="C35" s="113" t="s">
        <v>584</v>
      </c>
      <c r="D35" s="113" t="s">
        <v>585</v>
      </c>
      <c r="E35" s="657">
        <f>('[4]INTEC (listas)'!R34)</f>
        <v>233568.61499999999</v>
      </c>
      <c r="F35" s="657">
        <f>('[6]INTEC (listas)'!R34)</f>
        <v>213690.435</v>
      </c>
      <c r="G35" s="658">
        <v>192321.39150000003</v>
      </c>
      <c r="H35" s="658">
        <v>192321.39150000003</v>
      </c>
      <c r="I35" s="658">
        <v>215274.3684875</v>
      </c>
      <c r="J35" s="113">
        <v>215274.3684875</v>
      </c>
      <c r="K35" s="657">
        <v>196375.84273999999</v>
      </c>
      <c r="L35" s="657">
        <v>196375.84273999999</v>
      </c>
      <c r="M35" s="657">
        <v>199749.55350000001</v>
      </c>
      <c r="N35" s="657">
        <v>202173.64524000001</v>
      </c>
      <c r="O35" s="658">
        <v>201875.1238</v>
      </c>
      <c r="P35" s="658">
        <v>205385.726</v>
      </c>
      <c r="Q35" s="658">
        <v>207126.283</v>
      </c>
      <c r="R35" s="658">
        <v>202735.5876</v>
      </c>
      <c r="S35" s="658">
        <f>('INTEC (listas)'!L34)</f>
        <v>210039.17973479995</v>
      </c>
    </row>
    <row r="36" spans="1:19">
      <c r="A36" s="113">
        <v>40</v>
      </c>
      <c r="B36" s="113" t="s">
        <v>521</v>
      </c>
      <c r="C36" s="113" t="s">
        <v>586</v>
      </c>
      <c r="D36" s="113" t="s">
        <v>587</v>
      </c>
      <c r="E36" s="657">
        <f>('[4]INTEC (listas)'!R35)</f>
        <v>314755.70999999996</v>
      </c>
      <c r="F36" s="657">
        <f>('[6]INTEC (listas)'!R35)</f>
        <v>287967.99</v>
      </c>
      <c r="G36" s="658">
        <v>259171.19099999999</v>
      </c>
      <c r="H36" s="658">
        <v>259171.19099999999</v>
      </c>
      <c r="I36" s="658">
        <v>290102.48957499996</v>
      </c>
      <c r="J36" s="113">
        <v>290102.48957499996</v>
      </c>
      <c r="K36" s="657">
        <v>264634.94595999998</v>
      </c>
      <c r="L36" s="657">
        <v>264634.94595999998</v>
      </c>
      <c r="M36" s="657">
        <v>269181.33899999998</v>
      </c>
      <c r="N36" s="657">
        <v>272448.03096</v>
      </c>
      <c r="O36" s="658">
        <v>272045.7452</v>
      </c>
      <c r="P36" s="658">
        <v>270757.84399999998</v>
      </c>
      <c r="Q36" s="658">
        <v>273052.402</v>
      </c>
      <c r="R36" s="658">
        <v>267264.19439999998</v>
      </c>
      <c r="S36" s="658">
        <f>('INTEC (listas)'!L35)</f>
        <v>276892.44315119996</v>
      </c>
    </row>
    <row r="37" spans="1:19">
      <c r="A37" s="113">
        <v>41</v>
      </c>
      <c r="B37" s="113" t="s">
        <v>588</v>
      </c>
      <c r="C37" s="113" t="s">
        <v>589</v>
      </c>
      <c r="D37" s="113" t="s">
        <v>590</v>
      </c>
      <c r="E37" s="657">
        <f>('[4]INTEC (listas)'!R36)</f>
        <v>0</v>
      </c>
      <c r="F37" s="657">
        <f>('[6]INTEC (listas)'!R36)</f>
        <v>0</v>
      </c>
      <c r="G37" s="658">
        <v>0</v>
      </c>
      <c r="H37" s="658">
        <v>0</v>
      </c>
      <c r="I37" s="658"/>
      <c r="J37" s="113"/>
      <c r="K37" s="657">
        <v>0</v>
      </c>
      <c r="L37" s="657">
        <v>0</v>
      </c>
      <c r="M37" s="657"/>
      <c r="N37" s="657">
        <v>0</v>
      </c>
      <c r="O37" s="658">
        <v>0</v>
      </c>
      <c r="P37" s="658">
        <v>10</v>
      </c>
      <c r="Q37" s="658">
        <v>10</v>
      </c>
      <c r="R37" s="658">
        <v>10</v>
      </c>
      <c r="S37" s="658">
        <f>('INTEC (listas)'!L36)</f>
        <v>10</v>
      </c>
    </row>
    <row r="38" spans="1:19">
      <c r="A38" s="113">
        <v>42</v>
      </c>
      <c r="B38" s="113" t="s">
        <v>588</v>
      </c>
      <c r="C38" s="113" t="s">
        <v>591</v>
      </c>
      <c r="D38" s="113" t="s">
        <v>592</v>
      </c>
      <c r="E38" s="657">
        <f>('[4]INTEC (listas)'!R37)</f>
        <v>0</v>
      </c>
      <c r="F38" s="657">
        <f>('[6]INTEC (listas)'!R37)</f>
        <v>0</v>
      </c>
      <c r="G38" s="658">
        <v>0</v>
      </c>
      <c r="H38" s="658">
        <v>0</v>
      </c>
      <c r="I38" s="658"/>
      <c r="J38" s="113"/>
      <c r="K38" s="657">
        <v>0</v>
      </c>
      <c r="L38" s="657">
        <v>0</v>
      </c>
      <c r="M38" s="657"/>
      <c r="N38" s="657">
        <v>0</v>
      </c>
      <c r="O38" s="658">
        <v>0</v>
      </c>
      <c r="P38" s="658">
        <v>10</v>
      </c>
      <c r="Q38" s="658">
        <v>10</v>
      </c>
      <c r="R38" s="658">
        <v>10</v>
      </c>
      <c r="S38" s="658">
        <f>('INTEC (listas)'!L37)</f>
        <v>10</v>
      </c>
    </row>
    <row r="39" spans="1:19">
      <c r="A39" s="113">
        <v>43</v>
      </c>
      <c r="B39" s="113" t="s">
        <v>588</v>
      </c>
      <c r="C39" s="113" t="s">
        <v>593</v>
      </c>
      <c r="D39" s="113" t="s">
        <v>594</v>
      </c>
      <c r="E39" s="657">
        <f>('[4]INTEC (listas)'!R38)</f>
        <v>42162.76</v>
      </c>
      <c r="F39" s="657">
        <f>('[6]INTEC (listas)'!R38)</f>
        <v>46379.036</v>
      </c>
      <c r="G39" s="658">
        <v>46379.036</v>
      </c>
      <c r="H39" s="658">
        <v>46379.036</v>
      </c>
      <c r="I39" s="658">
        <v>46379.036</v>
      </c>
      <c r="J39" s="113">
        <v>46379.036</v>
      </c>
      <c r="K39" s="657">
        <v>46379.036</v>
      </c>
      <c r="L39" s="657">
        <v>46379.036</v>
      </c>
      <c r="M39" s="657">
        <v>46379.036</v>
      </c>
      <c r="N39" s="657">
        <v>42269.853410399999</v>
      </c>
      <c r="O39" s="658">
        <v>42269.853410399999</v>
      </c>
      <c r="P39" s="658">
        <v>46597.895147999996</v>
      </c>
      <c r="Q39" s="658">
        <v>48571.428999999996</v>
      </c>
      <c r="R39" s="658">
        <v>48571.428999999996</v>
      </c>
      <c r="S39" s="658">
        <f>('INTEC (listas)'!L38)</f>
        <v>50028.57187</v>
      </c>
    </row>
    <row r="40" spans="1:19">
      <c r="A40" s="113">
        <v>44</v>
      </c>
      <c r="B40" s="113" t="s">
        <v>588</v>
      </c>
      <c r="C40" s="113" t="s">
        <v>595</v>
      </c>
      <c r="D40" s="113" t="s">
        <v>596</v>
      </c>
      <c r="E40" s="657">
        <f>('[4]INTEC (listas)'!R39)</f>
        <v>47349.26</v>
      </c>
      <c r="F40" s="657">
        <f>('[6]INTEC (listas)'!R39)</f>
        <v>52084.186000000002</v>
      </c>
      <c r="G40" s="658">
        <v>52084.186000000002</v>
      </c>
      <c r="H40" s="658">
        <v>52084.186000000002</v>
      </c>
      <c r="I40" s="658">
        <v>52084.186000000002</v>
      </c>
      <c r="J40" s="113">
        <v>52084.186000000002</v>
      </c>
      <c r="K40" s="657">
        <v>52084.186000000002</v>
      </c>
      <c r="L40" s="657">
        <v>52084.186000000002</v>
      </c>
      <c r="M40" s="657">
        <v>45756.479250000004</v>
      </c>
      <c r="N40" s="657">
        <v>47201.420700000002</v>
      </c>
      <c r="O40" s="658">
        <v>47201.420700000002</v>
      </c>
      <c r="P40" s="658">
        <v>48617.463321000003</v>
      </c>
      <c r="Q40" s="658">
        <v>52069.303216790999</v>
      </c>
      <c r="R40" s="658">
        <v>53631.382313294729</v>
      </c>
      <c r="S40" s="658">
        <f>('INTEC (listas)'!L39)</f>
        <v>55240.233300000007</v>
      </c>
    </row>
    <row r="41" spans="1:19">
      <c r="A41" s="113">
        <v>45</v>
      </c>
      <c r="B41" s="113" t="s">
        <v>588</v>
      </c>
      <c r="C41" s="113" t="s">
        <v>597</v>
      </c>
      <c r="D41" s="113" t="s">
        <v>598</v>
      </c>
      <c r="E41" s="657">
        <f>('[4]INTEC (listas)'!R40)</f>
        <v>49140</v>
      </c>
      <c r="F41" s="657">
        <f>('[6]INTEC (listas)'!R40)</f>
        <v>53071.200000000004</v>
      </c>
      <c r="G41" s="658">
        <v>53071.200000000004</v>
      </c>
      <c r="H41" s="658">
        <v>53071.200000000004</v>
      </c>
      <c r="I41" s="658">
        <v>53071.200000000004</v>
      </c>
      <c r="J41" s="113">
        <v>53071.200000000004</v>
      </c>
      <c r="K41" s="657">
        <v>53071.200000000004</v>
      </c>
      <c r="L41" s="657">
        <v>53071.200000000004</v>
      </c>
      <c r="M41" s="657">
        <v>53071.200000000004</v>
      </c>
      <c r="N41" s="657">
        <v>53071.200000000004</v>
      </c>
      <c r="O41" s="658">
        <v>53071.200000000004</v>
      </c>
      <c r="P41" s="658">
        <v>58505.4</v>
      </c>
      <c r="Q41" s="658">
        <v>60818.866999999998</v>
      </c>
      <c r="R41" s="658">
        <v>60818.866999999998</v>
      </c>
      <c r="S41" s="658">
        <f>('INTEC (listas)'!L40)</f>
        <v>62643.433009999993</v>
      </c>
    </row>
    <row r="42" spans="1:19">
      <c r="A42" s="113">
        <v>49</v>
      </c>
      <c r="B42" s="113" t="s">
        <v>588</v>
      </c>
      <c r="C42" s="113" t="s">
        <v>599</v>
      </c>
      <c r="D42" s="113" t="s">
        <v>600</v>
      </c>
      <c r="E42" s="657">
        <f>('[4]INTEC (listas)'!R41)</f>
        <v>52793.24</v>
      </c>
      <c r="F42" s="657">
        <f>('[6]INTEC (listas)'!R41)</f>
        <v>58072.564000000013</v>
      </c>
      <c r="G42" s="658">
        <v>58072.564000000013</v>
      </c>
      <c r="H42" s="658">
        <v>58072.564000000013</v>
      </c>
      <c r="I42" s="658">
        <v>58072.564000000013</v>
      </c>
      <c r="J42" s="113">
        <v>58072.564000000013</v>
      </c>
      <c r="K42" s="657">
        <v>58072.564000000013</v>
      </c>
      <c r="L42" s="657">
        <v>58072.564000000013</v>
      </c>
      <c r="M42" s="657">
        <v>57358.658249999993</v>
      </c>
      <c r="N42" s="657">
        <v>59169.984299999996</v>
      </c>
      <c r="O42" s="658">
        <v>59169.984299999996</v>
      </c>
      <c r="P42" s="658">
        <v>58347.700404000003</v>
      </c>
      <c r="Q42" s="658">
        <v>60818.866999999998</v>
      </c>
      <c r="R42" s="658">
        <v>60818.866999999998</v>
      </c>
      <c r="S42" s="658">
        <f>('INTEC (listas)'!L41)</f>
        <v>62643.433009999993</v>
      </c>
    </row>
    <row r="43" spans="1:19" ht="15.6">
      <c r="A43" s="113">
        <v>50</v>
      </c>
      <c r="B43" s="113" t="s">
        <v>588</v>
      </c>
      <c r="C43" s="113" t="s">
        <v>601</v>
      </c>
      <c r="D43" s="113" t="s">
        <v>602</v>
      </c>
      <c r="E43" s="657">
        <f>('[4]INTEC (listas)'!R42)</f>
        <v>56557.04</v>
      </c>
      <c r="F43" s="657">
        <f>('[6]INTEC (listas)'!R42)</f>
        <v>62212.744000000006</v>
      </c>
      <c r="G43" s="658">
        <v>62212.744000000006</v>
      </c>
      <c r="H43" s="658">
        <v>62212.744000000006</v>
      </c>
      <c r="I43" s="658">
        <v>62212.744000000006</v>
      </c>
      <c r="J43" s="717">
        <v>62212.744000000006</v>
      </c>
      <c r="K43" s="657">
        <v>62212.744000000006</v>
      </c>
      <c r="L43" s="657">
        <v>62212.744000000006</v>
      </c>
      <c r="M43" s="657">
        <v>62212.744000000006</v>
      </c>
      <c r="N43" s="657">
        <v>56700.694881600008</v>
      </c>
      <c r="O43" s="658">
        <v>56700.694881600008</v>
      </c>
      <c r="P43" s="658">
        <v>62506.692024000004</v>
      </c>
      <c r="Q43" s="658">
        <v>65154.002</v>
      </c>
      <c r="R43" s="658">
        <v>65154.002</v>
      </c>
      <c r="S43" s="658">
        <f>('INTEC (listas)'!L42)</f>
        <v>67108.622060000009</v>
      </c>
    </row>
    <row r="44" spans="1:19">
      <c r="A44" s="113">
        <v>51</v>
      </c>
      <c r="B44" s="113" t="s">
        <v>588</v>
      </c>
      <c r="C44" s="113" t="s">
        <v>603</v>
      </c>
      <c r="D44" s="113" t="s">
        <v>604</v>
      </c>
      <c r="E44" s="657">
        <f>('[4]INTEC (listas)'!R43)</f>
        <v>87341.48</v>
      </c>
      <c r="F44" s="657">
        <f>('[6]INTEC (listas)'!R43)</f>
        <v>96075.628000000012</v>
      </c>
      <c r="G44" s="658">
        <v>96075.628000000012</v>
      </c>
      <c r="H44" s="658">
        <v>96075.628000000012</v>
      </c>
      <c r="I44" s="658">
        <v>96075.628000000012</v>
      </c>
      <c r="J44" s="113">
        <v>96075.628000000012</v>
      </c>
      <c r="K44" s="657">
        <v>96075.628000000012</v>
      </c>
      <c r="L44" s="657">
        <v>96075.628000000012</v>
      </c>
      <c r="M44" s="657">
        <v>96075.628000000012</v>
      </c>
      <c r="N44" s="657">
        <v>87563.327359200019</v>
      </c>
      <c r="O44" s="658">
        <v>87563.327359200019</v>
      </c>
      <c r="P44" s="658">
        <v>96529.709724</v>
      </c>
      <c r="Q44" s="658">
        <v>100617.977</v>
      </c>
      <c r="R44" s="658">
        <v>100617.977</v>
      </c>
      <c r="S44" s="658">
        <f>('INTEC (listas)'!L43)</f>
        <v>103636.51631000001</v>
      </c>
    </row>
    <row r="45" spans="1:19" ht="15.6">
      <c r="A45" s="113">
        <v>52</v>
      </c>
      <c r="B45" s="113" t="s">
        <v>588</v>
      </c>
      <c r="C45" s="113" t="s">
        <v>605</v>
      </c>
      <c r="D45" s="113" t="s">
        <v>606</v>
      </c>
      <c r="E45" s="657">
        <f>('[4]INTEC (listas)'!R44)</f>
        <v>88200</v>
      </c>
      <c r="F45" s="657">
        <f>('[6]INTEC (listas)'!R44)</f>
        <v>95256</v>
      </c>
      <c r="G45" s="658">
        <v>95256</v>
      </c>
      <c r="H45" s="658">
        <v>95256</v>
      </c>
      <c r="I45" s="658">
        <v>95256</v>
      </c>
      <c r="J45" s="717">
        <v>95256</v>
      </c>
      <c r="K45" s="657">
        <v>95256</v>
      </c>
      <c r="L45" s="657">
        <v>95256</v>
      </c>
      <c r="M45" s="657">
        <v>94976.090000000011</v>
      </c>
      <c r="N45" s="657">
        <v>86561.208426000012</v>
      </c>
      <c r="O45" s="658">
        <v>86561.208426000012</v>
      </c>
      <c r="P45" s="658">
        <v>95425.129379999998</v>
      </c>
      <c r="Q45" s="658">
        <v>99466.614999999991</v>
      </c>
      <c r="R45" s="658">
        <v>99466.614999999991</v>
      </c>
      <c r="S45" s="658">
        <f>('INTEC (listas)'!L44)</f>
        <v>102450.61344999999</v>
      </c>
    </row>
    <row r="46" spans="1:19" ht="15.6">
      <c r="A46" s="113">
        <v>53</v>
      </c>
      <c r="B46" s="113" t="s">
        <v>588</v>
      </c>
      <c r="C46" s="113" t="s">
        <v>607</v>
      </c>
      <c r="D46" s="113" t="s">
        <v>608</v>
      </c>
      <c r="E46" s="657">
        <f>('[4]INTEC (listas)'!R45)</f>
        <v>10</v>
      </c>
      <c r="F46" s="657">
        <f>('[6]INTEC (listas)'!R45)</f>
        <v>10</v>
      </c>
      <c r="G46" s="658">
        <v>10</v>
      </c>
      <c r="H46" s="658">
        <v>10</v>
      </c>
      <c r="I46" s="658">
        <v>10</v>
      </c>
      <c r="J46" s="717">
        <v>10</v>
      </c>
      <c r="K46" s="657">
        <v>10</v>
      </c>
      <c r="L46" s="657">
        <v>10</v>
      </c>
      <c r="M46" s="657">
        <v>10</v>
      </c>
      <c r="N46" s="657">
        <v>10</v>
      </c>
      <c r="O46" s="658">
        <v>10</v>
      </c>
      <c r="P46" s="658">
        <v>10</v>
      </c>
      <c r="Q46" s="658">
        <v>10</v>
      </c>
      <c r="R46" s="658">
        <v>10</v>
      </c>
      <c r="S46" s="658">
        <f>('INTEC (listas)'!L45)</f>
        <v>10</v>
      </c>
    </row>
    <row r="47" spans="1:19">
      <c r="A47" s="113">
        <v>54</v>
      </c>
      <c r="B47" s="113" t="s">
        <v>588</v>
      </c>
      <c r="C47" s="113" t="s">
        <v>609</v>
      </c>
      <c r="D47" s="113" t="s">
        <v>610</v>
      </c>
      <c r="E47" s="657">
        <f>('[4]INTEC (listas)'!R46)</f>
        <v>136889.98000000001</v>
      </c>
      <c r="F47" s="657">
        <f>('[6]INTEC (listas)'!R46)</f>
        <v>150578.978</v>
      </c>
      <c r="G47" s="658">
        <v>150578.978</v>
      </c>
      <c r="H47" s="658">
        <v>150578.978</v>
      </c>
      <c r="I47" s="658">
        <v>150578.978</v>
      </c>
      <c r="J47" s="658">
        <v>150578.978</v>
      </c>
      <c r="K47" s="657">
        <v>150578.978</v>
      </c>
      <c r="L47" s="657">
        <v>150578.978</v>
      </c>
      <c r="M47" s="657">
        <v>150578.978</v>
      </c>
      <c r="N47" s="657">
        <v>137237.68054920001</v>
      </c>
      <c r="O47" s="658">
        <v>137237.68054920001</v>
      </c>
      <c r="P47" s="658">
        <v>151290.88707599998</v>
      </c>
      <c r="Q47" s="658">
        <v>157698.42300000001</v>
      </c>
      <c r="R47" s="658">
        <v>157698.42300000001</v>
      </c>
      <c r="S47" s="658">
        <f>('INTEC (listas)'!L46)</f>
        <v>162429.37568999999</v>
      </c>
    </row>
    <row r="48" spans="1:19">
      <c r="A48" s="113">
        <v>55</v>
      </c>
      <c r="B48" s="113" t="s">
        <v>588</v>
      </c>
      <c r="C48" s="113" t="s">
        <v>611</v>
      </c>
      <c r="D48" s="113" t="s">
        <v>612</v>
      </c>
      <c r="E48" s="657">
        <f>('[4]INTEC (listas)'!R47)</f>
        <v>10</v>
      </c>
      <c r="F48" s="657">
        <f>('[6]INTEC (listas)'!R47)</f>
        <v>10</v>
      </c>
      <c r="G48" s="658">
        <v>10</v>
      </c>
      <c r="H48" s="658">
        <v>10</v>
      </c>
      <c r="I48" s="658">
        <v>10</v>
      </c>
      <c r="J48" s="658">
        <v>10</v>
      </c>
      <c r="K48" s="657">
        <v>10</v>
      </c>
      <c r="L48" s="657">
        <v>10</v>
      </c>
      <c r="M48" s="657">
        <v>10</v>
      </c>
      <c r="N48" s="657">
        <v>10</v>
      </c>
      <c r="O48" s="658">
        <v>10</v>
      </c>
      <c r="P48" s="658">
        <v>10</v>
      </c>
      <c r="Q48" s="658">
        <v>10</v>
      </c>
      <c r="R48" s="658">
        <v>10</v>
      </c>
      <c r="S48" s="658">
        <f>('INTEC (listas)'!L47)</f>
        <v>10</v>
      </c>
    </row>
    <row r="49" spans="1:19">
      <c r="A49" s="113">
        <v>56</v>
      </c>
      <c r="B49" s="113" t="s">
        <v>588</v>
      </c>
      <c r="C49" s="113" t="s">
        <v>613</v>
      </c>
      <c r="D49" s="113" t="s">
        <v>614</v>
      </c>
      <c r="E49" s="657">
        <f>('[4]INTEC (listas)'!R48)</f>
        <v>10</v>
      </c>
      <c r="F49" s="657">
        <f>('[6]INTEC (listas)'!R48)</f>
        <v>10</v>
      </c>
      <c r="G49" s="658">
        <v>10</v>
      </c>
      <c r="H49" s="658">
        <v>10</v>
      </c>
      <c r="I49" s="658">
        <v>10</v>
      </c>
      <c r="J49" s="658">
        <v>10</v>
      </c>
      <c r="K49" s="657">
        <v>10</v>
      </c>
      <c r="L49" s="657">
        <v>10</v>
      </c>
      <c r="M49" s="657">
        <v>10</v>
      </c>
      <c r="N49" s="657">
        <v>10</v>
      </c>
      <c r="O49" s="658">
        <v>10</v>
      </c>
      <c r="P49" s="658">
        <v>10</v>
      </c>
      <c r="Q49" s="658">
        <v>10</v>
      </c>
      <c r="R49" s="658">
        <v>10</v>
      </c>
      <c r="S49" s="658">
        <f>('INTEC (listas)'!L48)</f>
        <v>10</v>
      </c>
    </row>
    <row r="50" spans="1:19">
      <c r="A50" s="113">
        <v>57</v>
      </c>
      <c r="B50" s="113" t="s">
        <v>308</v>
      </c>
      <c r="C50" s="113" t="s">
        <v>615</v>
      </c>
      <c r="D50" s="113" t="s">
        <v>616</v>
      </c>
      <c r="E50" s="657">
        <f>('[4]INTEC (listas)'!R49)</f>
        <v>60040.149623999998</v>
      </c>
      <c r="F50" s="657">
        <f>('[6]INTEC (listas)'!R49)</f>
        <v>61513.016448000009</v>
      </c>
      <c r="G50" s="658">
        <v>61513.016448000009</v>
      </c>
      <c r="H50" s="658">
        <v>60231.495272000007</v>
      </c>
      <c r="I50" s="658">
        <v>60231.495272000007</v>
      </c>
      <c r="J50" s="658">
        <v>62683.100999999995</v>
      </c>
      <c r="K50" s="657">
        <v>62683.100999999995</v>
      </c>
      <c r="L50" s="657">
        <v>56425.05</v>
      </c>
      <c r="M50" s="657">
        <v>56425.05</v>
      </c>
      <c r="N50" s="657">
        <v>56425.05</v>
      </c>
      <c r="O50" s="658">
        <v>59995.199999999997</v>
      </c>
      <c r="P50" s="658">
        <v>67562.55</v>
      </c>
      <c r="Q50" s="658">
        <v>67562.55</v>
      </c>
      <c r="R50" s="658">
        <v>64150.3</v>
      </c>
      <c r="S50" s="658">
        <f>('INTEC (listas)'!L49)</f>
        <v>62504.833884297521</v>
      </c>
    </row>
    <row r="51" spans="1:19">
      <c r="A51" s="113">
        <v>58</v>
      </c>
      <c r="B51" s="113" t="s">
        <v>308</v>
      </c>
      <c r="C51" s="113" t="s">
        <v>617</v>
      </c>
      <c r="D51" s="113" t="s">
        <v>618</v>
      </c>
      <c r="E51" s="657">
        <f>('[4]INTEC (listas)'!R50)</f>
        <v>71057.701624000008</v>
      </c>
      <c r="F51" s="657">
        <f>('[6]INTEC (listas)'!R50)</f>
        <v>72845.355647999997</v>
      </c>
      <c r="G51" s="658">
        <v>72845.355647999997</v>
      </c>
      <c r="H51" s="658">
        <v>71327.744072000001</v>
      </c>
      <c r="I51" s="658">
        <v>71327.744072000001</v>
      </c>
      <c r="J51" s="658">
        <v>74231.000999999989</v>
      </c>
      <c r="K51" s="657">
        <v>74231.000999999989</v>
      </c>
      <c r="L51" s="657">
        <v>66820.05</v>
      </c>
      <c r="M51" s="657">
        <v>66820.05</v>
      </c>
      <c r="N51" s="657">
        <v>66820.05</v>
      </c>
      <c r="O51" s="658">
        <v>69115.199999999997</v>
      </c>
      <c r="P51" s="658">
        <v>77957.55</v>
      </c>
      <c r="Q51" s="658">
        <v>77957.55</v>
      </c>
      <c r="R51" s="658">
        <v>74020.3</v>
      </c>
      <c r="S51" s="658">
        <f>('INTEC (listas)'!L50)</f>
        <v>70770.619008264461</v>
      </c>
    </row>
    <row r="52" spans="1:19">
      <c r="A52" s="113">
        <v>59</v>
      </c>
      <c r="B52" s="113" t="s">
        <v>308</v>
      </c>
      <c r="C52" s="113" t="s">
        <v>619</v>
      </c>
      <c r="D52" s="113" t="s">
        <v>620</v>
      </c>
      <c r="E52" s="657">
        <f>('[4]INTEC (listas)'!R51)</f>
        <v>63345.415224000004</v>
      </c>
      <c r="F52" s="657">
        <f>('[6]INTEC (listas)'!R51)</f>
        <v>65290.46284800001</v>
      </c>
      <c r="G52" s="658">
        <v>65290.46284800001</v>
      </c>
      <c r="H52" s="658">
        <v>63930.24487200001</v>
      </c>
      <c r="I52" s="658">
        <v>63930.24487200001</v>
      </c>
      <c r="J52" s="658">
        <v>66532.400999999998</v>
      </c>
      <c r="K52" s="657">
        <v>66532.400999999998</v>
      </c>
      <c r="L52" s="657">
        <v>59890.05</v>
      </c>
      <c r="M52" s="657">
        <v>59890.05</v>
      </c>
      <c r="N52" s="657">
        <v>59890.05</v>
      </c>
      <c r="O52" s="658">
        <v>61915.199999999997</v>
      </c>
      <c r="P52" s="658">
        <v>70161.3</v>
      </c>
      <c r="Q52" s="658">
        <v>70161.3</v>
      </c>
      <c r="R52" s="658">
        <v>66617.8</v>
      </c>
      <c r="S52" s="658">
        <f>('INTEC (listas)'!L51)</f>
        <v>60954.999173553719</v>
      </c>
    </row>
    <row r="53" spans="1:19">
      <c r="A53" s="113">
        <v>60</v>
      </c>
      <c r="B53" s="113" t="s">
        <v>308</v>
      </c>
      <c r="C53" s="113" t="s">
        <v>621</v>
      </c>
      <c r="D53" s="113" t="s">
        <v>622</v>
      </c>
      <c r="E53" s="657">
        <f>('[4]INTEC (listas)'!R52)</f>
        <v>68854.191224000009</v>
      </c>
      <c r="F53" s="657">
        <f>('[6]INTEC (listas)'!R52)</f>
        <v>70686.814848000009</v>
      </c>
      <c r="G53" s="658">
        <v>70686.814848000009</v>
      </c>
      <c r="H53" s="658">
        <v>69214.17287200001</v>
      </c>
      <c r="I53" s="658">
        <v>69214.17287200001</v>
      </c>
      <c r="J53" s="658">
        <v>72031.400999999998</v>
      </c>
      <c r="K53" s="657">
        <v>72031.400999999998</v>
      </c>
      <c r="L53" s="657">
        <v>64840.05</v>
      </c>
      <c r="M53" s="657">
        <v>64840.05</v>
      </c>
      <c r="N53" s="657">
        <v>64840.05</v>
      </c>
      <c r="O53" s="658">
        <v>67195.199999999997</v>
      </c>
      <c r="P53" s="658">
        <v>75878.55</v>
      </c>
      <c r="Q53" s="658">
        <v>75878.55</v>
      </c>
      <c r="R53" s="658">
        <v>75650</v>
      </c>
      <c r="S53" s="658">
        <f>('INTEC (listas)'!L52)</f>
        <v>67670.949586776856</v>
      </c>
    </row>
    <row r="54" spans="1:19">
      <c r="A54" s="113">
        <v>61</v>
      </c>
      <c r="B54" s="113" t="s">
        <v>308</v>
      </c>
      <c r="C54" s="113" t="s">
        <v>623</v>
      </c>
      <c r="D54" s="113" t="s">
        <v>624</v>
      </c>
      <c r="E54" s="657">
        <f>('[4]INTEC (listas)'!R53)</f>
        <v>67201.558424000003</v>
      </c>
      <c r="F54" s="657">
        <f>('[6]INTEC (listas)'!R53)</f>
        <v>69067.909248000011</v>
      </c>
      <c r="G54" s="658">
        <v>69067.909248000011</v>
      </c>
      <c r="H54" s="658">
        <v>67628.994472000006</v>
      </c>
      <c r="I54" s="658">
        <v>67628.994472000006</v>
      </c>
      <c r="J54" s="658">
        <v>70381.701000000001</v>
      </c>
      <c r="K54" s="657">
        <v>70381.701000000001</v>
      </c>
      <c r="L54" s="657">
        <v>63355.05</v>
      </c>
      <c r="M54" s="657">
        <v>63355.05</v>
      </c>
      <c r="N54" s="657">
        <v>63355.05</v>
      </c>
      <c r="O54" s="658">
        <v>66235.199999999997</v>
      </c>
      <c r="P54" s="658">
        <v>74839.05</v>
      </c>
      <c r="Q54" s="658">
        <v>74839.05</v>
      </c>
      <c r="R54" s="658">
        <v>71059.3</v>
      </c>
      <c r="S54" s="658">
        <f>('INTEC (listas)'!L53)</f>
        <v>65087.891735537196</v>
      </c>
    </row>
    <row r="55" spans="1:19">
      <c r="A55" s="113">
        <v>62</v>
      </c>
      <c r="B55" s="113" t="s">
        <v>308</v>
      </c>
      <c r="C55" s="113" t="s">
        <v>625</v>
      </c>
      <c r="D55" s="113" t="s">
        <v>626</v>
      </c>
      <c r="E55" s="657">
        <f>('[4]INTEC (listas)'!R54)</f>
        <v>78219.110423999999</v>
      </c>
      <c r="F55" s="657">
        <f>('[6]INTEC (listas)'!R54)</f>
        <v>80400.248448000013</v>
      </c>
      <c r="G55" s="658">
        <v>80400.248448000013</v>
      </c>
      <c r="H55" s="658">
        <v>78725.243272000007</v>
      </c>
      <c r="I55" s="658">
        <v>78725.243272000007</v>
      </c>
      <c r="J55" s="658">
        <v>81929.600999999995</v>
      </c>
      <c r="K55" s="657">
        <v>81929.600999999995</v>
      </c>
      <c r="L55" s="657">
        <v>73750.05</v>
      </c>
      <c r="M55" s="657">
        <v>73750.05</v>
      </c>
      <c r="N55" s="657">
        <v>73750.05</v>
      </c>
      <c r="O55" s="658">
        <v>74395.199999999997</v>
      </c>
      <c r="P55" s="658">
        <v>82635.3</v>
      </c>
      <c r="Q55" s="658">
        <v>82635.3</v>
      </c>
      <c r="R55" s="658">
        <v>78461.8</v>
      </c>
      <c r="S55" s="658">
        <f>('INTEC (listas)'!L54)</f>
        <v>73870.288429752065</v>
      </c>
    </row>
    <row r="56" spans="1:19">
      <c r="A56" s="113">
        <v>63</v>
      </c>
      <c r="B56" s="113" t="s">
        <v>308</v>
      </c>
      <c r="C56" s="113" t="s">
        <v>627</v>
      </c>
      <c r="D56" s="113" t="s">
        <v>628</v>
      </c>
      <c r="E56" s="657">
        <f>('[4]INTEC (listas)'!R55)</f>
        <v>79320.865623999998</v>
      </c>
      <c r="F56" s="657">
        <f>('[6]INTEC (listas)'!R55)</f>
        <v>81479.518848000007</v>
      </c>
      <c r="G56" s="658">
        <v>81479.518848000007</v>
      </c>
      <c r="H56" s="658">
        <v>79782.028871999995</v>
      </c>
      <c r="I56" s="658">
        <v>79782.028871999995</v>
      </c>
      <c r="J56" s="658">
        <v>83029.400999999998</v>
      </c>
      <c r="K56" s="657">
        <v>83029.400999999998</v>
      </c>
      <c r="L56" s="657">
        <v>74740.05</v>
      </c>
      <c r="M56" s="657">
        <v>74740.05</v>
      </c>
      <c r="N56" s="657">
        <v>74740.05</v>
      </c>
      <c r="O56" s="658">
        <v>77755.199999999997</v>
      </c>
      <c r="P56" s="658">
        <v>85753.8</v>
      </c>
      <c r="Q56" s="658">
        <v>85753.8</v>
      </c>
      <c r="R56" s="658">
        <v>81422.8</v>
      </c>
      <c r="S56" s="658">
        <f>('INTEC (listas)'!L55)</f>
        <v>76969.957851239669</v>
      </c>
    </row>
    <row r="57" spans="1:19">
      <c r="A57" s="113">
        <v>64</v>
      </c>
      <c r="B57" s="113" t="s">
        <v>308</v>
      </c>
      <c r="C57" s="113" t="s">
        <v>629</v>
      </c>
      <c r="D57" s="113" t="s">
        <v>630</v>
      </c>
      <c r="E57" s="657">
        <f>('[4]INTEC (listas)'!R56)</f>
        <v>85931.39682400001</v>
      </c>
      <c r="F57" s="657">
        <f>('[6]INTEC (listas)'!R56)</f>
        <v>88494.776448000004</v>
      </c>
      <c r="G57" s="658">
        <v>88494.776448000004</v>
      </c>
      <c r="H57" s="658">
        <v>86651.135272</v>
      </c>
      <c r="I57" s="658">
        <v>86651.135272</v>
      </c>
      <c r="J57" s="658">
        <v>90178.100999999995</v>
      </c>
      <c r="K57" s="657">
        <v>90178.100999999995</v>
      </c>
      <c r="L57" s="657">
        <v>81175.05</v>
      </c>
      <c r="M57" s="657">
        <v>81175.05</v>
      </c>
      <c r="N57" s="657">
        <v>81175.05</v>
      </c>
      <c r="O57" s="658">
        <v>83515.199999999997</v>
      </c>
      <c r="P57" s="658">
        <v>94069.8</v>
      </c>
      <c r="Q57" s="658">
        <v>94069.8</v>
      </c>
      <c r="R57" s="658">
        <v>89365.8</v>
      </c>
      <c r="S57" s="658">
        <f>('INTEC (listas)'!L56)</f>
        <v>82652.685123966934</v>
      </c>
    </row>
    <row r="58" spans="1:19">
      <c r="A58" s="113">
        <v>65</v>
      </c>
      <c r="B58" s="113" t="s">
        <v>308</v>
      </c>
      <c r="C58" s="113" t="s">
        <v>631</v>
      </c>
      <c r="D58" s="113" t="s">
        <v>632</v>
      </c>
      <c r="E58" s="657">
        <f>('[4]INTEC (listas)'!R57)</f>
        <v>98050.704024000006</v>
      </c>
      <c r="F58" s="657">
        <f>('[6]INTEC (listas)'!R57)</f>
        <v>100906.38604800001</v>
      </c>
      <c r="G58" s="658">
        <v>100857.81888000001</v>
      </c>
      <c r="H58" s="658">
        <v>98756.614320000008</v>
      </c>
      <c r="I58" s="658">
        <v>98756.614320000008</v>
      </c>
      <c r="J58" s="658">
        <v>102776.31</v>
      </c>
      <c r="K58" s="657">
        <v>102776.31</v>
      </c>
      <c r="L58" s="657">
        <v>92515.5</v>
      </c>
      <c r="M58" s="657">
        <v>92560.05</v>
      </c>
      <c r="N58" s="657">
        <v>92560.05</v>
      </c>
      <c r="O58" s="658">
        <v>93115.199999999997</v>
      </c>
      <c r="P58" s="658">
        <v>102905.55</v>
      </c>
      <c r="Q58" s="658">
        <v>102905.55</v>
      </c>
      <c r="R58" s="658">
        <v>102593</v>
      </c>
      <c r="S58" s="658">
        <f>('INTEC (listas)'!L57)</f>
        <v>91435.081818181803</v>
      </c>
    </row>
    <row r="59" spans="1:19">
      <c r="A59" s="113">
        <v>66</v>
      </c>
      <c r="B59" s="113" t="s">
        <v>308</v>
      </c>
      <c r="C59" s="113" t="s">
        <v>633</v>
      </c>
      <c r="D59" s="113" t="s">
        <v>634</v>
      </c>
      <c r="E59" s="657">
        <f>('[4]INTEC (listas)'!R58)</f>
        <v>118984.052824</v>
      </c>
      <c r="F59" s="657">
        <f>('[6]INTEC (listas)'!R58)</f>
        <v>122443.22688</v>
      </c>
      <c r="G59" s="658">
        <v>122443.22688</v>
      </c>
      <c r="H59" s="658">
        <v>119892.32632000001</v>
      </c>
      <c r="I59" s="658">
        <v>119892.32632000001</v>
      </c>
      <c r="J59" s="658">
        <v>124772.31</v>
      </c>
      <c r="K59" s="657">
        <v>124772.31</v>
      </c>
      <c r="L59" s="657">
        <v>112315.5</v>
      </c>
      <c r="M59" s="657">
        <v>112360.05</v>
      </c>
      <c r="N59" s="657">
        <v>112360.05</v>
      </c>
      <c r="O59" s="658">
        <v>108955.2</v>
      </c>
      <c r="P59" s="658">
        <v>119017.8</v>
      </c>
      <c r="Q59" s="658">
        <v>119017.8</v>
      </c>
      <c r="R59" s="658">
        <v>113006.8</v>
      </c>
      <c r="S59" s="658">
        <f>('INTEC (listas)'!L58)</f>
        <v>103317.14793388429</v>
      </c>
    </row>
    <row r="60" spans="1:19">
      <c r="A60" s="113">
        <v>67</v>
      </c>
      <c r="B60" s="113" t="s">
        <v>308</v>
      </c>
      <c r="C60" s="113" t="s">
        <v>635</v>
      </c>
      <c r="D60" s="113" t="s">
        <v>636</v>
      </c>
      <c r="E60" s="657">
        <f>('[4]INTEC (listas)'!R59)</f>
        <v>185235.16800000001</v>
      </c>
      <c r="F60" s="657">
        <f>('[6]INTEC (listas)'!R59)</f>
        <v>204902.33600000001</v>
      </c>
      <c r="G60" s="658">
        <v>204902.33600000001</v>
      </c>
      <c r="H60" s="658">
        <v>205916.704</v>
      </c>
      <c r="I60" s="658">
        <v>205916.704</v>
      </c>
      <c r="J60" s="658">
        <v>202873.60000000001</v>
      </c>
      <c r="K60" s="657">
        <v>202873.60000000001</v>
      </c>
      <c r="L60" s="657">
        <v>202873.60000000001</v>
      </c>
      <c r="M60" s="657">
        <v>156910.04999999999</v>
      </c>
      <c r="N60" s="657">
        <v>156910.04999999999</v>
      </c>
      <c r="O60" s="658">
        <v>152155.19999999998</v>
      </c>
      <c r="P60" s="658">
        <v>164755.79999999999</v>
      </c>
      <c r="Q60" s="658">
        <v>164755.79999999999</v>
      </c>
      <c r="R60" s="658">
        <v>132815.42000000001</v>
      </c>
      <c r="S60" s="658">
        <f>('INTEC (listas)'!L59)</f>
        <v>118298.88347107438</v>
      </c>
    </row>
    <row r="61" spans="1:19">
      <c r="A61" s="113">
        <v>68</v>
      </c>
      <c r="B61" s="113" t="s">
        <v>308</v>
      </c>
      <c r="C61" s="113" t="s">
        <v>637</v>
      </c>
      <c r="D61" s="113" t="s">
        <v>638</v>
      </c>
      <c r="E61" s="657">
        <f>('[4]INTEC (listas)'!R60)</f>
        <v>225113.568</v>
      </c>
      <c r="F61" s="657">
        <f>('[6]INTEC (listas)'!R60)</f>
        <v>248857.53599999999</v>
      </c>
      <c r="G61" s="658">
        <v>248857.53599999999</v>
      </c>
      <c r="H61" s="658">
        <v>250089.50400000002</v>
      </c>
      <c r="I61" s="658">
        <v>250089.50400000002</v>
      </c>
      <c r="J61" s="658">
        <v>246393.60000000001</v>
      </c>
      <c r="K61" s="657">
        <v>246393.60000000001</v>
      </c>
      <c r="L61" s="657">
        <v>246393.60000000001</v>
      </c>
      <c r="M61" s="657">
        <v>190570.05</v>
      </c>
      <c r="N61" s="657">
        <v>190570.05</v>
      </c>
      <c r="O61" s="658">
        <v>184795.19999999998</v>
      </c>
      <c r="P61" s="658">
        <v>200098.8</v>
      </c>
      <c r="Q61" s="658">
        <v>200098.8</v>
      </c>
      <c r="R61" s="658">
        <v>168234.62</v>
      </c>
      <c r="S61" s="658">
        <f>('INTEC (listas)'!L60)</f>
        <v>150328.80082644627</v>
      </c>
    </row>
    <row r="62" spans="1:19">
      <c r="A62" s="113">
        <v>69</v>
      </c>
      <c r="B62" s="113" t="s">
        <v>308</v>
      </c>
      <c r="C62" s="113" t="s">
        <v>639</v>
      </c>
      <c r="D62" s="113" t="s">
        <v>640</v>
      </c>
      <c r="E62" s="657">
        <f>('[4]INTEC (listas)'!R61)</f>
        <v>134408.62562399998</v>
      </c>
      <c r="F62" s="657">
        <f>('[6]INTEC (listas)'!R61)</f>
        <v>138141.21484799997</v>
      </c>
      <c r="G62" s="658">
        <v>138141.21484799997</v>
      </c>
      <c r="H62" s="658">
        <v>135263.27287199997</v>
      </c>
      <c r="I62" s="658">
        <v>135263.27287199997</v>
      </c>
      <c r="J62" s="658">
        <v>140768.90099999998</v>
      </c>
      <c r="K62" s="657">
        <v>140768.90099999998</v>
      </c>
      <c r="L62" s="657">
        <v>126715.05</v>
      </c>
      <c r="M62" s="657">
        <v>126715.05</v>
      </c>
      <c r="N62" s="657">
        <v>126715.05</v>
      </c>
      <c r="O62" s="658">
        <v>125275.19999999998</v>
      </c>
      <c r="P62" s="658">
        <v>138248.54999999999</v>
      </c>
      <c r="Q62" s="658">
        <v>138248.54999999999</v>
      </c>
      <c r="R62" s="658">
        <v>131266.29999999999</v>
      </c>
      <c r="S62" s="658">
        <f>('INTEC (listas)'!L61)</f>
        <v>121398.55289256197</v>
      </c>
    </row>
    <row r="63" spans="1:19">
      <c r="A63" s="113">
        <v>70</v>
      </c>
      <c r="B63" s="113" t="s">
        <v>308</v>
      </c>
      <c r="C63" s="113" t="s">
        <v>641</v>
      </c>
      <c r="D63" s="113" t="s">
        <v>642</v>
      </c>
      <c r="E63" s="657">
        <f>('[4]INTEC (listas)'!R62)</f>
        <v>149282.32082399999</v>
      </c>
      <c r="F63" s="657">
        <f>('[6]INTEC (listas)'!R62)</f>
        <v>153790.635648</v>
      </c>
      <c r="G63" s="658">
        <v>153790.635648</v>
      </c>
      <c r="H63" s="658">
        <v>150586.66407199999</v>
      </c>
      <c r="I63" s="658">
        <v>150586.66407199999</v>
      </c>
      <c r="J63" s="658">
        <v>156716.00099999999</v>
      </c>
      <c r="K63" s="657">
        <v>156716.00099999999</v>
      </c>
      <c r="L63" s="657">
        <v>141070.04999999999</v>
      </c>
      <c r="M63" s="657">
        <v>141070.04999999999</v>
      </c>
      <c r="N63" s="657">
        <v>141070.04999999999</v>
      </c>
      <c r="O63" s="658">
        <v>139675.19999999998</v>
      </c>
      <c r="P63" s="658">
        <v>154360.79999999999</v>
      </c>
      <c r="Q63" s="658">
        <v>154360.79999999999</v>
      </c>
      <c r="R63" s="658">
        <v>146564.79999999999</v>
      </c>
      <c r="S63" s="658">
        <f>('INTEC (listas)'!L62)</f>
        <v>141029.79256198349</v>
      </c>
    </row>
    <row r="64" spans="1:19">
      <c r="A64" s="113">
        <v>71</v>
      </c>
      <c r="B64" s="113" t="s">
        <v>308</v>
      </c>
      <c r="C64" s="113" t="s">
        <v>643</v>
      </c>
      <c r="D64" s="113" t="s">
        <v>644</v>
      </c>
      <c r="E64" s="657">
        <f>('[4]INTEC (listas)'!R63)</f>
        <v>100805.092024</v>
      </c>
      <c r="F64" s="657">
        <f>('[6]INTEC (listas)'!R63)</f>
        <v>103604.56204799999</v>
      </c>
      <c r="G64" s="658">
        <v>103604.56204799999</v>
      </c>
      <c r="H64" s="658">
        <v>101446.133672</v>
      </c>
      <c r="I64" s="658">
        <v>101446.133672</v>
      </c>
      <c r="J64" s="658">
        <v>105575.30099999999</v>
      </c>
      <c r="K64" s="657">
        <v>105575.30099999999</v>
      </c>
      <c r="L64" s="657">
        <v>95035.05</v>
      </c>
      <c r="M64" s="657">
        <v>95035.05</v>
      </c>
      <c r="N64" s="657">
        <v>95035.05</v>
      </c>
      <c r="O64" s="658">
        <v>98395.199999999997</v>
      </c>
      <c r="P64" s="658">
        <v>110701.8</v>
      </c>
      <c r="Q64" s="658">
        <v>110701.8</v>
      </c>
      <c r="R64" s="658">
        <v>105110.8</v>
      </c>
      <c r="S64" s="658">
        <f>('INTEC (listas)'!L63)</f>
        <v>98667.643801652885</v>
      </c>
    </row>
    <row r="65" spans="1:19">
      <c r="A65" s="113">
        <v>72</v>
      </c>
      <c r="B65" s="113" t="s">
        <v>308</v>
      </c>
      <c r="C65" s="113" t="s">
        <v>645</v>
      </c>
      <c r="D65" s="113" t="s">
        <v>646</v>
      </c>
      <c r="E65" s="657">
        <f>('[4]INTEC (listas)'!R64)</f>
        <v>100805.092024</v>
      </c>
      <c r="F65" s="657">
        <f>('[6]INTEC (listas)'!R64)</f>
        <v>103604.56204799999</v>
      </c>
      <c r="G65" s="658">
        <v>103604.56204799999</v>
      </c>
      <c r="H65" s="658">
        <v>101446.133672</v>
      </c>
      <c r="I65" s="658">
        <v>101446.133672</v>
      </c>
      <c r="J65" s="658">
        <v>105575.30099999999</v>
      </c>
      <c r="K65" s="657">
        <v>105575.30099999999</v>
      </c>
      <c r="L65" s="657">
        <v>95035.05</v>
      </c>
      <c r="M65" s="657">
        <v>95035.05</v>
      </c>
      <c r="N65" s="657">
        <v>95035.05</v>
      </c>
      <c r="O65" s="658">
        <v>98395.199999999997</v>
      </c>
      <c r="P65" s="658">
        <v>110701.8</v>
      </c>
      <c r="Q65" s="658">
        <v>110701.8</v>
      </c>
      <c r="R65" s="658">
        <v>105110.8</v>
      </c>
      <c r="S65" s="658">
        <f>('INTEC (listas)'!L64)</f>
        <v>98667.643801652885</v>
      </c>
    </row>
    <row r="66" spans="1:19">
      <c r="A66" s="113">
        <v>73</v>
      </c>
      <c r="B66" s="113" t="s">
        <v>308</v>
      </c>
      <c r="C66" s="113" t="s">
        <v>647</v>
      </c>
      <c r="D66" s="113" t="s">
        <v>648</v>
      </c>
      <c r="E66" s="657">
        <f>('[4]INTEC (listas)'!R65)</f>
        <v>131654.237624</v>
      </c>
      <c r="F66" s="657">
        <f>('[6]INTEC (listas)'!R65)</f>
        <v>135443.038848</v>
      </c>
      <c r="G66" s="658">
        <v>135443.038848</v>
      </c>
      <c r="H66" s="658">
        <v>132621.30887199999</v>
      </c>
      <c r="I66" s="658">
        <v>132621.30887199999</v>
      </c>
      <c r="J66" s="658">
        <v>138019.40099999998</v>
      </c>
      <c r="K66" s="657">
        <v>138019.40099999998</v>
      </c>
      <c r="L66" s="657">
        <v>124240.05</v>
      </c>
      <c r="M66" s="657">
        <v>124240.05</v>
      </c>
      <c r="N66" s="657">
        <v>124240.05</v>
      </c>
      <c r="O66" s="658">
        <v>122875.19999999998</v>
      </c>
      <c r="P66" s="658">
        <v>135649.79999999999</v>
      </c>
      <c r="Q66" s="658">
        <v>135649.79999999999</v>
      </c>
      <c r="R66" s="658">
        <v>128798.8</v>
      </c>
      <c r="S66" s="658">
        <f>('INTEC (listas)'!L65)</f>
        <v>119848.71818181819</v>
      </c>
    </row>
    <row r="67" spans="1:19">
      <c r="A67" s="113">
        <v>74</v>
      </c>
      <c r="B67" s="113" t="s">
        <v>308</v>
      </c>
      <c r="C67" s="113" t="s">
        <v>649</v>
      </c>
      <c r="D67" s="113" t="s">
        <v>650</v>
      </c>
      <c r="E67" s="657">
        <f>('[4]INTEC (listas)'!R66)</f>
        <v>145426.177624</v>
      </c>
      <c r="F67" s="657">
        <f>('[6]INTEC (listas)'!R66)</f>
        <v>149473.55404799999</v>
      </c>
      <c r="G67" s="658">
        <v>149473.55404799999</v>
      </c>
      <c r="H67" s="658">
        <v>146359.521672</v>
      </c>
      <c r="I67" s="658">
        <v>146359.521672</v>
      </c>
      <c r="J67" s="658">
        <v>152316.80100000001</v>
      </c>
      <c r="K67" s="657">
        <v>152316.80100000001</v>
      </c>
      <c r="L67" s="657">
        <v>137110.04999999999</v>
      </c>
      <c r="M67" s="657">
        <v>137110.04999999999</v>
      </c>
      <c r="N67" s="657">
        <v>137110.04999999999</v>
      </c>
      <c r="O67" s="658">
        <v>132955.19999999998</v>
      </c>
      <c r="P67" s="658">
        <v>143965.79999999999</v>
      </c>
      <c r="Q67" s="658">
        <v>143965.79999999999</v>
      </c>
      <c r="R67" s="658">
        <v>136694.79999999999</v>
      </c>
      <c r="S67" s="658">
        <f>('INTEC (listas)'!L66)</f>
        <v>119848.71818181819</v>
      </c>
    </row>
    <row r="68" spans="1:19">
      <c r="A68" s="113">
        <v>75</v>
      </c>
      <c r="B68" s="113" t="s">
        <v>651</v>
      </c>
      <c r="C68" s="113" t="s">
        <v>652</v>
      </c>
      <c r="D68" s="113" t="s">
        <v>653</v>
      </c>
      <c r="E68" s="657">
        <f>('[4]INTEC (listas)'!R67)</f>
        <v>69119.353049999991</v>
      </c>
      <c r="F68" s="657">
        <f>('[6]INTEC (listas)'!R67)</f>
        <v>72575.320702499987</v>
      </c>
      <c r="G68" s="658">
        <v>74752.580323574992</v>
      </c>
      <c r="H68" s="658">
        <v>74752.580323574992</v>
      </c>
      <c r="I68" s="658">
        <v>74752.580323574992</v>
      </c>
      <c r="J68" s="658">
        <v>74752.580323574992</v>
      </c>
      <c r="K68" s="657">
        <v>74752.580323574992</v>
      </c>
      <c r="L68" s="657">
        <v>62493.103793999995</v>
      </c>
      <c r="M68" s="657">
        <v>60477.197219999995</v>
      </c>
      <c r="N68" s="657">
        <v>59267.653275599994</v>
      </c>
      <c r="O68" s="658">
        <v>59267.653275599994</v>
      </c>
      <c r="P68" s="658">
        <v>64097.967017561386</v>
      </c>
      <c r="Q68" s="658">
        <v>65379.92635791262</v>
      </c>
      <c r="R68" s="658">
        <v>67341.324148650005</v>
      </c>
      <c r="S68" s="658">
        <f>('INTEC (listas)'!L67)</f>
        <v>69361.803992249988</v>
      </c>
    </row>
    <row r="69" spans="1:19">
      <c r="A69" s="113">
        <v>76</v>
      </c>
      <c r="B69" s="113" t="s">
        <v>651</v>
      </c>
      <c r="C69" s="113" t="s">
        <v>654</v>
      </c>
      <c r="D69" s="113" t="s">
        <v>655</v>
      </c>
      <c r="E69" s="657">
        <f>('[4]INTEC (listas)'!R68)</f>
        <v>83800.579499999993</v>
      </c>
      <c r="F69" s="657">
        <f>('[6]INTEC (listas)'!R68)</f>
        <v>87990.608475000001</v>
      </c>
      <c r="G69" s="658">
        <v>90630.326729249995</v>
      </c>
      <c r="H69" s="658">
        <v>90630.326729249995</v>
      </c>
      <c r="I69" s="658">
        <v>90630.326729249995</v>
      </c>
      <c r="J69" s="658">
        <v>90630.326729249995</v>
      </c>
      <c r="K69" s="657">
        <v>90630.326729249995</v>
      </c>
      <c r="L69" s="657">
        <v>73184.202118500019</v>
      </c>
      <c r="M69" s="657">
        <v>70823.421405000016</v>
      </c>
      <c r="N69" s="657">
        <v>69406.952976900022</v>
      </c>
      <c r="O69" s="658">
        <v>69406.952976900022</v>
      </c>
      <c r="P69" s="658">
        <v>75063.619644517355</v>
      </c>
      <c r="Q69" s="658">
        <v>76564.892037407699</v>
      </c>
      <c r="R69" s="658">
        <v>78861.838798529934</v>
      </c>
      <c r="S69" s="658">
        <f>('INTEC (listas)'!L68)</f>
        <v>81227.493581850009</v>
      </c>
    </row>
    <row r="70" spans="1:19">
      <c r="A70" s="113">
        <v>77</v>
      </c>
      <c r="B70" s="113" t="s">
        <v>651</v>
      </c>
      <c r="C70" s="113" t="s">
        <v>656</v>
      </c>
      <c r="D70" s="113" t="s">
        <v>657</v>
      </c>
      <c r="E70" s="657">
        <f>('[4]INTEC (listas)'!R69)</f>
        <v>87159.548850000006</v>
      </c>
      <c r="F70" s="657">
        <f>('[6]INTEC (listas)'!R69)</f>
        <v>91517.526292499999</v>
      </c>
      <c r="G70" s="658">
        <v>94263.052081274989</v>
      </c>
      <c r="H70" s="658">
        <v>94263.052081274989</v>
      </c>
      <c r="I70" s="658">
        <v>94263.052081274989</v>
      </c>
      <c r="J70" s="658">
        <v>94263.052081274989</v>
      </c>
      <c r="K70" s="657">
        <v>94263.052081274989</v>
      </c>
      <c r="L70" s="657">
        <v>76117.396055250007</v>
      </c>
      <c r="M70" s="657">
        <v>73661.996182500006</v>
      </c>
      <c r="N70" s="657">
        <v>72188.75625885</v>
      </c>
      <c r="O70" s="658">
        <v>72188.75625885</v>
      </c>
      <c r="P70" s="658">
        <v>78072.139893946282</v>
      </c>
      <c r="Q70" s="658">
        <v>79633.582691825213</v>
      </c>
      <c r="R70" s="658">
        <v>82022.590172579963</v>
      </c>
      <c r="S70" s="658">
        <f>('INTEC (listas)'!L69)</f>
        <v>84483.137692799981</v>
      </c>
    </row>
    <row r="71" spans="1:19">
      <c r="A71" s="113">
        <v>78</v>
      </c>
      <c r="B71" s="113" t="s">
        <v>651</v>
      </c>
      <c r="C71" s="113" t="s">
        <v>658</v>
      </c>
      <c r="D71" s="113" t="s">
        <v>659</v>
      </c>
      <c r="E71" s="657">
        <f>('[4]INTEC (listas)'!R70)</f>
        <v>85631.391449999996</v>
      </c>
      <c r="F71" s="657">
        <f>('[6]INTEC (listas)'!R70)</f>
        <v>89912.961022499992</v>
      </c>
      <c r="G71" s="658">
        <v>92610.349853174994</v>
      </c>
      <c r="H71" s="658">
        <v>92610.349853174994</v>
      </c>
      <c r="I71" s="658">
        <v>92610.349853174994</v>
      </c>
      <c r="J71" s="658">
        <v>92610.349853174994</v>
      </c>
      <c r="K71" s="657">
        <v>92610.349853174994</v>
      </c>
      <c r="L71" s="657">
        <v>70383.928106250009</v>
      </c>
      <c r="M71" s="657">
        <v>68113.47881249999</v>
      </c>
      <c r="N71" s="657">
        <v>66751.209236249997</v>
      </c>
      <c r="O71" s="658">
        <v>66751.209236249997</v>
      </c>
      <c r="P71" s="658">
        <v>72191.432789004393</v>
      </c>
      <c r="Q71" s="658">
        <v>73635.261444784468</v>
      </c>
      <c r="R71" s="658">
        <v>75844.319288128012</v>
      </c>
      <c r="S71" s="658">
        <f>('INTEC (listas)'!L70)</f>
        <v>78119.36595539999</v>
      </c>
    </row>
    <row r="72" spans="1:19">
      <c r="A72" s="113">
        <v>79</v>
      </c>
      <c r="B72" s="113" t="s">
        <v>651</v>
      </c>
      <c r="C72" s="113" t="s">
        <v>660</v>
      </c>
      <c r="D72" s="113" t="s">
        <v>661</v>
      </c>
      <c r="E72" s="657">
        <f>('[4]INTEC (listas)'!R71)</f>
        <v>97866.573749999996</v>
      </c>
      <c r="F72" s="657">
        <f>('[6]INTEC (listas)'!R71)</f>
        <v>102759.9024375</v>
      </c>
      <c r="G72" s="658">
        <v>105842.699510625</v>
      </c>
      <c r="H72" s="658">
        <v>105842.699510625</v>
      </c>
      <c r="I72" s="658">
        <v>105842.699510625</v>
      </c>
      <c r="J72" s="658">
        <v>105842.699510625</v>
      </c>
      <c r="K72" s="657">
        <v>105842.699510625</v>
      </c>
      <c r="L72" s="657">
        <v>85467.982800750004</v>
      </c>
      <c r="M72" s="657">
        <v>82710.951097499987</v>
      </c>
      <c r="N72" s="657">
        <v>81056.732075549982</v>
      </c>
      <c r="O72" s="658">
        <v>81056.732075549982</v>
      </c>
      <c r="P72" s="658">
        <v>87662.855739707316</v>
      </c>
      <c r="Q72" s="658">
        <v>89416.11285450148</v>
      </c>
      <c r="R72" s="658">
        <v>92098.59624013651</v>
      </c>
      <c r="S72" s="658">
        <f>('INTEC (listas)'!L71)</f>
        <v>94861.592906849997</v>
      </c>
    </row>
    <row r="73" spans="1:19">
      <c r="A73" s="113">
        <v>499</v>
      </c>
      <c r="B73" s="113" t="s">
        <v>651</v>
      </c>
      <c r="C73" s="113" t="s">
        <v>662</v>
      </c>
      <c r="D73" s="113" t="s">
        <v>663</v>
      </c>
      <c r="E73" s="657"/>
      <c r="F73" s="657"/>
      <c r="G73" s="658"/>
      <c r="H73" s="658"/>
      <c r="I73" s="658"/>
      <c r="J73" s="658"/>
      <c r="K73" s="657"/>
      <c r="L73" s="657"/>
      <c r="M73" s="657">
        <v>104068.911375</v>
      </c>
      <c r="N73" s="657">
        <v>101987.5331475</v>
      </c>
      <c r="O73" s="658">
        <v>101987.5331475</v>
      </c>
      <c r="P73" s="658">
        <v>110299.51709902124</v>
      </c>
      <c r="Q73" s="658">
        <v>112505.50744100168</v>
      </c>
      <c r="R73" s="658">
        <v>115880.67266423174</v>
      </c>
      <c r="S73" s="658">
        <f>('INTEC (listas)'!L72)</f>
        <v>119356.92866790001</v>
      </c>
    </row>
    <row r="74" spans="1:19">
      <c r="A74" s="113">
        <v>80</v>
      </c>
      <c r="B74" s="113" t="s">
        <v>651</v>
      </c>
      <c r="C74" s="113" t="s">
        <v>664</v>
      </c>
      <c r="D74" s="113" t="s">
        <v>665</v>
      </c>
      <c r="E74" s="657">
        <f>('[4]INTEC (listas)'!R72)</f>
        <v>100615.27244999999</v>
      </c>
      <c r="F74" s="657">
        <f>('[6]INTEC (listas)'!R72)</f>
        <v>105646.03607249999</v>
      </c>
      <c r="G74" s="658">
        <v>108815.417154675</v>
      </c>
      <c r="H74" s="658">
        <v>108815.417154675</v>
      </c>
      <c r="I74" s="658">
        <v>108815.417154675</v>
      </c>
      <c r="J74" s="658">
        <v>108815.417154675</v>
      </c>
      <c r="K74" s="657">
        <v>108815.417154675</v>
      </c>
      <c r="L74" s="657">
        <v>87868.554344999997</v>
      </c>
      <c r="M74" s="657">
        <v>85034.084850000014</v>
      </c>
      <c r="N74" s="657">
        <v>83333.403153000007</v>
      </c>
      <c r="O74" s="658">
        <v>83333.403153000007</v>
      </c>
      <c r="P74" s="658">
        <v>90125.075509969494</v>
      </c>
      <c r="Q74" s="658">
        <v>91927.577020168901</v>
      </c>
      <c r="R74" s="658">
        <v>94685.404330773963</v>
      </c>
      <c r="S74" s="658">
        <f>('INTEC (listas)'!L73)</f>
        <v>97525.830020850015</v>
      </c>
    </row>
    <row r="75" spans="1:19">
      <c r="A75" s="113">
        <v>440</v>
      </c>
      <c r="B75" s="113" t="s">
        <v>651</v>
      </c>
      <c r="C75" s="113" t="s">
        <v>666</v>
      </c>
      <c r="D75" s="113" t="s">
        <v>667</v>
      </c>
      <c r="E75" s="657"/>
      <c r="F75" s="657"/>
      <c r="G75" s="658"/>
      <c r="H75" s="658"/>
      <c r="I75" s="658">
        <v>108815.417154675</v>
      </c>
      <c r="J75" s="658">
        <v>108815.417154675</v>
      </c>
      <c r="K75" s="657">
        <v>108815.417154675</v>
      </c>
      <c r="L75" s="657">
        <v>87868.554344999997</v>
      </c>
      <c r="M75" s="657">
        <v>85034.084850000014</v>
      </c>
      <c r="N75" s="657">
        <v>83333.403153000007</v>
      </c>
      <c r="O75" s="658">
        <v>83333.403153000007</v>
      </c>
      <c r="P75" s="658">
        <v>90125.075509969494</v>
      </c>
      <c r="Q75" s="658">
        <v>91927.577020168901</v>
      </c>
      <c r="R75" s="658">
        <v>94685.404330773963</v>
      </c>
      <c r="S75" s="658">
        <f>('INTEC (listas)'!L74)</f>
        <v>97525.830020850015</v>
      </c>
    </row>
    <row r="76" spans="1:19">
      <c r="A76" s="113">
        <v>81</v>
      </c>
      <c r="B76" s="113" t="s">
        <v>651</v>
      </c>
      <c r="C76" s="113" t="s">
        <v>668</v>
      </c>
      <c r="D76" s="113" t="s">
        <v>669</v>
      </c>
      <c r="E76" s="657">
        <f>('[4]INTEC (listas)'!R73)</f>
        <v>118590.9681</v>
      </c>
      <c r="F76" s="657">
        <f>('[6]INTEC (listas)'!R73)</f>
        <v>124520.51650499998</v>
      </c>
      <c r="G76" s="658">
        <v>128256.13200015001</v>
      </c>
      <c r="H76" s="658">
        <v>128256.13200015001</v>
      </c>
      <c r="I76" s="658">
        <v>128256.13200015001</v>
      </c>
      <c r="J76" s="658">
        <v>128256.13200015001</v>
      </c>
      <c r="K76" s="657">
        <v>128256.13200015001</v>
      </c>
      <c r="L76" s="657">
        <v>104785.2071475</v>
      </c>
      <c r="M76" s="657">
        <v>101405.039175</v>
      </c>
      <c r="N76" s="657">
        <v>99376.938391499993</v>
      </c>
      <c r="O76" s="658">
        <v>99376.938391499993</v>
      </c>
      <c r="P76" s="658">
        <v>107476.15887040723</v>
      </c>
      <c r="Q76" s="658">
        <v>109625.6820478154</v>
      </c>
      <c r="R76" s="658">
        <v>112914.45250924987</v>
      </c>
      <c r="S76" s="658">
        <f>('INTEC (listas)'!L75)</f>
        <v>116301.9963798</v>
      </c>
    </row>
    <row r="77" spans="1:19">
      <c r="A77" s="113">
        <v>82</v>
      </c>
      <c r="B77" s="113" t="s">
        <v>651</v>
      </c>
      <c r="C77" s="113" t="s">
        <v>670</v>
      </c>
      <c r="D77" s="113" t="s">
        <v>671</v>
      </c>
      <c r="E77" s="657">
        <f>('[4]INTEC (listas)'!R74)</f>
        <v>118590.9681</v>
      </c>
      <c r="F77" s="657">
        <f>('[6]INTEC (listas)'!R74)</f>
        <v>124520.51650499998</v>
      </c>
      <c r="G77" s="658">
        <v>128256.13200015001</v>
      </c>
      <c r="H77" s="658">
        <v>128256.13200015001</v>
      </c>
      <c r="I77" s="658">
        <v>128256.13200015001</v>
      </c>
      <c r="J77" s="658">
        <v>128256.13200015001</v>
      </c>
      <c r="K77" s="657">
        <v>128256.13200015001</v>
      </c>
      <c r="L77" s="657">
        <v>104785.2071475</v>
      </c>
      <c r="M77" s="657">
        <v>101405.039175</v>
      </c>
      <c r="N77" s="657">
        <v>99376.938391499993</v>
      </c>
      <c r="O77" s="658">
        <v>99376.938391499993</v>
      </c>
      <c r="P77" s="658">
        <v>107476.15887040723</v>
      </c>
      <c r="Q77" s="658">
        <v>109625.6820478154</v>
      </c>
      <c r="R77" s="658">
        <v>112914.45250924987</v>
      </c>
      <c r="S77" s="658">
        <f>('INTEC (listas)'!L76)</f>
        <v>116301.9963798</v>
      </c>
    </row>
    <row r="78" spans="1:19">
      <c r="A78" s="113">
        <v>500</v>
      </c>
      <c r="B78" s="113" t="s">
        <v>651</v>
      </c>
      <c r="C78" s="113" t="s">
        <v>672</v>
      </c>
      <c r="D78" s="113" t="s">
        <v>673</v>
      </c>
      <c r="E78" s="657"/>
      <c r="F78" s="657"/>
      <c r="G78" s="658"/>
      <c r="H78" s="658"/>
      <c r="I78" s="658"/>
      <c r="J78" s="658"/>
      <c r="K78" s="657"/>
      <c r="L78" s="657"/>
      <c r="M78" s="657">
        <v>121959.73250999997</v>
      </c>
      <c r="N78" s="657">
        <v>119520.53785979997</v>
      </c>
      <c r="O78" s="658">
        <v>119520.53785979997</v>
      </c>
      <c r="P78" s="658">
        <v>129261.46169537371</v>
      </c>
      <c r="Q78" s="658">
        <v>131846.69092928118</v>
      </c>
      <c r="R78" s="658">
        <v>135802.09165715962</v>
      </c>
      <c r="S78" s="658">
        <f>('INTEC (listas)'!L77)</f>
        <v>139876.02464219998</v>
      </c>
    </row>
    <row r="79" spans="1:19" ht="15.6">
      <c r="A79" s="113">
        <v>83</v>
      </c>
      <c r="B79" s="113" t="s">
        <v>651</v>
      </c>
      <c r="C79" s="113" t="s">
        <v>674</v>
      </c>
      <c r="D79" s="113" t="s">
        <v>675</v>
      </c>
      <c r="E79" s="657">
        <f>('[4]INTEC (listas)'!R75)</f>
        <v>148325.53725000002</v>
      </c>
      <c r="F79" s="657">
        <f>('[6]INTEC (listas)'!R75)</f>
        <v>155741.8141125</v>
      </c>
      <c r="G79" s="658">
        <v>160414.06853587501</v>
      </c>
      <c r="H79" s="658">
        <v>160414.06853587501</v>
      </c>
      <c r="I79" s="658">
        <v>160414.06853587501</v>
      </c>
      <c r="J79" s="717">
        <v>160414.06853587501</v>
      </c>
      <c r="K79" s="657">
        <v>160414.06853587501</v>
      </c>
      <c r="L79" s="657">
        <v>129534.23720324998</v>
      </c>
      <c r="M79" s="657">
        <v>125355.71342249998</v>
      </c>
      <c r="N79" s="657">
        <v>122848.59915404998</v>
      </c>
      <c r="O79" s="658">
        <v>122848.59915404998</v>
      </c>
      <c r="P79" s="658">
        <v>132860.75998510508</v>
      </c>
      <c r="Q79" s="658">
        <v>135517.9751848072</v>
      </c>
      <c r="R79" s="658">
        <v>139583.5144403514</v>
      </c>
      <c r="S79" s="658">
        <f>('INTEC (listas)'!L78)</f>
        <v>143771.35387230001</v>
      </c>
    </row>
    <row r="80" spans="1:19" ht="15.6">
      <c r="A80" s="113">
        <v>84</v>
      </c>
      <c r="B80" s="113" t="s">
        <v>651</v>
      </c>
      <c r="C80" s="113" t="s">
        <v>676</v>
      </c>
      <c r="D80" s="113" t="s">
        <v>677</v>
      </c>
      <c r="E80" s="657">
        <f>('[4]INTEC (listas)'!R76)</f>
        <v>168206.4681</v>
      </c>
      <c r="F80" s="657">
        <f>('[6]INTEC (listas)'!R76)</f>
        <v>176616.79150499997</v>
      </c>
      <c r="G80" s="658">
        <v>181915.29525014997</v>
      </c>
      <c r="H80" s="658">
        <v>181915.29525014997</v>
      </c>
      <c r="I80" s="658">
        <v>181915.29525014997</v>
      </c>
      <c r="J80" s="717">
        <v>181915.29525014997</v>
      </c>
      <c r="K80" s="657">
        <v>181915.29525014997</v>
      </c>
      <c r="L80" s="657">
        <v>146896.78450424998</v>
      </c>
      <c r="M80" s="657">
        <v>142158.1785525</v>
      </c>
      <c r="N80" s="657">
        <v>139315.01498144999</v>
      </c>
      <c r="O80" s="658">
        <v>139315.01498144999</v>
      </c>
      <c r="P80" s="658">
        <v>150669.18870243823</v>
      </c>
      <c r="Q80" s="658">
        <v>153682.57247648697</v>
      </c>
      <c r="R80" s="658">
        <v>158293.04965078156</v>
      </c>
      <c r="S80" s="658">
        <f>('INTEC (listas)'!L79)</f>
        <v>163041.47694449997</v>
      </c>
    </row>
    <row r="81" spans="1:19">
      <c r="A81" s="113">
        <v>85</v>
      </c>
      <c r="B81" s="113" t="s">
        <v>651</v>
      </c>
      <c r="C81" s="113" t="s">
        <v>678</v>
      </c>
      <c r="D81" s="113" t="s">
        <v>679</v>
      </c>
      <c r="E81" s="657">
        <f>('[4]INTEC (listas)'!R77)</f>
        <v>230970.07560000001</v>
      </c>
      <c r="F81" s="657">
        <f>('[6]INTEC (listas)'!R77)</f>
        <v>242518.57938000001</v>
      </c>
      <c r="G81" s="658">
        <v>249794.13676139998</v>
      </c>
      <c r="H81" s="658">
        <v>249794.13676139998</v>
      </c>
      <c r="I81" s="658">
        <v>249794.13676139998</v>
      </c>
      <c r="J81" s="113">
        <v>249794.13676139998</v>
      </c>
      <c r="K81" s="657">
        <v>249794.13676139998</v>
      </c>
      <c r="L81" s="657">
        <v>201708.81351225</v>
      </c>
      <c r="M81" s="657">
        <v>195202.07759249999</v>
      </c>
      <c r="N81" s="657">
        <v>191298.03604064998</v>
      </c>
      <c r="O81" s="658">
        <v>191298.03604064998</v>
      </c>
      <c r="P81" s="658">
        <v>206888.82597796302</v>
      </c>
      <c r="Q81" s="658">
        <v>211026.60249752228</v>
      </c>
      <c r="R81" s="658">
        <v>217357.40057244792</v>
      </c>
      <c r="S81" s="658">
        <f>('INTEC (listas)'!L80)</f>
        <v>223878.16919159994</v>
      </c>
    </row>
    <row r="82" spans="1:19">
      <c r="A82" s="113">
        <v>86</v>
      </c>
      <c r="B82" s="113" t="s">
        <v>680</v>
      </c>
      <c r="C82" s="113" t="s">
        <v>681</v>
      </c>
      <c r="D82" s="113" t="s">
        <v>682</v>
      </c>
      <c r="E82" s="657">
        <f>('[4]INTEC (listas)'!R78)</f>
        <v>0</v>
      </c>
      <c r="F82" s="657">
        <f>('[6]INTEC (listas)'!R78)</f>
        <v>0</v>
      </c>
      <c r="G82" s="658">
        <v>0</v>
      </c>
      <c r="H82" s="658">
        <v>0</v>
      </c>
      <c r="I82" s="658"/>
      <c r="J82" s="113"/>
      <c r="K82" s="657"/>
      <c r="L82" s="657">
        <v>0</v>
      </c>
      <c r="M82" s="657">
        <v>68113.47881249999</v>
      </c>
      <c r="N82" s="657">
        <v>0</v>
      </c>
      <c r="O82" s="658">
        <v>0</v>
      </c>
      <c r="P82" s="658">
        <v>10</v>
      </c>
      <c r="Q82" s="658">
        <v>10</v>
      </c>
      <c r="R82" s="658">
        <v>10</v>
      </c>
      <c r="S82" s="658">
        <f>('INTEC (listas)'!L81)</f>
        <v>10</v>
      </c>
    </row>
    <row r="83" spans="1:19">
      <c r="A83" s="113">
        <v>87</v>
      </c>
      <c r="B83" s="113" t="s">
        <v>680</v>
      </c>
      <c r="C83" s="113" t="s">
        <v>683</v>
      </c>
      <c r="D83" s="113" t="s">
        <v>684</v>
      </c>
      <c r="E83" s="657">
        <f>('[4]INTEC (listas)'!R79)</f>
        <v>0</v>
      </c>
      <c r="F83" s="657">
        <f>('[6]INTEC (listas)'!R79)</f>
        <v>0</v>
      </c>
      <c r="G83" s="658">
        <v>0</v>
      </c>
      <c r="H83" s="658">
        <v>0</v>
      </c>
      <c r="I83" s="658"/>
      <c r="J83" s="113"/>
      <c r="K83" s="657"/>
      <c r="L83" s="657">
        <v>0</v>
      </c>
      <c r="M83" s="657">
        <v>82710.951097499987</v>
      </c>
      <c r="N83" s="657">
        <v>0</v>
      </c>
      <c r="O83" s="658">
        <v>0</v>
      </c>
      <c r="P83" s="658">
        <v>10</v>
      </c>
      <c r="Q83" s="658">
        <v>10</v>
      </c>
      <c r="R83" s="658">
        <v>10</v>
      </c>
      <c r="S83" s="658">
        <f>('INTEC (listas)'!L82)</f>
        <v>10</v>
      </c>
    </row>
    <row r="84" spans="1:19">
      <c r="A84" s="113">
        <v>88</v>
      </c>
      <c r="B84" s="113" t="s">
        <v>680</v>
      </c>
      <c r="C84" s="113" t="s">
        <v>685</v>
      </c>
      <c r="D84" s="113" t="s">
        <v>686</v>
      </c>
      <c r="E84" s="657">
        <f>('[4]INTEC (listas)'!R80)</f>
        <v>42162.76</v>
      </c>
      <c r="F84" s="657">
        <f>('[6]INTEC (listas)'!R80)</f>
        <v>46379.036</v>
      </c>
      <c r="G84" s="658">
        <v>46379.036</v>
      </c>
      <c r="H84" s="658">
        <v>46379.036</v>
      </c>
      <c r="I84" s="658">
        <v>46379.036</v>
      </c>
      <c r="J84" s="113">
        <v>46379.036</v>
      </c>
      <c r="K84" s="657">
        <f>('INTEC (listas)'!L83)</f>
        <v>50028.57187</v>
      </c>
      <c r="L84" s="657">
        <v>46379.036</v>
      </c>
      <c r="M84" s="657">
        <v>134404.66833750001</v>
      </c>
      <c r="N84" s="657">
        <v>42269.853410399999</v>
      </c>
      <c r="O84" s="658">
        <v>42269.853410399999</v>
      </c>
      <c r="P84" s="658">
        <v>46597.895147999996</v>
      </c>
      <c r="Q84" s="658">
        <v>48571.428999999996</v>
      </c>
      <c r="R84" s="658">
        <v>48571.428999999996</v>
      </c>
      <c r="S84" s="658">
        <f>('INTEC (listas)'!L83)</f>
        <v>50028.57187</v>
      </c>
    </row>
    <row r="85" spans="1:19">
      <c r="A85" s="113">
        <v>89</v>
      </c>
      <c r="B85" s="113" t="s">
        <v>680</v>
      </c>
      <c r="C85" s="113" t="s">
        <v>687</v>
      </c>
      <c r="D85" s="113" t="s">
        <v>688</v>
      </c>
      <c r="E85" s="657">
        <f>('[4]INTEC (listas)'!R81)</f>
        <v>47349.26</v>
      </c>
      <c r="F85" s="657">
        <f>('[6]INTEC (listas)'!R81)</f>
        <v>52084.186000000002</v>
      </c>
      <c r="G85" s="658">
        <v>52084.186000000002</v>
      </c>
      <c r="H85" s="658">
        <v>52084.186000000002</v>
      </c>
      <c r="I85" s="658">
        <v>52084.186000000002</v>
      </c>
      <c r="J85" s="113">
        <v>42876.160000000003</v>
      </c>
      <c r="K85" s="657">
        <f>('INTEC (listas)'!L84)</f>
        <v>44903.118000000002</v>
      </c>
      <c r="L85" s="657">
        <v>42876.160000000003</v>
      </c>
      <c r="M85" s="657">
        <v>242673.28370999999</v>
      </c>
      <c r="N85" s="657">
        <v>42876.160000000003</v>
      </c>
      <c r="O85" s="658">
        <v>42876.160000000003</v>
      </c>
      <c r="P85" s="658">
        <v>47266.44</v>
      </c>
      <c r="Q85" s="658">
        <v>44903.118000000002</v>
      </c>
      <c r="R85" s="658">
        <v>44903.118000000002</v>
      </c>
      <c r="S85" s="658">
        <f>('INTEC (listas)'!L84)</f>
        <v>44903.118000000002</v>
      </c>
    </row>
    <row r="86" spans="1:19">
      <c r="A86" s="113">
        <v>90</v>
      </c>
      <c r="B86" s="113" t="s">
        <v>680</v>
      </c>
      <c r="C86" s="113" t="s">
        <v>689</v>
      </c>
      <c r="D86" s="113" t="s">
        <v>690</v>
      </c>
      <c r="E86" s="657">
        <f>('[4]INTEC (listas)'!R82)</f>
        <v>49140</v>
      </c>
      <c r="F86" s="657">
        <f>('[6]INTEC (listas)'!R82)</f>
        <v>53071.200000000004</v>
      </c>
      <c r="G86" s="658">
        <v>53071.200000000004</v>
      </c>
      <c r="H86" s="658">
        <v>53071.200000000004</v>
      </c>
      <c r="I86" s="658">
        <v>53071.200000000004</v>
      </c>
      <c r="J86" s="113">
        <v>53071.200000000004</v>
      </c>
      <c r="K86" s="657">
        <f>('INTEC (listas)'!L85)</f>
        <v>58900</v>
      </c>
      <c r="L86" s="657">
        <v>53071.200000000004</v>
      </c>
      <c r="M86" s="657">
        <v>53071.200000000004</v>
      </c>
      <c r="N86" s="657">
        <v>53071.200000000004</v>
      </c>
      <c r="O86" s="658">
        <v>53071.200000000004</v>
      </c>
      <c r="P86" s="658">
        <v>58505.4</v>
      </c>
      <c r="Q86" s="658">
        <v>58900</v>
      </c>
      <c r="R86" s="658">
        <v>58900</v>
      </c>
      <c r="S86" s="658">
        <f>('INTEC (listas)'!L85)</f>
        <v>58900</v>
      </c>
    </row>
    <row r="87" spans="1:19">
      <c r="A87" s="113">
        <v>91</v>
      </c>
      <c r="B87" s="113" t="s">
        <v>680</v>
      </c>
      <c r="C87" s="113" t="s">
        <v>691</v>
      </c>
      <c r="D87" s="113" t="s">
        <v>692</v>
      </c>
      <c r="E87" s="657">
        <f>('[4]INTEC (listas)'!R83)</f>
        <v>52793.24</v>
      </c>
      <c r="F87" s="657">
        <f>('[6]INTEC (listas)'!R83)</f>
        <v>58072.564000000013</v>
      </c>
      <c r="G87" s="658">
        <v>58072.564000000013</v>
      </c>
      <c r="H87" s="658">
        <v>58072.564000000013</v>
      </c>
      <c r="I87" s="658">
        <v>58072.564000000013</v>
      </c>
      <c r="J87" s="113">
        <v>58072.564000000013</v>
      </c>
      <c r="K87" s="657">
        <f>('INTEC (listas)'!L86)</f>
        <v>62643.433009999993</v>
      </c>
      <c r="L87" s="657">
        <v>58072.564000000013</v>
      </c>
      <c r="M87" s="657">
        <v>57358.658249999993</v>
      </c>
      <c r="N87" s="657">
        <v>59169.984299999996</v>
      </c>
      <c r="O87" s="658">
        <v>59169.984299999996</v>
      </c>
      <c r="P87" s="658">
        <v>58347.700404000003</v>
      </c>
      <c r="Q87" s="658">
        <v>60818.866999999998</v>
      </c>
      <c r="R87" s="658">
        <v>60818.866999999998</v>
      </c>
      <c r="S87" s="658">
        <f>('INTEC (listas)'!L86)</f>
        <v>62643.433009999993</v>
      </c>
    </row>
    <row r="88" spans="1:19">
      <c r="A88" s="113">
        <v>92</v>
      </c>
      <c r="B88" s="113" t="s">
        <v>680</v>
      </c>
      <c r="C88" s="113" t="s">
        <v>693</v>
      </c>
      <c r="D88" s="113" t="s">
        <v>694</v>
      </c>
      <c r="E88" s="657">
        <f>('[4]INTEC (listas)'!R84)</f>
        <v>56557.04</v>
      </c>
      <c r="F88" s="657">
        <f>('[6]INTEC (listas)'!R84)</f>
        <v>62212.744000000006</v>
      </c>
      <c r="G88" s="658">
        <v>62212.744000000006</v>
      </c>
      <c r="H88" s="658">
        <v>62212.744000000006</v>
      </c>
      <c r="I88" s="658">
        <v>62212.744000000006</v>
      </c>
      <c r="J88" s="113">
        <v>52155.28</v>
      </c>
      <c r="K88" s="657">
        <f>('INTEC (listas)'!L87)</f>
        <v>54621.143000000004</v>
      </c>
      <c r="L88" s="657">
        <v>52155.28</v>
      </c>
      <c r="M88" s="657">
        <v>52155.28</v>
      </c>
      <c r="N88" s="657">
        <v>52155.28</v>
      </c>
      <c r="O88" s="658">
        <v>52155.28</v>
      </c>
      <c r="P88" s="658">
        <v>57495.94</v>
      </c>
      <c r="Q88" s="658">
        <v>54621.143000000004</v>
      </c>
      <c r="R88" s="658">
        <v>54621.143000000004</v>
      </c>
      <c r="S88" s="658">
        <f>('INTEC (listas)'!L87)</f>
        <v>54621.143000000004</v>
      </c>
    </row>
    <row r="89" spans="1:19">
      <c r="A89" s="113">
        <v>93</v>
      </c>
      <c r="B89" s="113" t="s">
        <v>680</v>
      </c>
      <c r="C89" s="113" t="s">
        <v>695</v>
      </c>
      <c r="D89" s="113" t="s">
        <v>696</v>
      </c>
      <c r="E89" s="657">
        <f>('[4]INTEC (listas)'!R85)</f>
        <v>87341.48</v>
      </c>
      <c r="F89" s="657">
        <f>('[6]INTEC (listas)'!R85)</f>
        <v>96075.628000000012</v>
      </c>
      <c r="G89" s="658">
        <v>96075.628000000012</v>
      </c>
      <c r="H89" s="658">
        <v>96075.628000000012</v>
      </c>
      <c r="I89" s="658">
        <v>96075.628000000012</v>
      </c>
      <c r="J89" s="113">
        <v>96075.628000000012</v>
      </c>
      <c r="K89" s="657">
        <f>('INTEC (listas)'!L88)</f>
        <v>103636.51631000001</v>
      </c>
      <c r="L89" s="657">
        <v>96075.628000000012</v>
      </c>
      <c r="M89" s="657">
        <v>96075.628000000012</v>
      </c>
      <c r="N89" s="657">
        <v>87563.327359200019</v>
      </c>
      <c r="O89" s="658">
        <v>87563.327359200019</v>
      </c>
      <c r="P89" s="658">
        <v>96529.709724</v>
      </c>
      <c r="Q89" s="658">
        <v>100617.977</v>
      </c>
      <c r="R89" s="658">
        <v>100617.977</v>
      </c>
      <c r="S89" s="658">
        <f>('INTEC (listas)'!L88)</f>
        <v>103636.51631000001</v>
      </c>
    </row>
    <row r="90" spans="1:19">
      <c r="A90" s="113">
        <v>94</v>
      </c>
      <c r="B90" s="113" t="s">
        <v>680</v>
      </c>
      <c r="C90" s="113" t="s">
        <v>697</v>
      </c>
      <c r="D90" s="113" t="s">
        <v>698</v>
      </c>
      <c r="E90" s="657">
        <f>('[4]INTEC (listas)'!R86)</f>
        <v>88200</v>
      </c>
      <c r="F90" s="657">
        <f>('[6]INTEC (listas)'!R86)</f>
        <v>95256</v>
      </c>
      <c r="G90" s="658">
        <v>95256</v>
      </c>
      <c r="H90" s="658">
        <v>95256</v>
      </c>
      <c r="I90" s="658">
        <v>95256</v>
      </c>
      <c r="J90" s="113">
        <v>95256</v>
      </c>
      <c r="K90" s="657">
        <f>('INTEC (listas)'!L89)</f>
        <v>102450.61344999999</v>
      </c>
      <c r="L90" s="657">
        <v>95256</v>
      </c>
      <c r="M90" s="657">
        <v>94976.090000000011</v>
      </c>
      <c r="N90" s="657">
        <v>86561.208426000012</v>
      </c>
      <c r="O90" s="658">
        <v>86561.208426000012</v>
      </c>
      <c r="P90" s="658">
        <v>95425.129379999998</v>
      </c>
      <c r="Q90" s="658">
        <v>99466.614999999991</v>
      </c>
      <c r="R90" s="658">
        <v>99466.614999999991</v>
      </c>
      <c r="S90" s="658">
        <f>('INTEC (listas)'!L89)</f>
        <v>102450.61344999999</v>
      </c>
    </row>
    <row r="91" spans="1:19">
      <c r="A91" s="113">
        <v>95</v>
      </c>
      <c r="B91" s="113" t="s">
        <v>680</v>
      </c>
      <c r="C91" s="113" t="s">
        <v>699</v>
      </c>
      <c r="D91" s="113" t="s">
        <v>700</v>
      </c>
      <c r="E91" s="657">
        <f>('[4]INTEC (listas)'!R87)</f>
        <v>0</v>
      </c>
      <c r="F91" s="657">
        <f>('[6]INTEC (listas)'!R87)</f>
        <v>0</v>
      </c>
      <c r="G91" s="658">
        <v>0</v>
      </c>
      <c r="H91" s="658">
        <v>0</v>
      </c>
      <c r="I91" s="658"/>
      <c r="J91" s="113"/>
      <c r="K91" s="657">
        <f>('INTEC (listas)'!L90)</f>
        <v>10</v>
      </c>
      <c r="L91" s="657">
        <v>0</v>
      </c>
      <c r="M91" s="657"/>
      <c r="N91" s="657">
        <v>0</v>
      </c>
      <c r="O91" s="658">
        <v>0</v>
      </c>
      <c r="P91" s="658"/>
      <c r="Q91" s="658">
        <v>10</v>
      </c>
      <c r="R91" s="658">
        <v>10</v>
      </c>
      <c r="S91" s="658">
        <f>('INTEC (listas)'!L90)</f>
        <v>10</v>
      </c>
    </row>
    <row r="92" spans="1:19">
      <c r="A92" s="113">
        <v>96</v>
      </c>
      <c r="B92" s="113" t="s">
        <v>680</v>
      </c>
      <c r="C92" s="113" t="s">
        <v>701</v>
      </c>
      <c r="D92" s="113" t="s">
        <v>702</v>
      </c>
      <c r="E92" s="657">
        <f>('[4]INTEC (listas)'!R88)</f>
        <v>136889.98000000001</v>
      </c>
      <c r="F92" s="657">
        <f>('[6]INTEC (listas)'!R88)</f>
        <v>150578.978</v>
      </c>
      <c r="G92" s="658">
        <v>150578.978</v>
      </c>
      <c r="H92" s="658">
        <v>150578.978</v>
      </c>
      <c r="I92" s="658">
        <v>150578.978</v>
      </c>
      <c r="J92" s="113">
        <v>150578.978</v>
      </c>
      <c r="K92" s="657">
        <f>('INTEC (listas)'!L91)</f>
        <v>162429.37568999999</v>
      </c>
      <c r="L92" s="657">
        <v>150578.978</v>
      </c>
      <c r="M92" s="657">
        <v>150578.978</v>
      </c>
      <c r="N92" s="657">
        <v>137237.68054920001</v>
      </c>
      <c r="O92" s="658">
        <v>137237.68054920001</v>
      </c>
      <c r="P92" s="658">
        <v>151290.88707599998</v>
      </c>
      <c r="Q92" s="658">
        <v>157698.42300000001</v>
      </c>
      <c r="R92" s="658">
        <v>157698.42300000001</v>
      </c>
      <c r="S92" s="658">
        <f>('INTEC (listas)'!L91)</f>
        <v>162429.37568999999</v>
      </c>
    </row>
    <row r="93" spans="1:19">
      <c r="A93" s="113">
        <v>97</v>
      </c>
      <c r="B93" s="113" t="s">
        <v>680</v>
      </c>
      <c r="C93" s="113" t="s">
        <v>703</v>
      </c>
      <c r="D93" s="113" t="s">
        <v>704</v>
      </c>
      <c r="E93" s="657">
        <f>('[4]INTEC (listas)'!R89)</f>
        <v>0</v>
      </c>
      <c r="F93" s="657">
        <f>('[6]INTEC (listas)'!R89)</f>
        <v>0</v>
      </c>
      <c r="G93" s="658">
        <v>0</v>
      </c>
      <c r="H93" s="658">
        <v>0</v>
      </c>
      <c r="I93" s="658"/>
      <c r="J93" s="113"/>
      <c r="K93" s="657">
        <f>('INTEC (listas)'!L92)</f>
        <v>10</v>
      </c>
      <c r="L93" s="657">
        <v>0</v>
      </c>
      <c r="M93" s="657"/>
      <c r="N93" s="657">
        <v>0</v>
      </c>
      <c r="O93" s="658">
        <v>0</v>
      </c>
      <c r="P93" s="658"/>
      <c r="Q93" s="658">
        <v>10</v>
      </c>
      <c r="R93" s="658">
        <v>10</v>
      </c>
      <c r="S93" s="658">
        <f>('INTEC (listas)'!L92)</f>
        <v>10</v>
      </c>
    </row>
    <row r="94" spans="1:19">
      <c r="A94" s="113">
        <v>98</v>
      </c>
      <c r="B94" s="113" t="s">
        <v>680</v>
      </c>
      <c r="C94" s="113" t="s">
        <v>705</v>
      </c>
      <c r="D94" s="113" t="s">
        <v>706</v>
      </c>
      <c r="E94" s="657">
        <f>('[4]INTEC (listas)'!R90)</f>
        <v>0</v>
      </c>
      <c r="F94" s="657">
        <f>('[6]INTEC (listas)'!R90)</f>
        <v>0</v>
      </c>
      <c r="G94" s="658">
        <v>0</v>
      </c>
      <c r="H94" s="658">
        <v>0</v>
      </c>
      <c r="I94" s="658"/>
      <c r="J94" s="113"/>
      <c r="K94" s="657">
        <f>('INTEC (listas)'!L93)</f>
        <v>10</v>
      </c>
      <c r="L94" s="657">
        <v>0</v>
      </c>
      <c r="M94" s="657"/>
      <c r="N94" s="657">
        <v>0</v>
      </c>
      <c r="O94" s="658">
        <v>0</v>
      </c>
      <c r="P94" s="658"/>
      <c r="Q94" s="658">
        <v>10</v>
      </c>
      <c r="R94" s="658">
        <v>10</v>
      </c>
      <c r="S94" s="658">
        <f>('INTEC (listas)'!L93)</f>
        <v>10</v>
      </c>
    </row>
    <row r="95" spans="1:19">
      <c r="A95" s="113">
        <v>99</v>
      </c>
      <c r="B95" s="113" t="s">
        <v>707</v>
      </c>
      <c r="C95" s="113" t="s">
        <v>708</v>
      </c>
      <c r="D95" s="113" t="s">
        <v>709</v>
      </c>
      <c r="E95" s="657">
        <f>('[4]INTEC (listas)'!R91)</f>
        <v>0</v>
      </c>
      <c r="F95" s="657">
        <f>('[6]INTEC (listas)'!R91)</f>
        <v>0</v>
      </c>
      <c r="G95" s="658">
        <v>0</v>
      </c>
      <c r="H95" s="658">
        <v>0</v>
      </c>
      <c r="I95" s="658"/>
      <c r="J95" s="113"/>
      <c r="K95" s="657">
        <f>('INTEC (listas)'!L94)</f>
        <v>10</v>
      </c>
      <c r="L95" s="657">
        <v>0</v>
      </c>
      <c r="M95" s="657"/>
      <c r="N95" s="657">
        <v>0</v>
      </c>
      <c r="O95" s="658">
        <v>0</v>
      </c>
      <c r="P95" s="658"/>
      <c r="Q95" s="658">
        <v>10</v>
      </c>
      <c r="R95" s="658">
        <v>10</v>
      </c>
      <c r="S95" s="658">
        <f>('INTEC (listas)'!L94)</f>
        <v>10</v>
      </c>
    </row>
    <row r="96" spans="1:19">
      <c r="A96" s="113">
        <v>100</v>
      </c>
      <c r="B96" s="113" t="s">
        <v>707</v>
      </c>
      <c r="C96" s="113" t="s">
        <v>710</v>
      </c>
      <c r="D96" s="113" t="s">
        <v>711</v>
      </c>
      <c r="E96" s="657">
        <f>('[4]INTEC (listas)'!R92)</f>
        <v>0</v>
      </c>
      <c r="F96" s="657">
        <f>('[6]INTEC (listas)'!R92)</f>
        <v>0</v>
      </c>
      <c r="G96" s="658">
        <v>0</v>
      </c>
      <c r="H96" s="658">
        <v>0</v>
      </c>
      <c r="I96" s="658"/>
      <c r="J96" s="113"/>
      <c r="K96" s="657">
        <f>('INTEC (listas)'!L95)</f>
        <v>10</v>
      </c>
      <c r="L96" s="657">
        <v>0</v>
      </c>
      <c r="M96" s="657"/>
      <c r="N96" s="657">
        <v>0</v>
      </c>
      <c r="O96" s="658">
        <v>0</v>
      </c>
      <c r="P96" s="658"/>
      <c r="Q96" s="658">
        <v>10</v>
      </c>
      <c r="R96" s="658">
        <v>10</v>
      </c>
      <c r="S96" s="658">
        <f>('INTEC (listas)'!L95)</f>
        <v>10</v>
      </c>
    </row>
    <row r="97" spans="1:19">
      <c r="A97" s="113">
        <v>321</v>
      </c>
      <c r="B97" s="113" t="s">
        <v>712</v>
      </c>
      <c r="C97" s="113" t="s">
        <v>713</v>
      </c>
      <c r="D97" s="113" t="s">
        <v>714</v>
      </c>
      <c r="E97" s="657">
        <f>('[4]INTEC (listas)'!R93)</f>
        <v>0</v>
      </c>
      <c r="F97" s="657">
        <f>('[6]INTEC (listas)'!R93)</f>
        <v>0</v>
      </c>
      <c r="G97" s="658">
        <v>0</v>
      </c>
      <c r="H97" s="658">
        <v>0</v>
      </c>
      <c r="I97" s="658"/>
      <c r="J97" s="113"/>
      <c r="K97" s="657">
        <f>('INTEC (listas)'!L96)</f>
        <v>10</v>
      </c>
      <c r="L97" s="657">
        <v>0</v>
      </c>
      <c r="M97" s="657"/>
      <c r="N97" s="657">
        <v>0</v>
      </c>
      <c r="O97" s="658">
        <v>0</v>
      </c>
      <c r="P97" s="658"/>
      <c r="Q97" s="658">
        <v>10</v>
      </c>
      <c r="R97" s="658">
        <v>10</v>
      </c>
      <c r="S97" s="658">
        <f>('INTEC (listas)'!L96)</f>
        <v>10</v>
      </c>
    </row>
    <row r="98" spans="1:19">
      <c r="A98" s="113">
        <v>322</v>
      </c>
      <c r="B98" s="113" t="s">
        <v>712</v>
      </c>
      <c r="C98" s="113" t="s">
        <v>715</v>
      </c>
      <c r="D98" s="113" t="s">
        <v>716</v>
      </c>
      <c r="E98" s="657">
        <f>('[4]INTEC (listas)'!R94)</f>
        <v>0</v>
      </c>
      <c r="F98" s="657">
        <f>('[6]INTEC (listas)'!R94)</f>
        <v>0</v>
      </c>
      <c r="G98" s="658">
        <v>0</v>
      </c>
      <c r="H98" s="658">
        <v>0</v>
      </c>
      <c r="I98" s="658"/>
      <c r="J98" s="113"/>
      <c r="K98" s="657">
        <f>('INTEC (listas)'!L97)</f>
        <v>10</v>
      </c>
      <c r="L98" s="657">
        <v>0</v>
      </c>
      <c r="M98" s="657"/>
      <c r="N98" s="657">
        <v>0</v>
      </c>
      <c r="O98" s="658">
        <v>0</v>
      </c>
      <c r="P98" s="658"/>
      <c r="Q98" s="658">
        <v>10</v>
      </c>
      <c r="R98" s="658">
        <v>10</v>
      </c>
      <c r="S98" s="658">
        <f>('INTEC (listas)'!L97)</f>
        <v>10</v>
      </c>
    </row>
    <row r="99" spans="1:19">
      <c r="A99" s="113">
        <v>323</v>
      </c>
      <c r="B99" s="113" t="s">
        <v>712</v>
      </c>
      <c r="C99" s="113" t="s">
        <v>717</v>
      </c>
      <c r="D99" s="113" t="s">
        <v>718</v>
      </c>
      <c r="E99" s="657">
        <f>('[4]INTEC (listas)'!R95)</f>
        <v>0</v>
      </c>
      <c r="F99" s="657">
        <f>('[6]INTEC (listas)'!R95)</f>
        <v>0</v>
      </c>
      <c r="G99" s="658">
        <v>0</v>
      </c>
      <c r="H99" s="658">
        <v>0</v>
      </c>
      <c r="I99" s="658"/>
      <c r="J99" s="658"/>
      <c r="K99" s="657">
        <f>('INTEC (listas)'!L98)</f>
        <v>10</v>
      </c>
      <c r="L99" s="657">
        <v>0</v>
      </c>
      <c r="M99" s="657"/>
      <c r="N99" s="657">
        <v>0</v>
      </c>
      <c r="O99" s="658">
        <v>0</v>
      </c>
      <c r="P99" s="658"/>
      <c r="Q99" s="658">
        <v>10</v>
      </c>
      <c r="R99" s="658">
        <v>10</v>
      </c>
      <c r="S99" s="658">
        <f>('INTEC (listas)'!L98)</f>
        <v>10</v>
      </c>
    </row>
    <row r="100" spans="1:19">
      <c r="A100" s="113">
        <v>324</v>
      </c>
      <c r="B100" s="113" t="s">
        <v>712</v>
      </c>
      <c r="C100" s="113" t="s">
        <v>719</v>
      </c>
      <c r="D100" s="113" t="s">
        <v>720</v>
      </c>
      <c r="E100" s="657">
        <f>('[4]INTEC (listas)'!R96)</f>
        <v>0</v>
      </c>
      <c r="F100" s="657">
        <f>('[6]INTEC (listas)'!R96)</f>
        <v>0</v>
      </c>
      <c r="G100" s="658">
        <v>0</v>
      </c>
      <c r="H100" s="658">
        <v>0</v>
      </c>
      <c r="I100" s="658"/>
      <c r="J100" s="658"/>
      <c r="K100" s="657">
        <f>('INTEC (listas)'!L99)</f>
        <v>10</v>
      </c>
      <c r="L100" s="657">
        <v>0</v>
      </c>
      <c r="M100" s="657"/>
      <c r="N100" s="657">
        <v>0</v>
      </c>
      <c r="O100" s="658">
        <v>0</v>
      </c>
      <c r="P100" s="658"/>
      <c r="Q100" s="658">
        <v>10</v>
      </c>
      <c r="R100" s="658">
        <v>10</v>
      </c>
      <c r="S100" s="658">
        <f>('INTEC (listas)'!L99)</f>
        <v>10</v>
      </c>
    </row>
    <row r="101" spans="1:19">
      <c r="A101" s="113">
        <v>325</v>
      </c>
      <c r="B101" s="113" t="s">
        <v>712</v>
      </c>
      <c r="C101" s="113" t="s">
        <v>721</v>
      </c>
      <c r="D101" s="113" t="s">
        <v>722</v>
      </c>
      <c r="E101" s="657">
        <f>('[4]INTEC (listas)'!R97)</f>
        <v>0</v>
      </c>
      <c r="F101" s="657">
        <f>('[6]INTEC (listas)'!R97)</f>
        <v>0</v>
      </c>
      <c r="G101" s="658">
        <v>0</v>
      </c>
      <c r="H101" s="658">
        <v>0</v>
      </c>
      <c r="I101" s="658"/>
      <c r="J101" s="113"/>
      <c r="K101" s="657">
        <f>('INTEC (listas)'!L100)</f>
        <v>10</v>
      </c>
      <c r="L101" s="657">
        <v>0</v>
      </c>
      <c r="M101" s="657"/>
      <c r="N101" s="657">
        <v>0</v>
      </c>
      <c r="O101" s="658">
        <v>0</v>
      </c>
      <c r="P101" s="658"/>
      <c r="Q101" s="658">
        <v>10</v>
      </c>
      <c r="R101" s="658">
        <v>10</v>
      </c>
      <c r="S101" s="658">
        <f>('INTEC (listas)'!L100)</f>
        <v>10</v>
      </c>
    </row>
    <row r="102" spans="1:19">
      <c r="A102" s="113">
        <v>101</v>
      </c>
      <c r="B102" s="113" t="s">
        <v>723</v>
      </c>
      <c r="C102" s="113" t="s">
        <v>724</v>
      </c>
      <c r="D102" s="113" t="s">
        <v>725</v>
      </c>
      <c r="E102" s="657">
        <f>('[4]INTEC (listas)'!R98)</f>
        <v>66060</v>
      </c>
      <c r="F102" s="657">
        <f>('[6]INTEC (listas)'!R98)</f>
        <v>66060</v>
      </c>
      <c r="G102" s="658">
        <v>62757</v>
      </c>
      <c r="H102" s="658">
        <v>62757</v>
      </c>
      <c r="I102" s="658">
        <v>68041.8</v>
      </c>
      <c r="J102" s="113">
        <v>68041.8</v>
      </c>
      <c r="K102" s="657">
        <v>68041.8</v>
      </c>
      <c r="L102" s="657">
        <v>68041.8</v>
      </c>
      <c r="M102" s="657">
        <v>69363</v>
      </c>
      <c r="N102" s="657">
        <v>70684.2</v>
      </c>
      <c r="O102" s="658">
        <v>70684.2</v>
      </c>
      <c r="P102" s="658">
        <v>77950.8</v>
      </c>
      <c r="Q102" s="658">
        <v>78611.400000000009</v>
      </c>
      <c r="R102" s="658">
        <v>78611.400000000009</v>
      </c>
      <c r="S102" s="658">
        <f>('INTEC (listas)'!L101)</f>
        <v>83962.260000000009</v>
      </c>
    </row>
    <row r="103" spans="1:19">
      <c r="A103" s="113">
        <v>102</v>
      </c>
      <c r="B103" s="113" t="s">
        <v>723</v>
      </c>
      <c r="C103" s="113" t="s">
        <v>726</v>
      </c>
      <c r="D103" s="113" t="s">
        <v>727</v>
      </c>
      <c r="E103" s="657">
        <f>('[4]INTEC (listas)'!R99)</f>
        <v>117630</v>
      </c>
      <c r="F103" s="657">
        <f>('[6]INTEC (listas)'!R99)</f>
        <v>117630</v>
      </c>
      <c r="G103" s="658">
        <v>111748.5</v>
      </c>
      <c r="H103" s="658">
        <v>111748.5</v>
      </c>
      <c r="I103" s="658">
        <v>121158.9</v>
      </c>
      <c r="J103" s="113">
        <v>121158.9</v>
      </c>
      <c r="K103" s="657">
        <v>121158.9</v>
      </c>
      <c r="L103" s="657">
        <v>121158.9</v>
      </c>
      <c r="M103" s="657">
        <v>123511.5</v>
      </c>
      <c r="N103" s="657">
        <v>125864.09999999999</v>
      </c>
      <c r="O103" s="658">
        <v>125864.09999999999</v>
      </c>
      <c r="P103" s="658">
        <v>138803.4</v>
      </c>
      <c r="Q103" s="658">
        <v>139979.69999999998</v>
      </c>
      <c r="R103" s="658">
        <v>139979.69999999998</v>
      </c>
      <c r="S103" s="658">
        <f>('INTEC (listas)'!L102)</f>
        <v>149507.72999999998</v>
      </c>
    </row>
    <row r="104" spans="1:19">
      <c r="A104" s="113">
        <v>103</v>
      </c>
      <c r="B104" s="113" t="s">
        <v>728</v>
      </c>
      <c r="C104" s="113" t="s">
        <v>729</v>
      </c>
      <c r="D104" s="113" t="s">
        <v>730</v>
      </c>
      <c r="E104" s="657">
        <f>('[4]INTEC (listas)'!R100)</f>
        <v>0</v>
      </c>
      <c r="F104" s="657">
        <f>('[6]INTEC (listas)'!R100)</f>
        <v>0</v>
      </c>
      <c r="G104" s="658">
        <v>0</v>
      </c>
      <c r="H104" s="658">
        <v>0</v>
      </c>
      <c r="I104" s="658"/>
      <c r="J104" s="113"/>
      <c r="K104" s="657">
        <v>0</v>
      </c>
      <c r="L104" s="657">
        <v>0</v>
      </c>
      <c r="M104" s="657"/>
      <c r="N104" s="657">
        <v>0</v>
      </c>
      <c r="O104" s="658">
        <v>0</v>
      </c>
      <c r="P104" s="658"/>
      <c r="Q104" s="658">
        <v>10</v>
      </c>
      <c r="R104" s="658">
        <v>10</v>
      </c>
      <c r="S104" s="658">
        <f>('INTEC (listas)'!L103)</f>
        <v>10</v>
      </c>
    </row>
    <row r="105" spans="1:19">
      <c r="A105" s="113">
        <v>104</v>
      </c>
      <c r="B105" s="113" t="s">
        <v>728</v>
      </c>
      <c r="C105" s="113" t="s">
        <v>731</v>
      </c>
      <c r="D105" s="113" t="s">
        <v>732</v>
      </c>
      <c r="E105" s="657">
        <f>('[4]INTEC (listas)'!R101)</f>
        <v>0</v>
      </c>
      <c r="F105" s="657">
        <f>('[6]INTEC (listas)'!R101)</f>
        <v>0</v>
      </c>
      <c r="G105" s="658">
        <v>0</v>
      </c>
      <c r="H105" s="658">
        <v>0</v>
      </c>
      <c r="I105" s="658"/>
      <c r="J105" s="113"/>
      <c r="K105" s="657">
        <v>0</v>
      </c>
      <c r="L105" s="657">
        <v>0</v>
      </c>
      <c r="M105" s="657"/>
      <c r="N105" s="657">
        <v>0</v>
      </c>
      <c r="O105" s="658">
        <v>0</v>
      </c>
      <c r="P105" s="658"/>
      <c r="Q105" s="658">
        <v>10</v>
      </c>
      <c r="R105" s="658">
        <v>10</v>
      </c>
      <c r="S105" s="658">
        <f>('INTEC (listas)'!L104)</f>
        <v>10</v>
      </c>
    </row>
    <row r="106" spans="1:19">
      <c r="A106" s="113">
        <v>105</v>
      </c>
      <c r="B106" s="113" t="s">
        <v>728</v>
      </c>
      <c r="C106" s="113" t="s">
        <v>733</v>
      </c>
      <c r="D106" s="113" t="s">
        <v>734</v>
      </c>
      <c r="E106" s="657">
        <f>('[4]INTEC (listas)'!R102)</f>
        <v>0</v>
      </c>
      <c r="F106" s="657">
        <f>('[6]INTEC (listas)'!R102)</f>
        <v>0</v>
      </c>
      <c r="G106" s="658">
        <v>260000</v>
      </c>
      <c r="H106" s="658">
        <v>260000</v>
      </c>
      <c r="I106" s="658">
        <v>260000</v>
      </c>
      <c r="J106" s="658">
        <v>260000</v>
      </c>
      <c r="K106" s="657">
        <v>260000</v>
      </c>
      <c r="L106" s="657">
        <v>260000</v>
      </c>
      <c r="M106" s="657">
        <v>249100</v>
      </c>
      <c r="N106" s="657">
        <v>249100</v>
      </c>
      <c r="O106" s="658">
        <v>249100</v>
      </c>
      <c r="P106" s="658">
        <v>306800</v>
      </c>
      <c r="Q106" s="658">
        <v>312000</v>
      </c>
      <c r="R106" s="658">
        <v>277150</v>
      </c>
      <c r="S106" s="658">
        <f>('INTEC (listas)'!L105)</f>
        <v>294400</v>
      </c>
    </row>
    <row r="107" spans="1:19">
      <c r="A107" s="113">
        <v>106</v>
      </c>
      <c r="B107" s="113" t="s">
        <v>728</v>
      </c>
      <c r="C107" s="113" t="s">
        <v>735</v>
      </c>
      <c r="D107" s="113" t="s">
        <v>736</v>
      </c>
      <c r="E107" s="657">
        <f>('[4]INTEC (listas)'!R103)</f>
        <v>0</v>
      </c>
      <c r="F107" s="657">
        <f>('[6]INTEC (listas)'!R103)</f>
        <v>0</v>
      </c>
      <c r="G107" s="658">
        <v>320000</v>
      </c>
      <c r="H107" s="658">
        <v>320000</v>
      </c>
      <c r="I107" s="658">
        <v>320000</v>
      </c>
      <c r="J107" s="658">
        <v>320000</v>
      </c>
      <c r="K107" s="657">
        <v>320000</v>
      </c>
      <c r="L107" s="657">
        <v>320000</v>
      </c>
      <c r="M107" s="657">
        <v>312700</v>
      </c>
      <c r="N107" s="657">
        <v>312700</v>
      </c>
      <c r="O107" s="658">
        <v>312700</v>
      </c>
      <c r="P107" s="658">
        <v>460200</v>
      </c>
      <c r="Q107" s="658">
        <v>468000</v>
      </c>
      <c r="R107" s="658">
        <v>469950</v>
      </c>
      <c r="S107" s="658">
        <f>('INTEC (listas)'!L106)</f>
        <v>499200</v>
      </c>
    </row>
    <row r="108" spans="1:19">
      <c r="A108" s="113">
        <v>107</v>
      </c>
      <c r="B108" s="113" t="s">
        <v>306</v>
      </c>
      <c r="C108" s="113" t="s">
        <v>737</v>
      </c>
      <c r="D108" s="113" t="s">
        <v>738</v>
      </c>
      <c r="E108" s="657">
        <f>('[4]INTEC (listas)'!R104)</f>
        <v>0</v>
      </c>
      <c r="F108" s="657">
        <f>('[6]INTEC (listas)'!R104)</f>
        <v>0</v>
      </c>
      <c r="G108" s="658">
        <v>0</v>
      </c>
      <c r="H108" s="658">
        <v>0</v>
      </c>
      <c r="I108" s="658"/>
      <c r="J108" s="658"/>
      <c r="K108" s="657">
        <v>0</v>
      </c>
      <c r="L108" s="657">
        <v>0</v>
      </c>
      <c r="M108" s="657"/>
      <c r="N108" s="657">
        <v>0</v>
      </c>
      <c r="O108" s="658">
        <v>0</v>
      </c>
      <c r="P108" s="658"/>
      <c r="Q108" s="658">
        <v>10</v>
      </c>
      <c r="R108" s="658">
        <v>10</v>
      </c>
      <c r="S108" s="658">
        <f>('INTEC (listas)'!L107)</f>
        <v>10</v>
      </c>
    </row>
    <row r="109" spans="1:19">
      <c r="A109" s="113">
        <v>108</v>
      </c>
      <c r="B109" s="113" t="s">
        <v>306</v>
      </c>
      <c r="C109" s="113" t="s">
        <v>739</v>
      </c>
      <c r="D109" s="113" t="s">
        <v>281</v>
      </c>
      <c r="E109" s="657">
        <f>('[4]INTEC (listas)'!R105)</f>
        <v>16057.851239669422</v>
      </c>
      <c r="F109" s="657">
        <f>('[6]INTEC (listas)'!R105)</f>
        <v>16057.851239669422</v>
      </c>
      <c r="G109" s="658">
        <v>13729.462809917355</v>
      </c>
      <c r="H109" s="658">
        <v>13729.462809917355</v>
      </c>
      <c r="I109" s="658">
        <v>14452.066115702479</v>
      </c>
      <c r="J109" s="658">
        <v>14452.066115702479</v>
      </c>
      <c r="K109" s="657">
        <v>14885.628099173553</v>
      </c>
      <c r="L109" s="657">
        <v>14885.628099173553</v>
      </c>
      <c r="M109" s="657">
        <v>14885.628099173553</v>
      </c>
      <c r="N109" s="657">
        <v>14885.628099173553</v>
      </c>
      <c r="O109" s="658">
        <v>14885.628099173553</v>
      </c>
      <c r="P109" s="658">
        <v>14885.628099173553</v>
      </c>
      <c r="Q109" s="658">
        <v>17342.479338842975</v>
      </c>
      <c r="R109" s="658">
        <v>14775.631818181817</v>
      </c>
      <c r="S109" s="658">
        <f>('INTEC (listas)'!L108)</f>
        <v>15826.618181818179</v>
      </c>
    </row>
    <row r="110" spans="1:19">
      <c r="A110" s="113">
        <v>109</v>
      </c>
      <c r="B110" s="113" t="s">
        <v>306</v>
      </c>
      <c r="C110" s="113" t="s">
        <v>740</v>
      </c>
      <c r="D110" s="113" t="s">
        <v>741</v>
      </c>
      <c r="E110" s="657">
        <f>('[4]INTEC (listas)'!R106)</f>
        <v>24438.016528925618</v>
      </c>
      <c r="F110" s="657">
        <f>('[6]INTEC (listas)'!R106)</f>
        <v>24438.016528925618</v>
      </c>
      <c r="G110" s="658">
        <v>20894.504132231403</v>
      </c>
      <c r="H110" s="658">
        <v>20894.504132231403</v>
      </c>
      <c r="I110" s="658">
        <v>21994.214876033056</v>
      </c>
      <c r="J110" s="658">
        <v>21994.214876033056</v>
      </c>
      <c r="K110" s="657">
        <v>22654.041322314046</v>
      </c>
      <c r="L110" s="657">
        <v>22654.041322314046</v>
      </c>
      <c r="M110" s="657">
        <v>22654.041322314046</v>
      </c>
      <c r="N110" s="657">
        <v>22654.041322314046</v>
      </c>
      <c r="O110" s="658">
        <v>22654.041322314046</v>
      </c>
      <c r="P110" s="658">
        <v>22654.041322314046</v>
      </c>
      <c r="Q110" s="658">
        <v>26393.057851239668</v>
      </c>
      <c r="R110" s="658">
        <v>22486.640909090907</v>
      </c>
      <c r="S110" s="658">
        <f>('INTEC (listas)'!L109)</f>
        <v>24086.109090909089</v>
      </c>
    </row>
    <row r="111" spans="1:19">
      <c r="A111" s="113">
        <v>110</v>
      </c>
      <c r="B111" s="113" t="s">
        <v>306</v>
      </c>
      <c r="C111" s="113" t="s">
        <v>742</v>
      </c>
      <c r="D111" s="113" t="s">
        <v>743</v>
      </c>
      <c r="E111" s="657">
        <f>('[4]INTEC (listas)'!R107)</f>
        <v>0</v>
      </c>
      <c r="F111" s="657">
        <f>('[6]INTEC (listas)'!R107)</f>
        <v>0</v>
      </c>
      <c r="G111" s="658">
        <v>0</v>
      </c>
      <c r="H111" s="658">
        <v>0</v>
      </c>
      <c r="I111" s="658">
        <v>0</v>
      </c>
      <c r="J111" s="658">
        <v>0</v>
      </c>
      <c r="K111" s="657">
        <v>0</v>
      </c>
      <c r="L111" s="657">
        <v>0</v>
      </c>
      <c r="M111" s="657">
        <v>0</v>
      </c>
      <c r="N111" s="657">
        <v>0</v>
      </c>
      <c r="O111" s="658">
        <v>0</v>
      </c>
      <c r="P111" s="658">
        <v>0</v>
      </c>
      <c r="Q111" s="658">
        <v>10</v>
      </c>
      <c r="R111" s="658">
        <v>10</v>
      </c>
      <c r="S111" s="658">
        <f>('INTEC (listas)'!L110)</f>
        <v>10</v>
      </c>
    </row>
    <row r="112" spans="1:19">
      <c r="A112" s="113">
        <v>111</v>
      </c>
      <c r="B112" s="113" t="s">
        <v>306</v>
      </c>
      <c r="C112" s="113" t="s">
        <v>744</v>
      </c>
      <c r="D112" s="113" t="s">
        <v>745</v>
      </c>
      <c r="E112" s="657">
        <f>('[4]INTEC (listas)'!R108)</f>
        <v>22165.28925619835</v>
      </c>
      <c r="F112" s="657">
        <f>('[6]INTEC (listas)'!R108)</f>
        <v>22165.28925619835</v>
      </c>
      <c r="G112" s="658">
        <v>18951.32231404959</v>
      </c>
      <c r="H112" s="658">
        <v>18951.32231404959</v>
      </c>
      <c r="I112" s="658">
        <v>19948.760330578516</v>
      </c>
      <c r="J112" s="658">
        <v>19948.760330578516</v>
      </c>
      <c r="K112" s="657">
        <v>20547.223140495873</v>
      </c>
      <c r="L112" s="657">
        <v>20547.223140495873</v>
      </c>
      <c r="M112" s="657">
        <v>20547.223140495873</v>
      </c>
      <c r="N112" s="657">
        <v>20547.223140495873</v>
      </c>
      <c r="O112" s="658">
        <v>20547.223140495873</v>
      </c>
      <c r="P112" s="658">
        <v>20547.223140495873</v>
      </c>
      <c r="Q112" s="658">
        <v>23938.512396694219</v>
      </c>
      <c r="R112" s="658">
        <v>20395.390909090911</v>
      </c>
      <c r="S112" s="658">
        <f>('INTEC (listas)'!L111)</f>
        <v>21846.109090909093</v>
      </c>
    </row>
    <row r="113" spans="1:19">
      <c r="A113" s="113">
        <v>112</v>
      </c>
      <c r="B113" s="113" t="s">
        <v>306</v>
      </c>
      <c r="C113" s="113" t="s">
        <v>746</v>
      </c>
      <c r="D113" s="113" t="s">
        <v>747</v>
      </c>
      <c r="E113" s="657">
        <f>('[4]INTEC (listas)'!R109)</f>
        <v>27239.669421487604</v>
      </c>
      <c r="F113" s="657">
        <f>('[6]INTEC (listas)'!R109)</f>
        <v>27239.669421487604</v>
      </c>
      <c r="G113" s="658">
        <v>23289.917355371905</v>
      </c>
      <c r="H113" s="658">
        <v>23289.917355371905</v>
      </c>
      <c r="I113" s="658">
        <v>24515.702479338845</v>
      </c>
      <c r="J113" s="658">
        <v>24515.702479338845</v>
      </c>
      <c r="K113" s="657">
        <v>25251.173553719011</v>
      </c>
      <c r="L113" s="657">
        <v>25251.173553719011</v>
      </c>
      <c r="M113" s="657">
        <v>25251.173553719011</v>
      </c>
      <c r="N113" s="657">
        <v>25251.173553719011</v>
      </c>
      <c r="O113" s="658">
        <v>25251.173553719011</v>
      </c>
      <c r="P113" s="658">
        <v>25251.173553719011</v>
      </c>
      <c r="Q113" s="658">
        <v>29418.842975206615</v>
      </c>
      <c r="R113" s="658">
        <v>25064.581818181821</v>
      </c>
      <c r="S113" s="658">
        <f>('INTEC (listas)'!L112)</f>
        <v>26847.418181818182</v>
      </c>
    </row>
    <row r="114" spans="1:19">
      <c r="A114" s="113">
        <v>113</v>
      </c>
      <c r="B114" s="113" t="s">
        <v>306</v>
      </c>
      <c r="C114" s="113" t="s">
        <v>748</v>
      </c>
      <c r="D114" s="113" t="s">
        <v>749</v>
      </c>
      <c r="E114" s="657">
        <f>('[4]INTEC (listas)'!R110)</f>
        <v>32884.297520661159</v>
      </c>
      <c r="F114" s="657">
        <f>('[6]INTEC (listas)'!R110)</f>
        <v>32884.297520661159</v>
      </c>
      <c r="G114" s="658">
        <v>28116.07438016529</v>
      </c>
      <c r="H114" s="658">
        <v>28116.07438016529</v>
      </c>
      <c r="I114" s="658">
        <v>29595.867768595042</v>
      </c>
      <c r="J114" s="658">
        <v>29595.867768595042</v>
      </c>
      <c r="K114" s="657">
        <v>30483.743801652894</v>
      </c>
      <c r="L114" s="657">
        <v>30483.743801652894</v>
      </c>
      <c r="M114" s="657">
        <v>30483.743801652894</v>
      </c>
      <c r="N114" s="657">
        <v>30483.743801652894</v>
      </c>
      <c r="O114" s="658">
        <v>30483.743801652894</v>
      </c>
      <c r="P114" s="658">
        <v>30483.743801652894</v>
      </c>
      <c r="Q114" s="658">
        <v>35515.041322314049</v>
      </c>
      <c r="R114" s="658">
        <v>30258.486363636363</v>
      </c>
      <c r="S114" s="658">
        <f>('INTEC (listas)'!L113)</f>
        <v>32410.763636363634</v>
      </c>
    </row>
    <row r="115" spans="1:19">
      <c r="A115" s="113">
        <v>114</v>
      </c>
      <c r="B115" s="113" t="s">
        <v>306</v>
      </c>
      <c r="C115" s="113" t="s">
        <v>750</v>
      </c>
      <c r="D115" s="113" t="s">
        <v>751</v>
      </c>
      <c r="E115" s="657">
        <f>('[4]INTEC (listas)'!R111)</f>
        <v>34867.768595041322</v>
      </c>
      <c r="F115" s="657">
        <f>('[6]INTEC (listas)'!R111)</f>
        <v>34867.768595041322</v>
      </c>
      <c r="G115" s="658">
        <v>29811.942148760329</v>
      </c>
      <c r="H115" s="658">
        <v>29811.942148760329</v>
      </c>
      <c r="I115" s="658">
        <v>31380.991735537187</v>
      </c>
      <c r="J115" s="658">
        <v>31380.991735537187</v>
      </c>
      <c r="K115" s="657">
        <v>32322.421487603304</v>
      </c>
      <c r="L115" s="657">
        <v>32322.421487603304</v>
      </c>
      <c r="M115" s="657">
        <v>32322.421487603304</v>
      </c>
      <c r="N115" s="657">
        <v>32322.421487603304</v>
      </c>
      <c r="O115" s="658">
        <v>32322.421487603304</v>
      </c>
      <c r="P115" s="658">
        <v>32322.421487603304</v>
      </c>
      <c r="Q115" s="658">
        <v>37657.190082644622</v>
      </c>
      <c r="R115" s="658">
        <v>32083.577272727267</v>
      </c>
      <c r="S115" s="658">
        <f>('INTEC (listas)'!L114)</f>
        <v>34365.672727272722</v>
      </c>
    </row>
    <row r="116" spans="1:19">
      <c r="A116" s="113">
        <v>115</v>
      </c>
      <c r="B116" s="113" t="s">
        <v>306</v>
      </c>
      <c r="C116" s="113" t="s">
        <v>752</v>
      </c>
      <c r="D116" s="113" t="s">
        <v>753</v>
      </c>
      <c r="E116" s="657">
        <f>('[4]INTEC (listas)'!R112)</f>
        <v>37314.049586776862</v>
      </c>
      <c r="F116" s="657">
        <f>('[6]INTEC (listas)'!R112)</f>
        <v>37314.049586776862</v>
      </c>
      <c r="G116" s="658">
        <v>31903.512396694216</v>
      </c>
      <c r="H116" s="658">
        <v>31903.512396694216</v>
      </c>
      <c r="I116" s="658">
        <v>33582.644628099173</v>
      </c>
      <c r="J116" s="658">
        <v>33582.644628099173</v>
      </c>
      <c r="K116" s="657">
        <v>34590.123966942148</v>
      </c>
      <c r="L116" s="657">
        <v>34590.123966942148</v>
      </c>
      <c r="M116" s="657">
        <v>34590.123966942148</v>
      </c>
      <c r="N116" s="657">
        <v>34590.123966942148</v>
      </c>
      <c r="O116" s="658">
        <v>34590.123966942148</v>
      </c>
      <c r="P116" s="658">
        <v>34590.123966942148</v>
      </c>
      <c r="Q116" s="658">
        <v>40299.173553719011</v>
      </c>
      <c r="R116" s="658">
        <v>34334.522727272728</v>
      </c>
      <c r="S116" s="658">
        <f>('INTEC (listas)'!L115)</f>
        <v>36776.727272727279</v>
      </c>
    </row>
    <row r="117" spans="1:19">
      <c r="A117" s="113">
        <v>116</v>
      </c>
      <c r="B117" s="113" t="s">
        <v>306</v>
      </c>
      <c r="C117" s="113" t="s">
        <v>754</v>
      </c>
      <c r="D117" s="113" t="s">
        <v>755</v>
      </c>
      <c r="E117" s="657">
        <f>('[4]INTEC (listas)'!R113)</f>
        <v>41206.611570247936</v>
      </c>
      <c r="F117" s="657">
        <f>('[6]INTEC (listas)'!R113)</f>
        <v>41206.611570247936</v>
      </c>
      <c r="G117" s="658">
        <v>35231.652892561986</v>
      </c>
      <c r="H117" s="658">
        <v>35231.652892561986</v>
      </c>
      <c r="I117" s="658">
        <v>37085.950413223145</v>
      </c>
      <c r="J117" s="658">
        <v>37085.950413223145</v>
      </c>
      <c r="K117" s="657">
        <v>38198.528925619838</v>
      </c>
      <c r="L117" s="657">
        <v>38198.528925619838</v>
      </c>
      <c r="M117" s="657">
        <v>38198.528925619838</v>
      </c>
      <c r="N117" s="657">
        <v>38198.528925619838</v>
      </c>
      <c r="O117" s="658">
        <v>38198.528925619838</v>
      </c>
      <c r="P117" s="658">
        <v>38198.528925619838</v>
      </c>
      <c r="Q117" s="658">
        <v>44503.140495867774</v>
      </c>
      <c r="R117" s="658">
        <v>37916.263636363641</v>
      </c>
      <c r="S117" s="658">
        <f>('INTEC (listas)'!L116)</f>
        <v>40613.236363636366</v>
      </c>
    </row>
    <row r="118" spans="1:19">
      <c r="A118" s="113">
        <v>117</v>
      </c>
      <c r="B118" s="113" t="s">
        <v>306</v>
      </c>
      <c r="C118" s="113" t="s">
        <v>756</v>
      </c>
      <c r="D118" s="113" t="s">
        <v>757</v>
      </c>
      <c r="E118" s="657">
        <f>('[4]INTEC (listas)'!R114)</f>
        <v>47099.173553719011</v>
      </c>
      <c r="F118" s="657">
        <f>('[6]INTEC (listas)'!R114)</f>
        <v>47099.173553719011</v>
      </c>
      <c r="G118" s="658">
        <v>40269.79338842976</v>
      </c>
      <c r="H118" s="658">
        <v>40269.79338842976</v>
      </c>
      <c r="I118" s="658">
        <v>42389.25619834711</v>
      </c>
      <c r="J118" s="658">
        <v>42389.25619834711</v>
      </c>
      <c r="K118" s="657">
        <v>43660.933884297527</v>
      </c>
      <c r="L118" s="657">
        <v>43660.933884297527</v>
      </c>
      <c r="M118" s="657">
        <v>43660.933884297527</v>
      </c>
      <c r="N118" s="657">
        <v>43660.933884297527</v>
      </c>
      <c r="O118" s="658">
        <v>43660.933884297527</v>
      </c>
      <c r="P118" s="658">
        <v>43660.933884297527</v>
      </c>
      <c r="Q118" s="658">
        <v>50867.107438016537</v>
      </c>
      <c r="R118" s="658">
        <v>43338.304545454543</v>
      </c>
      <c r="S118" s="658">
        <f>('INTEC (listas)'!L117)</f>
        <v>46420.94545454545</v>
      </c>
    </row>
    <row r="119" spans="1:19">
      <c r="A119" s="113">
        <v>118</v>
      </c>
      <c r="B119" s="113" t="s">
        <v>306</v>
      </c>
      <c r="C119" s="113" t="s">
        <v>758</v>
      </c>
      <c r="D119" s="113" t="s">
        <v>759</v>
      </c>
      <c r="E119" s="657">
        <f>('[4]INTEC (listas)'!R115)</f>
        <v>13256.198347107438</v>
      </c>
      <c r="F119" s="657">
        <f>('[6]INTEC (listas)'!R115)</f>
        <v>13256.198347107438</v>
      </c>
      <c r="G119" s="658">
        <v>11334.049586776859</v>
      </c>
      <c r="H119" s="658">
        <v>11334.049586776859</v>
      </c>
      <c r="I119" s="658">
        <v>11930.578512396693</v>
      </c>
      <c r="J119" s="658">
        <v>11930.578512396693</v>
      </c>
      <c r="K119" s="657">
        <v>12288.495867768594</v>
      </c>
      <c r="L119" s="657">
        <v>12288.495867768594</v>
      </c>
      <c r="M119" s="657">
        <v>12288.495867768594</v>
      </c>
      <c r="N119" s="657">
        <v>12288.495867768594</v>
      </c>
      <c r="O119" s="658">
        <v>12288.495867768594</v>
      </c>
      <c r="P119" s="658">
        <v>12288.495867768594</v>
      </c>
      <c r="Q119" s="658">
        <v>14316.694214876032</v>
      </c>
      <c r="R119" s="658">
        <v>12197.690909090908</v>
      </c>
      <c r="S119" s="658">
        <f>('INTEC (listas)'!L118)</f>
        <v>13065.30909090909</v>
      </c>
    </row>
    <row r="120" spans="1:19">
      <c r="A120" s="113">
        <v>119</v>
      </c>
      <c r="B120" s="113" t="s">
        <v>306</v>
      </c>
      <c r="C120" s="113" t="s">
        <v>760</v>
      </c>
      <c r="D120" s="113" t="s">
        <v>283</v>
      </c>
      <c r="E120" s="657">
        <f>('[4]INTEC (listas)'!R116)</f>
        <v>16132.231404958677</v>
      </c>
      <c r="F120" s="657">
        <f>('[6]INTEC (listas)'!R116)</f>
        <v>16132.231404958677</v>
      </c>
      <c r="G120" s="658">
        <v>13793.057851239668</v>
      </c>
      <c r="H120" s="658">
        <v>13793.057851239668</v>
      </c>
      <c r="I120" s="658">
        <v>14519.008264462809</v>
      </c>
      <c r="J120" s="658">
        <v>14519.008264462809</v>
      </c>
      <c r="K120" s="657">
        <v>14954.578512396693</v>
      </c>
      <c r="L120" s="657">
        <v>14954.578512396693</v>
      </c>
      <c r="M120" s="657">
        <v>14954.578512396693</v>
      </c>
      <c r="N120" s="657">
        <v>14954.578512396693</v>
      </c>
      <c r="O120" s="658">
        <v>14954.578512396693</v>
      </c>
      <c r="P120" s="658">
        <v>14954.578512396693</v>
      </c>
      <c r="Q120" s="658">
        <v>17422.809917355371</v>
      </c>
      <c r="R120" s="658">
        <v>14844.072727272727</v>
      </c>
      <c r="S120" s="658">
        <f>('INTEC (listas)'!L119)</f>
        <v>15899.927272727273</v>
      </c>
    </row>
    <row r="121" spans="1:19">
      <c r="A121" s="113">
        <v>120</v>
      </c>
      <c r="B121" s="113" t="s">
        <v>306</v>
      </c>
      <c r="C121" s="113" t="s">
        <v>761</v>
      </c>
      <c r="D121" s="113" t="s">
        <v>762</v>
      </c>
      <c r="E121" s="657">
        <f>('[4]INTEC (listas)'!R117)</f>
        <v>20454.545454545456</v>
      </c>
      <c r="F121" s="657">
        <f>('[6]INTEC (listas)'!R117)</f>
        <v>20454.545454545456</v>
      </c>
      <c r="G121" s="658">
        <v>17488.636363636364</v>
      </c>
      <c r="H121" s="658">
        <v>17488.636363636364</v>
      </c>
      <c r="I121" s="658">
        <v>18409.090909090912</v>
      </c>
      <c r="J121" s="658">
        <v>18409.090909090912</v>
      </c>
      <c r="K121" s="657">
        <v>18961.363636363636</v>
      </c>
      <c r="L121" s="657">
        <v>18961.363636363636</v>
      </c>
      <c r="M121" s="657">
        <v>18961.363636363636</v>
      </c>
      <c r="N121" s="657">
        <v>18961.363636363636</v>
      </c>
      <c r="O121" s="658">
        <v>18961.363636363636</v>
      </c>
      <c r="P121" s="658">
        <v>18961.363636363636</v>
      </c>
      <c r="Q121" s="658">
        <v>22090.909090909092</v>
      </c>
      <c r="R121" s="658">
        <v>18821.250000000004</v>
      </c>
      <c r="S121" s="658">
        <f>('INTEC (listas)'!L120)</f>
        <v>20160.000000000004</v>
      </c>
    </row>
    <row r="122" spans="1:19">
      <c r="A122" s="113">
        <v>121</v>
      </c>
      <c r="B122" s="113" t="s">
        <v>306</v>
      </c>
      <c r="C122" s="113" t="s">
        <v>763</v>
      </c>
      <c r="D122" s="113" t="s">
        <v>287</v>
      </c>
      <c r="E122" s="657">
        <f>('[4]INTEC (listas)'!R118)</f>
        <v>21173.553719008265</v>
      </c>
      <c r="F122" s="657">
        <f>('[6]INTEC (listas)'!R118)</f>
        <v>21173.553719008265</v>
      </c>
      <c r="G122" s="658">
        <v>18103.388429752067</v>
      </c>
      <c r="H122" s="658">
        <v>18103.388429752067</v>
      </c>
      <c r="I122" s="658">
        <v>19056.198347107438</v>
      </c>
      <c r="J122" s="658">
        <v>19056.198347107438</v>
      </c>
      <c r="K122" s="657">
        <v>19627.884297520664</v>
      </c>
      <c r="L122" s="657">
        <v>19627.884297520664</v>
      </c>
      <c r="M122" s="657">
        <v>19627.884297520664</v>
      </c>
      <c r="N122" s="657">
        <v>19627.884297520664</v>
      </c>
      <c r="O122" s="658">
        <v>19627.884297520664</v>
      </c>
      <c r="P122" s="658">
        <v>19627.884297520664</v>
      </c>
      <c r="Q122" s="658">
        <v>22867.438016528929</v>
      </c>
      <c r="R122" s="658">
        <v>19482.845454545455</v>
      </c>
      <c r="S122" s="658">
        <f>('INTEC (listas)'!L121)</f>
        <v>20868.654545454548</v>
      </c>
    </row>
    <row r="123" spans="1:19">
      <c r="A123" s="113">
        <v>122</v>
      </c>
      <c r="B123" s="113" t="s">
        <v>306</v>
      </c>
      <c r="C123" s="113" t="s">
        <v>764</v>
      </c>
      <c r="D123" s="113" t="s">
        <v>285</v>
      </c>
      <c r="E123" s="657">
        <f>('[4]INTEC (listas)'!R119)</f>
        <v>21809.917355371901</v>
      </c>
      <c r="F123" s="657">
        <f>('[6]INTEC (listas)'!R119)</f>
        <v>21809.917355371901</v>
      </c>
      <c r="G123" s="658">
        <v>18647.479338842975</v>
      </c>
      <c r="H123" s="658">
        <v>18647.479338842975</v>
      </c>
      <c r="I123" s="658">
        <v>19628.92561983471</v>
      </c>
      <c r="J123" s="658">
        <v>19628.92561983471</v>
      </c>
      <c r="K123" s="657">
        <v>20217.793388429753</v>
      </c>
      <c r="L123" s="657">
        <v>20217.793388429753</v>
      </c>
      <c r="M123" s="657">
        <v>20217.793388429753</v>
      </c>
      <c r="N123" s="657">
        <v>20217.793388429753</v>
      </c>
      <c r="O123" s="658">
        <v>20217.793388429753</v>
      </c>
      <c r="P123" s="658">
        <v>20217.793388429753</v>
      </c>
      <c r="Q123" s="658">
        <v>23554.710743801654</v>
      </c>
      <c r="R123" s="658">
        <v>20068.395454545454</v>
      </c>
      <c r="S123" s="658">
        <f>('INTEC (listas)'!L122)</f>
        <v>21495.854545454546</v>
      </c>
    </row>
    <row r="124" spans="1:19">
      <c r="A124" s="113">
        <v>123</v>
      </c>
      <c r="B124" s="113" t="s">
        <v>306</v>
      </c>
      <c r="C124" s="113" t="s">
        <v>765</v>
      </c>
      <c r="D124" s="113" t="s">
        <v>289</v>
      </c>
      <c r="E124" s="657">
        <f>('[4]INTEC (listas)'!R120)</f>
        <v>27033.057851239671</v>
      </c>
      <c r="F124" s="657">
        <f>('[6]INTEC (listas)'!R120)</f>
        <v>27033.057851239671</v>
      </c>
      <c r="G124" s="658">
        <v>23113.264462809919</v>
      </c>
      <c r="H124" s="658">
        <v>23113.264462809919</v>
      </c>
      <c r="I124" s="658">
        <v>24329.752066115707</v>
      </c>
      <c r="J124" s="658">
        <v>24329.752066115707</v>
      </c>
      <c r="K124" s="657">
        <v>25059.644628099177</v>
      </c>
      <c r="L124" s="657">
        <v>25059.644628099177</v>
      </c>
      <c r="M124" s="657">
        <v>25059.644628099177</v>
      </c>
      <c r="N124" s="657">
        <v>25059.644628099177</v>
      </c>
      <c r="O124" s="658">
        <v>25059.644628099177</v>
      </c>
      <c r="P124" s="658">
        <v>25059.644628099177</v>
      </c>
      <c r="Q124" s="658">
        <v>29195.702479338848</v>
      </c>
      <c r="R124" s="658">
        <v>24874.468181818182</v>
      </c>
      <c r="S124" s="658">
        <f>('INTEC (listas)'!L123)</f>
        <v>26643.781818181818</v>
      </c>
    </row>
    <row r="125" spans="1:19">
      <c r="A125" s="113">
        <v>124</v>
      </c>
      <c r="B125" s="113" t="s">
        <v>306</v>
      </c>
      <c r="C125" s="113" t="s">
        <v>766</v>
      </c>
      <c r="D125" s="113" t="s">
        <v>291</v>
      </c>
      <c r="E125" s="657">
        <f>('[4]INTEC (listas)'!R121)</f>
        <v>35652.89256198347</v>
      </c>
      <c r="F125" s="657">
        <f>('[6]INTEC (listas)'!R121)</f>
        <v>35652.89256198347</v>
      </c>
      <c r="G125" s="658">
        <v>30483.223140495866</v>
      </c>
      <c r="H125" s="658">
        <v>30483.223140495866</v>
      </c>
      <c r="I125" s="658">
        <v>32087.603305785124</v>
      </c>
      <c r="J125" s="658">
        <v>32087.603305785124</v>
      </c>
      <c r="K125" s="657">
        <v>33050.231404958678</v>
      </c>
      <c r="L125" s="657">
        <v>33050.231404958678</v>
      </c>
      <c r="M125" s="657">
        <v>33050.231404958678</v>
      </c>
      <c r="N125" s="657">
        <v>33050.231404958678</v>
      </c>
      <c r="O125" s="658">
        <v>33050.231404958678</v>
      </c>
      <c r="P125" s="658">
        <v>33050.231404958678</v>
      </c>
      <c r="Q125" s="658">
        <v>38505.123966942148</v>
      </c>
      <c r="R125" s="658">
        <v>32806.009090909094</v>
      </c>
      <c r="S125" s="658">
        <f>('INTEC (listas)'!L124)</f>
        <v>35139.490909090906</v>
      </c>
    </row>
    <row r="126" spans="1:19">
      <c r="A126" s="113">
        <v>125</v>
      </c>
      <c r="B126" s="113" t="s">
        <v>306</v>
      </c>
      <c r="C126" s="113" t="s">
        <v>767</v>
      </c>
      <c r="D126" s="113" t="s">
        <v>293</v>
      </c>
      <c r="E126" s="657">
        <f>('[4]INTEC (listas)'!R122)</f>
        <v>40181.818181818177</v>
      </c>
      <c r="F126" s="657">
        <f>('[6]INTEC (listas)'!R122)</f>
        <v>40181.818181818177</v>
      </c>
      <c r="G126" s="658">
        <v>34355.454545454544</v>
      </c>
      <c r="H126" s="658">
        <v>34355.454545454544</v>
      </c>
      <c r="I126" s="658">
        <v>36163.636363636368</v>
      </c>
      <c r="J126" s="658">
        <v>36163.636363636368</v>
      </c>
      <c r="K126" s="657">
        <v>37248.545454545456</v>
      </c>
      <c r="L126" s="657">
        <v>37248.545454545456</v>
      </c>
      <c r="M126" s="657">
        <v>37248.545454545456</v>
      </c>
      <c r="N126" s="657">
        <v>37248.545454545456</v>
      </c>
      <c r="O126" s="658">
        <v>37248.545454545456</v>
      </c>
      <c r="P126" s="658">
        <v>37248.545454545456</v>
      </c>
      <c r="Q126" s="658">
        <v>43396.36363636364</v>
      </c>
      <c r="R126" s="658">
        <v>36973.299999999996</v>
      </c>
      <c r="S126" s="658">
        <f>('INTEC (listas)'!L125)</f>
        <v>39603.199999999997</v>
      </c>
    </row>
    <row r="127" spans="1:19">
      <c r="A127" s="113">
        <v>126</v>
      </c>
      <c r="B127" s="113" t="s">
        <v>306</v>
      </c>
      <c r="C127" s="113" t="s">
        <v>768</v>
      </c>
      <c r="D127" s="113" t="s">
        <v>295</v>
      </c>
      <c r="E127" s="657">
        <f>('[4]INTEC (listas)'!R123)</f>
        <v>55016.52892561983</v>
      </c>
      <c r="F127" s="657">
        <f>('[6]INTEC (listas)'!R123)</f>
        <v>55016.52892561983</v>
      </c>
      <c r="G127" s="658">
        <v>47039.132231404954</v>
      </c>
      <c r="H127" s="658">
        <v>47039.132231404954</v>
      </c>
      <c r="I127" s="658">
        <v>49514.876033057844</v>
      </c>
      <c r="J127" s="113">
        <v>49514.876033057844</v>
      </c>
      <c r="K127" s="657">
        <v>51000.322314049583</v>
      </c>
      <c r="L127" s="657">
        <v>51000.322314049583</v>
      </c>
      <c r="M127" s="657">
        <v>51000.322314049583</v>
      </c>
      <c r="N127" s="657">
        <v>51000.322314049583</v>
      </c>
      <c r="O127" s="658">
        <v>51000.322314049583</v>
      </c>
      <c r="P127" s="658">
        <v>51000.322314049583</v>
      </c>
      <c r="Q127" s="658">
        <v>59417.851239669413</v>
      </c>
      <c r="R127" s="658">
        <v>50623.459090909084</v>
      </c>
      <c r="S127" s="658">
        <f>('INTEC (listas)'!L126)</f>
        <v>54224.290909090909</v>
      </c>
    </row>
    <row r="128" spans="1:19">
      <c r="A128" s="113">
        <v>127</v>
      </c>
      <c r="B128" s="113" t="s">
        <v>306</v>
      </c>
      <c r="C128" s="113" t="s">
        <v>769</v>
      </c>
      <c r="D128" s="113" t="s">
        <v>297</v>
      </c>
      <c r="E128" s="657">
        <f>('[4]INTEC (listas)'!R124)</f>
        <v>52520.661157024791</v>
      </c>
      <c r="F128" s="657">
        <f>('[6]INTEC (listas)'!R124)</f>
        <v>52520.661157024791</v>
      </c>
      <c r="G128" s="658">
        <v>44905.165289256198</v>
      </c>
      <c r="H128" s="658">
        <v>44905.165289256198</v>
      </c>
      <c r="I128" s="658">
        <v>47268.595041322311</v>
      </c>
      <c r="J128" s="658">
        <v>47268.595041322311</v>
      </c>
      <c r="K128" s="657">
        <v>48686.652892561986</v>
      </c>
      <c r="L128" s="657">
        <v>48686.652892561986</v>
      </c>
      <c r="M128" s="657">
        <v>48686.652892561986</v>
      </c>
      <c r="N128" s="657">
        <v>48686.652892561986</v>
      </c>
      <c r="O128" s="658">
        <v>48686.652892561986</v>
      </c>
      <c r="P128" s="658">
        <v>48686.652892561986</v>
      </c>
      <c r="Q128" s="658">
        <v>56722.314049586777</v>
      </c>
      <c r="R128" s="658">
        <v>48326.88636363636</v>
      </c>
      <c r="S128" s="658">
        <f>('INTEC (listas)'!L127)</f>
        <v>51764.363636363632</v>
      </c>
    </row>
    <row r="129" spans="1:19">
      <c r="A129" s="113">
        <v>128</v>
      </c>
      <c r="B129" s="113" t="s">
        <v>306</v>
      </c>
      <c r="C129" s="113" t="s">
        <v>770</v>
      </c>
      <c r="D129" s="113" t="s">
        <v>771</v>
      </c>
      <c r="E129" s="657">
        <f>('[4]INTEC (listas)'!R125)</f>
        <v>52520.661157024791</v>
      </c>
      <c r="F129" s="657">
        <f>('[6]INTEC (listas)'!R125)</f>
        <v>52520.661157024791</v>
      </c>
      <c r="G129" s="658">
        <v>44905.165289256198</v>
      </c>
      <c r="H129" s="658">
        <v>44905.165289256198</v>
      </c>
      <c r="I129" s="658">
        <v>47268.595041322311</v>
      </c>
      <c r="J129" s="658">
        <v>47268.595041322311</v>
      </c>
      <c r="K129" s="657">
        <v>48686.652892561986</v>
      </c>
      <c r="L129" s="657">
        <v>48686.652892561986</v>
      </c>
      <c r="M129" s="657">
        <v>48686.652892561986</v>
      </c>
      <c r="N129" s="657">
        <v>48686.652892561986</v>
      </c>
      <c r="O129" s="658">
        <v>48686.652892561986</v>
      </c>
      <c r="P129" s="658">
        <v>48686.652892561986</v>
      </c>
      <c r="Q129" s="658">
        <v>56722.314049586777</v>
      </c>
      <c r="R129" s="658">
        <v>48326.88636363636</v>
      </c>
      <c r="S129" s="658">
        <f>('INTEC (listas)'!L128)</f>
        <v>51764.363636363632</v>
      </c>
    </row>
    <row r="130" spans="1:19">
      <c r="A130" s="113">
        <v>129</v>
      </c>
      <c r="B130" s="113" t="s">
        <v>772</v>
      </c>
      <c r="C130" s="113" t="s">
        <v>773</v>
      </c>
      <c r="D130" s="113" t="s">
        <v>774</v>
      </c>
      <c r="E130" s="657">
        <f>('[4]INTEC (listas)'!R126)</f>
        <v>0</v>
      </c>
      <c r="F130" s="657">
        <f>('[6]INTEC (listas)'!R126)</f>
        <v>0</v>
      </c>
      <c r="G130" s="658">
        <v>0</v>
      </c>
      <c r="H130" s="658">
        <v>0</v>
      </c>
      <c r="I130" s="658"/>
      <c r="J130" s="658"/>
      <c r="K130" s="657">
        <v>0</v>
      </c>
      <c r="L130" s="657">
        <v>0</v>
      </c>
      <c r="M130" s="657"/>
      <c r="N130" s="657">
        <v>0</v>
      </c>
      <c r="O130" s="658">
        <v>0</v>
      </c>
      <c r="P130" s="658"/>
      <c r="Q130" s="658">
        <v>10</v>
      </c>
      <c r="R130" s="658">
        <v>10</v>
      </c>
      <c r="S130" s="658">
        <f>('INTEC (listas)'!L129)</f>
        <v>10</v>
      </c>
    </row>
    <row r="131" spans="1:19">
      <c r="A131" s="113">
        <v>130</v>
      </c>
      <c r="B131" s="113" t="s">
        <v>306</v>
      </c>
      <c r="C131" s="113" t="s">
        <v>775</v>
      </c>
      <c r="D131" s="113" t="s">
        <v>776</v>
      </c>
      <c r="E131" s="657">
        <f>('[4]INTEC (listas)'!R127)</f>
        <v>21173.553719008265</v>
      </c>
      <c r="F131" s="657">
        <f>('[6]INTEC (listas)'!R127)</f>
        <v>21173.553719008265</v>
      </c>
      <c r="G131" s="658">
        <v>18103.388429752067</v>
      </c>
      <c r="H131" s="658">
        <v>18103.388429752067</v>
      </c>
      <c r="I131" s="658">
        <v>19056.198347107438</v>
      </c>
      <c r="J131" s="658">
        <v>19056.198347107438</v>
      </c>
      <c r="K131" s="657">
        <v>19627.884297520664</v>
      </c>
      <c r="L131" s="657">
        <v>19627.884297520664</v>
      </c>
      <c r="M131" s="657">
        <v>19627.884297520664</v>
      </c>
      <c r="N131" s="657">
        <v>19627.884297520664</v>
      </c>
      <c r="O131" s="658">
        <v>19627.884297520664</v>
      </c>
      <c r="P131" s="658">
        <v>19627.884297520664</v>
      </c>
      <c r="Q131" s="658">
        <v>22867.438016528929</v>
      </c>
      <c r="R131" s="658">
        <v>19482.845454545455</v>
      </c>
      <c r="S131" s="658">
        <f>('INTEC (listas)'!L130)</f>
        <v>20868.654545454548</v>
      </c>
    </row>
    <row r="132" spans="1:19">
      <c r="A132" s="113">
        <v>131</v>
      </c>
      <c r="B132" s="113" t="s">
        <v>306</v>
      </c>
      <c r="C132" s="113" t="s">
        <v>777</v>
      </c>
      <c r="D132" s="113" t="s">
        <v>778</v>
      </c>
      <c r="E132" s="657">
        <f>('[4]INTEC (listas)'!R128)</f>
        <v>34842.975206611569</v>
      </c>
      <c r="F132" s="657">
        <f>('[6]INTEC (listas)'!R128)</f>
        <v>34842.975206611569</v>
      </c>
      <c r="G132" s="658">
        <v>29790.74380165289</v>
      </c>
      <c r="H132" s="658">
        <v>29790.74380165289</v>
      </c>
      <c r="I132" s="658">
        <v>31358.67768595041</v>
      </c>
      <c r="J132" s="113">
        <v>31358.67768595041</v>
      </c>
      <c r="K132" s="657">
        <v>32299.438016528922</v>
      </c>
      <c r="L132" s="657">
        <v>32299.438016528922</v>
      </c>
      <c r="M132" s="657">
        <v>32299.438016528922</v>
      </c>
      <c r="N132" s="657">
        <v>32299.438016528922</v>
      </c>
      <c r="O132" s="658">
        <v>32299.438016528922</v>
      </c>
      <c r="P132" s="658">
        <v>32299.438016528922</v>
      </c>
      <c r="Q132" s="658">
        <v>37630.413223140495</v>
      </c>
      <c r="R132" s="658">
        <v>32060.763636363634</v>
      </c>
      <c r="S132" s="658">
        <f>('INTEC (listas)'!L131)</f>
        <v>34341.236363636359</v>
      </c>
    </row>
    <row r="133" spans="1:19">
      <c r="A133" s="113">
        <v>132</v>
      </c>
      <c r="B133" s="113" t="s">
        <v>306</v>
      </c>
      <c r="C133" s="113" t="s">
        <v>779</v>
      </c>
      <c r="D133" s="113" t="s">
        <v>780</v>
      </c>
      <c r="E133" s="657">
        <f>('[4]INTEC (listas)'!R129)</f>
        <v>36966.942148760332</v>
      </c>
      <c r="F133" s="657">
        <f>('[6]INTEC (listas)'!R129)</f>
        <v>36966.942148760332</v>
      </c>
      <c r="G133" s="658">
        <v>31606.735537190085</v>
      </c>
      <c r="H133" s="658">
        <v>31606.735537190085</v>
      </c>
      <c r="I133" s="658">
        <v>33270.247933884297</v>
      </c>
      <c r="J133" s="113">
        <v>33270.247933884297</v>
      </c>
      <c r="K133" s="657">
        <v>34268.355371900827</v>
      </c>
      <c r="L133" s="657">
        <v>34268.355371900827</v>
      </c>
      <c r="M133" s="657">
        <v>34268.355371900827</v>
      </c>
      <c r="N133" s="657">
        <v>34268.355371900827</v>
      </c>
      <c r="O133" s="658">
        <v>34268.355371900827</v>
      </c>
      <c r="P133" s="658">
        <v>34268.355371900827</v>
      </c>
      <c r="Q133" s="658">
        <v>39924.297520661159</v>
      </c>
      <c r="R133" s="658">
        <v>34015.131818181821</v>
      </c>
      <c r="S133" s="658">
        <f>('INTEC (listas)'!L132)</f>
        <v>36434.618181818179</v>
      </c>
    </row>
    <row r="134" spans="1:19">
      <c r="A134" s="113">
        <v>133</v>
      </c>
      <c r="B134" s="113" t="s">
        <v>306</v>
      </c>
      <c r="C134" s="113" t="s">
        <v>781</v>
      </c>
      <c r="D134" s="113" t="s">
        <v>782</v>
      </c>
      <c r="E134" s="657">
        <f>('[4]INTEC (listas)'!R130)</f>
        <v>50280.991735537194</v>
      </c>
      <c r="F134" s="657">
        <f>('[6]INTEC (listas)'!R130)</f>
        <v>50280.991735537194</v>
      </c>
      <c r="G134" s="658">
        <v>42990.247933884297</v>
      </c>
      <c r="H134" s="658">
        <v>42990.247933884297</v>
      </c>
      <c r="I134" s="658">
        <v>45252.89256198347</v>
      </c>
      <c r="J134" s="658">
        <v>45252.89256198347</v>
      </c>
      <c r="K134" s="657">
        <v>46610.479338842975</v>
      </c>
      <c r="L134" s="657">
        <v>46610.479338842975</v>
      </c>
      <c r="M134" s="657">
        <v>46610.479338842975</v>
      </c>
      <c r="N134" s="657">
        <v>46610.479338842975</v>
      </c>
      <c r="O134" s="658">
        <v>46610.479338842975</v>
      </c>
      <c r="P134" s="658">
        <v>46610.479338842975</v>
      </c>
      <c r="Q134" s="658">
        <v>54303.47107438017</v>
      </c>
      <c r="R134" s="658">
        <v>46266.05454545455</v>
      </c>
      <c r="S134" s="658">
        <f>('INTEC (listas)'!L133)</f>
        <v>49556.945454545457</v>
      </c>
    </row>
    <row r="135" spans="1:19">
      <c r="A135" s="113">
        <v>134</v>
      </c>
      <c r="B135" s="113" t="s">
        <v>588</v>
      </c>
      <c r="C135" s="113" t="s">
        <v>783</v>
      </c>
      <c r="D135" s="113" t="s">
        <v>784</v>
      </c>
      <c r="E135" s="657">
        <f>('[4]INTEC (listas)'!R131)</f>
        <v>0</v>
      </c>
      <c r="F135" s="657">
        <f>('[6]INTEC (listas)'!R131)</f>
        <v>0</v>
      </c>
      <c r="G135" s="658">
        <v>0</v>
      </c>
      <c r="H135" s="658">
        <v>0</v>
      </c>
      <c r="I135" s="658"/>
      <c r="J135" s="113"/>
      <c r="K135" s="657">
        <v>0</v>
      </c>
      <c r="L135" s="657">
        <v>0</v>
      </c>
      <c r="M135" s="657"/>
      <c r="N135" s="657">
        <v>0</v>
      </c>
      <c r="O135" s="658">
        <v>0</v>
      </c>
      <c r="P135" s="658"/>
      <c r="Q135" s="658">
        <v>10</v>
      </c>
      <c r="R135" s="658">
        <v>10</v>
      </c>
      <c r="S135" s="658">
        <f>('INTEC (listas)'!L134)</f>
        <v>10</v>
      </c>
    </row>
    <row r="136" spans="1:19">
      <c r="A136" s="113">
        <v>135</v>
      </c>
      <c r="B136" s="113" t="s">
        <v>772</v>
      </c>
      <c r="C136" s="113" t="s">
        <v>785</v>
      </c>
      <c r="D136" s="113" t="s">
        <v>786</v>
      </c>
      <c r="E136" s="657">
        <f>('[4]INTEC (listas)'!R132)</f>
        <v>0</v>
      </c>
      <c r="F136" s="657">
        <f>('[6]INTEC (listas)'!R132)</f>
        <v>0</v>
      </c>
      <c r="G136" s="658">
        <v>0</v>
      </c>
      <c r="H136" s="658">
        <v>0</v>
      </c>
      <c r="I136" s="658"/>
      <c r="J136" s="113"/>
      <c r="K136" s="657">
        <v>0</v>
      </c>
      <c r="L136" s="657">
        <v>0</v>
      </c>
      <c r="M136" s="657"/>
      <c r="N136" s="657">
        <v>0</v>
      </c>
      <c r="O136" s="658">
        <v>0</v>
      </c>
      <c r="P136" s="658"/>
      <c r="Q136" s="658">
        <v>10</v>
      </c>
      <c r="R136" s="658">
        <v>10</v>
      </c>
      <c r="S136" s="658">
        <f>('INTEC (listas)'!L135)</f>
        <v>10</v>
      </c>
    </row>
    <row r="137" spans="1:19">
      <c r="A137" s="113">
        <v>136</v>
      </c>
      <c r="B137" s="113" t="s">
        <v>306</v>
      </c>
      <c r="C137" s="113" t="s">
        <v>787</v>
      </c>
      <c r="D137" s="113" t="s">
        <v>788</v>
      </c>
      <c r="E137" s="657">
        <f>('[4]INTEC (listas)'!R133)</f>
        <v>50280.991735537194</v>
      </c>
      <c r="F137" s="657">
        <f>('[6]INTEC (listas)'!R133)</f>
        <v>50280.991735537194</v>
      </c>
      <c r="G137" s="658">
        <v>42990.247933884297</v>
      </c>
      <c r="H137" s="658">
        <v>42990.247933884297</v>
      </c>
      <c r="I137" s="658">
        <v>45252.89256198347</v>
      </c>
      <c r="J137" s="113">
        <v>45252.89256198347</v>
      </c>
      <c r="K137" s="657">
        <v>46610.479338842975</v>
      </c>
      <c r="L137" s="657">
        <v>46610.479338842975</v>
      </c>
      <c r="M137" s="657">
        <v>46610.479338842975</v>
      </c>
      <c r="N137" s="657">
        <v>46610.479338842975</v>
      </c>
      <c r="O137" s="658">
        <v>46610.479338842975</v>
      </c>
      <c r="P137" s="658">
        <v>46610.479338842975</v>
      </c>
      <c r="Q137" s="658">
        <v>54303.47107438017</v>
      </c>
      <c r="R137" s="658">
        <v>46266.05454545455</v>
      </c>
      <c r="S137" s="658">
        <f>('INTEC (listas)'!L136)</f>
        <v>49556.945454545457</v>
      </c>
    </row>
    <row r="138" spans="1:19">
      <c r="A138" s="113">
        <v>137</v>
      </c>
      <c r="B138" s="113" t="s">
        <v>308</v>
      </c>
      <c r="C138" s="113" t="s">
        <v>789</v>
      </c>
      <c r="D138" s="113" t="s">
        <v>790</v>
      </c>
      <c r="E138" s="657">
        <f>('[4]INTEC (listas)'!R134)</f>
        <v>0</v>
      </c>
      <c r="F138" s="657">
        <f>('[6]INTEC (listas)'!R134)</f>
        <v>0</v>
      </c>
      <c r="G138" s="658">
        <v>0</v>
      </c>
      <c r="H138" s="658">
        <v>0</v>
      </c>
      <c r="I138" s="658"/>
      <c r="J138" s="113"/>
      <c r="K138" s="657">
        <v>0</v>
      </c>
      <c r="L138" s="657">
        <v>0</v>
      </c>
      <c r="M138" s="657">
        <v>65335.05</v>
      </c>
      <c r="N138" s="657">
        <v>65335.05</v>
      </c>
      <c r="O138" s="658">
        <v>63355.199999999997</v>
      </c>
      <c r="P138" s="658">
        <v>70161.3</v>
      </c>
      <c r="Q138" s="658">
        <v>70161.3</v>
      </c>
      <c r="R138" s="658">
        <v>66617.8</v>
      </c>
      <c r="S138" s="658">
        <f>('INTEC (listas)'!L137)</f>
        <v>65087.891735537196</v>
      </c>
    </row>
    <row r="139" spans="1:19">
      <c r="A139" s="113">
        <v>383</v>
      </c>
      <c r="B139" s="113" t="s">
        <v>791</v>
      </c>
      <c r="C139" s="113" t="s">
        <v>792</v>
      </c>
      <c r="D139" s="113" t="s">
        <v>793</v>
      </c>
      <c r="E139" s="657">
        <f>('[4]INTEC (listas)'!R135)</f>
        <v>0</v>
      </c>
      <c r="F139" s="657">
        <f>('[6]INTEC (listas)'!R135)</f>
        <v>0</v>
      </c>
      <c r="G139" s="658">
        <v>0</v>
      </c>
      <c r="H139" s="658">
        <v>0</v>
      </c>
      <c r="I139" s="658"/>
      <c r="J139" s="113"/>
      <c r="K139" s="657">
        <v>0</v>
      </c>
      <c r="L139" s="657">
        <v>0</v>
      </c>
      <c r="M139" s="657"/>
      <c r="N139" s="657">
        <v>0</v>
      </c>
      <c r="O139" s="658">
        <v>0</v>
      </c>
      <c r="P139" s="658"/>
      <c r="Q139" s="658">
        <v>10</v>
      </c>
      <c r="R139" s="658">
        <v>10</v>
      </c>
      <c r="S139" s="658">
        <f>('INTEC (listas)'!L138)</f>
        <v>10</v>
      </c>
    </row>
    <row r="140" spans="1:19">
      <c r="A140" s="113">
        <v>138</v>
      </c>
      <c r="B140" s="113" t="s">
        <v>791</v>
      </c>
      <c r="C140" s="113" t="s">
        <v>794</v>
      </c>
      <c r="D140" s="113" t="s">
        <v>795</v>
      </c>
      <c r="E140" s="657">
        <f>('[4]INTEC (listas)'!R136)</f>
        <v>0</v>
      </c>
      <c r="F140" s="657">
        <f>('[6]INTEC (listas)'!R136)</f>
        <v>0</v>
      </c>
      <c r="G140" s="658">
        <v>0</v>
      </c>
      <c r="H140" s="658">
        <v>0</v>
      </c>
      <c r="I140" s="658"/>
      <c r="J140" s="552"/>
      <c r="K140" s="657">
        <v>0</v>
      </c>
      <c r="L140" s="657">
        <v>0</v>
      </c>
      <c r="M140" s="657"/>
      <c r="N140" s="657">
        <v>0</v>
      </c>
      <c r="O140" s="658">
        <v>0</v>
      </c>
      <c r="P140" s="658"/>
      <c r="Q140" s="658">
        <v>10</v>
      </c>
      <c r="R140" s="658">
        <v>10</v>
      </c>
      <c r="S140" s="658">
        <f>('INTEC (listas)'!L139)</f>
        <v>10</v>
      </c>
    </row>
    <row r="141" spans="1:19">
      <c r="A141" s="113">
        <v>139</v>
      </c>
      <c r="B141" s="113" t="s">
        <v>796</v>
      </c>
      <c r="C141" s="113" t="s">
        <v>797</v>
      </c>
      <c r="D141" s="113" t="s">
        <v>798</v>
      </c>
      <c r="E141" s="657">
        <f>('[4]INTEC (listas)'!R137)</f>
        <v>0</v>
      </c>
      <c r="F141" s="657">
        <f>('[6]INTEC (listas)'!R137)</f>
        <v>0</v>
      </c>
      <c r="G141" s="658">
        <v>0</v>
      </c>
      <c r="H141" s="658">
        <v>0</v>
      </c>
      <c r="I141" s="658"/>
      <c r="J141" s="113"/>
      <c r="K141" s="657">
        <v>0</v>
      </c>
      <c r="L141" s="657">
        <v>0</v>
      </c>
      <c r="M141" s="657"/>
      <c r="N141" s="657">
        <v>0</v>
      </c>
      <c r="O141" s="658">
        <v>0</v>
      </c>
      <c r="P141" s="658"/>
      <c r="Q141" s="658">
        <v>10</v>
      </c>
      <c r="R141" s="658">
        <v>10</v>
      </c>
      <c r="S141" s="658">
        <f>('INTEC (listas)'!L140)</f>
        <v>10</v>
      </c>
    </row>
    <row r="142" spans="1:19">
      <c r="A142" s="113">
        <v>140</v>
      </c>
      <c r="B142" s="113" t="s">
        <v>306</v>
      </c>
      <c r="C142" s="113" t="s">
        <v>799</v>
      </c>
      <c r="D142" s="113" t="s">
        <v>800</v>
      </c>
      <c r="E142" s="657">
        <f>('[4]INTEC (listas)'!R138)</f>
        <v>0</v>
      </c>
      <c r="F142" s="657">
        <f>('[6]INTEC (listas)'!R138)</f>
        <v>0</v>
      </c>
      <c r="G142" s="658">
        <v>0</v>
      </c>
      <c r="H142" s="658">
        <v>0</v>
      </c>
      <c r="I142" s="658"/>
      <c r="J142" s="552"/>
      <c r="K142" s="657">
        <v>0</v>
      </c>
      <c r="L142" s="657">
        <v>0</v>
      </c>
      <c r="M142" s="657"/>
      <c r="N142" s="657">
        <v>0</v>
      </c>
      <c r="O142" s="658">
        <v>0</v>
      </c>
      <c r="P142" s="658"/>
      <c r="Q142" s="658">
        <v>10</v>
      </c>
      <c r="R142" s="658">
        <v>10</v>
      </c>
      <c r="S142" s="658">
        <f>('INTEC (listas)'!L141)</f>
        <v>10</v>
      </c>
    </row>
    <row r="143" spans="1:19">
      <c r="A143" s="113">
        <v>141</v>
      </c>
      <c r="B143" s="113" t="s">
        <v>796</v>
      </c>
      <c r="C143" s="113" t="s">
        <v>801</v>
      </c>
      <c r="D143" s="113" t="s">
        <v>802</v>
      </c>
      <c r="E143" s="657">
        <f>('[4]INTEC (listas)'!R139)</f>
        <v>23000</v>
      </c>
      <c r="F143" s="657">
        <f>('[6]INTEC (listas)'!R139)</f>
        <v>23000</v>
      </c>
      <c r="G143" s="658">
        <v>23000</v>
      </c>
      <c r="H143" s="658">
        <v>23000</v>
      </c>
      <c r="I143" s="658">
        <v>23000</v>
      </c>
      <c r="J143" s="113">
        <v>23000</v>
      </c>
      <c r="K143" s="657">
        <v>23000</v>
      </c>
      <c r="L143" s="657">
        <v>24150</v>
      </c>
      <c r="M143" s="657">
        <v>24150</v>
      </c>
      <c r="N143" s="657">
        <v>24150</v>
      </c>
      <c r="O143" s="658">
        <v>24150</v>
      </c>
      <c r="P143" s="658">
        <v>24150</v>
      </c>
      <c r="Q143" s="658">
        <v>27600</v>
      </c>
      <c r="R143" s="658">
        <v>27600</v>
      </c>
      <c r="S143" s="658">
        <f>('INTEC (listas)'!L142)</f>
        <v>27600</v>
      </c>
    </row>
    <row r="144" spans="1:19">
      <c r="A144" s="113">
        <v>142</v>
      </c>
      <c r="B144" s="113" t="s">
        <v>306</v>
      </c>
      <c r="C144" s="113" t="s">
        <v>803</v>
      </c>
      <c r="D144" s="113" t="s">
        <v>804</v>
      </c>
      <c r="E144" s="657">
        <f>('[4]INTEC (listas)'!R140)</f>
        <v>0</v>
      </c>
      <c r="F144" s="657">
        <f>('[6]INTEC (listas)'!R140)</f>
        <v>0</v>
      </c>
      <c r="G144" s="658">
        <v>0</v>
      </c>
      <c r="H144" s="658">
        <v>0</v>
      </c>
      <c r="I144" s="658"/>
      <c r="J144" s="552"/>
      <c r="K144" s="657">
        <v>0</v>
      </c>
      <c r="L144" s="657">
        <v>0</v>
      </c>
      <c r="M144" s="657"/>
      <c r="N144" s="657">
        <v>0</v>
      </c>
      <c r="O144" s="658">
        <v>0</v>
      </c>
      <c r="P144" s="658"/>
      <c r="Q144" s="658">
        <v>10</v>
      </c>
      <c r="R144" s="658">
        <v>10</v>
      </c>
      <c r="S144" s="658">
        <f>('INTEC (listas)'!L143)</f>
        <v>10</v>
      </c>
    </row>
    <row r="145" spans="1:19">
      <c r="A145" s="113">
        <v>143</v>
      </c>
      <c r="B145" s="113" t="s">
        <v>796</v>
      </c>
      <c r="C145" s="113" t="s">
        <v>805</v>
      </c>
      <c r="D145" s="113" t="s">
        <v>806</v>
      </c>
      <c r="E145" s="657">
        <f>('[4]INTEC (listas)'!R141)</f>
        <v>36000</v>
      </c>
      <c r="F145" s="657">
        <f>('[6]INTEC (listas)'!R141)</f>
        <v>36000</v>
      </c>
      <c r="G145" s="658">
        <v>36000</v>
      </c>
      <c r="H145" s="658">
        <v>36000</v>
      </c>
      <c r="I145" s="658">
        <v>36000</v>
      </c>
      <c r="J145" s="113">
        <v>36000</v>
      </c>
      <c r="K145" s="657">
        <v>36000</v>
      </c>
      <c r="L145" s="657">
        <v>37800</v>
      </c>
      <c r="M145" s="657">
        <v>37800</v>
      </c>
      <c r="N145" s="657">
        <v>37800</v>
      </c>
      <c r="O145" s="658">
        <v>37800</v>
      </c>
      <c r="P145" s="658">
        <v>37800</v>
      </c>
      <c r="Q145" s="658">
        <v>43200</v>
      </c>
      <c r="R145" s="658">
        <v>43200</v>
      </c>
      <c r="S145" s="658">
        <f>('INTEC (listas)'!L144)</f>
        <v>43200</v>
      </c>
    </row>
    <row r="146" spans="1:19">
      <c r="A146" s="113">
        <v>144</v>
      </c>
      <c r="B146" s="113" t="s">
        <v>306</v>
      </c>
      <c r="C146" s="113" t="s">
        <v>807</v>
      </c>
      <c r="D146" s="113" t="s">
        <v>808</v>
      </c>
      <c r="E146" s="657">
        <f>('[4]INTEC (listas)'!R142)</f>
        <v>0</v>
      </c>
      <c r="F146" s="657">
        <f>('[6]INTEC (listas)'!R142)</f>
        <v>0</v>
      </c>
      <c r="G146" s="658">
        <v>0</v>
      </c>
      <c r="H146" s="658">
        <v>0</v>
      </c>
      <c r="I146" s="658"/>
      <c r="J146" s="113"/>
      <c r="K146" s="657">
        <v>0</v>
      </c>
      <c r="L146" s="657">
        <v>0</v>
      </c>
      <c r="M146" s="657"/>
      <c r="N146" s="657">
        <v>0</v>
      </c>
      <c r="O146" s="658">
        <v>0</v>
      </c>
      <c r="P146" s="658"/>
      <c r="Q146" s="658">
        <v>10</v>
      </c>
      <c r="R146" s="658">
        <v>10</v>
      </c>
      <c r="S146" s="658">
        <f>('INTEC (listas)'!L145)</f>
        <v>10</v>
      </c>
    </row>
    <row r="147" spans="1:19">
      <c r="A147" s="113">
        <v>145</v>
      </c>
      <c r="B147" s="113" t="s">
        <v>796</v>
      </c>
      <c r="C147" s="113" t="s">
        <v>809</v>
      </c>
      <c r="D147" s="113" t="s">
        <v>810</v>
      </c>
      <c r="E147" s="657">
        <f>('[4]INTEC (listas)'!R143)</f>
        <v>28000</v>
      </c>
      <c r="F147" s="657">
        <f>('[6]INTEC (listas)'!R143)</f>
        <v>28000</v>
      </c>
      <c r="G147" s="658">
        <v>28000</v>
      </c>
      <c r="H147" s="658">
        <v>28000</v>
      </c>
      <c r="I147" s="658">
        <v>28000</v>
      </c>
      <c r="J147" s="552">
        <v>28000</v>
      </c>
      <c r="K147" s="657">
        <v>28000</v>
      </c>
      <c r="L147" s="657">
        <v>29400</v>
      </c>
      <c r="M147" s="657">
        <v>29400</v>
      </c>
      <c r="N147" s="657">
        <v>29400</v>
      </c>
      <c r="O147" s="658">
        <v>29400</v>
      </c>
      <c r="P147" s="658">
        <v>29400</v>
      </c>
      <c r="Q147" s="658">
        <v>33600</v>
      </c>
      <c r="R147" s="658">
        <v>33600</v>
      </c>
      <c r="S147" s="658">
        <f>('INTEC (listas)'!L146)</f>
        <v>33600</v>
      </c>
    </row>
    <row r="148" spans="1:19">
      <c r="A148" s="113">
        <v>146</v>
      </c>
      <c r="B148" s="113" t="s">
        <v>306</v>
      </c>
      <c r="C148" s="113" t="s">
        <v>811</v>
      </c>
      <c r="D148" s="113" t="s">
        <v>812</v>
      </c>
      <c r="E148" s="657">
        <f>('[4]INTEC (listas)'!R144)</f>
        <v>0</v>
      </c>
      <c r="F148" s="657">
        <f>('[6]INTEC (listas)'!R144)</f>
        <v>0</v>
      </c>
      <c r="G148" s="658">
        <v>0</v>
      </c>
      <c r="H148" s="658">
        <v>0</v>
      </c>
      <c r="I148" s="658"/>
      <c r="J148" s="113"/>
      <c r="K148" s="657">
        <v>0</v>
      </c>
      <c r="L148" s="657">
        <v>0</v>
      </c>
      <c r="M148" s="657"/>
      <c r="N148" s="657">
        <v>0</v>
      </c>
      <c r="O148" s="658">
        <v>0</v>
      </c>
      <c r="P148" s="658"/>
      <c r="Q148" s="658">
        <v>10</v>
      </c>
      <c r="R148" s="658">
        <v>10</v>
      </c>
      <c r="S148" s="658">
        <f>('INTEC (listas)'!L147)</f>
        <v>10</v>
      </c>
    </row>
    <row r="149" spans="1:19">
      <c r="A149" s="113">
        <v>147</v>
      </c>
      <c r="B149" s="113" t="s">
        <v>308</v>
      </c>
      <c r="C149" s="113" t="s">
        <v>813</v>
      </c>
      <c r="D149" s="113" t="s">
        <v>814</v>
      </c>
      <c r="E149" s="657">
        <f>('[4]INTEC (listas)'!R145)</f>
        <v>0</v>
      </c>
      <c r="F149" s="657">
        <f>('[6]INTEC (listas)'!R145)</f>
        <v>0</v>
      </c>
      <c r="G149" s="658">
        <v>0</v>
      </c>
      <c r="H149" s="658">
        <v>0</v>
      </c>
      <c r="I149" s="658"/>
      <c r="J149" s="113"/>
      <c r="K149" s="657">
        <v>0</v>
      </c>
      <c r="L149" s="657">
        <v>0</v>
      </c>
      <c r="M149" s="657"/>
      <c r="N149" s="657">
        <v>0</v>
      </c>
      <c r="O149" s="658">
        <v>0</v>
      </c>
      <c r="P149" s="658">
        <v>18950.399999999998</v>
      </c>
      <c r="Q149" s="658">
        <v>18476.64</v>
      </c>
      <c r="R149" s="658">
        <v>18950.399999999998</v>
      </c>
      <c r="S149" s="658">
        <f>('INTEC (listas)'!L148)</f>
        <v>19739.999999999996</v>
      </c>
    </row>
    <row r="150" spans="1:19">
      <c r="A150" s="113">
        <v>148</v>
      </c>
      <c r="B150" s="113" t="s">
        <v>796</v>
      </c>
      <c r="C150" s="113" t="s">
        <v>815</v>
      </c>
      <c r="D150" s="113" t="s">
        <v>816</v>
      </c>
      <c r="E150" s="657">
        <f>('[4]INTEC (listas)'!R146)</f>
        <v>90000</v>
      </c>
      <c r="F150" s="657">
        <f>('[6]INTEC (listas)'!R146)</f>
        <v>90000</v>
      </c>
      <c r="G150" s="658">
        <v>90000</v>
      </c>
      <c r="H150" s="658">
        <v>90000</v>
      </c>
      <c r="I150" s="658">
        <v>90000</v>
      </c>
      <c r="J150" s="552">
        <v>90000</v>
      </c>
      <c r="K150" s="657">
        <v>90000</v>
      </c>
      <c r="L150" s="657">
        <v>94500</v>
      </c>
      <c r="M150" s="657">
        <v>94500</v>
      </c>
      <c r="N150" s="657">
        <v>94500</v>
      </c>
      <c r="O150" s="658">
        <v>94500</v>
      </c>
      <c r="P150" s="658">
        <v>94500</v>
      </c>
      <c r="Q150" s="658">
        <v>108000</v>
      </c>
      <c r="R150" s="658">
        <v>108000</v>
      </c>
      <c r="S150" s="658">
        <f>('INTEC (listas)'!L149)</f>
        <v>108000</v>
      </c>
    </row>
    <row r="151" spans="1:19">
      <c r="A151" s="113">
        <v>149</v>
      </c>
      <c r="B151" s="113" t="s">
        <v>306</v>
      </c>
      <c r="C151" s="113" t="s">
        <v>817</v>
      </c>
      <c r="D151" s="113" t="s">
        <v>818</v>
      </c>
      <c r="E151" s="657">
        <f>('[4]INTEC (listas)'!R147)</f>
        <v>0</v>
      </c>
      <c r="F151" s="657">
        <f>('[6]INTEC (listas)'!R147)</f>
        <v>0</v>
      </c>
      <c r="G151" s="658">
        <v>0</v>
      </c>
      <c r="H151" s="658">
        <v>0</v>
      </c>
      <c r="I151" s="658"/>
      <c r="J151" s="113"/>
      <c r="K151" s="657">
        <v>0</v>
      </c>
      <c r="L151" s="657">
        <v>0</v>
      </c>
      <c r="M151" s="657"/>
      <c r="N151" s="657">
        <v>0</v>
      </c>
      <c r="O151" s="658">
        <v>0</v>
      </c>
      <c r="P151" s="658"/>
      <c r="Q151" s="658">
        <v>10</v>
      </c>
      <c r="R151" s="658">
        <v>10</v>
      </c>
      <c r="S151" s="658">
        <f>('INTEC (listas)'!L150)</f>
        <v>10</v>
      </c>
    </row>
    <row r="152" spans="1:19">
      <c r="A152" s="113">
        <v>150</v>
      </c>
      <c r="B152" s="113" t="s">
        <v>308</v>
      </c>
      <c r="C152" s="113" t="s">
        <v>819</v>
      </c>
      <c r="D152" s="113" t="s">
        <v>820</v>
      </c>
      <c r="E152" s="657">
        <f>('[4]INTEC (listas)'!R148)</f>
        <v>0</v>
      </c>
      <c r="F152" s="657">
        <f>('[6]INTEC (listas)'!R148)</f>
        <v>0</v>
      </c>
      <c r="G152" s="658">
        <v>0</v>
      </c>
      <c r="H152" s="658">
        <v>0</v>
      </c>
      <c r="I152" s="658"/>
      <c r="J152" s="113"/>
      <c r="K152" s="657">
        <v>0</v>
      </c>
      <c r="L152" s="657">
        <v>0</v>
      </c>
      <c r="M152" s="657"/>
      <c r="N152" s="657">
        <v>0</v>
      </c>
      <c r="O152" s="658">
        <v>0</v>
      </c>
      <c r="P152" s="658">
        <v>29102.400000000001</v>
      </c>
      <c r="Q152" s="658">
        <v>28374.840000000004</v>
      </c>
      <c r="R152" s="658">
        <v>29102.400000000001</v>
      </c>
      <c r="S152" s="658">
        <f>('INTEC (listas)'!L151)</f>
        <v>30315.000000000004</v>
      </c>
    </row>
    <row r="153" spans="1:19">
      <c r="A153" s="113">
        <v>151</v>
      </c>
      <c r="B153" s="113" t="s">
        <v>796</v>
      </c>
      <c r="C153" s="113" t="s">
        <v>821</v>
      </c>
      <c r="D153" s="113" t="s">
        <v>822</v>
      </c>
      <c r="E153" s="657">
        <f>('[4]INTEC (listas)'!R149)</f>
        <v>63000</v>
      </c>
      <c r="F153" s="657">
        <f>('[6]INTEC (listas)'!R149)</f>
        <v>63000</v>
      </c>
      <c r="G153" s="658">
        <v>63000</v>
      </c>
      <c r="H153" s="658">
        <v>63000</v>
      </c>
      <c r="I153" s="658">
        <v>63000</v>
      </c>
      <c r="J153" s="552">
        <v>63000</v>
      </c>
      <c r="K153" s="657">
        <v>63000</v>
      </c>
      <c r="L153" s="657">
        <v>66150</v>
      </c>
      <c r="M153" s="657">
        <v>66150</v>
      </c>
      <c r="N153" s="657">
        <v>66150</v>
      </c>
      <c r="O153" s="658">
        <v>66150</v>
      </c>
      <c r="P153" s="658">
        <v>66150</v>
      </c>
      <c r="Q153" s="658">
        <v>75600</v>
      </c>
      <c r="R153" s="658">
        <v>75600</v>
      </c>
      <c r="S153" s="658">
        <f>('INTEC (listas)'!L152)</f>
        <v>75600</v>
      </c>
    </row>
    <row r="154" spans="1:19">
      <c r="A154" s="113">
        <v>152</v>
      </c>
      <c r="B154" s="113" t="s">
        <v>306</v>
      </c>
      <c r="C154" s="113" t="s">
        <v>823</v>
      </c>
      <c r="D154" s="113" t="s">
        <v>824</v>
      </c>
      <c r="E154" s="657">
        <f>('[4]INTEC (listas)'!R150)</f>
        <v>0</v>
      </c>
      <c r="F154" s="657">
        <f>('[6]INTEC (listas)'!R150)</f>
        <v>0</v>
      </c>
      <c r="G154" s="658">
        <v>0</v>
      </c>
      <c r="H154" s="658">
        <v>0</v>
      </c>
      <c r="I154" s="658"/>
      <c r="J154" s="113"/>
      <c r="K154" s="657">
        <v>0</v>
      </c>
      <c r="L154" s="657">
        <v>0</v>
      </c>
      <c r="M154" s="657"/>
      <c r="N154" s="657">
        <v>0</v>
      </c>
      <c r="O154" s="658">
        <v>0</v>
      </c>
      <c r="P154" s="658"/>
      <c r="Q154" s="658">
        <v>10</v>
      </c>
      <c r="R154" s="658">
        <v>10</v>
      </c>
      <c r="S154" s="658">
        <f>('INTEC (listas)'!L153)</f>
        <v>10</v>
      </c>
    </row>
    <row r="155" spans="1:19">
      <c r="A155" s="113">
        <v>153</v>
      </c>
      <c r="B155" s="113" t="s">
        <v>308</v>
      </c>
      <c r="C155" s="113" t="s">
        <v>825</v>
      </c>
      <c r="D155" s="113" t="s">
        <v>826</v>
      </c>
      <c r="E155" s="657">
        <f>('[4]INTEC (listas)'!R151)</f>
        <v>0</v>
      </c>
      <c r="F155" s="657">
        <f>('[6]INTEC (listas)'!R151)</f>
        <v>0</v>
      </c>
      <c r="G155" s="658">
        <v>0</v>
      </c>
      <c r="H155" s="658">
        <v>0</v>
      </c>
      <c r="I155" s="658"/>
      <c r="J155" s="113"/>
      <c r="K155" s="657">
        <v>0</v>
      </c>
      <c r="L155" s="657">
        <v>0</v>
      </c>
      <c r="M155" s="657"/>
      <c r="N155" s="657">
        <v>0</v>
      </c>
      <c r="O155" s="658">
        <v>0</v>
      </c>
      <c r="P155" s="658">
        <v>0</v>
      </c>
      <c r="Q155" s="658">
        <v>10</v>
      </c>
      <c r="R155" s="658">
        <v>10</v>
      </c>
      <c r="S155" s="658">
        <f>('INTEC (listas)'!L154)</f>
        <v>10</v>
      </c>
    </row>
    <row r="156" spans="1:19">
      <c r="A156" s="113">
        <v>154</v>
      </c>
      <c r="B156" s="113" t="s">
        <v>796</v>
      </c>
      <c r="C156" s="113" t="s">
        <v>827</v>
      </c>
      <c r="D156" s="113" t="s">
        <v>828</v>
      </c>
      <c r="E156" s="657">
        <f>('[4]INTEC (listas)'!R152)</f>
        <v>100000</v>
      </c>
      <c r="F156" s="657">
        <f>('[6]INTEC (listas)'!R152)</f>
        <v>100000</v>
      </c>
      <c r="G156" s="658">
        <v>100000</v>
      </c>
      <c r="H156" s="658">
        <v>100000</v>
      </c>
      <c r="I156" s="658">
        <v>100000</v>
      </c>
      <c r="J156" s="552">
        <v>100000</v>
      </c>
      <c r="K156" s="657">
        <v>100000</v>
      </c>
      <c r="L156" s="657">
        <v>105000</v>
      </c>
      <c r="M156" s="657">
        <v>105000</v>
      </c>
      <c r="N156" s="657">
        <v>105000</v>
      </c>
      <c r="O156" s="658">
        <v>105000</v>
      </c>
      <c r="P156" s="658">
        <v>105000</v>
      </c>
      <c r="Q156" s="658">
        <v>120000</v>
      </c>
      <c r="R156" s="658">
        <v>120000</v>
      </c>
      <c r="S156" s="658">
        <f>('INTEC (listas)'!L155)</f>
        <v>120000</v>
      </c>
    </row>
    <row r="157" spans="1:19">
      <c r="A157" s="113">
        <v>155</v>
      </c>
      <c r="B157" s="113" t="s">
        <v>306</v>
      </c>
      <c r="C157" s="113" t="s">
        <v>829</v>
      </c>
      <c r="D157" s="113" t="s">
        <v>830</v>
      </c>
      <c r="E157" s="657">
        <f>('[4]INTEC (listas)'!R153)</f>
        <v>0</v>
      </c>
      <c r="F157" s="657">
        <f>('[6]INTEC (listas)'!R153)</f>
        <v>0</v>
      </c>
      <c r="G157" s="658">
        <v>0</v>
      </c>
      <c r="H157" s="658">
        <v>0</v>
      </c>
      <c r="I157" s="658"/>
      <c r="J157" s="113"/>
      <c r="K157" s="657">
        <v>0</v>
      </c>
      <c r="L157" s="657">
        <v>0</v>
      </c>
      <c r="M157" s="657"/>
      <c r="N157" s="657">
        <v>0</v>
      </c>
      <c r="O157" s="658">
        <v>0</v>
      </c>
      <c r="P157" s="658"/>
      <c r="Q157" s="658">
        <v>10</v>
      </c>
      <c r="R157" s="658">
        <v>10</v>
      </c>
      <c r="S157" s="658">
        <f>('INTEC (listas)'!L156)</f>
        <v>10</v>
      </c>
    </row>
    <row r="158" spans="1:19">
      <c r="A158" s="113">
        <v>156</v>
      </c>
      <c r="B158" s="113" t="s">
        <v>308</v>
      </c>
      <c r="C158" s="113" t="s">
        <v>831</v>
      </c>
      <c r="D158" s="113" t="s">
        <v>832</v>
      </c>
      <c r="E158" s="657">
        <f>('[4]INTEC (listas)'!R154)</f>
        <v>0</v>
      </c>
      <c r="F158" s="657">
        <f>('[6]INTEC (listas)'!R154)</f>
        <v>0</v>
      </c>
      <c r="G158" s="658">
        <v>0</v>
      </c>
      <c r="H158" s="658">
        <v>0</v>
      </c>
      <c r="I158" s="658"/>
      <c r="J158" s="113"/>
      <c r="K158" s="657">
        <v>0</v>
      </c>
      <c r="L158" s="657">
        <v>0</v>
      </c>
      <c r="M158" s="657"/>
      <c r="N158" s="657">
        <v>0</v>
      </c>
      <c r="O158" s="658">
        <v>0</v>
      </c>
      <c r="P158" s="658">
        <v>0</v>
      </c>
      <c r="Q158" s="658">
        <v>10</v>
      </c>
      <c r="R158" s="658">
        <v>10</v>
      </c>
      <c r="S158" s="658">
        <f>('INTEC (listas)'!L157)</f>
        <v>10</v>
      </c>
    </row>
    <row r="159" spans="1:19">
      <c r="A159" s="113">
        <v>157</v>
      </c>
      <c r="B159" s="113" t="s">
        <v>796</v>
      </c>
      <c r="C159" s="113" t="s">
        <v>833</v>
      </c>
      <c r="D159" s="113" t="s">
        <v>834</v>
      </c>
      <c r="E159" s="657">
        <f>('[4]INTEC (listas)'!R155)</f>
        <v>185175</v>
      </c>
      <c r="F159" s="657">
        <f>('[6]INTEC (listas)'!R155)</f>
        <v>185175</v>
      </c>
      <c r="G159" s="658">
        <v>185175</v>
      </c>
      <c r="H159" s="658">
        <v>185175</v>
      </c>
      <c r="I159" s="658">
        <v>185175</v>
      </c>
      <c r="J159" s="113">
        <v>185175</v>
      </c>
      <c r="K159" s="657">
        <v>185175</v>
      </c>
      <c r="L159" s="657">
        <v>185175</v>
      </c>
      <c r="M159" s="657">
        <v>185175</v>
      </c>
      <c r="N159" s="657">
        <v>185175</v>
      </c>
      <c r="O159" s="658">
        <v>185175</v>
      </c>
      <c r="P159" s="658">
        <v>185175</v>
      </c>
      <c r="Q159" s="658">
        <v>185175</v>
      </c>
      <c r="R159" s="658">
        <v>185175</v>
      </c>
      <c r="S159" s="658">
        <f>('INTEC (listas)'!L158)</f>
        <v>185175</v>
      </c>
    </row>
    <row r="160" spans="1:19">
      <c r="A160" s="113">
        <v>158</v>
      </c>
      <c r="B160" s="113" t="s">
        <v>306</v>
      </c>
      <c r="C160" s="113" t="s">
        <v>835</v>
      </c>
      <c r="D160" s="113" t="s">
        <v>836</v>
      </c>
      <c r="E160" s="657">
        <f>('[4]INTEC (listas)'!R156)</f>
        <v>0</v>
      </c>
      <c r="F160" s="657">
        <f>('[6]INTEC (listas)'!R156)</f>
        <v>0</v>
      </c>
      <c r="G160" s="658">
        <v>0</v>
      </c>
      <c r="H160" s="658">
        <v>0</v>
      </c>
      <c r="I160" s="658"/>
      <c r="J160" s="113"/>
      <c r="K160" s="657">
        <v>0</v>
      </c>
      <c r="L160" s="657">
        <v>0</v>
      </c>
      <c r="M160" s="657"/>
      <c r="N160" s="657">
        <v>0</v>
      </c>
      <c r="O160" s="658">
        <v>0</v>
      </c>
      <c r="P160" s="658"/>
      <c r="Q160" s="658">
        <v>10</v>
      </c>
      <c r="R160" s="658">
        <v>10</v>
      </c>
      <c r="S160" s="658">
        <f>('INTEC (listas)'!L159)</f>
        <v>10</v>
      </c>
    </row>
    <row r="161" spans="1:19">
      <c r="A161" s="113">
        <v>159</v>
      </c>
      <c r="B161" s="113" t="s">
        <v>306</v>
      </c>
      <c r="C161" s="113" t="s">
        <v>837</v>
      </c>
      <c r="D161" s="113" t="s">
        <v>838</v>
      </c>
      <c r="E161" s="657">
        <f>('[4]INTEC (listas)'!R157)</f>
        <v>0</v>
      </c>
      <c r="F161" s="657">
        <f>('[6]INTEC (listas)'!R157)</f>
        <v>0</v>
      </c>
      <c r="G161" s="658">
        <v>0</v>
      </c>
      <c r="H161" s="658">
        <v>0</v>
      </c>
      <c r="I161" s="658"/>
      <c r="J161" s="113"/>
      <c r="K161" s="657">
        <v>0</v>
      </c>
      <c r="L161" s="657">
        <v>0</v>
      </c>
      <c r="M161" s="657"/>
      <c r="N161" s="657">
        <v>0</v>
      </c>
      <c r="O161" s="658">
        <v>0</v>
      </c>
      <c r="P161" s="658"/>
      <c r="Q161" s="658">
        <v>10</v>
      </c>
      <c r="R161" s="658">
        <v>10</v>
      </c>
      <c r="S161" s="658">
        <f>('INTEC (listas)'!L160)</f>
        <v>10</v>
      </c>
    </row>
    <row r="162" spans="1:19">
      <c r="A162" s="113">
        <v>160</v>
      </c>
      <c r="B162" s="113" t="s">
        <v>306</v>
      </c>
      <c r="C162" s="113" t="s">
        <v>839</v>
      </c>
      <c r="D162" s="113" t="s">
        <v>840</v>
      </c>
      <c r="E162" s="657">
        <f>('[4]INTEC (listas)'!R158)</f>
        <v>0</v>
      </c>
      <c r="F162" s="657">
        <f>('[6]INTEC (listas)'!R158)</f>
        <v>0</v>
      </c>
      <c r="G162" s="658">
        <v>0</v>
      </c>
      <c r="H162" s="658">
        <v>0</v>
      </c>
      <c r="I162" s="658"/>
      <c r="J162" s="113"/>
      <c r="K162" s="657">
        <v>0</v>
      </c>
      <c r="L162" s="657">
        <v>0</v>
      </c>
      <c r="M162" s="657"/>
      <c r="N162" s="657">
        <v>0</v>
      </c>
      <c r="O162" s="658">
        <v>0</v>
      </c>
      <c r="P162" s="658"/>
      <c r="Q162" s="658">
        <v>10</v>
      </c>
      <c r="R162" s="658">
        <v>10</v>
      </c>
      <c r="S162" s="658">
        <f>('INTEC (listas)'!L161)</f>
        <v>10</v>
      </c>
    </row>
    <row r="163" spans="1:19">
      <c r="A163" s="113">
        <v>238</v>
      </c>
      <c r="B163" s="113" t="s">
        <v>841</v>
      </c>
      <c r="C163" s="113" t="s">
        <v>842</v>
      </c>
      <c r="D163" s="113" t="s">
        <v>843</v>
      </c>
      <c r="E163" s="657">
        <f>('[4]INTEC (listas)'!R159)</f>
        <v>577.19008264462809</v>
      </c>
      <c r="F163" s="657">
        <f>('[6]INTEC (listas)'!R159)</f>
        <v>577.19008264462809</v>
      </c>
      <c r="G163" s="658">
        <v>577.19008264462809</v>
      </c>
      <c r="H163" s="658">
        <v>577.19008264462809</v>
      </c>
      <c r="I163" s="658">
        <v>577.19008264462809</v>
      </c>
      <c r="J163" s="113">
        <v>577.19008264462809</v>
      </c>
      <c r="K163" s="657">
        <v>577.19008264462809</v>
      </c>
      <c r="L163" s="657">
        <v>577.19008264462809</v>
      </c>
      <c r="M163" s="657">
        <v>577.19008264462809</v>
      </c>
      <c r="N163" s="657">
        <v>577.19008264462809</v>
      </c>
      <c r="O163" s="658">
        <v>577.19008264462809</v>
      </c>
      <c r="P163" s="658">
        <v>577.19008264462809</v>
      </c>
      <c r="Q163" s="658">
        <v>577.19008264462809</v>
      </c>
      <c r="R163" s="658">
        <v>577.19008264462809</v>
      </c>
      <c r="S163" s="658">
        <f>('INTEC (listas)'!L162)</f>
        <v>577.19008264462809</v>
      </c>
    </row>
    <row r="164" spans="1:19">
      <c r="A164" s="113">
        <v>239</v>
      </c>
      <c r="B164" s="113" t="s">
        <v>841</v>
      </c>
      <c r="C164" s="113" t="s">
        <v>844</v>
      </c>
      <c r="D164" s="113" t="s">
        <v>845</v>
      </c>
      <c r="E164" s="657">
        <f>('[4]INTEC (listas)'!R160)</f>
        <v>572.8677685950413</v>
      </c>
      <c r="F164" s="657">
        <f>('[6]INTEC (listas)'!R160)</f>
        <v>572.8677685950413</v>
      </c>
      <c r="G164" s="658">
        <v>572.8677685950413</v>
      </c>
      <c r="H164" s="658">
        <v>572.8677685950413</v>
      </c>
      <c r="I164" s="658">
        <v>572.8677685950413</v>
      </c>
      <c r="J164" s="113">
        <v>572.8677685950413</v>
      </c>
      <c r="K164" s="657">
        <v>572.8677685950413</v>
      </c>
      <c r="L164" s="657">
        <v>572.8677685950413</v>
      </c>
      <c r="M164" s="657">
        <v>572.8677685950413</v>
      </c>
      <c r="N164" s="657">
        <v>572.8677685950413</v>
      </c>
      <c r="O164" s="658">
        <v>572.8677685950413</v>
      </c>
      <c r="P164" s="658">
        <v>572.8677685950413</v>
      </c>
      <c r="Q164" s="658">
        <v>572.8677685950413</v>
      </c>
      <c r="R164" s="658">
        <v>572.8677685950413</v>
      </c>
      <c r="S164" s="658">
        <f>('INTEC (listas)'!L163)</f>
        <v>572.8677685950413</v>
      </c>
    </row>
    <row r="165" spans="1:19">
      <c r="A165" s="113">
        <v>240</v>
      </c>
      <c r="B165" s="113" t="s">
        <v>841</v>
      </c>
      <c r="C165" s="113" t="s">
        <v>846</v>
      </c>
      <c r="D165" s="113" t="s">
        <v>847</v>
      </c>
      <c r="E165" s="657">
        <f>('[4]INTEC (listas)'!R161)</f>
        <v>2510.0826446280989</v>
      </c>
      <c r="F165" s="657">
        <f>('[6]INTEC (listas)'!R161)</f>
        <v>2510.0826446280989</v>
      </c>
      <c r="G165" s="658">
        <v>2510.0826446280989</v>
      </c>
      <c r="H165" s="658">
        <v>2510.0826446280989</v>
      </c>
      <c r="I165" s="658">
        <v>2510.0826446280989</v>
      </c>
      <c r="J165" s="113">
        <v>2510.0826446280989</v>
      </c>
      <c r="K165" s="657">
        <v>2510.0826446280989</v>
      </c>
      <c r="L165" s="657">
        <v>2510.0826446280989</v>
      </c>
      <c r="M165" s="657">
        <v>2510.0826446280989</v>
      </c>
      <c r="N165" s="657">
        <v>2510.0826446280989</v>
      </c>
      <c r="O165" s="658">
        <v>2510.0826446280989</v>
      </c>
      <c r="P165" s="658">
        <v>2510.0826446280989</v>
      </c>
      <c r="Q165" s="658">
        <v>2510.0826446280989</v>
      </c>
      <c r="R165" s="658">
        <v>2510.0826446280989</v>
      </c>
      <c r="S165" s="658">
        <f>('INTEC (listas)'!L164)</f>
        <v>2510.0826446280989</v>
      </c>
    </row>
    <row r="166" spans="1:19">
      <c r="A166" s="113">
        <v>241</v>
      </c>
      <c r="B166" s="113" t="s">
        <v>841</v>
      </c>
      <c r="C166" s="113" t="s">
        <v>848</v>
      </c>
      <c r="D166" s="113" t="s">
        <v>849</v>
      </c>
      <c r="E166" s="657">
        <f>('[4]INTEC (listas)'!R162)</f>
        <v>2510.0826446280989</v>
      </c>
      <c r="F166" s="657">
        <f>('[6]INTEC (listas)'!R162)</f>
        <v>2510.0826446280989</v>
      </c>
      <c r="G166" s="658">
        <v>2510.0826446280989</v>
      </c>
      <c r="H166" s="658">
        <v>2510.0826446280989</v>
      </c>
      <c r="I166" s="658">
        <v>2510.0826446280989</v>
      </c>
      <c r="J166" s="113">
        <v>2510.0826446280989</v>
      </c>
      <c r="K166" s="657">
        <v>2510.0826446280989</v>
      </c>
      <c r="L166" s="657">
        <v>2510.0826446280989</v>
      </c>
      <c r="M166" s="657">
        <v>2510.0826446280989</v>
      </c>
      <c r="N166" s="657">
        <v>2510.0826446280989</v>
      </c>
      <c r="O166" s="658">
        <v>2510.0826446280989</v>
      </c>
      <c r="P166" s="658">
        <v>2510.0826446280989</v>
      </c>
      <c r="Q166" s="658">
        <v>2510.0826446280989</v>
      </c>
      <c r="R166" s="658">
        <v>2510.0826446280989</v>
      </c>
      <c r="S166" s="658">
        <f>('INTEC (listas)'!L165)</f>
        <v>2510.0826446280989</v>
      </c>
    </row>
    <row r="167" spans="1:19">
      <c r="A167" s="113">
        <v>242</v>
      </c>
      <c r="B167" s="113" t="s">
        <v>841</v>
      </c>
      <c r="C167" s="113" t="s">
        <v>850</v>
      </c>
      <c r="D167" s="113" t="s">
        <v>851</v>
      </c>
      <c r="E167" s="657">
        <f>('[4]INTEC (listas)'!R163)</f>
        <v>0</v>
      </c>
      <c r="F167" s="657">
        <f>('[6]INTEC (listas)'!R163)</f>
        <v>0</v>
      </c>
      <c r="G167" s="658">
        <v>0</v>
      </c>
      <c r="H167" s="658">
        <v>0</v>
      </c>
      <c r="I167" s="658"/>
      <c r="J167" s="113"/>
      <c r="K167" s="657">
        <v>0</v>
      </c>
      <c r="L167" s="657">
        <v>0</v>
      </c>
      <c r="M167" s="657"/>
      <c r="N167" s="657">
        <v>0</v>
      </c>
      <c r="O167" s="658">
        <v>0</v>
      </c>
      <c r="P167" s="658"/>
      <c r="Q167" s="658">
        <v>10</v>
      </c>
      <c r="R167" s="658">
        <v>10</v>
      </c>
      <c r="S167" s="658">
        <f>('INTEC (listas)'!L166)</f>
        <v>10</v>
      </c>
    </row>
    <row r="168" spans="1:19">
      <c r="A168" s="113">
        <v>243</v>
      </c>
      <c r="B168" s="113" t="s">
        <v>841</v>
      </c>
      <c r="C168" s="113" t="s">
        <v>852</v>
      </c>
      <c r="D168" s="113" t="s">
        <v>853</v>
      </c>
      <c r="E168" s="657">
        <f>('[4]INTEC (listas)'!R164)</f>
        <v>0</v>
      </c>
      <c r="F168" s="657">
        <f>('[6]INTEC (listas)'!R164)</f>
        <v>0</v>
      </c>
      <c r="G168" s="658">
        <v>0</v>
      </c>
      <c r="H168" s="658">
        <v>0</v>
      </c>
      <c r="I168" s="658"/>
      <c r="J168" s="113"/>
      <c r="K168" s="657">
        <v>0</v>
      </c>
      <c r="L168" s="657">
        <v>0</v>
      </c>
      <c r="M168" s="657"/>
      <c r="N168" s="657">
        <v>0</v>
      </c>
      <c r="O168" s="658">
        <v>0</v>
      </c>
      <c r="P168" s="658"/>
      <c r="Q168" s="658">
        <v>10</v>
      </c>
      <c r="R168" s="658">
        <v>10</v>
      </c>
      <c r="S168" s="658">
        <f>('INTEC (listas)'!L167)</f>
        <v>10</v>
      </c>
    </row>
    <row r="169" spans="1:19">
      <c r="A169" s="113">
        <v>244</v>
      </c>
      <c r="B169" s="113" t="s">
        <v>841</v>
      </c>
      <c r="C169" s="113" t="s">
        <v>854</v>
      </c>
      <c r="D169" s="113" t="s">
        <v>855</v>
      </c>
      <c r="E169" s="657">
        <f>('[4]INTEC (listas)'!R165)</f>
        <v>561.54545454545462</v>
      </c>
      <c r="F169" s="657">
        <f>('[6]INTEC (listas)'!R165)</f>
        <v>561.54545454545462</v>
      </c>
      <c r="G169" s="658">
        <v>561.54545454545462</v>
      </c>
      <c r="H169" s="658">
        <v>561.54545454545462</v>
      </c>
      <c r="I169" s="658">
        <v>561.54545454545462</v>
      </c>
      <c r="J169" s="113">
        <v>561.54545454545462</v>
      </c>
      <c r="K169" s="657">
        <v>561.54545454545462</v>
      </c>
      <c r="L169" s="657">
        <v>561.54545454545462</v>
      </c>
      <c r="M169" s="657">
        <v>561.54545454545462</v>
      </c>
      <c r="N169" s="657">
        <v>561.54545454545462</v>
      </c>
      <c r="O169" s="658">
        <v>561.54545454545462</v>
      </c>
      <c r="P169" s="658">
        <v>561.54545454545462</v>
      </c>
      <c r="Q169" s="658">
        <v>561.54545454545462</v>
      </c>
      <c r="R169" s="658">
        <v>561.54545454545462</v>
      </c>
      <c r="S169" s="658">
        <f>('INTEC (listas)'!L168)</f>
        <v>561.54545454545462</v>
      </c>
    </row>
    <row r="170" spans="1:19">
      <c r="A170" s="113">
        <v>245</v>
      </c>
      <c r="B170" s="113" t="s">
        <v>841</v>
      </c>
      <c r="C170" s="113" t="s">
        <v>856</v>
      </c>
      <c r="D170" s="113" t="s">
        <v>857</v>
      </c>
      <c r="E170" s="657">
        <f>('[4]INTEC (listas)'!R166)</f>
        <v>515.25619834710744</v>
      </c>
      <c r="F170" s="657">
        <f>('[6]INTEC (listas)'!R166)</f>
        <v>515.25619834710744</v>
      </c>
      <c r="G170" s="658">
        <v>515.25619834710744</v>
      </c>
      <c r="H170" s="658">
        <v>515.25619834710744</v>
      </c>
      <c r="I170" s="658">
        <v>515.25619834710744</v>
      </c>
      <c r="J170" s="113">
        <v>515.25619834710744</v>
      </c>
      <c r="K170" s="657">
        <v>515.25619834710744</v>
      </c>
      <c r="L170" s="657">
        <v>515.25619834710744</v>
      </c>
      <c r="M170" s="657">
        <v>515.25619834710744</v>
      </c>
      <c r="N170" s="657">
        <v>515.25619834710744</v>
      </c>
      <c r="O170" s="658">
        <v>515.25619834710744</v>
      </c>
      <c r="P170" s="658">
        <v>515.25619834710744</v>
      </c>
      <c r="Q170" s="658">
        <v>515.25619834710744</v>
      </c>
      <c r="R170" s="658">
        <v>515.25619834710744</v>
      </c>
      <c r="S170" s="658">
        <f>('INTEC (listas)'!L169)</f>
        <v>515.25619834710744</v>
      </c>
    </row>
    <row r="171" spans="1:19">
      <c r="A171" s="113">
        <v>246</v>
      </c>
      <c r="B171" s="113" t="s">
        <v>841</v>
      </c>
      <c r="C171" s="113" t="s">
        <v>858</v>
      </c>
      <c r="D171" s="113" t="s">
        <v>859</v>
      </c>
      <c r="E171" s="657">
        <f>('[4]INTEC (listas)'!R167)</f>
        <v>515.25619834710744</v>
      </c>
      <c r="F171" s="657">
        <f>('[6]INTEC (listas)'!R167)</f>
        <v>515.25619834710744</v>
      </c>
      <c r="G171" s="658">
        <v>515.25619834710744</v>
      </c>
      <c r="H171" s="658">
        <v>515.25619834710744</v>
      </c>
      <c r="I171" s="658">
        <v>515.25619834710744</v>
      </c>
      <c r="J171" s="113">
        <v>515.25619834710744</v>
      </c>
      <c r="K171" s="657">
        <v>515.25619834710744</v>
      </c>
      <c r="L171" s="657">
        <v>515.25619834710744</v>
      </c>
      <c r="M171" s="657">
        <v>515.25619834710744</v>
      </c>
      <c r="N171" s="657">
        <v>515.25619834710744</v>
      </c>
      <c r="O171" s="658">
        <v>515.25619834710744</v>
      </c>
      <c r="P171" s="658">
        <v>515.25619834710744</v>
      </c>
      <c r="Q171" s="658">
        <v>515.25619834710744</v>
      </c>
      <c r="R171" s="658">
        <v>515.25619834710744</v>
      </c>
      <c r="S171" s="658">
        <f>('INTEC (listas)'!L170)</f>
        <v>515.25619834710744</v>
      </c>
    </row>
    <row r="172" spans="1:19">
      <c r="A172" s="113">
        <v>247</v>
      </c>
      <c r="B172" s="113" t="s">
        <v>841</v>
      </c>
      <c r="C172" s="113" t="s">
        <v>860</v>
      </c>
      <c r="D172" s="113" t="s">
        <v>861</v>
      </c>
      <c r="E172" s="657">
        <f>('[4]INTEC (listas)'!R168)</f>
        <v>1813.6363636363637</v>
      </c>
      <c r="F172" s="657">
        <f>('[6]INTEC (listas)'!R168)</f>
        <v>1813.6363636363637</v>
      </c>
      <c r="G172" s="658">
        <v>1813.6363636363637</v>
      </c>
      <c r="H172" s="658">
        <v>1813.6363636363637</v>
      </c>
      <c r="I172" s="658">
        <v>1813.6363636363637</v>
      </c>
      <c r="J172" s="113">
        <v>1813.6363636363637</v>
      </c>
      <c r="K172" s="657">
        <v>1813.6363636363637</v>
      </c>
      <c r="L172" s="657">
        <v>1813.6363636363637</v>
      </c>
      <c r="M172" s="657">
        <v>1813.6363636363637</v>
      </c>
      <c r="N172" s="657">
        <v>1813.6363636363637</v>
      </c>
      <c r="O172" s="658">
        <v>1813.6363636363637</v>
      </c>
      <c r="P172" s="658">
        <v>1813.6363636363637</v>
      </c>
      <c r="Q172" s="658">
        <v>1813.6363636363637</v>
      </c>
      <c r="R172" s="658">
        <v>1813.6363636363637</v>
      </c>
      <c r="S172" s="658">
        <f>('INTEC (listas)'!L171)</f>
        <v>1813.6363636363637</v>
      </c>
    </row>
    <row r="173" spans="1:19">
      <c r="A173" s="113">
        <v>248</v>
      </c>
      <c r="B173" s="113" t="s">
        <v>841</v>
      </c>
      <c r="C173" s="113" t="s">
        <v>862</v>
      </c>
      <c r="D173" s="113" t="s">
        <v>863</v>
      </c>
      <c r="E173" s="657">
        <f>('[4]INTEC (listas)'!R169)</f>
        <v>0</v>
      </c>
      <c r="F173" s="657">
        <f>('[6]INTEC (listas)'!R169)</f>
        <v>0</v>
      </c>
      <c r="G173" s="658">
        <v>0</v>
      </c>
      <c r="H173" s="658">
        <v>0</v>
      </c>
      <c r="I173" s="658"/>
      <c r="J173" s="113"/>
      <c r="K173" s="657">
        <v>0</v>
      </c>
      <c r="L173" s="657">
        <v>0</v>
      </c>
      <c r="M173" s="657"/>
      <c r="N173" s="657">
        <v>0</v>
      </c>
      <c r="O173" s="658">
        <v>0</v>
      </c>
      <c r="P173" s="658"/>
      <c r="Q173" s="658">
        <v>10</v>
      </c>
      <c r="R173" s="658">
        <v>10</v>
      </c>
      <c r="S173" s="658">
        <f>('INTEC (listas)'!L172)</f>
        <v>10</v>
      </c>
    </row>
    <row r="174" spans="1:19">
      <c r="A174" s="113">
        <v>249</v>
      </c>
      <c r="B174" s="113" t="s">
        <v>841</v>
      </c>
      <c r="C174" s="113" t="s">
        <v>864</v>
      </c>
      <c r="D174" s="113" t="s">
        <v>865</v>
      </c>
      <c r="E174" s="657">
        <f>('[4]INTEC (listas)'!R170)</f>
        <v>0</v>
      </c>
      <c r="F174" s="657">
        <f>('[6]INTEC (listas)'!R170)</f>
        <v>0</v>
      </c>
      <c r="G174" s="658">
        <v>0</v>
      </c>
      <c r="H174" s="658">
        <v>0</v>
      </c>
      <c r="I174" s="658"/>
      <c r="J174" s="113"/>
      <c r="K174" s="657">
        <v>0</v>
      </c>
      <c r="L174" s="657">
        <v>0</v>
      </c>
      <c r="M174" s="657"/>
      <c r="N174" s="657">
        <v>0</v>
      </c>
      <c r="O174" s="658">
        <v>0</v>
      </c>
      <c r="P174" s="658"/>
      <c r="Q174" s="658">
        <v>10</v>
      </c>
      <c r="R174" s="658">
        <v>10</v>
      </c>
      <c r="S174" s="658">
        <f>('INTEC (listas)'!L173)</f>
        <v>10</v>
      </c>
    </row>
    <row r="175" spans="1:19">
      <c r="A175" s="113">
        <v>251</v>
      </c>
      <c r="B175" s="113" t="s">
        <v>866</v>
      </c>
      <c r="C175" s="113" t="s">
        <v>867</v>
      </c>
      <c r="D175" s="113">
        <v>1</v>
      </c>
      <c r="E175" s="657">
        <f>('[4]INTEC (listas)'!R171)</f>
        <v>0</v>
      </c>
      <c r="F175" s="657">
        <f>('[6]INTEC (listas)'!R171)</f>
        <v>0</v>
      </c>
      <c r="G175" s="658">
        <v>0</v>
      </c>
      <c r="H175" s="658">
        <v>0</v>
      </c>
      <c r="I175" s="658"/>
      <c r="J175" s="113"/>
      <c r="K175" s="657">
        <v>0</v>
      </c>
      <c r="L175" s="657">
        <v>0</v>
      </c>
      <c r="M175" s="657"/>
      <c r="N175" s="657">
        <v>0</v>
      </c>
      <c r="O175" s="658">
        <v>0</v>
      </c>
      <c r="P175" s="658"/>
      <c r="Q175" s="658">
        <v>10</v>
      </c>
      <c r="R175" s="658">
        <v>10</v>
      </c>
      <c r="S175" s="658">
        <f>('INTEC (listas)'!L174)</f>
        <v>10</v>
      </c>
    </row>
    <row r="176" spans="1:19">
      <c r="A176" s="113">
        <v>252</v>
      </c>
      <c r="B176" s="113" t="s">
        <v>866</v>
      </c>
      <c r="C176" s="113" t="s">
        <v>868</v>
      </c>
      <c r="D176" s="113">
        <v>2</v>
      </c>
      <c r="E176" s="657">
        <f>('[4]INTEC (listas)'!R172)</f>
        <v>0</v>
      </c>
      <c r="F176" s="657">
        <f>('[6]INTEC (listas)'!R172)</f>
        <v>0</v>
      </c>
      <c r="G176" s="658">
        <v>0</v>
      </c>
      <c r="H176" s="658">
        <v>0</v>
      </c>
      <c r="I176" s="658"/>
      <c r="J176" s="113"/>
      <c r="K176" s="657">
        <v>0</v>
      </c>
      <c r="L176" s="657">
        <v>0</v>
      </c>
      <c r="M176" s="657"/>
      <c r="N176" s="657">
        <v>0</v>
      </c>
      <c r="O176" s="658">
        <v>0</v>
      </c>
      <c r="P176" s="658"/>
      <c r="Q176" s="658">
        <v>10</v>
      </c>
      <c r="R176" s="658">
        <v>10</v>
      </c>
      <c r="S176" s="658">
        <f>('INTEC (listas)'!L175)</f>
        <v>10</v>
      </c>
    </row>
    <row r="177" spans="1:19">
      <c r="A177" s="113">
        <v>253</v>
      </c>
      <c r="B177" s="113" t="s">
        <v>866</v>
      </c>
      <c r="C177" s="113" t="s">
        <v>869</v>
      </c>
      <c r="D177" s="113">
        <v>3</v>
      </c>
      <c r="E177" s="657">
        <f>('[4]INTEC (listas)'!R173)</f>
        <v>0</v>
      </c>
      <c r="F177" s="657">
        <f>('[6]INTEC (listas)'!R173)</f>
        <v>0</v>
      </c>
      <c r="G177" s="658">
        <v>0</v>
      </c>
      <c r="H177" s="658">
        <v>0</v>
      </c>
      <c r="I177" s="658"/>
      <c r="J177" s="113"/>
      <c r="K177" s="657">
        <v>0</v>
      </c>
      <c r="L177" s="657">
        <v>0</v>
      </c>
      <c r="M177" s="657"/>
      <c r="N177" s="657">
        <v>0</v>
      </c>
      <c r="O177" s="658">
        <v>0</v>
      </c>
      <c r="P177" s="658"/>
      <c r="Q177" s="658">
        <v>10</v>
      </c>
      <c r="R177" s="658">
        <v>10</v>
      </c>
      <c r="S177" s="658">
        <f>('INTEC (listas)'!L176)</f>
        <v>10</v>
      </c>
    </row>
    <row r="178" spans="1:19">
      <c r="A178" s="113">
        <v>254</v>
      </c>
      <c r="B178" s="113" t="s">
        <v>866</v>
      </c>
      <c r="C178" s="113" t="s">
        <v>870</v>
      </c>
      <c r="D178" s="113">
        <v>4</v>
      </c>
      <c r="E178" s="657">
        <f>('[4]INTEC (listas)'!R174)</f>
        <v>0</v>
      </c>
      <c r="F178" s="657">
        <f>('[6]INTEC (listas)'!R174)</f>
        <v>0</v>
      </c>
      <c r="G178" s="658">
        <v>0</v>
      </c>
      <c r="H178" s="658">
        <v>0</v>
      </c>
      <c r="I178" s="658"/>
      <c r="J178" s="113"/>
      <c r="K178" s="657">
        <v>0</v>
      </c>
      <c r="L178" s="657">
        <v>0</v>
      </c>
      <c r="M178" s="657"/>
      <c r="N178" s="657">
        <v>0</v>
      </c>
      <c r="O178" s="658">
        <v>0</v>
      </c>
      <c r="P178" s="658"/>
      <c r="Q178" s="658">
        <v>10</v>
      </c>
      <c r="R178" s="658">
        <v>10</v>
      </c>
      <c r="S178" s="658">
        <f>('INTEC (listas)'!L177)</f>
        <v>10</v>
      </c>
    </row>
    <row r="179" spans="1:19">
      <c r="A179" s="113">
        <v>255</v>
      </c>
      <c r="B179" s="113" t="s">
        <v>866</v>
      </c>
      <c r="C179" s="113" t="s">
        <v>871</v>
      </c>
      <c r="D179" s="113">
        <v>5</v>
      </c>
      <c r="E179" s="657">
        <f>('[4]INTEC (listas)'!R175)</f>
        <v>0</v>
      </c>
      <c r="F179" s="657">
        <f>('[6]INTEC (listas)'!R175)</f>
        <v>0</v>
      </c>
      <c r="G179" s="658">
        <v>0</v>
      </c>
      <c r="H179" s="658">
        <v>0</v>
      </c>
      <c r="I179" s="658"/>
      <c r="J179" s="113"/>
      <c r="K179" s="657">
        <v>0</v>
      </c>
      <c r="L179" s="657">
        <v>0</v>
      </c>
      <c r="M179" s="657"/>
      <c r="N179" s="657">
        <v>0</v>
      </c>
      <c r="O179" s="658">
        <v>0</v>
      </c>
      <c r="P179" s="658"/>
      <c r="Q179" s="658">
        <v>10</v>
      </c>
      <c r="R179" s="658">
        <v>10</v>
      </c>
      <c r="S179" s="658">
        <f>('INTEC (listas)'!L178)</f>
        <v>10</v>
      </c>
    </row>
    <row r="180" spans="1:19">
      <c r="A180" s="113">
        <v>256</v>
      </c>
      <c r="B180" s="113" t="s">
        <v>866</v>
      </c>
      <c r="C180" s="113" t="s">
        <v>872</v>
      </c>
      <c r="D180" s="113">
        <v>6</v>
      </c>
      <c r="E180" s="657">
        <f>('[4]INTEC (listas)'!R176)</f>
        <v>0</v>
      </c>
      <c r="F180" s="657">
        <f>('[6]INTEC (listas)'!R176)</f>
        <v>0</v>
      </c>
      <c r="G180" s="658">
        <v>0</v>
      </c>
      <c r="H180" s="658">
        <v>0</v>
      </c>
      <c r="I180" s="658"/>
      <c r="J180" s="113"/>
      <c r="K180" s="657">
        <v>0</v>
      </c>
      <c r="L180" s="657">
        <v>0</v>
      </c>
      <c r="M180" s="657"/>
      <c r="N180" s="657">
        <v>0</v>
      </c>
      <c r="O180" s="658">
        <v>0</v>
      </c>
      <c r="P180" s="658"/>
      <c r="Q180" s="658">
        <v>10</v>
      </c>
      <c r="R180" s="658">
        <v>10</v>
      </c>
      <c r="S180" s="658">
        <f>('INTEC (listas)'!L179)</f>
        <v>10</v>
      </c>
    </row>
    <row r="181" spans="1:19">
      <c r="A181" s="113">
        <v>257</v>
      </c>
      <c r="B181" s="113" t="s">
        <v>866</v>
      </c>
      <c r="C181" s="113" t="s">
        <v>873</v>
      </c>
      <c r="D181" s="113">
        <v>7</v>
      </c>
      <c r="E181" s="657">
        <f>('[4]INTEC (listas)'!R177)</f>
        <v>0</v>
      </c>
      <c r="F181" s="657">
        <f>('[6]INTEC (listas)'!R177)</f>
        <v>0</v>
      </c>
      <c r="G181" s="658">
        <v>0</v>
      </c>
      <c r="H181" s="658">
        <v>0</v>
      </c>
      <c r="I181" s="658"/>
      <c r="J181" s="113"/>
      <c r="K181" s="657">
        <v>0</v>
      </c>
      <c r="L181" s="657">
        <v>0</v>
      </c>
      <c r="M181" s="657"/>
      <c r="N181" s="657">
        <v>0</v>
      </c>
      <c r="O181" s="658">
        <v>0</v>
      </c>
      <c r="P181" s="658"/>
      <c r="Q181" s="658">
        <v>10</v>
      </c>
      <c r="R181" s="658">
        <v>10</v>
      </c>
      <c r="S181" s="658">
        <f>('INTEC (listas)'!L180)</f>
        <v>10</v>
      </c>
    </row>
    <row r="182" spans="1:19">
      <c r="A182" s="113">
        <v>258</v>
      </c>
      <c r="B182" s="113" t="s">
        <v>866</v>
      </c>
      <c r="C182" s="113" t="s">
        <v>874</v>
      </c>
      <c r="D182" s="113">
        <v>8</v>
      </c>
      <c r="E182" s="657">
        <f>('[4]INTEC (listas)'!R178)</f>
        <v>0</v>
      </c>
      <c r="F182" s="657">
        <f>('[6]INTEC (listas)'!R178)</f>
        <v>0</v>
      </c>
      <c r="G182" s="658">
        <v>0</v>
      </c>
      <c r="H182" s="658">
        <v>0</v>
      </c>
      <c r="I182" s="658"/>
      <c r="J182" s="113"/>
      <c r="K182" s="657">
        <v>0</v>
      </c>
      <c r="L182" s="657">
        <v>0</v>
      </c>
      <c r="M182" s="657"/>
      <c r="N182" s="657">
        <v>0</v>
      </c>
      <c r="O182" s="658">
        <v>0</v>
      </c>
      <c r="P182" s="658"/>
      <c r="Q182" s="658">
        <v>10</v>
      </c>
      <c r="R182" s="658">
        <v>10</v>
      </c>
      <c r="S182" s="658">
        <f>('INTEC (listas)'!L181)</f>
        <v>10</v>
      </c>
    </row>
    <row r="183" spans="1:19">
      <c r="A183" s="113">
        <v>259</v>
      </c>
      <c r="B183" s="113" t="s">
        <v>866</v>
      </c>
      <c r="C183" s="113" t="s">
        <v>875</v>
      </c>
      <c r="D183" s="113">
        <v>9</v>
      </c>
      <c r="E183" s="657">
        <f>('[4]INTEC (listas)'!R179)</f>
        <v>0</v>
      </c>
      <c r="F183" s="657">
        <f>('[6]INTEC (listas)'!R179)</f>
        <v>0</v>
      </c>
      <c r="G183" s="658">
        <v>0</v>
      </c>
      <c r="H183" s="658">
        <v>0</v>
      </c>
      <c r="I183" s="658"/>
      <c r="J183" s="113"/>
      <c r="K183" s="657">
        <v>0</v>
      </c>
      <c r="L183" s="657">
        <v>0</v>
      </c>
      <c r="M183" s="657"/>
      <c r="N183" s="657">
        <v>0</v>
      </c>
      <c r="O183" s="658">
        <v>0</v>
      </c>
      <c r="P183" s="658"/>
      <c r="Q183" s="658">
        <v>10</v>
      </c>
      <c r="R183" s="658">
        <v>10</v>
      </c>
      <c r="S183" s="658">
        <f>('INTEC (listas)'!L182)</f>
        <v>10</v>
      </c>
    </row>
    <row r="184" spans="1:19">
      <c r="A184" s="113">
        <v>260</v>
      </c>
      <c r="B184" s="113" t="s">
        <v>866</v>
      </c>
      <c r="C184" s="113" t="s">
        <v>876</v>
      </c>
      <c r="D184" s="113">
        <v>10</v>
      </c>
      <c r="E184" s="657">
        <f>('[4]INTEC (listas)'!R180)</f>
        <v>0</v>
      </c>
      <c r="F184" s="657">
        <f>('[6]INTEC (listas)'!R180)</f>
        <v>0</v>
      </c>
      <c r="G184" s="658">
        <v>0</v>
      </c>
      <c r="H184" s="658">
        <v>0</v>
      </c>
      <c r="I184" s="658"/>
      <c r="J184" s="113"/>
      <c r="K184" s="657">
        <v>0</v>
      </c>
      <c r="L184" s="657">
        <v>0</v>
      </c>
      <c r="M184" s="657"/>
      <c r="N184" s="657">
        <v>0</v>
      </c>
      <c r="O184" s="658">
        <v>0</v>
      </c>
      <c r="P184" s="658"/>
      <c r="Q184" s="658">
        <v>10</v>
      </c>
      <c r="R184" s="658">
        <v>10</v>
      </c>
      <c r="S184" s="658">
        <f>('INTEC (listas)'!L183)</f>
        <v>10</v>
      </c>
    </row>
    <row r="185" spans="1:19">
      <c r="A185" s="113">
        <v>261</v>
      </c>
      <c r="B185" s="113" t="s">
        <v>866</v>
      </c>
      <c r="C185" s="113" t="s">
        <v>877</v>
      </c>
      <c r="D185" s="113">
        <v>11</v>
      </c>
      <c r="E185" s="657">
        <f>('[4]INTEC (listas)'!R181)</f>
        <v>0</v>
      </c>
      <c r="F185" s="657">
        <f>('[6]INTEC (listas)'!R181)</f>
        <v>0</v>
      </c>
      <c r="G185" s="658">
        <v>0</v>
      </c>
      <c r="H185" s="658">
        <v>0</v>
      </c>
      <c r="I185" s="658"/>
      <c r="J185" s="113"/>
      <c r="K185" s="657">
        <v>0</v>
      </c>
      <c r="L185" s="657">
        <v>0</v>
      </c>
      <c r="M185" s="657"/>
      <c r="N185" s="657">
        <v>0</v>
      </c>
      <c r="O185" s="658">
        <v>0</v>
      </c>
      <c r="P185" s="658"/>
      <c r="Q185" s="658">
        <v>10</v>
      </c>
      <c r="R185" s="658">
        <v>10</v>
      </c>
      <c r="S185" s="658">
        <f>('INTEC (listas)'!L184)</f>
        <v>10</v>
      </c>
    </row>
    <row r="186" spans="1:19">
      <c r="A186" s="113">
        <v>262</v>
      </c>
      <c r="B186" s="113" t="s">
        <v>866</v>
      </c>
      <c r="C186" s="113" t="s">
        <v>878</v>
      </c>
      <c r="D186" s="113">
        <v>12</v>
      </c>
      <c r="E186" s="657">
        <f>('[4]INTEC (listas)'!R182)</f>
        <v>0</v>
      </c>
      <c r="F186" s="657">
        <f>('[6]INTEC (listas)'!R182)</f>
        <v>0</v>
      </c>
      <c r="G186" s="658">
        <v>0</v>
      </c>
      <c r="H186" s="658">
        <v>0</v>
      </c>
      <c r="I186" s="658"/>
      <c r="J186" s="113"/>
      <c r="K186" s="657">
        <v>0</v>
      </c>
      <c r="L186" s="657">
        <v>0</v>
      </c>
      <c r="M186" s="657"/>
      <c r="N186" s="657">
        <v>0</v>
      </c>
      <c r="O186" s="658">
        <v>0</v>
      </c>
      <c r="P186" s="658"/>
      <c r="Q186" s="658">
        <v>10</v>
      </c>
      <c r="R186" s="658">
        <v>10</v>
      </c>
      <c r="S186" s="658">
        <f>('INTEC (listas)'!L185)</f>
        <v>10</v>
      </c>
    </row>
    <row r="187" spans="1:19">
      <c r="A187" s="113">
        <v>263</v>
      </c>
      <c r="B187" s="113" t="s">
        <v>866</v>
      </c>
      <c r="C187" s="113" t="s">
        <v>879</v>
      </c>
      <c r="D187" s="113">
        <v>13</v>
      </c>
      <c r="E187" s="657">
        <f>('[4]INTEC (listas)'!R183)</f>
        <v>0</v>
      </c>
      <c r="F187" s="657">
        <f>('[6]INTEC (listas)'!R183)</f>
        <v>0</v>
      </c>
      <c r="G187" s="658">
        <v>0</v>
      </c>
      <c r="H187" s="658">
        <v>0</v>
      </c>
      <c r="I187" s="658"/>
      <c r="J187" s="113"/>
      <c r="K187" s="657">
        <v>0</v>
      </c>
      <c r="L187" s="657">
        <v>0</v>
      </c>
      <c r="M187" s="657"/>
      <c r="N187" s="657">
        <v>0</v>
      </c>
      <c r="O187" s="658">
        <v>0</v>
      </c>
      <c r="P187" s="658"/>
      <c r="Q187" s="658">
        <v>10</v>
      </c>
      <c r="R187" s="658">
        <v>10</v>
      </c>
      <c r="S187" s="658">
        <f>('INTEC (listas)'!L186)</f>
        <v>10</v>
      </c>
    </row>
    <row r="188" spans="1:19">
      <c r="A188" s="113">
        <v>264</v>
      </c>
      <c r="B188" s="113" t="s">
        <v>866</v>
      </c>
      <c r="C188" s="113" t="s">
        <v>880</v>
      </c>
      <c r="D188" s="113">
        <v>14</v>
      </c>
      <c r="E188" s="657">
        <f>('[4]INTEC (listas)'!R184)</f>
        <v>0</v>
      </c>
      <c r="F188" s="657">
        <f>('[6]INTEC (listas)'!R184)</f>
        <v>0</v>
      </c>
      <c r="G188" s="658">
        <v>0</v>
      </c>
      <c r="H188" s="658">
        <v>0</v>
      </c>
      <c r="I188" s="658"/>
      <c r="J188" s="113"/>
      <c r="K188" s="657">
        <v>0</v>
      </c>
      <c r="L188" s="657">
        <v>0</v>
      </c>
      <c r="M188" s="657"/>
      <c r="N188" s="657">
        <v>0</v>
      </c>
      <c r="O188" s="658">
        <v>0</v>
      </c>
      <c r="P188" s="658"/>
      <c r="Q188" s="658">
        <v>10</v>
      </c>
      <c r="R188" s="658">
        <v>10</v>
      </c>
      <c r="S188" s="658">
        <f>('INTEC (listas)'!L187)</f>
        <v>10</v>
      </c>
    </row>
    <row r="189" spans="1:19">
      <c r="A189" s="113">
        <v>265</v>
      </c>
      <c r="B189" s="113" t="s">
        <v>866</v>
      </c>
      <c r="C189" s="113" t="s">
        <v>881</v>
      </c>
      <c r="D189" s="113">
        <v>15</v>
      </c>
      <c r="E189" s="657">
        <f>('[4]INTEC (listas)'!R185)</f>
        <v>0</v>
      </c>
      <c r="F189" s="657">
        <f>('[6]INTEC (listas)'!R185)</f>
        <v>0</v>
      </c>
      <c r="G189" s="658">
        <v>0</v>
      </c>
      <c r="H189" s="658">
        <v>0</v>
      </c>
      <c r="I189" s="658"/>
      <c r="J189" s="113"/>
      <c r="K189" s="657">
        <v>0</v>
      </c>
      <c r="L189" s="657">
        <v>0</v>
      </c>
      <c r="M189" s="657"/>
      <c r="N189" s="657">
        <v>0</v>
      </c>
      <c r="O189" s="658">
        <v>0</v>
      </c>
      <c r="P189" s="658"/>
      <c r="Q189" s="658">
        <v>10</v>
      </c>
      <c r="R189" s="658">
        <v>10</v>
      </c>
      <c r="S189" s="658">
        <f>('INTEC (listas)'!L188)</f>
        <v>10</v>
      </c>
    </row>
    <row r="190" spans="1:19">
      <c r="A190" s="113">
        <v>266</v>
      </c>
      <c r="B190" s="113" t="s">
        <v>866</v>
      </c>
      <c r="C190" s="113" t="s">
        <v>882</v>
      </c>
      <c r="D190" s="113">
        <v>16</v>
      </c>
      <c r="E190" s="657">
        <f>('[4]INTEC (listas)'!R186)</f>
        <v>0</v>
      </c>
      <c r="F190" s="657">
        <f>('[6]INTEC (listas)'!R186)</f>
        <v>0</v>
      </c>
      <c r="G190" s="658">
        <v>0</v>
      </c>
      <c r="H190" s="658">
        <v>0</v>
      </c>
      <c r="I190" s="658"/>
      <c r="J190" s="113"/>
      <c r="K190" s="657">
        <v>0</v>
      </c>
      <c r="L190" s="657">
        <v>0</v>
      </c>
      <c r="M190" s="657"/>
      <c r="N190" s="657">
        <v>0</v>
      </c>
      <c r="O190" s="658">
        <v>0</v>
      </c>
      <c r="P190" s="658"/>
      <c r="Q190" s="658">
        <v>10</v>
      </c>
      <c r="R190" s="658">
        <v>10</v>
      </c>
      <c r="S190" s="658">
        <f>('INTEC (listas)'!L189)</f>
        <v>10</v>
      </c>
    </row>
    <row r="191" spans="1:19">
      <c r="A191" s="113">
        <v>267</v>
      </c>
      <c r="B191" s="113" t="s">
        <v>866</v>
      </c>
      <c r="C191" s="113" t="s">
        <v>883</v>
      </c>
      <c r="D191" s="113">
        <v>17</v>
      </c>
      <c r="E191" s="657">
        <f>('[4]INTEC (listas)'!R187)</f>
        <v>0</v>
      </c>
      <c r="F191" s="657">
        <f>('[6]INTEC (listas)'!R187)</f>
        <v>0</v>
      </c>
      <c r="G191" s="658">
        <v>0</v>
      </c>
      <c r="H191" s="658">
        <v>0</v>
      </c>
      <c r="I191" s="658"/>
      <c r="J191" s="113"/>
      <c r="K191" s="657">
        <v>0</v>
      </c>
      <c r="L191" s="657">
        <v>0</v>
      </c>
      <c r="M191" s="657"/>
      <c r="N191" s="657">
        <v>0</v>
      </c>
      <c r="O191" s="658">
        <v>0</v>
      </c>
      <c r="P191" s="658"/>
      <c r="Q191" s="658">
        <v>10</v>
      </c>
      <c r="R191" s="658">
        <v>10</v>
      </c>
      <c r="S191" s="658">
        <f>('INTEC (listas)'!L190)</f>
        <v>10</v>
      </c>
    </row>
    <row r="192" spans="1:19">
      <c r="A192" s="113">
        <v>268</v>
      </c>
      <c r="B192" s="113" t="s">
        <v>866</v>
      </c>
      <c r="C192" s="113" t="s">
        <v>884</v>
      </c>
      <c r="D192" s="113">
        <v>18</v>
      </c>
      <c r="E192" s="657">
        <f>('[4]INTEC (listas)'!R188)</f>
        <v>0</v>
      </c>
      <c r="F192" s="657">
        <f>('[6]INTEC (listas)'!R188)</f>
        <v>0</v>
      </c>
      <c r="G192" s="658">
        <v>0</v>
      </c>
      <c r="H192" s="658">
        <v>0</v>
      </c>
      <c r="I192" s="658"/>
      <c r="J192" s="113"/>
      <c r="K192" s="657">
        <v>0</v>
      </c>
      <c r="L192" s="657">
        <v>0</v>
      </c>
      <c r="M192" s="657"/>
      <c r="N192" s="657">
        <v>0</v>
      </c>
      <c r="O192" s="658">
        <v>0</v>
      </c>
      <c r="P192" s="658"/>
      <c r="Q192" s="658">
        <v>10</v>
      </c>
      <c r="R192" s="658">
        <v>10</v>
      </c>
      <c r="S192" s="658">
        <f>('INTEC (listas)'!L191)</f>
        <v>10</v>
      </c>
    </row>
    <row r="193" spans="1:19">
      <c r="A193" s="113">
        <v>269</v>
      </c>
      <c r="B193" s="113" t="s">
        <v>866</v>
      </c>
      <c r="C193" s="113" t="s">
        <v>885</v>
      </c>
      <c r="D193" s="113">
        <v>19</v>
      </c>
      <c r="E193" s="657">
        <f>('[4]INTEC (listas)'!R189)</f>
        <v>0</v>
      </c>
      <c r="F193" s="657">
        <f>('[6]INTEC (listas)'!R189)</f>
        <v>0</v>
      </c>
      <c r="G193" s="658">
        <v>0</v>
      </c>
      <c r="H193" s="658">
        <v>0</v>
      </c>
      <c r="I193" s="658"/>
      <c r="J193" s="113"/>
      <c r="K193" s="657">
        <v>0</v>
      </c>
      <c r="L193" s="657">
        <v>0</v>
      </c>
      <c r="M193" s="657"/>
      <c r="N193" s="657">
        <v>0</v>
      </c>
      <c r="O193" s="658">
        <v>0</v>
      </c>
      <c r="P193" s="658"/>
      <c r="Q193" s="658">
        <v>10</v>
      </c>
      <c r="R193" s="658">
        <v>10</v>
      </c>
      <c r="S193" s="658">
        <f>('INTEC (listas)'!L192)</f>
        <v>10</v>
      </c>
    </row>
    <row r="194" spans="1:19">
      <c r="A194" s="113">
        <v>270</v>
      </c>
      <c r="B194" s="113" t="s">
        <v>866</v>
      </c>
      <c r="C194" s="113" t="s">
        <v>886</v>
      </c>
      <c r="D194" s="113">
        <v>20</v>
      </c>
      <c r="E194" s="657">
        <f>('[4]INTEC (listas)'!R190)</f>
        <v>0</v>
      </c>
      <c r="F194" s="657">
        <f>('[6]INTEC (listas)'!R190)</f>
        <v>0</v>
      </c>
      <c r="G194" s="658">
        <v>0</v>
      </c>
      <c r="H194" s="658">
        <v>0</v>
      </c>
      <c r="I194" s="658"/>
      <c r="J194" s="113"/>
      <c r="K194" s="657">
        <v>0</v>
      </c>
      <c r="L194" s="657">
        <v>0</v>
      </c>
      <c r="M194" s="657"/>
      <c r="N194" s="657">
        <v>0</v>
      </c>
      <c r="O194" s="658">
        <v>0</v>
      </c>
      <c r="P194" s="658"/>
      <c r="Q194" s="658">
        <v>10</v>
      </c>
      <c r="R194" s="658">
        <v>10</v>
      </c>
      <c r="S194" s="658">
        <f>('INTEC (listas)'!L193)</f>
        <v>10</v>
      </c>
    </row>
    <row r="195" spans="1:19">
      <c r="A195" s="113">
        <v>271</v>
      </c>
      <c r="B195" s="113" t="s">
        <v>866</v>
      </c>
      <c r="C195" s="113" t="s">
        <v>887</v>
      </c>
      <c r="D195" s="113">
        <v>21</v>
      </c>
      <c r="E195" s="657">
        <f>('[4]INTEC (listas)'!R191)</f>
        <v>0</v>
      </c>
      <c r="F195" s="657">
        <f>('[6]INTEC (listas)'!R191)</f>
        <v>0</v>
      </c>
      <c r="G195" s="658">
        <v>0</v>
      </c>
      <c r="H195" s="658">
        <v>0</v>
      </c>
      <c r="I195" s="658"/>
      <c r="J195" s="658"/>
      <c r="K195" s="657">
        <v>0</v>
      </c>
      <c r="L195" s="657">
        <v>0</v>
      </c>
      <c r="M195" s="657"/>
      <c r="N195" s="657">
        <v>0</v>
      </c>
      <c r="O195" s="658">
        <v>0</v>
      </c>
      <c r="P195" s="658"/>
      <c r="Q195" s="658">
        <v>10</v>
      </c>
      <c r="R195" s="658">
        <v>10</v>
      </c>
      <c r="S195" s="658">
        <f>('INTEC (listas)'!L194)</f>
        <v>10</v>
      </c>
    </row>
    <row r="196" spans="1:19">
      <c r="A196" s="113">
        <v>272</v>
      </c>
      <c r="B196" s="113" t="s">
        <v>866</v>
      </c>
      <c r="C196" s="113" t="s">
        <v>888</v>
      </c>
      <c r="D196" s="113">
        <v>22</v>
      </c>
      <c r="E196" s="657">
        <f>('[4]INTEC (listas)'!R192)</f>
        <v>0</v>
      </c>
      <c r="F196" s="657">
        <f>('[6]INTEC (listas)'!R192)</f>
        <v>0</v>
      </c>
      <c r="G196" s="658">
        <v>0</v>
      </c>
      <c r="H196" s="658">
        <v>0</v>
      </c>
      <c r="I196" s="658"/>
      <c r="J196" s="113"/>
      <c r="K196" s="657">
        <v>0</v>
      </c>
      <c r="L196" s="657">
        <v>0</v>
      </c>
      <c r="M196" s="657"/>
      <c r="N196" s="657">
        <v>0</v>
      </c>
      <c r="O196" s="658">
        <v>0</v>
      </c>
      <c r="P196" s="658"/>
      <c r="Q196" s="658">
        <v>10</v>
      </c>
      <c r="R196" s="658">
        <v>10</v>
      </c>
      <c r="S196" s="658">
        <f>('INTEC (listas)'!L195)</f>
        <v>10</v>
      </c>
    </row>
    <row r="197" spans="1:19">
      <c r="A197" s="113">
        <v>273</v>
      </c>
      <c r="B197" s="113" t="s">
        <v>866</v>
      </c>
      <c r="C197" s="113" t="s">
        <v>889</v>
      </c>
      <c r="D197" s="113" t="s">
        <v>890</v>
      </c>
      <c r="E197" s="657">
        <f>('[4]INTEC (listas)'!R193)</f>
        <v>0</v>
      </c>
      <c r="F197" s="657">
        <f>('[6]INTEC (listas)'!R193)</f>
        <v>0</v>
      </c>
      <c r="G197" s="658">
        <v>0</v>
      </c>
      <c r="H197" s="658">
        <v>0</v>
      </c>
      <c r="I197" s="658"/>
      <c r="J197" s="113"/>
      <c r="K197" s="657">
        <v>0</v>
      </c>
      <c r="L197" s="657">
        <v>0</v>
      </c>
      <c r="M197" s="657"/>
      <c r="N197" s="657">
        <v>0</v>
      </c>
      <c r="O197" s="658">
        <v>0</v>
      </c>
      <c r="P197" s="658"/>
      <c r="Q197" s="658">
        <v>10</v>
      </c>
      <c r="R197" s="658">
        <v>10</v>
      </c>
      <c r="S197" s="658">
        <f>('INTEC (listas)'!L196)</f>
        <v>10</v>
      </c>
    </row>
    <row r="198" spans="1:19">
      <c r="A198" s="113">
        <v>161</v>
      </c>
      <c r="B198" s="113" t="s">
        <v>308</v>
      </c>
      <c r="C198" s="113" t="s">
        <v>891</v>
      </c>
      <c r="D198" s="113" t="s">
        <v>892</v>
      </c>
      <c r="E198" s="657">
        <f>('[4]INTEC (listas)'!R194)</f>
        <v>170215.669624</v>
      </c>
      <c r="F198" s="657">
        <f>('[6]INTEC (listas)'!R194)</f>
        <v>174836.40844799997</v>
      </c>
      <c r="G198" s="658">
        <v>174836.40844799997</v>
      </c>
      <c r="H198" s="658">
        <v>171193.98327199998</v>
      </c>
      <c r="I198" s="658">
        <v>171193.98327199998</v>
      </c>
      <c r="J198" s="113">
        <v>178162.101</v>
      </c>
      <c r="K198" s="657">
        <v>160375.04999999999</v>
      </c>
      <c r="L198" s="657">
        <v>160375.04999999999</v>
      </c>
      <c r="M198" s="657">
        <v>160375.04999999999</v>
      </c>
      <c r="N198" s="657">
        <v>160375.04999999999</v>
      </c>
      <c r="O198" s="658">
        <v>161755.19999999998</v>
      </c>
      <c r="P198" s="658">
        <v>181907.55</v>
      </c>
      <c r="Q198" s="658">
        <v>181907.55</v>
      </c>
      <c r="R198" s="658">
        <v>172720.3</v>
      </c>
      <c r="S198" s="658">
        <f>('INTEC (listas)'!L197)</f>
        <v>167893.59421487601</v>
      </c>
    </row>
    <row r="199" spans="1:19">
      <c r="A199" s="113">
        <v>293</v>
      </c>
      <c r="B199" s="113" t="s">
        <v>893</v>
      </c>
      <c r="C199" s="113" t="s">
        <v>894</v>
      </c>
      <c r="D199" s="113" t="s">
        <v>895</v>
      </c>
      <c r="E199" s="657">
        <f>('[4]INTEC (listas)'!R195)</f>
        <v>0</v>
      </c>
      <c r="F199" s="657">
        <f>('[6]INTEC (listas)'!R195)</f>
        <v>0</v>
      </c>
      <c r="G199" s="658">
        <v>0</v>
      </c>
      <c r="H199" s="658">
        <v>0</v>
      </c>
      <c r="I199" s="658"/>
      <c r="J199" s="113"/>
      <c r="K199" s="657">
        <v>0</v>
      </c>
      <c r="L199" s="657">
        <v>0</v>
      </c>
      <c r="M199" s="657"/>
      <c r="N199" s="657">
        <v>0</v>
      </c>
      <c r="O199" s="658">
        <v>0</v>
      </c>
      <c r="P199" s="658"/>
      <c r="Q199" s="658">
        <v>10</v>
      </c>
      <c r="R199" s="658">
        <v>10</v>
      </c>
      <c r="S199" s="658">
        <f>('INTEC (listas)'!L198)</f>
        <v>10</v>
      </c>
    </row>
    <row r="200" spans="1:19">
      <c r="A200" s="113">
        <v>162</v>
      </c>
      <c r="B200" s="113" t="s">
        <v>893</v>
      </c>
      <c r="C200" s="113" t="s">
        <v>896</v>
      </c>
      <c r="D200" s="113" t="s">
        <v>897</v>
      </c>
      <c r="E200" s="657">
        <v>9700</v>
      </c>
      <c r="F200" s="657">
        <f>('[6]INTEC (listas)'!R196)</f>
        <v>0</v>
      </c>
      <c r="G200" s="658">
        <v>0</v>
      </c>
      <c r="H200" s="658">
        <v>0</v>
      </c>
      <c r="I200" s="658"/>
      <c r="J200" s="658"/>
      <c r="K200" s="657">
        <v>0</v>
      </c>
      <c r="L200" s="657">
        <v>0</v>
      </c>
      <c r="M200" s="657"/>
      <c r="N200" s="657">
        <v>0</v>
      </c>
      <c r="O200" s="658">
        <v>0</v>
      </c>
      <c r="P200" s="658"/>
      <c r="Q200" s="658">
        <v>10</v>
      </c>
      <c r="R200" s="658">
        <v>10</v>
      </c>
      <c r="S200" s="658">
        <f>('INTEC (listas)'!L199)</f>
        <v>10</v>
      </c>
    </row>
    <row r="201" spans="1:19">
      <c r="A201" s="113">
        <v>163</v>
      </c>
      <c r="B201" s="113" t="s">
        <v>893</v>
      </c>
      <c r="C201" s="113" t="s">
        <v>898</v>
      </c>
      <c r="D201" s="113" t="s">
        <v>899</v>
      </c>
      <c r="E201" s="657">
        <v>9700</v>
      </c>
      <c r="F201" s="657">
        <f>('[6]INTEC (listas)'!R197)</f>
        <v>0</v>
      </c>
      <c r="G201" s="658">
        <v>0</v>
      </c>
      <c r="H201" s="658">
        <v>0</v>
      </c>
      <c r="I201" s="658"/>
      <c r="J201" s="113"/>
      <c r="K201" s="657">
        <v>0</v>
      </c>
      <c r="L201" s="657">
        <v>0</v>
      </c>
      <c r="M201" s="657"/>
      <c r="N201" s="657">
        <v>0</v>
      </c>
      <c r="O201" s="658">
        <v>0</v>
      </c>
      <c r="P201" s="658"/>
      <c r="Q201" s="658">
        <v>10</v>
      </c>
      <c r="R201" s="658">
        <v>10</v>
      </c>
      <c r="S201" s="658">
        <f>('INTEC (listas)'!L200)</f>
        <v>10</v>
      </c>
    </row>
    <row r="202" spans="1:19">
      <c r="A202" s="113">
        <v>164</v>
      </c>
      <c r="B202" s="113" t="s">
        <v>893</v>
      </c>
      <c r="C202" s="113" t="s">
        <v>900</v>
      </c>
      <c r="D202" s="113" t="s">
        <v>901</v>
      </c>
      <c r="E202" s="657">
        <v>9700</v>
      </c>
      <c r="F202" s="657">
        <f>('[6]INTEC (listas)'!R198)</f>
        <v>0</v>
      </c>
      <c r="G202" s="658">
        <v>0</v>
      </c>
      <c r="H202" s="658">
        <v>0</v>
      </c>
      <c r="I202" s="658"/>
      <c r="J202" s="113"/>
      <c r="K202" s="657">
        <v>0</v>
      </c>
      <c r="L202" s="657">
        <v>0</v>
      </c>
      <c r="M202" s="657"/>
      <c r="N202" s="657">
        <v>0</v>
      </c>
      <c r="O202" s="658">
        <v>0</v>
      </c>
      <c r="P202" s="658"/>
      <c r="Q202" s="658">
        <v>10</v>
      </c>
      <c r="R202" s="658">
        <v>10</v>
      </c>
      <c r="S202" s="658">
        <f>('INTEC (listas)'!L201)</f>
        <v>10</v>
      </c>
    </row>
    <row r="203" spans="1:19">
      <c r="A203" s="113">
        <v>165</v>
      </c>
      <c r="B203" s="113" t="s">
        <v>308</v>
      </c>
      <c r="C203" s="113" t="s">
        <v>902</v>
      </c>
      <c r="D203" s="113" t="s">
        <v>903</v>
      </c>
      <c r="E203" s="657">
        <f>('[4]INTEC (listas)'!R199)</f>
        <v>214285.87762399999</v>
      </c>
      <c r="F203" s="657">
        <f>('[6]INTEC (listas)'!R199)</f>
        <v>220165.76524800001</v>
      </c>
      <c r="G203" s="658">
        <v>220165.76524800001</v>
      </c>
      <c r="H203" s="658">
        <v>215578.97847199999</v>
      </c>
      <c r="I203" s="658">
        <v>215578.97847199999</v>
      </c>
      <c r="J203" s="113">
        <v>224353.701</v>
      </c>
      <c r="K203" s="657">
        <v>201955.05</v>
      </c>
      <c r="L203" s="657">
        <v>201955.05</v>
      </c>
      <c r="M203" s="657">
        <v>201955.05</v>
      </c>
      <c r="N203" s="657">
        <v>201955.05</v>
      </c>
      <c r="O203" s="658">
        <v>205435.19999999998</v>
      </c>
      <c r="P203" s="658">
        <v>233362.8</v>
      </c>
      <c r="Q203" s="658">
        <v>233362.8</v>
      </c>
      <c r="R203" s="658">
        <v>221576.8</v>
      </c>
      <c r="S203" s="658">
        <f>('INTEC (listas)'!L202)</f>
        <v>212322.18925619835</v>
      </c>
    </row>
    <row r="204" spans="1:19">
      <c r="A204" s="113">
        <v>166</v>
      </c>
      <c r="B204" s="113" t="s">
        <v>306</v>
      </c>
      <c r="C204" s="113" t="s">
        <v>904</v>
      </c>
      <c r="D204" s="113" t="s">
        <v>905</v>
      </c>
      <c r="E204" s="657">
        <f>('[4]INTEC (listas)'!R200)</f>
        <v>0</v>
      </c>
      <c r="F204" s="657">
        <f>('[6]INTEC (listas)'!R200)</f>
        <v>0</v>
      </c>
      <c r="G204" s="658">
        <v>0</v>
      </c>
      <c r="H204" s="658">
        <v>0</v>
      </c>
      <c r="I204" s="658"/>
      <c r="J204" s="658"/>
      <c r="K204" s="657">
        <v>0</v>
      </c>
      <c r="L204" s="657">
        <v>0</v>
      </c>
      <c r="M204" s="657"/>
      <c r="N204" s="657">
        <v>0</v>
      </c>
      <c r="O204" s="658">
        <v>0</v>
      </c>
      <c r="P204" s="658"/>
      <c r="Q204" s="658">
        <v>10</v>
      </c>
      <c r="R204" s="658">
        <v>10</v>
      </c>
      <c r="S204" s="658">
        <f>('INTEC (listas)'!L203)</f>
        <v>10</v>
      </c>
    </row>
    <row r="205" spans="1:19">
      <c r="A205" s="113">
        <v>167</v>
      </c>
      <c r="B205" s="113" t="s">
        <v>306</v>
      </c>
      <c r="C205" s="113" t="s">
        <v>906</v>
      </c>
      <c r="D205" s="113" t="s">
        <v>907</v>
      </c>
      <c r="E205" s="657">
        <f>('[4]INTEC (listas)'!R201)</f>
        <v>0</v>
      </c>
      <c r="F205" s="657">
        <f>('[6]INTEC (listas)'!R201)</f>
        <v>0</v>
      </c>
      <c r="G205" s="658">
        <v>0</v>
      </c>
      <c r="H205" s="658">
        <v>0</v>
      </c>
      <c r="I205" s="658"/>
      <c r="J205" s="113"/>
      <c r="K205" s="657">
        <v>0</v>
      </c>
      <c r="L205" s="657">
        <v>0</v>
      </c>
      <c r="M205" s="657"/>
      <c r="N205" s="657">
        <v>0</v>
      </c>
      <c r="O205" s="658">
        <v>0</v>
      </c>
      <c r="P205" s="658"/>
      <c r="Q205" s="658">
        <v>10</v>
      </c>
      <c r="R205" s="658">
        <v>10</v>
      </c>
      <c r="S205" s="658">
        <f>('INTEC (listas)'!L204)</f>
        <v>10</v>
      </c>
    </row>
    <row r="206" spans="1:19">
      <c r="A206" s="113">
        <v>168</v>
      </c>
      <c r="B206" s="113" t="s">
        <v>772</v>
      </c>
      <c r="C206" s="113" t="s">
        <v>908</v>
      </c>
      <c r="D206" s="113" t="s">
        <v>909</v>
      </c>
      <c r="E206" s="657">
        <f>('[4]INTEC (listas)'!R202)</f>
        <v>0</v>
      </c>
      <c r="F206" s="657">
        <f>('[6]INTEC (listas)'!R202)</f>
        <v>0</v>
      </c>
      <c r="G206" s="658">
        <v>0</v>
      </c>
      <c r="H206" s="658">
        <v>0</v>
      </c>
      <c r="I206" s="658"/>
      <c r="J206" s="113"/>
      <c r="K206" s="657">
        <v>0</v>
      </c>
      <c r="L206" s="657">
        <v>0</v>
      </c>
      <c r="M206" s="657"/>
      <c r="N206" s="657">
        <v>0</v>
      </c>
      <c r="O206" s="658">
        <v>0</v>
      </c>
      <c r="P206" s="658"/>
      <c r="Q206" s="658">
        <v>10</v>
      </c>
      <c r="R206" s="658">
        <v>10</v>
      </c>
      <c r="S206" s="658">
        <f>('INTEC (listas)'!L205)</f>
        <v>10</v>
      </c>
    </row>
    <row r="207" spans="1:19">
      <c r="A207" s="113">
        <v>169</v>
      </c>
      <c r="B207" s="113" t="s">
        <v>308</v>
      </c>
      <c r="C207" s="113" t="s">
        <v>910</v>
      </c>
      <c r="D207" s="113" t="s">
        <v>911</v>
      </c>
      <c r="E207" s="657">
        <f>('[4]INTEC (listas)'!R203)</f>
        <v>282594.70002400002</v>
      </c>
      <c r="F207" s="657">
        <f>('[6]INTEC (listas)'!R203)</f>
        <v>290857.976448</v>
      </c>
      <c r="G207" s="658">
        <v>290857.976448</v>
      </c>
      <c r="H207" s="658">
        <v>284798.43527199997</v>
      </c>
      <c r="I207" s="658">
        <v>284798.43527199997</v>
      </c>
      <c r="J207" s="113">
        <v>296390.60100000002</v>
      </c>
      <c r="K207" s="657">
        <v>266800.05</v>
      </c>
      <c r="L207" s="657">
        <v>266800.05</v>
      </c>
      <c r="M207" s="657">
        <v>266800.05</v>
      </c>
      <c r="N207" s="657">
        <v>266800.05</v>
      </c>
      <c r="O207" s="658">
        <v>263995.2</v>
      </c>
      <c r="P207" s="658">
        <v>297292.05</v>
      </c>
      <c r="Q207" s="658">
        <v>297292.05</v>
      </c>
      <c r="R207" s="658">
        <v>282277.3</v>
      </c>
      <c r="S207" s="658">
        <f>('INTEC (listas)'!L206)</f>
        <v>279998.30495867768</v>
      </c>
    </row>
    <row r="208" spans="1:19">
      <c r="A208" s="113">
        <v>170</v>
      </c>
      <c r="B208" s="113" t="s">
        <v>728</v>
      </c>
      <c r="C208" s="113" t="s">
        <v>912</v>
      </c>
      <c r="D208" s="113" t="s">
        <v>913</v>
      </c>
      <c r="E208" s="657">
        <f>('[4]INTEC (listas)'!R204)</f>
        <v>0</v>
      </c>
      <c r="F208" s="657">
        <f>('[6]INTEC (listas)'!R204)</f>
        <v>0</v>
      </c>
      <c r="G208" s="658">
        <v>320000</v>
      </c>
      <c r="H208" s="658">
        <v>320000</v>
      </c>
      <c r="I208" s="658">
        <v>320000</v>
      </c>
      <c r="J208" s="113">
        <v>320000</v>
      </c>
      <c r="K208" s="657">
        <v>320000</v>
      </c>
      <c r="L208" s="657">
        <v>320000</v>
      </c>
      <c r="M208" s="657">
        <v>312700</v>
      </c>
      <c r="N208" s="657">
        <v>312700</v>
      </c>
      <c r="O208" s="658">
        <v>312700</v>
      </c>
      <c r="P208" s="658">
        <v>377600</v>
      </c>
      <c r="Q208" s="658">
        <v>384000</v>
      </c>
      <c r="R208" s="658">
        <v>385600</v>
      </c>
      <c r="S208" s="658">
        <f>('INTEC (listas)'!L207)</f>
        <v>409600</v>
      </c>
    </row>
    <row r="209" spans="1:19">
      <c r="A209" s="113">
        <v>200</v>
      </c>
      <c r="B209" s="113" t="s">
        <v>914</v>
      </c>
      <c r="C209" s="113" t="s">
        <v>915</v>
      </c>
      <c r="D209" s="113" t="s">
        <v>916</v>
      </c>
      <c r="E209" s="657">
        <f>('[4]INTEC (listas)'!R205)</f>
        <v>1153.8</v>
      </c>
      <c r="F209" s="657">
        <f>('[6]INTEC (listas)'!R205)</f>
        <v>1153.8</v>
      </c>
      <c r="G209" s="658">
        <v>1153.8</v>
      </c>
      <c r="H209" s="658">
        <v>1153.8</v>
      </c>
      <c r="I209" s="658">
        <v>1153.8</v>
      </c>
      <c r="J209" s="113">
        <v>1153.8</v>
      </c>
      <c r="K209" s="657">
        <v>1153.8</v>
      </c>
      <c r="L209" s="657">
        <v>1230.3</v>
      </c>
      <c r="M209" s="657">
        <v>1247.4000000000001</v>
      </c>
      <c r="N209" s="657">
        <v>1247.4000000000001</v>
      </c>
      <c r="O209" s="658">
        <v>1247.4000000000001</v>
      </c>
      <c r="P209" s="658">
        <v>1247.4000000000001</v>
      </c>
      <c r="Q209" s="658">
        <v>1247.4000000000001</v>
      </c>
      <c r="R209" s="658">
        <v>1247.4000000000001</v>
      </c>
      <c r="S209" s="658">
        <f>('INTEC (listas)'!L208)</f>
        <v>1160.0999999999999</v>
      </c>
    </row>
    <row r="210" spans="1:19">
      <c r="A210" s="113">
        <v>201</v>
      </c>
      <c r="B210" s="113" t="s">
        <v>914</v>
      </c>
      <c r="C210" s="113" t="s">
        <v>917</v>
      </c>
      <c r="D210" s="113" t="s">
        <v>918</v>
      </c>
      <c r="E210" s="657">
        <f>('[4]INTEC (listas)'!R206)</f>
        <v>1496.7</v>
      </c>
      <c r="F210" s="657">
        <f>('[6]INTEC (listas)'!R206)</f>
        <v>1496.7</v>
      </c>
      <c r="G210" s="658">
        <v>1496.7</v>
      </c>
      <c r="H210" s="658">
        <v>1496.7</v>
      </c>
      <c r="I210" s="658">
        <v>1496.7</v>
      </c>
      <c r="J210" s="113">
        <v>1496.7</v>
      </c>
      <c r="K210" s="657">
        <v>1496.7</v>
      </c>
      <c r="L210" s="657">
        <v>1598.4</v>
      </c>
      <c r="M210" s="657">
        <v>1618.2</v>
      </c>
      <c r="N210" s="657">
        <v>1618.2</v>
      </c>
      <c r="O210" s="658">
        <v>1618.2</v>
      </c>
      <c r="P210" s="658">
        <v>1618.2</v>
      </c>
      <c r="Q210" s="658">
        <v>1618.2</v>
      </c>
      <c r="R210" s="658">
        <v>1618.2</v>
      </c>
      <c r="S210" s="658">
        <f>('INTEC (listas)'!L209)</f>
        <v>1512</v>
      </c>
    </row>
    <row r="211" spans="1:19">
      <c r="A211" s="113">
        <v>202</v>
      </c>
      <c r="B211" s="113" t="s">
        <v>914</v>
      </c>
      <c r="C211" s="113" t="s">
        <v>919</v>
      </c>
      <c r="D211" s="113" t="s">
        <v>920</v>
      </c>
      <c r="E211" s="657">
        <f>('[4]INTEC (listas)'!R207)</f>
        <v>3154.5</v>
      </c>
      <c r="F211" s="657">
        <f>('[6]INTEC (listas)'!R207)</f>
        <v>3154.5</v>
      </c>
      <c r="G211" s="658">
        <v>3154.5</v>
      </c>
      <c r="H211" s="658">
        <v>3154.5</v>
      </c>
      <c r="I211" s="658">
        <v>3154.5</v>
      </c>
      <c r="J211" s="113">
        <v>3154.5</v>
      </c>
      <c r="K211" s="657">
        <v>3154.5</v>
      </c>
      <c r="L211" s="657">
        <v>3366</v>
      </c>
      <c r="M211" s="657">
        <v>3393</v>
      </c>
      <c r="N211" s="657">
        <v>3393</v>
      </c>
      <c r="O211" s="658">
        <v>3393</v>
      </c>
      <c r="P211" s="658">
        <v>3393</v>
      </c>
      <c r="Q211" s="658">
        <v>3393</v>
      </c>
      <c r="R211" s="658">
        <v>3393</v>
      </c>
      <c r="S211" s="658">
        <f>('INTEC (listas)'!L210)</f>
        <v>3188.7</v>
      </c>
    </row>
    <row r="212" spans="1:19">
      <c r="A212" s="113">
        <v>203</v>
      </c>
      <c r="B212" s="113" t="s">
        <v>914</v>
      </c>
      <c r="C212" s="113" t="s">
        <v>921</v>
      </c>
      <c r="D212" s="113" t="s">
        <v>922</v>
      </c>
      <c r="E212" s="657">
        <f>('[4]INTEC (listas)'!R208)</f>
        <v>1303.2</v>
      </c>
      <c r="F212" s="657">
        <f>('[6]INTEC (listas)'!R208)</f>
        <v>1303.2</v>
      </c>
      <c r="G212" s="658">
        <v>1303.2</v>
      </c>
      <c r="H212" s="658">
        <v>1303.2</v>
      </c>
      <c r="I212" s="658">
        <v>1303.2</v>
      </c>
      <c r="J212" s="113">
        <v>1303.2</v>
      </c>
      <c r="K212" s="657">
        <v>1303.2</v>
      </c>
      <c r="L212" s="657">
        <v>1388.7</v>
      </c>
      <c r="M212" s="657">
        <v>1431.9</v>
      </c>
      <c r="N212" s="657">
        <v>1431.9</v>
      </c>
      <c r="O212" s="658">
        <v>1431.9</v>
      </c>
      <c r="P212" s="658">
        <v>1431.9</v>
      </c>
      <c r="Q212" s="658">
        <v>1431.9</v>
      </c>
      <c r="R212" s="658">
        <v>1431.9</v>
      </c>
      <c r="S212" s="658">
        <f>('INTEC (listas)'!L211)</f>
        <v>1250.0999999999999</v>
      </c>
    </row>
    <row r="213" spans="1:19">
      <c r="A213" s="113">
        <v>204</v>
      </c>
      <c r="B213" s="113" t="s">
        <v>914</v>
      </c>
      <c r="C213" s="113" t="s">
        <v>923</v>
      </c>
      <c r="D213" s="113" t="s">
        <v>924</v>
      </c>
      <c r="E213" s="657">
        <f>('[4]INTEC (listas)'!R209)</f>
        <v>1153.8</v>
      </c>
      <c r="F213" s="657">
        <f>('[6]INTEC (listas)'!R209)</f>
        <v>1153.8</v>
      </c>
      <c r="G213" s="658">
        <v>1153.8</v>
      </c>
      <c r="H213" s="658">
        <v>1153.8</v>
      </c>
      <c r="I213" s="658">
        <v>1153.8</v>
      </c>
      <c r="J213" s="113">
        <v>1153.8</v>
      </c>
      <c r="K213" s="657">
        <v>1153.8</v>
      </c>
      <c r="L213" s="657">
        <v>1230.3</v>
      </c>
      <c r="M213" s="657">
        <v>1247.4000000000001</v>
      </c>
      <c r="N213" s="657">
        <v>1247.4000000000001</v>
      </c>
      <c r="O213" s="658">
        <v>1247.4000000000001</v>
      </c>
      <c r="P213" s="658">
        <v>1247.4000000000001</v>
      </c>
      <c r="Q213" s="658">
        <v>1247.4000000000001</v>
      </c>
      <c r="R213" s="658">
        <v>1247.4000000000001</v>
      </c>
      <c r="S213" s="658">
        <f>('INTEC (listas)'!L212)</f>
        <v>1160.0999999999999</v>
      </c>
    </row>
    <row r="214" spans="1:19">
      <c r="A214" s="113">
        <v>205</v>
      </c>
      <c r="B214" s="113" t="s">
        <v>914</v>
      </c>
      <c r="C214" s="113" t="s">
        <v>925</v>
      </c>
      <c r="D214" s="113" t="s">
        <v>926</v>
      </c>
      <c r="E214" s="657">
        <f>('[4]INTEC (listas)'!R210)</f>
        <v>1496.7</v>
      </c>
      <c r="F214" s="657">
        <f>('[6]INTEC (listas)'!R210)</f>
        <v>1496.7</v>
      </c>
      <c r="G214" s="658">
        <v>1496.7</v>
      </c>
      <c r="H214" s="658">
        <v>1496.7</v>
      </c>
      <c r="I214" s="658">
        <v>1496.7</v>
      </c>
      <c r="J214" s="113">
        <v>1496.7</v>
      </c>
      <c r="K214" s="657">
        <v>1496.7</v>
      </c>
      <c r="L214" s="657">
        <v>1598.4</v>
      </c>
      <c r="M214" s="657">
        <v>1618.2</v>
      </c>
      <c r="N214" s="657">
        <v>1618.2</v>
      </c>
      <c r="O214" s="658">
        <v>1618.2</v>
      </c>
      <c r="P214" s="658">
        <v>1618.2</v>
      </c>
      <c r="Q214" s="658">
        <v>1618.2</v>
      </c>
      <c r="R214" s="658">
        <v>1618.2</v>
      </c>
      <c r="S214" s="658">
        <f>('INTEC (listas)'!L213)</f>
        <v>1512</v>
      </c>
    </row>
    <row r="215" spans="1:19">
      <c r="A215" s="113">
        <v>206</v>
      </c>
      <c r="B215" s="113" t="s">
        <v>914</v>
      </c>
      <c r="C215" s="113" t="s">
        <v>927</v>
      </c>
      <c r="D215" s="113" t="s">
        <v>928</v>
      </c>
      <c r="E215" s="657">
        <f>('[4]INTEC (listas)'!R211)</f>
        <v>3154.5</v>
      </c>
      <c r="F215" s="657">
        <f>('[6]INTEC (listas)'!R211)</f>
        <v>3154.5</v>
      </c>
      <c r="G215" s="658">
        <v>3154.5</v>
      </c>
      <c r="H215" s="658">
        <v>3154.5</v>
      </c>
      <c r="I215" s="658">
        <v>3154.5</v>
      </c>
      <c r="J215" s="113">
        <v>3154.5</v>
      </c>
      <c r="K215" s="657">
        <v>3154.5</v>
      </c>
      <c r="L215" s="657">
        <v>3366</v>
      </c>
      <c r="M215" s="657">
        <v>3393</v>
      </c>
      <c r="N215" s="657">
        <v>3393</v>
      </c>
      <c r="O215" s="658">
        <v>3393</v>
      </c>
      <c r="P215" s="658">
        <v>3393</v>
      </c>
      <c r="Q215" s="658">
        <v>3393</v>
      </c>
      <c r="R215" s="658">
        <v>3393</v>
      </c>
      <c r="S215" s="658">
        <f>('INTEC (listas)'!L214)</f>
        <v>3188.7</v>
      </c>
    </row>
    <row r="216" spans="1:19">
      <c r="A216" s="113">
        <v>207</v>
      </c>
      <c r="B216" s="113" t="s">
        <v>914</v>
      </c>
      <c r="C216" s="113" t="s">
        <v>929</v>
      </c>
      <c r="D216" s="113" t="s">
        <v>930</v>
      </c>
      <c r="E216" s="657">
        <f>('[4]INTEC (listas)'!R212)</f>
        <v>1303.2</v>
      </c>
      <c r="F216" s="657">
        <f>('[6]INTEC (listas)'!R212)</f>
        <v>1303.2</v>
      </c>
      <c r="G216" s="658">
        <v>1303.2</v>
      </c>
      <c r="H216" s="658">
        <v>1303.2</v>
      </c>
      <c r="I216" s="658">
        <v>1303.2</v>
      </c>
      <c r="J216" s="113">
        <v>1303.2</v>
      </c>
      <c r="K216" s="657">
        <v>1303.2</v>
      </c>
      <c r="L216" s="657">
        <v>1388.7</v>
      </c>
      <c r="M216" s="657">
        <v>1431.9</v>
      </c>
      <c r="N216" s="657">
        <v>1431.9</v>
      </c>
      <c r="O216" s="658">
        <v>1431.9</v>
      </c>
      <c r="P216" s="658">
        <v>1431.9</v>
      </c>
      <c r="Q216" s="658">
        <v>1431.9</v>
      </c>
      <c r="R216" s="658">
        <v>1431.9</v>
      </c>
      <c r="S216" s="658">
        <f>('INTEC (listas)'!L215)</f>
        <v>1250.0999999999999</v>
      </c>
    </row>
    <row r="217" spans="1:19">
      <c r="A217" s="113">
        <v>209</v>
      </c>
      <c r="B217" s="113" t="s">
        <v>893</v>
      </c>
      <c r="C217" s="113" t="s">
        <v>931</v>
      </c>
      <c r="D217" s="113" t="s">
        <v>932</v>
      </c>
      <c r="E217" s="657">
        <f>('[4]INTEC (listas)'!R213)</f>
        <v>50600</v>
      </c>
      <c r="F217" s="657">
        <f>('[6]INTEC (listas)'!R213)</f>
        <v>52800</v>
      </c>
      <c r="G217" s="658">
        <v>52800</v>
      </c>
      <c r="H217" s="658">
        <v>52800</v>
      </c>
      <c r="I217" s="658">
        <v>51040</v>
      </c>
      <c r="J217" s="113">
        <v>51040</v>
      </c>
      <c r="K217" s="657">
        <v>51040</v>
      </c>
      <c r="L217" s="657">
        <v>51040</v>
      </c>
      <c r="M217" s="657">
        <v>51040</v>
      </c>
      <c r="N217" s="657">
        <v>51920</v>
      </c>
      <c r="O217" s="658">
        <v>51920</v>
      </c>
      <c r="P217" s="658">
        <v>53680</v>
      </c>
      <c r="Q217" s="658">
        <v>53680</v>
      </c>
      <c r="R217" s="658">
        <v>53680</v>
      </c>
      <c r="S217" s="658">
        <f>('INTEC (listas)'!L216)</f>
        <v>57200</v>
      </c>
    </row>
    <row r="218" spans="1:19">
      <c r="A218" s="113">
        <v>210</v>
      </c>
      <c r="B218" s="113" t="s">
        <v>933</v>
      </c>
      <c r="C218" s="113" t="s">
        <v>934</v>
      </c>
      <c r="D218" s="113" t="s">
        <v>935</v>
      </c>
      <c r="E218" s="657">
        <f>('[4]INTEC (listas)'!R214)</f>
        <v>90574</v>
      </c>
      <c r="F218" s="657">
        <f>('[6]INTEC (listas)'!R214)</f>
        <v>94512</v>
      </c>
      <c r="G218" s="658">
        <v>94512</v>
      </c>
      <c r="H218" s="658">
        <v>94512</v>
      </c>
      <c r="I218" s="658">
        <v>91361.600000000006</v>
      </c>
      <c r="J218" s="113">
        <v>91361.600000000006</v>
      </c>
      <c r="K218" s="657">
        <v>91361.600000000006</v>
      </c>
      <c r="L218" s="657">
        <v>91361.600000000006</v>
      </c>
      <c r="M218" s="657">
        <v>91361.600000000006</v>
      </c>
      <c r="N218" s="657">
        <v>92936.8</v>
      </c>
      <c r="O218" s="658">
        <v>92936.8</v>
      </c>
      <c r="P218" s="658">
        <v>96087.200000000012</v>
      </c>
      <c r="Q218" s="658">
        <v>96087.200000000012</v>
      </c>
      <c r="R218" s="658">
        <v>96087.200000000012</v>
      </c>
      <c r="S218" s="658">
        <f>('INTEC (listas)'!L217)</f>
        <v>102388</v>
      </c>
    </row>
    <row r="219" spans="1:19">
      <c r="A219" s="113">
        <v>211</v>
      </c>
      <c r="B219" s="113" t="s">
        <v>388</v>
      </c>
      <c r="C219" s="113" t="s">
        <v>411</v>
      </c>
      <c r="D219" s="113" t="s">
        <v>412</v>
      </c>
      <c r="E219" s="657">
        <f>('[4]INTEC (listas)'!R215)</f>
        <v>119232.00000000001</v>
      </c>
      <c r="F219" s="657">
        <f>('[6]INTEC (listas)'!R215)</f>
        <v>124416.00000000001</v>
      </c>
      <c r="G219" s="658">
        <v>124416.00000000001</v>
      </c>
      <c r="H219" s="658">
        <v>118195.2</v>
      </c>
      <c r="I219" s="658">
        <v>114255.36</v>
      </c>
      <c r="J219" s="657">
        <v>114255.36</v>
      </c>
      <c r="K219" s="657">
        <v>114255.36</v>
      </c>
      <c r="L219" s="657">
        <v>114255.36</v>
      </c>
      <c r="M219" s="657">
        <v>114255.36</v>
      </c>
      <c r="N219" s="657">
        <v>113280</v>
      </c>
      <c r="O219" s="658">
        <v>113280</v>
      </c>
      <c r="P219" s="658">
        <v>117120</v>
      </c>
      <c r="Q219" s="658">
        <v>117120</v>
      </c>
      <c r="R219" s="658">
        <v>117120</v>
      </c>
      <c r="S219" s="658">
        <f>('INTEC (listas)'!L218)</f>
        <v>124800</v>
      </c>
    </row>
    <row r="220" spans="1:19">
      <c r="A220" s="113">
        <v>212</v>
      </c>
      <c r="B220" s="113" t="s">
        <v>388</v>
      </c>
      <c r="C220" s="113" t="s">
        <v>409</v>
      </c>
      <c r="D220" s="113" t="s">
        <v>410</v>
      </c>
      <c r="E220" s="657">
        <f>('[4]INTEC (listas)'!R216)</f>
        <v>75513.600000000006</v>
      </c>
      <c r="F220" s="657">
        <f>('[6]INTEC (listas)'!R216)</f>
        <v>78796.800000000003</v>
      </c>
      <c r="G220" s="658">
        <v>78796.800000000003</v>
      </c>
      <c r="H220" s="658">
        <v>74856.960000000006</v>
      </c>
      <c r="I220" s="658">
        <v>72361.728000000003</v>
      </c>
      <c r="J220" s="113">
        <v>72361.728000000003</v>
      </c>
      <c r="K220" s="657">
        <v>72361.728000000003</v>
      </c>
      <c r="L220" s="657">
        <v>72361.728000000003</v>
      </c>
      <c r="M220" s="657">
        <v>72361.728000000003</v>
      </c>
      <c r="N220" s="657">
        <v>71744</v>
      </c>
      <c r="O220" s="658">
        <v>71744</v>
      </c>
      <c r="P220" s="658">
        <v>74176</v>
      </c>
      <c r="Q220" s="658">
        <v>74176</v>
      </c>
      <c r="R220" s="658">
        <v>74176</v>
      </c>
      <c r="S220" s="658">
        <f>('INTEC (listas)'!L219)</f>
        <v>79040</v>
      </c>
    </row>
    <row r="221" spans="1:19">
      <c r="A221" s="113">
        <v>213</v>
      </c>
      <c r="B221" s="113" t="s">
        <v>388</v>
      </c>
      <c r="C221" s="113" t="s">
        <v>407</v>
      </c>
      <c r="D221" s="113" t="s">
        <v>408</v>
      </c>
      <c r="E221" s="657">
        <f>('[4]INTEC (listas)'!R217)</f>
        <v>57628.800000000003</v>
      </c>
      <c r="F221" s="657">
        <f>('[6]INTEC (listas)'!R217)</f>
        <v>60134.400000000001</v>
      </c>
      <c r="G221" s="658">
        <v>60134.400000000001</v>
      </c>
      <c r="H221" s="658">
        <v>57127.68</v>
      </c>
      <c r="I221" s="658">
        <v>55223.423999999999</v>
      </c>
      <c r="J221" s="113">
        <v>55223.423999999999</v>
      </c>
      <c r="K221" s="657">
        <v>55223.423999999999</v>
      </c>
      <c r="L221" s="657">
        <v>55223.423999999999</v>
      </c>
      <c r="M221" s="657">
        <v>55223.423999999999</v>
      </c>
      <c r="N221" s="657">
        <v>56175.552000000003</v>
      </c>
      <c r="O221" s="658">
        <v>56175.552000000003</v>
      </c>
      <c r="P221" s="658">
        <v>58079.807999999997</v>
      </c>
      <c r="Q221" s="658">
        <v>58079.807999999997</v>
      </c>
      <c r="R221" s="658">
        <v>58079.807999999997</v>
      </c>
      <c r="S221" s="658">
        <f>('INTEC (listas)'!L220)</f>
        <v>61888.32</v>
      </c>
    </row>
    <row r="222" spans="1:19">
      <c r="A222" s="113">
        <v>214</v>
      </c>
      <c r="B222" s="113" t="s">
        <v>388</v>
      </c>
      <c r="C222" s="113" t="s">
        <v>936</v>
      </c>
      <c r="D222" s="113" t="s">
        <v>406</v>
      </c>
      <c r="E222" s="657">
        <f>('[4]INTEC (listas)'!R218)</f>
        <v>109295.99999999999</v>
      </c>
      <c r="F222" s="657">
        <f>('[6]INTEC (listas)'!R218)</f>
        <v>114047.99999999999</v>
      </c>
      <c r="G222" s="658">
        <v>114047.99999999999</v>
      </c>
      <c r="H222" s="658">
        <v>108345.59999999999</v>
      </c>
      <c r="I222" s="658">
        <v>104734.08</v>
      </c>
      <c r="J222" s="113">
        <v>104734.08</v>
      </c>
      <c r="K222" s="657">
        <v>104734.08</v>
      </c>
      <c r="L222" s="657">
        <v>104734.08</v>
      </c>
      <c r="M222" s="657">
        <v>104734.08</v>
      </c>
      <c r="N222" s="657">
        <v>106539.84</v>
      </c>
      <c r="O222" s="658">
        <v>106539.84</v>
      </c>
      <c r="P222" s="658">
        <v>110151.36</v>
      </c>
      <c r="Q222" s="658">
        <v>110151.36</v>
      </c>
      <c r="R222" s="658">
        <v>110151.36</v>
      </c>
      <c r="S222" s="658">
        <f>('INTEC (listas)'!L221)</f>
        <v>117374.39999999999</v>
      </c>
    </row>
    <row r="223" spans="1:19">
      <c r="A223" s="113">
        <v>215</v>
      </c>
      <c r="B223" s="113" t="s">
        <v>388</v>
      </c>
      <c r="C223" s="113" t="s">
        <v>937</v>
      </c>
      <c r="D223" s="113" t="s">
        <v>404</v>
      </c>
      <c r="E223" s="657">
        <f>('[4]INTEC (listas)'!R219)</f>
        <v>91411.199999999997</v>
      </c>
      <c r="F223" s="657">
        <f>('[6]INTEC (listas)'!R219)</f>
        <v>95385.600000000006</v>
      </c>
      <c r="G223" s="658">
        <v>95385.600000000006</v>
      </c>
      <c r="H223" s="658">
        <v>90616.319999999992</v>
      </c>
      <c r="I223" s="658">
        <v>87595.775999999998</v>
      </c>
      <c r="J223" s="113">
        <v>87595.775999999998</v>
      </c>
      <c r="K223" s="657">
        <v>87595.775999999998</v>
      </c>
      <c r="L223" s="657">
        <v>87595.775999999998</v>
      </c>
      <c r="M223" s="657">
        <v>87595.775999999998</v>
      </c>
      <c r="N223" s="657">
        <v>89106.047999999995</v>
      </c>
      <c r="O223" s="658">
        <v>89106.047999999995</v>
      </c>
      <c r="P223" s="658">
        <v>92126.59199999999</v>
      </c>
      <c r="Q223" s="658">
        <v>67882.751999999993</v>
      </c>
      <c r="R223" s="658">
        <v>67882.751999999993</v>
      </c>
      <c r="S223" s="658">
        <f>('INTEC (listas)'!L222)</f>
        <v>72334.080000000002</v>
      </c>
    </row>
    <row r="224" spans="1:19">
      <c r="A224" s="113">
        <v>216</v>
      </c>
      <c r="B224" s="113" t="s">
        <v>914</v>
      </c>
      <c r="C224" s="113" t="s">
        <v>938</v>
      </c>
      <c r="D224" s="113" t="s">
        <v>939</v>
      </c>
      <c r="E224" s="657">
        <f>('[4]INTEC (listas)'!R220)</f>
        <v>0</v>
      </c>
      <c r="F224" s="657">
        <f>('[6]INTEC (listas)'!R220)</f>
        <v>0</v>
      </c>
      <c r="G224" s="658">
        <v>0</v>
      </c>
      <c r="H224" s="658">
        <v>0</v>
      </c>
      <c r="I224" s="658"/>
      <c r="J224" s="113"/>
      <c r="K224" s="657">
        <v>0</v>
      </c>
      <c r="L224" s="657">
        <v>0</v>
      </c>
      <c r="M224" s="657"/>
      <c r="N224" s="657">
        <v>0</v>
      </c>
      <c r="O224" s="658">
        <v>0</v>
      </c>
      <c r="P224" s="658"/>
      <c r="Q224" s="658">
        <v>10</v>
      </c>
      <c r="R224" s="658">
        <v>10</v>
      </c>
      <c r="S224" s="658">
        <f>('INTEC (listas)'!L223)</f>
        <v>10</v>
      </c>
    </row>
    <row r="225" spans="1:19">
      <c r="A225" s="113">
        <v>171</v>
      </c>
      <c r="B225" s="113" t="s">
        <v>772</v>
      </c>
      <c r="C225" s="113" t="s">
        <v>940</v>
      </c>
      <c r="D225" s="113" t="s">
        <v>941</v>
      </c>
      <c r="E225" s="657">
        <f>('[4]INTEC (listas)'!R221)</f>
        <v>0</v>
      </c>
      <c r="F225" s="657">
        <f>('[6]INTEC (listas)'!R221)</f>
        <v>0</v>
      </c>
      <c r="G225" s="658">
        <v>0</v>
      </c>
      <c r="H225" s="658">
        <v>0</v>
      </c>
      <c r="I225" s="658"/>
      <c r="J225" s="113"/>
      <c r="K225" s="657">
        <v>0</v>
      </c>
      <c r="L225" s="657">
        <v>0</v>
      </c>
      <c r="M225" s="657"/>
      <c r="N225" s="657">
        <v>0</v>
      </c>
      <c r="O225" s="658">
        <v>0</v>
      </c>
      <c r="P225" s="658"/>
      <c r="Q225" s="658">
        <v>10</v>
      </c>
      <c r="R225" s="658">
        <v>10</v>
      </c>
      <c r="S225" s="658">
        <f>('INTEC (listas)'!L224)</f>
        <v>10</v>
      </c>
    </row>
    <row r="226" spans="1:19">
      <c r="A226" s="113">
        <v>172</v>
      </c>
      <c r="B226" s="113" t="s">
        <v>772</v>
      </c>
      <c r="C226" s="113" t="s">
        <v>942</v>
      </c>
      <c r="D226" s="113" t="s">
        <v>943</v>
      </c>
      <c r="E226" s="657">
        <f>('[4]INTEC (listas)'!R222)</f>
        <v>0</v>
      </c>
      <c r="F226" s="657">
        <f>('[6]INTEC (listas)'!R222)</f>
        <v>0</v>
      </c>
      <c r="G226" s="658">
        <v>0</v>
      </c>
      <c r="H226" s="658">
        <v>0</v>
      </c>
      <c r="I226" s="658"/>
      <c r="J226" s="113"/>
      <c r="K226" s="657">
        <v>0</v>
      </c>
      <c r="L226" s="657">
        <v>0</v>
      </c>
      <c r="M226" s="657"/>
      <c r="N226" s="657">
        <v>0</v>
      </c>
      <c r="O226" s="658">
        <v>0</v>
      </c>
      <c r="P226" s="658"/>
      <c r="Q226" s="658">
        <v>10</v>
      </c>
      <c r="R226" s="658">
        <v>10</v>
      </c>
      <c r="S226" s="658">
        <f>('INTEC (listas)'!L225)</f>
        <v>10</v>
      </c>
    </row>
    <row r="227" spans="1:19">
      <c r="A227" s="113">
        <v>46</v>
      </c>
      <c r="B227" s="113" t="s">
        <v>588</v>
      </c>
      <c r="C227" s="113" t="s">
        <v>944</v>
      </c>
      <c r="D227" s="113" t="s">
        <v>945</v>
      </c>
      <c r="E227" s="657">
        <f>('[4]INTEC (listas)'!R223)</f>
        <v>49158.18</v>
      </c>
      <c r="F227" s="657">
        <f>('[6]INTEC (listas)'!R223)</f>
        <v>54073.998000000007</v>
      </c>
      <c r="G227" s="658">
        <v>54073.998000000007</v>
      </c>
      <c r="H227" s="658">
        <v>54073.998000000007</v>
      </c>
      <c r="I227" s="658">
        <v>54073.998000000007</v>
      </c>
      <c r="J227" s="113">
        <v>54073.998000000007</v>
      </c>
      <c r="K227" s="657">
        <v>54073.998000000007</v>
      </c>
      <c r="L227" s="657">
        <v>54073.998000000007</v>
      </c>
      <c r="M227" s="657">
        <v>52002.000000000007</v>
      </c>
      <c r="N227" s="657">
        <v>52002.000000000007</v>
      </c>
      <c r="O227" s="658">
        <v>52002.000000000007</v>
      </c>
      <c r="P227" s="658">
        <v>52002.000000000007</v>
      </c>
      <c r="Q227" s="658">
        <v>57800</v>
      </c>
      <c r="R227" s="658">
        <v>57800</v>
      </c>
      <c r="S227" s="658">
        <f>('INTEC (listas)'!L226)</f>
        <v>57800</v>
      </c>
    </row>
    <row r="228" spans="1:19">
      <c r="A228" s="113">
        <v>47</v>
      </c>
      <c r="B228" s="113" t="s">
        <v>588</v>
      </c>
      <c r="C228" s="113" t="s">
        <v>946</v>
      </c>
      <c r="D228" s="113" t="s">
        <v>947</v>
      </c>
      <c r="E228" s="657">
        <f>('[4]INTEC (listas)'!R224)</f>
        <v>57780</v>
      </c>
      <c r="F228" s="657">
        <f>('[6]INTEC (listas)'!R224)</f>
        <v>62402.400000000001</v>
      </c>
      <c r="G228" s="658">
        <v>62402.400000000001</v>
      </c>
      <c r="H228" s="658">
        <v>62402.400000000001</v>
      </c>
      <c r="I228" s="658">
        <v>62402.400000000001</v>
      </c>
      <c r="J228" s="113">
        <v>62402.400000000001</v>
      </c>
      <c r="K228" s="657">
        <v>62402.400000000001</v>
      </c>
      <c r="L228" s="657">
        <v>62402.400000000001</v>
      </c>
      <c r="M228" s="657">
        <v>62402.400000000001</v>
      </c>
      <c r="N228" s="657">
        <v>62402.400000000001</v>
      </c>
      <c r="O228" s="658">
        <v>62402.400000000001</v>
      </c>
      <c r="P228" s="658">
        <v>62402.400000000001</v>
      </c>
      <c r="Q228" s="658">
        <v>69400</v>
      </c>
      <c r="R228" s="658">
        <v>69400</v>
      </c>
      <c r="S228" s="658">
        <f>('INTEC (listas)'!L227)</f>
        <v>69400</v>
      </c>
    </row>
    <row r="229" spans="1:19">
      <c r="A229" s="113">
        <v>48</v>
      </c>
      <c r="B229" s="113" t="s">
        <v>588</v>
      </c>
      <c r="C229" s="113" t="s">
        <v>948</v>
      </c>
      <c r="D229" s="113" t="s">
        <v>949</v>
      </c>
      <c r="E229" s="657">
        <f>('[4]INTEC (listas)'!R225)</f>
        <v>75187.44</v>
      </c>
      <c r="F229" s="657">
        <f>('[6]INTEC (listas)'!R225)</f>
        <v>82706.184000000008</v>
      </c>
      <c r="G229" s="658">
        <v>82706.184000000008</v>
      </c>
      <c r="H229" s="658">
        <v>82706.184000000008</v>
      </c>
      <c r="I229" s="658">
        <v>82706.184000000008</v>
      </c>
      <c r="J229" s="113">
        <v>82706.184000000008</v>
      </c>
      <c r="K229" s="657">
        <v>82706.184000000008</v>
      </c>
      <c r="L229" s="657">
        <v>82706.184000000008</v>
      </c>
      <c r="M229" s="657">
        <v>82706.184000000008</v>
      </c>
      <c r="N229" s="657">
        <v>75378.416097600013</v>
      </c>
      <c r="O229" s="658">
        <v>75378.416097600013</v>
      </c>
      <c r="P229" s="658">
        <v>72316.800000000003</v>
      </c>
      <c r="Q229" s="658">
        <v>80350</v>
      </c>
      <c r="R229" s="658">
        <v>80350</v>
      </c>
      <c r="S229" s="658">
        <f>('INTEC (listas)'!L228)</f>
        <v>89215.520299999989</v>
      </c>
    </row>
    <row r="230" spans="1:19">
      <c r="A230" s="113">
        <v>217</v>
      </c>
      <c r="B230" s="113" t="s">
        <v>914</v>
      </c>
      <c r="C230" s="113" t="s">
        <v>950</v>
      </c>
      <c r="D230" s="113">
        <v>45</v>
      </c>
      <c r="E230" s="657">
        <f>('[4]INTEC (listas)'!R226)</f>
        <v>3231.37</v>
      </c>
      <c r="F230" s="657">
        <f>('[6]INTEC (listas)'!R226)</f>
        <v>3231.37</v>
      </c>
      <c r="G230" s="658">
        <v>3231.37</v>
      </c>
      <c r="H230" s="658">
        <v>3231.37</v>
      </c>
      <c r="I230" s="658">
        <v>3231.37</v>
      </c>
      <c r="J230" s="113">
        <v>3231.37</v>
      </c>
      <c r="K230" s="657">
        <v>3450.5</v>
      </c>
      <c r="L230" s="657">
        <v>3450.5</v>
      </c>
      <c r="M230" s="657">
        <v>3450.5</v>
      </c>
      <c r="N230" s="657">
        <v>3450.5</v>
      </c>
      <c r="O230" s="658">
        <v>3450.5</v>
      </c>
      <c r="P230" s="658">
        <v>3450.5</v>
      </c>
      <c r="Q230" s="658">
        <v>3450.5</v>
      </c>
      <c r="R230" s="658">
        <v>3450.5</v>
      </c>
      <c r="S230" s="658">
        <f>('INTEC (listas)'!L229)</f>
        <v>3450.5</v>
      </c>
    </row>
    <row r="231" spans="1:19">
      <c r="A231" s="113">
        <v>218</v>
      </c>
      <c r="B231" s="113" t="s">
        <v>914</v>
      </c>
      <c r="C231" s="113" t="s">
        <v>951</v>
      </c>
      <c r="D231" s="113">
        <v>85</v>
      </c>
      <c r="E231" s="657">
        <f>('[4]INTEC (listas)'!R227)</f>
        <v>6104.08</v>
      </c>
      <c r="F231" s="657">
        <f>('[6]INTEC (listas)'!R227)</f>
        <v>6104.08</v>
      </c>
      <c r="G231" s="658">
        <v>6104.08</v>
      </c>
      <c r="H231" s="658">
        <v>6104.08</v>
      </c>
      <c r="I231" s="658">
        <v>6104.08</v>
      </c>
      <c r="J231" s="113">
        <v>6104.08</v>
      </c>
      <c r="K231" s="657">
        <v>6686.8</v>
      </c>
      <c r="L231" s="657">
        <v>6686.8</v>
      </c>
      <c r="M231" s="657">
        <v>6686.8</v>
      </c>
      <c r="N231" s="657">
        <v>6686.8</v>
      </c>
      <c r="O231" s="658">
        <v>6686.8</v>
      </c>
      <c r="P231" s="658">
        <v>6686.8</v>
      </c>
      <c r="Q231" s="658">
        <v>6686.8</v>
      </c>
      <c r="R231" s="658">
        <v>6686.8</v>
      </c>
      <c r="S231" s="658">
        <f>('INTEC (listas)'!L230)</f>
        <v>6686.8</v>
      </c>
    </row>
    <row r="232" spans="1:19">
      <c r="A232" s="113">
        <v>219</v>
      </c>
      <c r="B232" s="113" t="s">
        <v>914</v>
      </c>
      <c r="C232" s="113" t="s">
        <v>952</v>
      </c>
      <c r="D232" s="113">
        <v>100</v>
      </c>
      <c r="E232" s="657">
        <f>('[4]INTEC (listas)'!R228)</f>
        <v>7181.79</v>
      </c>
      <c r="F232" s="657">
        <f>('[6]INTEC (listas)'!R228)</f>
        <v>7181.79</v>
      </c>
      <c r="G232" s="658">
        <v>7181.79</v>
      </c>
      <c r="H232" s="658">
        <v>7181.79</v>
      </c>
      <c r="I232" s="658">
        <v>7181.79</v>
      </c>
      <c r="J232" s="113">
        <v>7181.79</v>
      </c>
      <c r="K232" s="657">
        <v>7867.21</v>
      </c>
      <c r="L232" s="657">
        <v>7867.21</v>
      </c>
      <c r="M232" s="657">
        <v>7867.21</v>
      </c>
      <c r="N232" s="657">
        <v>7867.21</v>
      </c>
      <c r="O232" s="658">
        <v>7867.21</v>
      </c>
      <c r="P232" s="658">
        <v>7867.21</v>
      </c>
      <c r="Q232" s="658">
        <v>7867.21</v>
      </c>
      <c r="R232" s="658">
        <v>7867.21</v>
      </c>
      <c r="S232" s="658">
        <f>('INTEC (listas)'!L231)</f>
        <v>7867.21</v>
      </c>
    </row>
    <row r="233" spans="1:19">
      <c r="A233" s="113">
        <v>250</v>
      </c>
      <c r="B233" s="113" t="s">
        <v>841</v>
      </c>
      <c r="C233" s="113" t="s">
        <v>953</v>
      </c>
      <c r="D233" s="113" t="s">
        <v>954</v>
      </c>
      <c r="E233" s="657">
        <f>('[4]INTEC (listas)'!R229)</f>
        <v>561.54545454545462</v>
      </c>
      <c r="F233" s="657">
        <f>('[6]INTEC (listas)'!R229)</f>
        <v>561.54545454545462</v>
      </c>
      <c r="G233" s="658">
        <v>561.54545454545462</v>
      </c>
      <c r="H233" s="658">
        <v>561.54545454545462</v>
      </c>
      <c r="I233" s="658">
        <v>561.54545454545462</v>
      </c>
      <c r="J233" s="113">
        <v>561.54545454545462</v>
      </c>
      <c r="K233" s="657">
        <v>561.54545454545462</v>
      </c>
      <c r="L233" s="657">
        <v>561.54545454545462</v>
      </c>
      <c r="M233" s="657">
        <v>561.54545454545462</v>
      </c>
      <c r="N233" s="657">
        <v>561.54545454545462</v>
      </c>
      <c r="O233" s="658">
        <v>561.54545454545462</v>
      </c>
      <c r="P233" s="658">
        <v>561.54545454545462</v>
      </c>
      <c r="Q233" s="658">
        <v>561.54545454545462</v>
      </c>
      <c r="R233" s="658">
        <v>561.54545454545462</v>
      </c>
      <c r="S233" s="658">
        <f>('INTEC (listas)'!L232)</f>
        <v>561.54545454545462</v>
      </c>
    </row>
    <row r="234" spans="1:19">
      <c r="A234" s="113">
        <v>381</v>
      </c>
      <c r="B234" s="113" t="s">
        <v>893</v>
      </c>
      <c r="C234" s="113" t="s">
        <v>955</v>
      </c>
      <c r="D234" s="113" t="s">
        <v>956</v>
      </c>
      <c r="E234" s="657">
        <f>('[4]INTEC (listas)'!R230)</f>
        <v>0</v>
      </c>
      <c r="F234" s="657">
        <f>('[6]INTEC (listas)'!R230)</f>
        <v>0</v>
      </c>
      <c r="G234" s="658">
        <v>0</v>
      </c>
      <c r="H234" s="658">
        <v>0</v>
      </c>
      <c r="I234" s="658"/>
      <c r="J234" s="113"/>
      <c r="K234" s="657">
        <v>0</v>
      </c>
      <c r="L234" s="657">
        <v>0</v>
      </c>
      <c r="M234" s="657"/>
      <c r="N234" s="657">
        <v>0</v>
      </c>
      <c r="O234" s="658">
        <v>0</v>
      </c>
      <c r="P234" s="658"/>
      <c r="Q234" s="658">
        <v>10</v>
      </c>
      <c r="R234" s="658">
        <v>10</v>
      </c>
      <c r="S234" s="658">
        <f>('INTEC (listas)'!L233)</f>
        <v>10</v>
      </c>
    </row>
    <row r="235" spans="1:19">
      <c r="A235" s="113">
        <v>375</v>
      </c>
      <c r="B235" s="113" t="s">
        <v>893</v>
      </c>
      <c r="C235" s="113" t="s">
        <v>957</v>
      </c>
      <c r="D235" s="113" t="s">
        <v>958</v>
      </c>
      <c r="E235" s="657">
        <f>('[4]INTEC (listas)'!R231)</f>
        <v>0</v>
      </c>
      <c r="F235" s="657">
        <f>('[6]INTEC (listas)'!R231)</f>
        <v>0</v>
      </c>
      <c r="G235" s="658">
        <v>0</v>
      </c>
      <c r="H235" s="658">
        <v>0</v>
      </c>
      <c r="I235" s="658"/>
      <c r="J235" s="552"/>
      <c r="K235" s="657">
        <v>0</v>
      </c>
      <c r="L235" s="657">
        <v>0</v>
      </c>
      <c r="M235" s="657"/>
      <c r="N235" s="657">
        <v>0</v>
      </c>
      <c r="O235" s="658">
        <v>0</v>
      </c>
      <c r="P235" s="658"/>
      <c r="Q235" s="658">
        <v>10</v>
      </c>
      <c r="R235" s="658">
        <v>10</v>
      </c>
      <c r="S235" s="658">
        <f>('INTEC (listas)'!L234)</f>
        <v>10</v>
      </c>
    </row>
    <row r="236" spans="1:19">
      <c r="A236" s="113">
        <v>376</v>
      </c>
      <c r="B236" s="113" t="s">
        <v>893</v>
      </c>
      <c r="C236" s="113" t="s">
        <v>959</v>
      </c>
      <c r="D236" s="113" t="s">
        <v>960</v>
      </c>
      <c r="E236" s="657">
        <f>('[4]INTEC (listas)'!R232)</f>
        <v>0</v>
      </c>
      <c r="F236" s="657">
        <f>('[6]INTEC (listas)'!R232)</f>
        <v>0</v>
      </c>
      <c r="G236" s="658">
        <v>0</v>
      </c>
      <c r="H236" s="658">
        <v>0</v>
      </c>
      <c r="I236" s="658"/>
      <c r="J236" s="113"/>
      <c r="K236" s="657">
        <v>0</v>
      </c>
      <c r="L236" s="657">
        <v>0</v>
      </c>
      <c r="M236" s="657"/>
      <c r="N236" s="657">
        <v>0</v>
      </c>
      <c r="O236" s="658">
        <v>0</v>
      </c>
      <c r="P236" s="658"/>
      <c r="Q236" s="658">
        <v>10</v>
      </c>
      <c r="R236" s="658">
        <v>10</v>
      </c>
      <c r="S236" s="658">
        <f>('INTEC (listas)'!L235)</f>
        <v>10</v>
      </c>
    </row>
    <row r="237" spans="1:19">
      <c r="A237" s="113">
        <v>377</v>
      </c>
      <c r="B237" s="113" t="s">
        <v>893</v>
      </c>
      <c r="C237" s="113" t="s">
        <v>961</v>
      </c>
      <c r="D237" s="113" t="s">
        <v>962</v>
      </c>
      <c r="E237" s="657">
        <f>('[4]INTEC (listas)'!R233)</f>
        <v>0</v>
      </c>
      <c r="F237" s="657">
        <f>('[6]INTEC (listas)'!R233)</f>
        <v>0</v>
      </c>
      <c r="G237" s="658">
        <v>0</v>
      </c>
      <c r="H237" s="658">
        <v>0</v>
      </c>
      <c r="I237" s="658"/>
      <c r="J237" s="113"/>
      <c r="K237" s="657">
        <v>0</v>
      </c>
      <c r="L237" s="657">
        <v>0</v>
      </c>
      <c r="M237" s="657"/>
      <c r="N237" s="657">
        <v>0</v>
      </c>
      <c r="O237" s="658">
        <v>0</v>
      </c>
      <c r="P237" s="658"/>
      <c r="Q237" s="658">
        <v>10</v>
      </c>
      <c r="R237" s="658">
        <v>10</v>
      </c>
      <c r="S237" s="658">
        <f>('INTEC (listas)'!L236)</f>
        <v>10</v>
      </c>
    </row>
    <row r="238" spans="1:19">
      <c r="A238" s="113">
        <v>173</v>
      </c>
      <c r="B238" s="113" t="s">
        <v>963</v>
      </c>
      <c r="C238" s="113" t="s">
        <v>964</v>
      </c>
      <c r="D238" s="113" t="s">
        <v>965</v>
      </c>
      <c r="E238" s="657">
        <f>('[4]INTEC (listas)'!R234)</f>
        <v>13220</v>
      </c>
      <c r="F238" s="657">
        <f>('[6]INTEC (listas)'!R234)</f>
        <v>13220</v>
      </c>
      <c r="G238" s="658">
        <v>13220</v>
      </c>
      <c r="H238" s="658">
        <v>13220</v>
      </c>
      <c r="I238" s="658">
        <v>13220</v>
      </c>
      <c r="J238" s="113">
        <v>13220</v>
      </c>
      <c r="K238" s="657">
        <v>13220</v>
      </c>
      <c r="L238" s="657">
        <v>13881</v>
      </c>
      <c r="M238" s="657">
        <v>13881</v>
      </c>
      <c r="N238" s="657">
        <v>14409.800000000001</v>
      </c>
      <c r="O238" s="658">
        <v>14409.800000000001</v>
      </c>
      <c r="P238" s="658">
        <v>15599.6</v>
      </c>
      <c r="Q238" s="658">
        <v>15864</v>
      </c>
      <c r="R238" s="658">
        <v>15864</v>
      </c>
      <c r="S238" s="658">
        <f>('INTEC (listas)'!L237)</f>
        <v>16921.600000000002</v>
      </c>
    </row>
    <row r="239" spans="1:19">
      <c r="A239" s="113">
        <v>174</v>
      </c>
      <c r="B239" s="113" t="s">
        <v>966</v>
      </c>
      <c r="C239" s="113" t="s">
        <v>967</v>
      </c>
      <c r="D239" s="113" t="s">
        <v>968</v>
      </c>
      <c r="E239" s="657">
        <f>('[4]INTEC (listas)'!R235)</f>
        <v>16000</v>
      </c>
      <c r="F239" s="657">
        <f>('[6]INTEC (listas)'!R235)</f>
        <v>16000</v>
      </c>
      <c r="G239" s="658">
        <v>13000</v>
      </c>
      <c r="H239" s="658">
        <v>13000</v>
      </c>
      <c r="I239" s="658">
        <v>13000</v>
      </c>
      <c r="J239" s="113">
        <v>13000</v>
      </c>
      <c r="K239" s="657">
        <v>13000</v>
      </c>
      <c r="L239" s="657">
        <v>13650</v>
      </c>
      <c r="M239" s="657">
        <v>13650</v>
      </c>
      <c r="N239" s="657">
        <v>10900</v>
      </c>
      <c r="O239" s="658">
        <v>10900</v>
      </c>
      <c r="P239" s="658">
        <v>11800</v>
      </c>
      <c r="Q239" s="658">
        <v>11400</v>
      </c>
      <c r="R239" s="658">
        <v>11400</v>
      </c>
      <c r="S239" s="658">
        <f>('INTEC (listas)'!L238)</f>
        <v>12160</v>
      </c>
    </row>
    <row r="240" spans="1:19">
      <c r="A240" s="113">
        <v>175</v>
      </c>
      <c r="B240" s="113" t="s">
        <v>966</v>
      </c>
      <c r="C240" s="113" t="s">
        <v>969</v>
      </c>
      <c r="D240" s="113" t="s">
        <v>970</v>
      </c>
      <c r="E240" s="657">
        <f>('[4]INTEC (listas)'!R236)</f>
        <v>41800</v>
      </c>
      <c r="F240" s="657">
        <f>('[6]INTEC (listas)'!R236)</f>
        <v>41800</v>
      </c>
      <c r="G240" s="658">
        <v>32400</v>
      </c>
      <c r="H240" s="658">
        <v>32400</v>
      </c>
      <c r="I240" s="658">
        <v>32400</v>
      </c>
      <c r="J240" s="113">
        <v>32400</v>
      </c>
      <c r="K240" s="657">
        <v>32400</v>
      </c>
      <c r="L240" s="657">
        <v>34020</v>
      </c>
      <c r="M240" s="657">
        <v>34020</v>
      </c>
      <c r="N240" s="657">
        <v>35316</v>
      </c>
      <c r="O240" s="658">
        <v>35316</v>
      </c>
      <c r="P240" s="658">
        <v>38232</v>
      </c>
      <c r="Q240" s="658">
        <v>38880</v>
      </c>
      <c r="R240" s="658">
        <v>38880</v>
      </c>
      <c r="S240" s="658">
        <f>('INTEC (listas)'!L239)</f>
        <v>41472</v>
      </c>
    </row>
    <row r="241" spans="1:19">
      <c r="A241" s="113">
        <v>176</v>
      </c>
      <c r="B241" s="113" t="s">
        <v>966</v>
      </c>
      <c r="C241" s="113" t="s">
        <v>971</v>
      </c>
      <c r="D241" s="113" t="s">
        <v>972</v>
      </c>
      <c r="E241" s="657">
        <f>('[4]INTEC (listas)'!R237)</f>
        <v>57950</v>
      </c>
      <c r="F241" s="657">
        <f>('[6]INTEC (listas)'!R237)</f>
        <v>57950</v>
      </c>
      <c r="G241" s="658">
        <v>53100</v>
      </c>
      <c r="H241" s="658">
        <v>53100</v>
      </c>
      <c r="I241" s="658">
        <v>53100</v>
      </c>
      <c r="J241" s="113">
        <v>53100</v>
      </c>
      <c r="K241" s="657">
        <v>53100</v>
      </c>
      <c r="L241" s="657">
        <v>55755</v>
      </c>
      <c r="M241" s="657">
        <v>55755</v>
      </c>
      <c r="N241" s="657">
        <v>57879</v>
      </c>
      <c r="O241" s="658">
        <v>43600</v>
      </c>
      <c r="P241" s="658">
        <v>47200</v>
      </c>
      <c r="Q241" s="658">
        <v>48000</v>
      </c>
      <c r="R241" s="658">
        <v>48000</v>
      </c>
      <c r="S241" s="658">
        <f>('INTEC (listas)'!L240)</f>
        <v>51200</v>
      </c>
    </row>
    <row r="242" spans="1:19">
      <c r="A242" s="113">
        <v>177</v>
      </c>
      <c r="B242" s="113" t="s">
        <v>966</v>
      </c>
      <c r="C242" s="113" t="s">
        <v>973</v>
      </c>
      <c r="D242" s="113" t="s">
        <v>974</v>
      </c>
      <c r="E242" s="657">
        <f>('[4]INTEC (listas)'!R238)</f>
        <v>95950</v>
      </c>
      <c r="F242" s="657">
        <f>('[6]INTEC (listas)'!R238)</f>
        <v>95950</v>
      </c>
      <c r="G242" s="658">
        <v>72000</v>
      </c>
      <c r="H242" s="658">
        <v>72000</v>
      </c>
      <c r="I242" s="658">
        <v>72000</v>
      </c>
      <c r="J242" s="113">
        <v>72000</v>
      </c>
      <c r="K242" s="657">
        <v>72000</v>
      </c>
      <c r="L242" s="657">
        <v>75600</v>
      </c>
      <c r="M242" s="657">
        <v>75600</v>
      </c>
      <c r="N242" s="657">
        <v>78480</v>
      </c>
      <c r="O242" s="658">
        <v>63200</v>
      </c>
      <c r="P242" s="658">
        <v>68440</v>
      </c>
      <c r="Q242" s="658">
        <v>69600</v>
      </c>
      <c r="R242" s="658">
        <v>69600</v>
      </c>
      <c r="S242" s="658">
        <f>('INTEC (listas)'!L241)</f>
        <v>74240</v>
      </c>
    </row>
    <row r="243" spans="1:19">
      <c r="A243" s="113">
        <v>220</v>
      </c>
      <c r="B243" s="113" t="s">
        <v>388</v>
      </c>
      <c r="C243" s="113" t="s">
        <v>975</v>
      </c>
      <c r="D243" s="113" t="s">
        <v>440</v>
      </c>
      <c r="E243" s="657">
        <f>('[4]INTEC (listas)'!R239)</f>
        <v>139104</v>
      </c>
      <c r="F243" s="657">
        <f>('[6]INTEC (listas)'!R239)</f>
        <v>145152</v>
      </c>
      <c r="G243" s="658">
        <v>145152</v>
      </c>
      <c r="H243" s="658">
        <v>137894.39999999999</v>
      </c>
      <c r="I243" s="658">
        <v>133297.92000000001</v>
      </c>
      <c r="J243" s="113">
        <v>133297.92000000001</v>
      </c>
      <c r="K243" s="657">
        <v>133297.92000000001</v>
      </c>
      <c r="L243" s="657">
        <v>133297.92000000001</v>
      </c>
      <c r="M243" s="657">
        <v>133297.92000000001</v>
      </c>
      <c r="N243" s="657">
        <v>135596.16</v>
      </c>
      <c r="O243" s="658">
        <v>135596.16</v>
      </c>
      <c r="P243" s="658">
        <v>140192.64000000001</v>
      </c>
      <c r="Q243" s="658">
        <v>140192.64000000001</v>
      </c>
      <c r="R243" s="658">
        <v>140192.64000000001</v>
      </c>
      <c r="S243" s="658">
        <f>('INTEC (listas)'!L242)</f>
        <v>149385.60000000001</v>
      </c>
    </row>
    <row r="244" spans="1:19">
      <c r="A244" s="113">
        <v>221</v>
      </c>
      <c r="B244" s="113" t="s">
        <v>388</v>
      </c>
      <c r="C244" s="113" t="s">
        <v>976</v>
      </c>
      <c r="D244" s="113" t="s">
        <v>438</v>
      </c>
      <c r="E244" s="657">
        <f>('[4]INTEC (listas)'!R240)</f>
        <v>22852.799999999999</v>
      </c>
      <c r="F244" s="657">
        <f>('[6]INTEC (listas)'!R240)</f>
        <v>23846.400000000001</v>
      </c>
      <c r="G244" s="658">
        <v>23846.400000000001</v>
      </c>
      <c r="H244" s="658">
        <v>22654.079999999998</v>
      </c>
      <c r="I244" s="658">
        <v>21898.944</v>
      </c>
      <c r="J244" s="113">
        <v>21898.944</v>
      </c>
      <c r="K244" s="657">
        <v>21898.944</v>
      </c>
      <c r="L244" s="657">
        <v>21898.944</v>
      </c>
      <c r="M244" s="657">
        <v>21898.944</v>
      </c>
      <c r="N244" s="657">
        <v>22276.511999999999</v>
      </c>
      <c r="O244" s="658">
        <v>22276.511999999999</v>
      </c>
      <c r="P244" s="658">
        <v>23031.647999999997</v>
      </c>
      <c r="Q244" s="658">
        <v>23031.647999999997</v>
      </c>
      <c r="R244" s="658">
        <v>23031.647999999997</v>
      </c>
      <c r="S244" s="658">
        <f>('INTEC (listas)'!L243)</f>
        <v>24541.919999999998</v>
      </c>
    </row>
    <row r="245" spans="1:19">
      <c r="A245" s="113">
        <v>222</v>
      </c>
      <c r="B245" s="113" t="s">
        <v>388</v>
      </c>
      <c r="C245" s="113" t="s">
        <v>977</v>
      </c>
      <c r="D245" s="113" t="s">
        <v>458</v>
      </c>
      <c r="E245" s="657">
        <f>('[4]INTEC (listas)'!R241)</f>
        <v>81475.199999999997</v>
      </c>
      <c r="F245" s="657">
        <f>('[6]INTEC (listas)'!R241)</f>
        <v>85017.600000000006</v>
      </c>
      <c r="G245" s="658">
        <v>85017.600000000006</v>
      </c>
      <c r="H245" s="658">
        <v>80766.720000000001</v>
      </c>
      <c r="I245" s="658">
        <v>78074.495999999999</v>
      </c>
      <c r="J245" s="113">
        <v>78074.495999999999</v>
      </c>
      <c r="K245" s="657">
        <v>78074.495999999999</v>
      </c>
      <c r="L245" s="657">
        <v>78074.495999999999</v>
      </c>
      <c r="M245" s="657">
        <v>78074.495999999999</v>
      </c>
      <c r="N245" s="657">
        <v>79420.607999999993</v>
      </c>
      <c r="O245" s="658">
        <v>79420.607999999993</v>
      </c>
      <c r="P245" s="658">
        <v>82112.831999999995</v>
      </c>
      <c r="Q245" s="658">
        <v>82112.831999999995</v>
      </c>
      <c r="R245" s="658">
        <v>82112.831999999995</v>
      </c>
      <c r="S245" s="658">
        <f>('INTEC (listas)'!L244)</f>
        <v>87497.279999999999</v>
      </c>
    </row>
    <row r="246" spans="1:19">
      <c r="A246" s="113">
        <v>223</v>
      </c>
      <c r="B246" s="113" t="s">
        <v>388</v>
      </c>
      <c r="C246" s="113" t="s">
        <v>978</v>
      </c>
      <c r="D246" s="113" t="s">
        <v>420</v>
      </c>
      <c r="E246" s="657">
        <f>('[4]INTEC (listas)'!R242)</f>
        <v>21859.200000000001</v>
      </c>
      <c r="F246" s="657">
        <f>('[6]INTEC (listas)'!R242)</f>
        <v>22809.599999999999</v>
      </c>
      <c r="G246" s="658">
        <v>22809.599999999999</v>
      </c>
      <c r="H246" s="658">
        <v>21669.120000000003</v>
      </c>
      <c r="I246" s="658">
        <v>20946.816000000003</v>
      </c>
      <c r="J246" s="113">
        <v>20946.816000000003</v>
      </c>
      <c r="K246" s="657">
        <v>20946.816000000003</v>
      </c>
      <c r="L246" s="657">
        <v>20946.816000000003</v>
      </c>
      <c r="M246" s="657">
        <v>20946.816000000003</v>
      </c>
      <c r="N246" s="657">
        <v>20768</v>
      </c>
      <c r="O246" s="658">
        <v>20768</v>
      </c>
      <c r="P246" s="658">
        <v>21472</v>
      </c>
      <c r="Q246" s="658">
        <v>21472</v>
      </c>
      <c r="R246" s="658">
        <v>21472</v>
      </c>
      <c r="S246" s="658">
        <f>('INTEC (listas)'!L245)</f>
        <v>22880.000000000004</v>
      </c>
    </row>
    <row r="247" spans="1:19">
      <c r="A247" s="113">
        <v>224</v>
      </c>
      <c r="B247" s="113" t="s">
        <v>388</v>
      </c>
      <c r="C247" s="113" t="s">
        <v>979</v>
      </c>
      <c r="D247" s="113">
        <v>100648</v>
      </c>
      <c r="E247" s="657">
        <f>('[4]INTEC (listas)'!R243)</f>
        <v>23339.250000000004</v>
      </c>
      <c r="F247" s="657">
        <f>('[6]INTEC (listas)'!R243)</f>
        <v>24354.000000000004</v>
      </c>
      <c r="G247" s="658">
        <v>24354.000000000004</v>
      </c>
      <c r="H247" s="658">
        <v>24354.000000000004</v>
      </c>
      <c r="I247" s="658">
        <v>23542.2</v>
      </c>
      <c r="J247" s="113">
        <v>23542.2</v>
      </c>
      <c r="K247" s="657">
        <v>23542.2</v>
      </c>
      <c r="L247" s="657">
        <v>23542.2</v>
      </c>
      <c r="M247" s="657">
        <v>23542.2</v>
      </c>
      <c r="N247" s="657">
        <v>23948.100000000002</v>
      </c>
      <c r="O247" s="658">
        <v>23948.100000000002</v>
      </c>
      <c r="P247" s="658">
        <v>24759.9</v>
      </c>
      <c r="Q247" s="658">
        <v>24759.9</v>
      </c>
      <c r="R247" s="658">
        <v>24759.9</v>
      </c>
      <c r="S247" s="658">
        <f>('INTEC (listas)'!L246)</f>
        <v>26383.500000000004</v>
      </c>
    </row>
    <row r="248" spans="1:19">
      <c r="A248" s="113">
        <v>225</v>
      </c>
      <c r="B248" s="113" t="s">
        <v>914</v>
      </c>
      <c r="C248" s="113" t="s">
        <v>980</v>
      </c>
      <c r="D248" s="113" t="s">
        <v>981</v>
      </c>
      <c r="E248" s="657">
        <f>('[4]INTEC (listas)'!R244)</f>
        <v>1193.4000000000001</v>
      </c>
      <c r="F248" s="657">
        <f>('[6]INTEC (listas)'!R244)</f>
        <v>1193.4000000000001</v>
      </c>
      <c r="G248" s="658">
        <v>1193.4000000000001</v>
      </c>
      <c r="H248" s="658">
        <v>1193.4000000000001</v>
      </c>
      <c r="I248" s="658">
        <v>1193.4000000000001</v>
      </c>
      <c r="J248" s="113">
        <v>1193.4000000000001</v>
      </c>
      <c r="K248" s="657">
        <v>1193.4000000000001</v>
      </c>
      <c r="L248" s="657">
        <v>1287</v>
      </c>
      <c r="M248" s="657">
        <v>1287</v>
      </c>
      <c r="N248" s="657">
        <v>1287</v>
      </c>
      <c r="O248" s="658">
        <v>1287</v>
      </c>
      <c r="P248" s="658">
        <v>1287</v>
      </c>
      <c r="Q248" s="658">
        <v>1287</v>
      </c>
      <c r="R248" s="658">
        <v>1287</v>
      </c>
      <c r="S248" s="658">
        <f>('INTEC (listas)'!L247)</f>
        <v>1108.8</v>
      </c>
    </row>
    <row r="249" spans="1:19">
      <c r="A249" s="113">
        <v>226</v>
      </c>
      <c r="B249" s="113" t="s">
        <v>914</v>
      </c>
      <c r="C249" s="113" t="s">
        <v>982</v>
      </c>
      <c r="D249" s="113" t="s">
        <v>983</v>
      </c>
      <c r="E249" s="657">
        <f>('[4]INTEC (listas)'!R245)</f>
        <v>5200.2</v>
      </c>
      <c r="F249" s="657">
        <f>('[6]INTEC (listas)'!R245)</f>
        <v>5200.2</v>
      </c>
      <c r="G249" s="658">
        <v>5200.2</v>
      </c>
      <c r="H249" s="658">
        <v>5200.2</v>
      </c>
      <c r="I249" s="658">
        <v>5200.2</v>
      </c>
      <c r="J249" s="113">
        <v>5200.2</v>
      </c>
      <c r="K249" s="657">
        <v>5200.2</v>
      </c>
      <c r="L249" s="657">
        <v>5469.3</v>
      </c>
      <c r="M249" s="657">
        <v>5469.3</v>
      </c>
      <c r="N249" s="657">
        <v>5469.3</v>
      </c>
      <c r="O249" s="658">
        <v>5469.3</v>
      </c>
      <c r="P249" s="658">
        <v>5469.3</v>
      </c>
      <c r="Q249" s="658">
        <v>5469.3</v>
      </c>
      <c r="R249" s="658">
        <v>5469.3</v>
      </c>
      <c r="S249" s="658">
        <f>('INTEC (listas)'!L248)</f>
        <v>4418.1000000000004</v>
      </c>
    </row>
    <row r="250" spans="1:19">
      <c r="A250" s="113">
        <v>186</v>
      </c>
      <c r="B250" s="113" t="s">
        <v>588</v>
      </c>
      <c r="C250" s="113" t="s">
        <v>984</v>
      </c>
      <c r="D250" s="113" t="s">
        <v>985</v>
      </c>
      <c r="E250" s="657">
        <f>('[4]INTEC (listas)'!R246)</f>
        <v>0</v>
      </c>
      <c r="F250" s="657">
        <f>('[6]INTEC (listas)'!R246)</f>
        <v>0</v>
      </c>
      <c r="G250" s="658">
        <v>0</v>
      </c>
      <c r="H250" s="658">
        <v>0</v>
      </c>
      <c r="I250" s="658"/>
      <c r="J250" s="113"/>
      <c r="K250" s="657">
        <v>0</v>
      </c>
      <c r="L250" s="657">
        <v>0</v>
      </c>
      <c r="M250" s="657"/>
      <c r="N250" s="657">
        <v>0</v>
      </c>
      <c r="O250" s="658">
        <v>0</v>
      </c>
      <c r="P250" s="658"/>
      <c r="Q250" s="658">
        <v>10</v>
      </c>
      <c r="R250" s="658">
        <v>10</v>
      </c>
      <c r="S250" s="658">
        <f>('INTEC (listas)'!L249)</f>
        <v>10</v>
      </c>
    </row>
    <row r="251" spans="1:19">
      <c r="A251" s="113">
        <v>187</v>
      </c>
      <c r="B251" s="113" t="s">
        <v>588</v>
      </c>
      <c r="C251" s="113" t="s">
        <v>986</v>
      </c>
      <c r="D251" s="113" t="s">
        <v>987</v>
      </c>
      <c r="E251" s="657">
        <f>('[4]INTEC (listas)'!R247)</f>
        <v>79625.040000000008</v>
      </c>
      <c r="F251" s="657">
        <f>('[6]INTEC (listas)'!R247)</f>
        <v>79625.040000000008</v>
      </c>
      <c r="G251" s="658">
        <v>79625.040000000008</v>
      </c>
      <c r="H251" s="658">
        <v>145427.04</v>
      </c>
      <c r="I251" s="658">
        <v>145427.04</v>
      </c>
      <c r="J251" s="113">
        <v>145427.04</v>
      </c>
      <c r="K251" s="657">
        <v>145427.04</v>
      </c>
      <c r="L251" s="657">
        <v>145427.04</v>
      </c>
      <c r="M251" s="657">
        <v>145427.04</v>
      </c>
      <c r="N251" s="657">
        <v>145427.04</v>
      </c>
      <c r="O251" s="658">
        <v>145427.04</v>
      </c>
      <c r="P251" s="658">
        <v>145427.04</v>
      </c>
      <c r="Q251" s="658">
        <v>145427.04</v>
      </c>
      <c r="R251" s="658">
        <v>145427.04</v>
      </c>
      <c r="S251" s="658">
        <f>('INTEC (listas)'!L250)</f>
        <v>145427.04</v>
      </c>
    </row>
    <row r="252" spans="1:19">
      <c r="A252" s="113">
        <v>227</v>
      </c>
      <c r="B252" s="113" t="s">
        <v>388</v>
      </c>
      <c r="C252" s="113" t="s">
        <v>385</v>
      </c>
      <c r="D252" s="113">
        <v>19282</v>
      </c>
      <c r="E252" s="657">
        <f>('[4]INTEC (listas)'!R248)</f>
        <v>22852.799999999999</v>
      </c>
      <c r="F252" s="657">
        <f>('[6]INTEC (listas)'!R248)</f>
        <v>19644</v>
      </c>
      <c r="G252" s="658">
        <v>16972.416000000001</v>
      </c>
      <c r="H252" s="658">
        <v>16123.795200000002</v>
      </c>
      <c r="I252" s="658">
        <v>15586.335360000003</v>
      </c>
      <c r="J252" s="658">
        <v>15586.335360000003</v>
      </c>
      <c r="K252" s="657">
        <v>15586.335360000003</v>
      </c>
      <c r="L252" s="657">
        <v>15586.335360000003</v>
      </c>
      <c r="M252" s="657">
        <v>15586.335360000003</v>
      </c>
      <c r="N252" s="657">
        <v>15855.065280000003</v>
      </c>
      <c r="O252" s="658">
        <v>19303.081919999997</v>
      </c>
      <c r="P252" s="658">
        <v>19957.42368</v>
      </c>
      <c r="Q252" s="658">
        <v>17856.642240000001</v>
      </c>
      <c r="R252" s="658">
        <v>17856.642240000001</v>
      </c>
      <c r="S252" s="658">
        <f>('INTEC (listas)'!L251)</f>
        <v>19027.569599999999</v>
      </c>
    </row>
    <row r="253" spans="1:19">
      <c r="A253" s="113">
        <v>188</v>
      </c>
      <c r="B253" s="113" t="s">
        <v>988</v>
      </c>
      <c r="C253" s="113" t="s">
        <v>989</v>
      </c>
      <c r="D253" s="113" t="s">
        <v>990</v>
      </c>
      <c r="E253" s="657">
        <f>('[4]INTEC (listas)'!R249)</f>
        <v>0</v>
      </c>
      <c r="F253" s="657">
        <f>('[6]INTEC (listas)'!R249)</f>
        <v>0</v>
      </c>
      <c r="G253" s="658">
        <v>0</v>
      </c>
      <c r="H253" s="658">
        <v>0</v>
      </c>
      <c r="I253" s="658"/>
      <c r="J253" s="113"/>
      <c r="K253" s="657">
        <v>0</v>
      </c>
      <c r="L253" s="657">
        <v>0</v>
      </c>
      <c r="M253" s="657"/>
      <c r="N253" s="657">
        <v>0</v>
      </c>
      <c r="O253" s="658">
        <v>0</v>
      </c>
      <c r="P253" s="658"/>
      <c r="Q253" s="658">
        <v>10</v>
      </c>
      <c r="R253" s="658">
        <v>10</v>
      </c>
      <c r="S253" s="658">
        <f>('INTEC (listas)'!L252)</f>
        <v>10</v>
      </c>
    </row>
    <row r="254" spans="1:19">
      <c r="A254" s="113">
        <v>228</v>
      </c>
      <c r="B254" s="113" t="s">
        <v>388</v>
      </c>
      <c r="C254" s="113" t="s">
        <v>991</v>
      </c>
      <c r="D254" s="113" t="s">
        <v>456</v>
      </c>
      <c r="E254" s="657">
        <f>('[4]INTEC (listas)'!R250)</f>
        <v>78494.399999999994</v>
      </c>
      <c r="F254" s="657">
        <f>('[6]INTEC (listas)'!R250)</f>
        <v>81907.199999999997</v>
      </c>
      <c r="G254" s="658">
        <v>81907.199999999997</v>
      </c>
      <c r="H254" s="658">
        <v>77811.839999999997</v>
      </c>
      <c r="I254" s="658">
        <v>75218.111999999994</v>
      </c>
      <c r="J254" s="113">
        <v>75218.111999999994</v>
      </c>
      <c r="K254" s="657">
        <v>75218.111999999994</v>
      </c>
      <c r="L254" s="657">
        <v>75218.111999999994</v>
      </c>
      <c r="M254" s="657">
        <v>75218.111999999994</v>
      </c>
      <c r="N254" s="657">
        <v>76514.975999999995</v>
      </c>
      <c r="O254" s="658">
        <v>76514.975999999995</v>
      </c>
      <c r="P254" s="658">
        <v>79108.703999999998</v>
      </c>
      <c r="Q254" s="658">
        <v>79108.703999999998</v>
      </c>
      <c r="R254" s="658">
        <v>79108.703999999998</v>
      </c>
      <c r="S254" s="658">
        <f>('INTEC (listas)'!L253)</f>
        <v>84296.159999999989</v>
      </c>
    </row>
    <row r="255" spans="1:19">
      <c r="A255" s="113">
        <v>366</v>
      </c>
      <c r="B255" s="113" t="s">
        <v>306</v>
      </c>
      <c r="C255" s="113" t="s">
        <v>992</v>
      </c>
      <c r="D255" s="113" t="s">
        <v>301</v>
      </c>
      <c r="E255" s="657">
        <f>('[4]INTEC (listas)'!R251)</f>
        <v>30380.165289256198</v>
      </c>
      <c r="F255" s="657">
        <f>('[6]INTEC (listas)'!R251)</f>
        <v>30380.165289256198</v>
      </c>
      <c r="G255" s="658">
        <v>25975.041322314049</v>
      </c>
      <c r="H255" s="658">
        <v>25975.041322314049</v>
      </c>
      <c r="I255" s="658">
        <v>27342.148760330576</v>
      </c>
      <c r="J255" s="113">
        <v>27342.148760330576</v>
      </c>
      <c r="K255" s="657">
        <v>28162.413223140495</v>
      </c>
      <c r="L255" s="657">
        <v>28162.413223140495</v>
      </c>
      <c r="M255" s="657">
        <v>28162.413223140495</v>
      </c>
      <c r="N255" s="657">
        <v>28162.413223140495</v>
      </c>
      <c r="O255" s="658">
        <v>28162.413223140495</v>
      </c>
      <c r="P255" s="658">
        <v>28162.413223140495</v>
      </c>
      <c r="Q255" s="658">
        <v>32810.578512396693</v>
      </c>
      <c r="R255" s="658">
        <v>27954.30909090909</v>
      </c>
      <c r="S255" s="658">
        <f>('INTEC (listas)'!L254)</f>
        <v>29942.690909090907</v>
      </c>
    </row>
    <row r="256" spans="1:19">
      <c r="A256" s="113">
        <v>178</v>
      </c>
      <c r="B256" s="113" t="s">
        <v>588</v>
      </c>
      <c r="C256" s="113" t="s">
        <v>993</v>
      </c>
      <c r="D256" s="113" t="s">
        <v>994</v>
      </c>
      <c r="E256" s="657">
        <f>('[4]INTEC (listas)'!R252)</f>
        <v>38160</v>
      </c>
      <c r="F256" s="657">
        <f>('[6]INTEC (listas)'!R252)</f>
        <v>38902</v>
      </c>
      <c r="G256" s="658">
        <v>38902</v>
      </c>
      <c r="H256" s="658">
        <v>38902</v>
      </c>
      <c r="I256" s="658">
        <v>38902</v>
      </c>
      <c r="J256" s="658">
        <v>38902</v>
      </c>
      <c r="K256" s="657">
        <v>38902</v>
      </c>
      <c r="L256" s="657">
        <v>38902</v>
      </c>
      <c r="M256" s="657">
        <v>38902</v>
      </c>
      <c r="N256" s="657">
        <v>38902</v>
      </c>
      <c r="O256" s="658">
        <v>38902</v>
      </c>
      <c r="P256" s="658">
        <v>47011</v>
      </c>
      <c r="Q256" s="658">
        <v>47011</v>
      </c>
      <c r="R256" s="658">
        <v>47011</v>
      </c>
      <c r="S256" s="658">
        <f>('INTEC (listas)'!L255)</f>
        <v>47011</v>
      </c>
    </row>
    <row r="257" spans="1:19">
      <c r="A257" s="113">
        <v>179</v>
      </c>
      <c r="B257" s="113" t="s">
        <v>772</v>
      </c>
      <c r="C257" s="113" t="s">
        <v>995</v>
      </c>
      <c r="D257" s="113" t="s">
        <v>996</v>
      </c>
      <c r="E257" s="657">
        <f>('[4]INTEC (listas)'!R253)</f>
        <v>0</v>
      </c>
      <c r="F257" s="657">
        <f>('[6]INTEC (listas)'!R253)</f>
        <v>0</v>
      </c>
      <c r="G257" s="658">
        <v>0</v>
      </c>
      <c r="H257" s="658">
        <v>0</v>
      </c>
      <c r="I257" s="658"/>
      <c r="J257" s="113"/>
      <c r="K257" s="657">
        <v>0</v>
      </c>
      <c r="L257" s="657">
        <v>0</v>
      </c>
      <c r="M257" s="657"/>
      <c r="N257" s="657">
        <v>0</v>
      </c>
      <c r="O257" s="658">
        <v>0</v>
      </c>
      <c r="P257" s="658"/>
      <c r="Q257" s="658">
        <v>10</v>
      </c>
      <c r="R257" s="658">
        <v>10</v>
      </c>
      <c r="S257" s="658">
        <f>('INTEC (listas)'!L256)</f>
        <v>10</v>
      </c>
    </row>
    <row r="258" spans="1:19">
      <c r="A258" s="113">
        <v>229</v>
      </c>
      <c r="B258" s="113" t="s">
        <v>997</v>
      </c>
      <c r="C258" s="113" t="s">
        <v>998</v>
      </c>
      <c r="D258" s="113" t="s">
        <v>999</v>
      </c>
      <c r="E258" s="657">
        <f>('[4]INTEC (listas)'!R254)</f>
        <v>0</v>
      </c>
      <c r="F258" s="657">
        <f>('[6]INTEC (listas)'!R254)</f>
        <v>0</v>
      </c>
      <c r="G258" s="658">
        <v>0</v>
      </c>
      <c r="H258" s="658">
        <v>0</v>
      </c>
      <c r="I258" s="658"/>
      <c r="J258" s="113"/>
      <c r="K258" s="657">
        <v>0</v>
      </c>
      <c r="L258" s="657">
        <v>0</v>
      </c>
      <c r="M258" s="657"/>
      <c r="N258" s="657">
        <v>0</v>
      </c>
      <c r="O258" s="658">
        <v>0</v>
      </c>
      <c r="P258" s="658"/>
      <c r="Q258" s="658">
        <v>10</v>
      </c>
      <c r="R258" s="658">
        <v>10</v>
      </c>
      <c r="S258" s="658">
        <f>('INTEC (listas)'!L257)</f>
        <v>10</v>
      </c>
    </row>
    <row r="259" spans="1:19">
      <c r="A259" s="113">
        <v>191</v>
      </c>
      <c r="B259" s="113" t="s">
        <v>308</v>
      </c>
      <c r="C259" s="113" t="s">
        <v>1000</v>
      </c>
      <c r="D259" s="113" t="s">
        <v>1001</v>
      </c>
      <c r="E259" s="657">
        <f>('[4]INTEC (listas)'!R255)</f>
        <v>296508.76799999998</v>
      </c>
      <c r="F259" s="657">
        <f>('[6]INTEC (listas)'!R255)</f>
        <v>327718.33600000001</v>
      </c>
      <c r="G259" s="658">
        <v>327718.33600000001</v>
      </c>
      <c r="H259" s="658">
        <v>329340.70400000003</v>
      </c>
      <c r="I259" s="658">
        <v>329340.70400000003</v>
      </c>
      <c r="J259" s="113">
        <v>324473.59999999998</v>
      </c>
      <c r="K259" s="657">
        <v>324473.59999999998</v>
      </c>
      <c r="L259" s="657">
        <v>324473.59999999998</v>
      </c>
      <c r="M259" s="657">
        <v>250960.05</v>
      </c>
      <c r="N259" s="657">
        <v>250960.05</v>
      </c>
      <c r="O259" s="658">
        <v>243355.2</v>
      </c>
      <c r="P259" s="658">
        <v>250960.05</v>
      </c>
      <c r="Q259" s="658">
        <v>263508.3</v>
      </c>
      <c r="R259" s="658">
        <v>212508.62</v>
      </c>
      <c r="S259" s="658">
        <f>('INTEC (listas)'!L258)</f>
        <v>189591.28016528927</v>
      </c>
    </row>
    <row r="260" spans="1:19">
      <c r="A260" s="113">
        <v>181</v>
      </c>
      <c r="B260" s="113" t="s">
        <v>772</v>
      </c>
      <c r="C260" s="113" t="s">
        <v>1002</v>
      </c>
      <c r="D260" s="113" t="s">
        <v>1003</v>
      </c>
      <c r="E260" s="657">
        <f>('[4]INTEC (listas)'!R256)</f>
        <v>0</v>
      </c>
      <c r="F260" s="657">
        <f>('[6]INTEC (listas)'!R256)</f>
        <v>0</v>
      </c>
      <c r="G260" s="658">
        <v>0</v>
      </c>
      <c r="H260" s="658">
        <v>0</v>
      </c>
      <c r="I260" s="658"/>
      <c r="J260" s="113"/>
      <c r="K260" s="657">
        <v>0</v>
      </c>
      <c r="L260" s="657">
        <v>0</v>
      </c>
      <c r="M260" s="657"/>
      <c r="N260" s="657">
        <v>0</v>
      </c>
      <c r="O260" s="658">
        <v>0</v>
      </c>
      <c r="P260" s="658"/>
      <c r="Q260" s="658">
        <v>10</v>
      </c>
      <c r="R260" s="658">
        <v>10</v>
      </c>
      <c r="S260" s="658">
        <f>('INTEC (listas)'!L259)</f>
        <v>10</v>
      </c>
    </row>
    <row r="261" spans="1:19">
      <c r="A261" s="113">
        <v>182</v>
      </c>
      <c r="B261" s="113" t="s">
        <v>772</v>
      </c>
      <c r="C261" s="113" t="s">
        <v>1004</v>
      </c>
      <c r="D261" s="113" t="s">
        <v>1005</v>
      </c>
      <c r="E261" s="657">
        <f>('[4]INTEC (listas)'!R257)</f>
        <v>0</v>
      </c>
      <c r="F261" s="657">
        <f>('[6]INTEC (listas)'!R257)</f>
        <v>0</v>
      </c>
      <c r="G261" s="658">
        <v>0</v>
      </c>
      <c r="H261" s="658">
        <v>0</v>
      </c>
      <c r="I261" s="658"/>
      <c r="J261" s="113"/>
      <c r="K261" s="657">
        <v>0</v>
      </c>
      <c r="L261" s="657">
        <v>0</v>
      </c>
      <c r="M261" s="657"/>
      <c r="N261" s="657">
        <v>0</v>
      </c>
      <c r="O261" s="658">
        <v>0</v>
      </c>
      <c r="P261" s="658"/>
      <c r="Q261" s="658">
        <v>10</v>
      </c>
      <c r="R261" s="658">
        <v>10</v>
      </c>
      <c r="S261" s="658">
        <f>('INTEC (listas)'!L260)</f>
        <v>10</v>
      </c>
    </row>
    <row r="262" spans="1:19">
      <c r="A262" s="113">
        <v>183</v>
      </c>
      <c r="B262" s="113" t="s">
        <v>588</v>
      </c>
      <c r="C262" s="113" t="s">
        <v>1006</v>
      </c>
      <c r="D262" s="113" t="s">
        <v>1007</v>
      </c>
      <c r="E262" s="657">
        <f>('[4]INTEC (listas)'!R258)</f>
        <v>25970</v>
      </c>
      <c r="F262" s="657">
        <f>('[6]INTEC (listas)'!R258)</f>
        <v>26500</v>
      </c>
      <c r="G262" s="658">
        <v>26500</v>
      </c>
      <c r="H262" s="658">
        <v>26500</v>
      </c>
      <c r="I262" s="658">
        <v>26500</v>
      </c>
      <c r="J262" s="113">
        <v>26500</v>
      </c>
      <c r="K262" s="657">
        <v>26500</v>
      </c>
      <c r="L262" s="657">
        <v>26500</v>
      </c>
      <c r="M262" s="657">
        <v>26500</v>
      </c>
      <c r="N262" s="657">
        <v>26500</v>
      </c>
      <c r="O262" s="658">
        <v>26500</v>
      </c>
      <c r="P262" s="658">
        <v>27189</v>
      </c>
      <c r="Q262" s="658">
        <v>27189</v>
      </c>
      <c r="R262" s="658">
        <v>27189</v>
      </c>
      <c r="S262" s="658">
        <f>('INTEC (listas)'!L261)</f>
        <v>27189</v>
      </c>
    </row>
    <row r="263" spans="1:19">
      <c r="A263" s="113">
        <v>184</v>
      </c>
      <c r="B263" s="113" t="s">
        <v>588</v>
      </c>
      <c r="C263" s="113" t="s">
        <v>1008</v>
      </c>
      <c r="D263" s="113" t="s">
        <v>1009</v>
      </c>
      <c r="E263" s="657">
        <f>('[4]INTEC (listas)'!R259)</f>
        <v>182850</v>
      </c>
      <c r="F263" s="657">
        <f>('[6]INTEC (listas)'!R259)</f>
        <v>186507</v>
      </c>
      <c r="G263" s="658">
        <v>186507</v>
      </c>
      <c r="H263" s="658">
        <v>186507</v>
      </c>
      <c r="I263" s="658">
        <v>186507</v>
      </c>
      <c r="J263" s="658">
        <v>186507</v>
      </c>
      <c r="K263" s="657">
        <v>186507</v>
      </c>
      <c r="L263" s="657">
        <v>186507</v>
      </c>
      <c r="M263" s="657">
        <v>186507</v>
      </c>
      <c r="N263" s="657">
        <v>186507</v>
      </c>
      <c r="O263" s="658">
        <v>186507</v>
      </c>
      <c r="P263" s="658">
        <v>200605</v>
      </c>
      <c r="Q263" s="658">
        <v>200605</v>
      </c>
      <c r="R263" s="658">
        <v>200605</v>
      </c>
      <c r="S263" s="658">
        <f>('INTEC (listas)'!L262)</f>
        <v>200605</v>
      </c>
    </row>
    <row r="264" spans="1:19">
      <c r="A264" s="113">
        <v>185</v>
      </c>
      <c r="B264" s="113" t="s">
        <v>588</v>
      </c>
      <c r="C264" s="113" t="s">
        <v>1010</v>
      </c>
      <c r="D264" s="113" t="s">
        <v>1011</v>
      </c>
      <c r="E264" s="657">
        <f>('[4]INTEC (listas)'!R260)</f>
        <v>291015.58</v>
      </c>
      <c r="F264" s="657">
        <f>('[6]INTEC (listas)'!R260)</f>
        <v>294150</v>
      </c>
      <c r="G264" s="658">
        <v>294150</v>
      </c>
      <c r="H264" s="658">
        <v>294150</v>
      </c>
      <c r="I264" s="658">
        <v>294150</v>
      </c>
      <c r="J264" s="658">
        <v>294150</v>
      </c>
      <c r="K264" s="657">
        <v>294150</v>
      </c>
      <c r="L264" s="657">
        <v>294150</v>
      </c>
      <c r="M264" s="657">
        <v>294150</v>
      </c>
      <c r="N264" s="657">
        <v>294150</v>
      </c>
      <c r="O264" s="658">
        <v>294150</v>
      </c>
      <c r="P264" s="658">
        <v>294150</v>
      </c>
      <c r="Q264" s="658">
        <v>294150</v>
      </c>
      <c r="R264" s="658">
        <v>294150</v>
      </c>
      <c r="S264" s="658">
        <f>('INTEC (listas)'!L263)</f>
        <v>294150</v>
      </c>
    </row>
    <row r="265" spans="1:19">
      <c r="A265" s="113">
        <v>230</v>
      </c>
      <c r="B265" s="113"/>
      <c r="C265" s="113" t="s">
        <v>190</v>
      </c>
      <c r="D265" s="113"/>
      <c r="E265" s="657"/>
      <c r="F265" s="657"/>
      <c r="G265" s="658"/>
      <c r="H265" s="658"/>
      <c r="I265" s="658"/>
      <c r="J265" s="658"/>
      <c r="K265" s="657"/>
      <c r="L265" s="657"/>
      <c r="M265" s="657"/>
      <c r="N265" s="657"/>
      <c r="O265" s="658"/>
      <c r="P265" s="658"/>
      <c r="Q265" s="658">
        <v>35510</v>
      </c>
      <c r="R265" s="658">
        <v>35510</v>
      </c>
      <c r="S265" s="658">
        <f>('INTEC (listas)'!L264)</f>
        <v>35510</v>
      </c>
    </row>
    <row r="266" spans="1:19">
      <c r="A266" s="113">
        <v>359</v>
      </c>
      <c r="B266" s="113" t="s">
        <v>651</v>
      </c>
      <c r="C266" s="113" t="s">
        <v>1012</v>
      </c>
      <c r="D266" s="113" t="s">
        <v>1013</v>
      </c>
      <c r="E266" s="657">
        <f>('[4]INTEC (listas)'!R262)</f>
        <v>85631.391449999996</v>
      </c>
      <c r="F266" s="657">
        <f>('[6]INTEC (listas)'!R262)</f>
        <v>89912.961022499992</v>
      </c>
      <c r="G266" s="658">
        <v>92610.349853174994</v>
      </c>
      <c r="H266" s="658">
        <v>92610.349853174994</v>
      </c>
      <c r="I266" s="658">
        <v>92610.349853174994</v>
      </c>
      <c r="J266" s="113">
        <v>92610.349853174994</v>
      </c>
      <c r="K266" s="657">
        <v>92610.349853174994</v>
      </c>
      <c r="L266" s="657">
        <v>70383.928106250009</v>
      </c>
      <c r="M266" s="657">
        <f>(M71)</f>
        <v>68113.47881249999</v>
      </c>
      <c r="N266" s="657">
        <v>66751.209236249997</v>
      </c>
      <c r="O266" s="658">
        <v>66751.209236249997</v>
      </c>
      <c r="P266" s="658">
        <v>72191.432789004393</v>
      </c>
      <c r="Q266" s="658">
        <v>73635.261444784468</v>
      </c>
      <c r="R266" s="658">
        <v>75844.319288128012</v>
      </c>
      <c r="S266" s="658">
        <f>('INTEC (listas)'!L265)</f>
        <v>78119.36595539999</v>
      </c>
    </row>
    <row r="267" spans="1:19">
      <c r="A267" s="113">
        <v>360</v>
      </c>
      <c r="B267" s="113" t="s">
        <v>651</v>
      </c>
      <c r="C267" s="113" t="s">
        <v>1014</v>
      </c>
      <c r="D267" s="113" t="s">
        <v>1015</v>
      </c>
      <c r="E267" s="657">
        <f>('[4]INTEC (listas)'!R263)</f>
        <v>97866.573749999996</v>
      </c>
      <c r="F267" s="657">
        <f>('[6]INTEC (listas)'!R263)</f>
        <v>102759.9024375</v>
      </c>
      <c r="G267" s="658">
        <v>105842.699510625</v>
      </c>
      <c r="H267" s="658">
        <v>105842.699510625</v>
      </c>
      <c r="I267" s="658">
        <v>105842.699510625</v>
      </c>
      <c r="J267" s="113">
        <v>105842.699510625</v>
      </c>
      <c r="K267" s="657">
        <v>105842.699510625</v>
      </c>
      <c r="L267" s="657">
        <v>85467.982800750004</v>
      </c>
      <c r="M267" s="657">
        <f>(M72)</f>
        <v>82710.951097499987</v>
      </c>
      <c r="N267" s="657">
        <v>81056.732075549982</v>
      </c>
      <c r="O267" s="658">
        <v>81056.732075549982</v>
      </c>
      <c r="P267" s="658">
        <v>87662.855739707316</v>
      </c>
      <c r="Q267" s="658">
        <v>89416.11285450148</v>
      </c>
      <c r="R267" s="658">
        <v>92098.59624013651</v>
      </c>
      <c r="S267" s="658">
        <f>('INTEC (listas)'!L266)</f>
        <v>94861.592906849997</v>
      </c>
    </row>
    <row r="268" spans="1:19">
      <c r="A268" s="113">
        <v>231</v>
      </c>
      <c r="B268" s="113" t="s">
        <v>388</v>
      </c>
      <c r="C268" s="113" t="s">
        <v>1016</v>
      </c>
      <c r="D268" s="113">
        <v>18200</v>
      </c>
      <c r="E268" s="657">
        <f>('[4]INTEC (listas)'!R264)</f>
        <v>32033.71</v>
      </c>
      <c r="F268" s="657">
        <f>('[6]INTEC (listas)'!R264)</f>
        <v>33426.479999999996</v>
      </c>
      <c r="G268" s="658">
        <v>33426.479999999996</v>
      </c>
      <c r="H268" s="658">
        <v>33426.479999999996</v>
      </c>
      <c r="I268" s="658">
        <v>32312.263999999999</v>
      </c>
      <c r="J268" s="113">
        <v>32312.263999999999</v>
      </c>
      <c r="K268" s="657">
        <v>32312.263999999999</v>
      </c>
      <c r="L268" s="657">
        <v>32312.263999999999</v>
      </c>
      <c r="M268" s="657">
        <v>32312.263999999999</v>
      </c>
      <c r="N268" s="657">
        <v>32869.372000000003</v>
      </c>
      <c r="O268" s="658">
        <v>31282.507999999994</v>
      </c>
      <c r="P268" s="658">
        <v>32342.931999999997</v>
      </c>
      <c r="Q268" s="658">
        <v>32342.931999999997</v>
      </c>
      <c r="R268" s="658">
        <v>32342.931999999997</v>
      </c>
      <c r="S268" s="658">
        <f>('INTEC (listas)'!L267)</f>
        <v>34463.78</v>
      </c>
    </row>
    <row r="269" spans="1:19">
      <c r="A269" s="113">
        <v>232</v>
      </c>
      <c r="B269" s="113" t="s">
        <v>388</v>
      </c>
      <c r="C269" s="113" t="s">
        <v>1017</v>
      </c>
      <c r="D269" s="113">
        <v>20220</v>
      </c>
      <c r="E269" s="657">
        <f>('[4]INTEC (listas)'!R265)</f>
        <v>9486.58</v>
      </c>
      <c r="F269" s="657">
        <f>('[6]INTEC (listas)'!R265)</f>
        <v>9899.0400000000009</v>
      </c>
      <c r="G269" s="658">
        <v>9899.0400000000009</v>
      </c>
      <c r="H269" s="658">
        <v>9899.0400000000009</v>
      </c>
      <c r="I269" s="658">
        <v>9569.0720000000001</v>
      </c>
      <c r="J269" s="658">
        <v>9569.0720000000001</v>
      </c>
      <c r="K269" s="657">
        <v>9569.0720000000001</v>
      </c>
      <c r="L269" s="657">
        <v>9569.0720000000001</v>
      </c>
      <c r="M269" s="657">
        <v>9569.0720000000001</v>
      </c>
      <c r="N269" s="657">
        <v>9734.0560000000005</v>
      </c>
      <c r="O269" s="658">
        <v>8514.880000000001</v>
      </c>
      <c r="P269" s="658">
        <v>8803.52</v>
      </c>
      <c r="Q269" s="658">
        <v>8803.52</v>
      </c>
      <c r="R269" s="658">
        <v>8803.52</v>
      </c>
      <c r="S269" s="658">
        <f>('INTEC (listas)'!L268)</f>
        <v>9380.8000000000011</v>
      </c>
    </row>
    <row r="270" spans="1:19">
      <c r="A270" s="113">
        <v>233</v>
      </c>
      <c r="B270" s="113" t="s">
        <v>388</v>
      </c>
      <c r="C270" s="113" t="s">
        <v>1018</v>
      </c>
      <c r="D270" s="113" t="s">
        <v>1019</v>
      </c>
      <c r="E270" s="657">
        <f>('[4]INTEC (listas)'!R266)</f>
        <v>145065.60000000001</v>
      </c>
      <c r="F270" s="657">
        <f>('[6]INTEC (listas)'!R266)</f>
        <v>151372.80000000002</v>
      </c>
      <c r="G270" s="658">
        <v>151372.80000000002</v>
      </c>
      <c r="H270" s="658">
        <v>143804.16</v>
      </c>
      <c r="I270" s="658">
        <v>139010.68799999999</v>
      </c>
      <c r="J270" s="658">
        <v>139010.68799999999</v>
      </c>
      <c r="K270" s="657">
        <v>139010.68799999999</v>
      </c>
      <c r="L270" s="657">
        <v>139010.68799999999</v>
      </c>
      <c r="M270" s="657">
        <v>139010.68799999999</v>
      </c>
      <c r="N270" s="657">
        <v>141407.424</v>
      </c>
      <c r="O270" s="658">
        <v>141407.424</v>
      </c>
      <c r="P270" s="658">
        <v>146200.89600000001</v>
      </c>
      <c r="Q270" s="658">
        <v>146200.89600000001</v>
      </c>
      <c r="R270" s="658">
        <v>146200.89600000001</v>
      </c>
      <c r="S270" s="658">
        <f>('INTEC (listas)'!L269)</f>
        <v>155787.84</v>
      </c>
    </row>
    <row r="271" spans="1:19">
      <c r="A271" s="113">
        <v>342</v>
      </c>
      <c r="B271" s="113" t="s">
        <v>388</v>
      </c>
      <c r="C271" s="113" t="s">
        <v>445</v>
      </c>
      <c r="D271" s="113" t="s">
        <v>446</v>
      </c>
      <c r="E271" s="657">
        <f>('[4]INTEC (listas)'!R267)</f>
        <v>67564.799999999988</v>
      </c>
      <c r="F271" s="657">
        <f>('[6]INTEC (listas)'!R267)</f>
        <v>87091.199999999997</v>
      </c>
      <c r="G271" s="658">
        <v>87091.199999999997</v>
      </c>
      <c r="H271" s="658">
        <v>82736.639999999999</v>
      </c>
      <c r="I271" s="658">
        <v>79978.751999999993</v>
      </c>
      <c r="J271" s="113">
        <v>79978.751999999993</v>
      </c>
      <c r="K271" s="657">
        <v>79978.751999999993</v>
      </c>
      <c r="L271" s="657">
        <v>79978.751999999993</v>
      </c>
      <c r="M271" s="657">
        <v>79978.751999999993</v>
      </c>
      <c r="N271" s="657">
        <v>81357.695999999996</v>
      </c>
      <c r="O271" s="658">
        <v>81357.695999999996</v>
      </c>
      <c r="P271" s="658">
        <v>84115.583999999988</v>
      </c>
      <c r="Q271" s="658">
        <v>84115.583999999988</v>
      </c>
      <c r="R271" s="658">
        <v>84115.583999999988</v>
      </c>
      <c r="S271" s="658">
        <f>('INTEC (listas)'!L270)</f>
        <v>89631.360000000001</v>
      </c>
    </row>
    <row r="272" spans="1:19">
      <c r="A272" s="113">
        <v>192</v>
      </c>
      <c r="B272" s="113" t="s">
        <v>308</v>
      </c>
      <c r="C272" s="113" t="s">
        <v>1020</v>
      </c>
      <c r="D272" s="113" t="s">
        <v>1021</v>
      </c>
      <c r="E272" s="657">
        <f>('[4]INTEC (listas)'!R268)</f>
        <v>96948.948824000006</v>
      </c>
      <c r="F272" s="657">
        <f>('[6]INTEC (listas)'!R268)</f>
        <v>99827.115648000006</v>
      </c>
      <c r="G272" s="658">
        <v>99827.115648000006</v>
      </c>
      <c r="H272" s="658">
        <v>97747.384072000001</v>
      </c>
      <c r="I272" s="658">
        <v>97747.384072000001</v>
      </c>
      <c r="J272" s="113">
        <v>101726.00099999999</v>
      </c>
      <c r="K272" s="657">
        <v>91570.05</v>
      </c>
      <c r="L272" s="657">
        <v>91570.05</v>
      </c>
      <c r="M272" s="657">
        <v>91570.05</v>
      </c>
      <c r="N272" s="657">
        <v>91570.05</v>
      </c>
      <c r="O272" s="658">
        <v>92155.199999999997</v>
      </c>
      <c r="P272" s="658">
        <v>95035.05</v>
      </c>
      <c r="Q272" s="658">
        <v>100826.55</v>
      </c>
      <c r="R272" s="658">
        <v>95734.3</v>
      </c>
      <c r="S272" s="658">
        <f>('INTEC (listas)'!L271)</f>
        <v>88335.412396694213</v>
      </c>
    </row>
    <row r="273" spans="1:19">
      <c r="A273" s="113">
        <v>193</v>
      </c>
      <c r="B273" s="113" t="s">
        <v>651</v>
      </c>
      <c r="C273" s="113" t="s">
        <v>1022</v>
      </c>
      <c r="D273" s="113" t="s">
        <v>1023</v>
      </c>
      <c r="E273" s="657">
        <f>('[4]INTEC (listas)'!R269)</f>
        <v>159032.56215000001</v>
      </c>
      <c r="F273" s="657">
        <f>('[6]INTEC (listas)'!R269)</f>
        <v>166984.19025749998</v>
      </c>
      <c r="G273" s="658">
        <v>171993.71596522501</v>
      </c>
      <c r="H273" s="658">
        <v>171993.71596522501</v>
      </c>
      <c r="I273" s="658">
        <v>171993.71596522501</v>
      </c>
      <c r="J273" s="113">
        <v>171993.71596522501</v>
      </c>
      <c r="K273" s="657">
        <v>171993.71596522501</v>
      </c>
      <c r="L273" s="657">
        <v>138884.82394875001</v>
      </c>
      <c r="M273" s="657">
        <v>134404.66833750001</v>
      </c>
      <c r="N273" s="657">
        <v>131716.57497075002</v>
      </c>
      <c r="O273" s="658">
        <v>131716.57497075002</v>
      </c>
      <c r="P273" s="658">
        <v>142451.47583086614</v>
      </c>
      <c r="Q273" s="658">
        <v>145300.50534748347</v>
      </c>
      <c r="R273" s="658">
        <v>149659.52050790796</v>
      </c>
      <c r="S273" s="658">
        <f>('INTEC (listas)'!L272)</f>
        <v>154149.36206670001</v>
      </c>
    </row>
    <row r="274" spans="1:19">
      <c r="A274" s="113">
        <v>235</v>
      </c>
      <c r="B274" s="113" t="s">
        <v>893</v>
      </c>
      <c r="C274" s="113" t="s">
        <v>1024</v>
      </c>
      <c r="D274" s="113" t="s">
        <v>1025</v>
      </c>
      <c r="E274" s="657">
        <f>('[4]INTEC (listas)'!R270)</f>
        <v>0</v>
      </c>
      <c r="F274" s="657">
        <f>('[6]INTEC (listas)'!R270)</f>
        <v>0</v>
      </c>
      <c r="G274" s="658">
        <v>0</v>
      </c>
      <c r="H274" s="658">
        <v>0</v>
      </c>
      <c r="I274" s="658"/>
      <c r="J274" s="113"/>
      <c r="K274" s="657">
        <v>0</v>
      </c>
      <c r="L274" s="657">
        <v>0</v>
      </c>
      <c r="M274" s="657"/>
      <c r="N274" s="657">
        <v>0</v>
      </c>
      <c r="O274" s="658">
        <v>0</v>
      </c>
      <c r="P274" s="658"/>
      <c r="Q274" s="658">
        <v>10</v>
      </c>
      <c r="R274" s="658">
        <v>10</v>
      </c>
      <c r="S274" s="658">
        <f>('INTEC (listas)'!L273)</f>
        <v>10</v>
      </c>
    </row>
    <row r="275" spans="1:19">
      <c r="A275" s="113">
        <v>236</v>
      </c>
      <c r="B275" s="113" t="s">
        <v>388</v>
      </c>
      <c r="C275" s="113" t="s">
        <v>1026</v>
      </c>
      <c r="D275" s="113" t="s">
        <v>462</v>
      </c>
      <c r="E275" s="657">
        <f>('[4]INTEC (listas)'!R271)</f>
        <v>31795.200000000001</v>
      </c>
      <c r="F275" s="657">
        <f>('[6]INTEC (listas)'!R271)</f>
        <v>33177.599999999999</v>
      </c>
      <c r="G275" s="658">
        <v>33177.599999999999</v>
      </c>
      <c r="H275" s="658">
        <v>31518.719999999998</v>
      </c>
      <c r="I275" s="658">
        <v>30468.095999999998</v>
      </c>
      <c r="J275" s="113">
        <v>30468.095999999998</v>
      </c>
      <c r="K275" s="657">
        <v>30468.095999999998</v>
      </c>
      <c r="L275" s="657">
        <v>24755.328000000001</v>
      </c>
      <c r="M275" s="657">
        <v>24755.328000000001</v>
      </c>
      <c r="N275" s="657">
        <v>25182.144</v>
      </c>
      <c r="O275" s="658">
        <v>25182.144</v>
      </c>
      <c r="P275" s="658">
        <v>26035.776000000002</v>
      </c>
      <c r="Q275" s="658">
        <v>26035.776000000002</v>
      </c>
      <c r="R275" s="658">
        <v>26035.776000000002</v>
      </c>
      <c r="S275" s="658">
        <f>('INTEC (listas)'!L274)</f>
        <v>27743.040000000001</v>
      </c>
    </row>
    <row r="276" spans="1:19">
      <c r="A276" s="113">
        <v>237</v>
      </c>
      <c r="B276" s="113" t="s">
        <v>388</v>
      </c>
      <c r="C276" s="113" t="s">
        <v>1027</v>
      </c>
      <c r="D276" s="113" t="s">
        <v>1028</v>
      </c>
      <c r="E276" s="657">
        <f>('[4]INTEC (listas)'!R272)</f>
        <v>6789.5999999999995</v>
      </c>
      <c r="F276" s="657">
        <f>('[6]INTEC (listas)'!R272)</f>
        <v>10400.880000000001</v>
      </c>
      <c r="G276" s="658">
        <v>10400.880000000001</v>
      </c>
      <c r="H276" s="658">
        <v>10400.880000000001</v>
      </c>
      <c r="I276" s="658">
        <v>10054.184000000001</v>
      </c>
      <c r="J276" s="113">
        <v>10054.184000000001</v>
      </c>
      <c r="K276" s="657">
        <v>10054.184000000001</v>
      </c>
      <c r="L276" s="657">
        <v>10054.184000000001</v>
      </c>
      <c r="M276" s="657">
        <v>10054.184000000001</v>
      </c>
      <c r="N276" s="657">
        <v>9154.8884000000016</v>
      </c>
      <c r="O276" s="658">
        <v>8297.4295999999995</v>
      </c>
      <c r="P276" s="658">
        <v>8578.6983999999993</v>
      </c>
      <c r="Q276" s="658">
        <v>8578.6983999999993</v>
      </c>
      <c r="R276" s="658">
        <v>8578.6983999999993</v>
      </c>
      <c r="S276" s="658">
        <f>('INTEC (listas)'!L275)</f>
        <v>9141.2360000000008</v>
      </c>
    </row>
    <row r="277" spans="1:19">
      <c r="A277" s="113">
        <v>194</v>
      </c>
      <c r="B277" s="113" t="s">
        <v>772</v>
      </c>
      <c r="C277" s="113" t="s">
        <v>1029</v>
      </c>
      <c r="D277" s="113" t="s">
        <v>1030</v>
      </c>
      <c r="E277" s="657">
        <f>('[4]INTEC (listas)'!R273)</f>
        <v>0</v>
      </c>
      <c r="F277" s="657">
        <f>('[6]INTEC (listas)'!R273)</f>
        <v>0</v>
      </c>
      <c r="G277" s="658">
        <v>0</v>
      </c>
      <c r="H277" s="658">
        <v>0</v>
      </c>
      <c r="I277" s="658"/>
      <c r="J277" s="113"/>
      <c r="K277" s="657">
        <v>0</v>
      </c>
      <c r="L277" s="657">
        <v>0</v>
      </c>
      <c r="M277" s="657"/>
      <c r="N277" s="657">
        <v>0</v>
      </c>
      <c r="O277" s="658">
        <v>0</v>
      </c>
      <c r="P277" s="658"/>
      <c r="Q277" s="658">
        <v>10</v>
      </c>
      <c r="R277" s="658">
        <v>10</v>
      </c>
      <c r="S277" s="658">
        <f>('INTEC (listas)'!L276)</f>
        <v>10</v>
      </c>
    </row>
    <row r="278" spans="1:19">
      <c r="A278" s="113">
        <v>195</v>
      </c>
      <c r="B278" s="113" t="s">
        <v>772</v>
      </c>
      <c r="C278" s="113" t="s">
        <v>1031</v>
      </c>
      <c r="D278" s="113" t="s">
        <v>1032</v>
      </c>
      <c r="E278" s="657">
        <f>('[4]INTEC (listas)'!R274)</f>
        <v>0</v>
      </c>
      <c r="F278" s="657">
        <f>('[6]INTEC (listas)'!R274)</f>
        <v>0</v>
      </c>
      <c r="G278" s="658">
        <v>0</v>
      </c>
      <c r="H278" s="658">
        <v>0</v>
      </c>
      <c r="I278" s="658"/>
      <c r="J278" s="113"/>
      <c r="K278" s="657">
        <v>0</v>
      </c>
      <c r="L278" s="657">
        <v>0</v>
      </c>
      <c r="M278" s="657"/>
      <c r="N278" s="657">
        <v>0</v>
      </c>
      <c r="O278" s="658">
        <v>0</v>
      </c>
      <c r="P278" s="658"/>
      <c r="Q278" s="658">
        <v>10</v>
      </c>
      <c r="R278" s="658">
        <v>10</v>
      </c>
      <c r="S278" s="658">
        <f>('INTEC (listas)'!L277)</f>
        <v>10</v>
      </c>
    </row>
    <row r="279" spans="1:19">
      <c r="A279" s="113">
        <v>309</v>
      </c>
      <c r="B279" s="113" t="s">
        <v>893</v>
      </c>
      <c r="C279" s="113" t="s">
        <v>1033</v>
      </c>
      <c r="D279" s="113" t="s">
        <v>1034</v>
      </c>
      <c r="E279" s="657">
        <f>('[4]INTEC (listas)'!R275)</f>
        <v>0</v>
      </c>
      <c r="F279" s="657">
        <f>('[6]INTEC (listas)'!R275)</f>
        <v>0</v>
      </c>
      <c r="G279" s="658">
        <v>0</v>
      </c>
      <c r="H279" s="658">
        <v>0</v>
      </c>
      <c r="I279" s="658"/>
      <c r="J279" s="658"/>
      <c r="K279" s="657">
        <v>0</v>
      </c>
      <c r="L279" s="657">
        <v>0</v>
      </c>
      <c r="M279" s="657"/>
      <c r="N279" s="657">
        <v>0</v>
      </c>
      <c r="O279" s="658">
        <v>0</v>
      </c>
      <c r="P279" s="658"/>
      <c r="Q279" s="658">
        <v>10</v>
      </c>
      <c r="R279" s="658">
        <v>10</v>
      </c>
      <c r="S279" s="658">
        <f>('INTEC (listas)'!L278)</f>
        <v>10</v>
      </c>
    </row>
    <row r="280" spans="1:19">
      <c r="A280" s="113">
        <v>310</v>
      </c>
      <c r="B280" s="113" t="s">
        <v>893</v>
      </c>
      <c r="C280" s="113" t="s">
        <v>1035</v>
      </c>
      <c r="D280" s="113" t="s">
        <v>1036</v>
      </c>
      <c r="E280" s="657">
        <f>('[4]INTEC (listas)'!R276)</f>
        <v>0</v>
      </c>
      <c r="F280" s="657">
        <f>('[6]INTEC (listas)'!R276)</f>
        <v>0</v>
      </c>
      <c r="G280" s="658">
        <v>0</v>
      </c>
      <c r="H280" s="658">
        <v>0</v>
      </c>
      <c r="I280" s="658"/>
      <c r="J280" s="113"/>
      <c r="K280" s="657">
        <v>0</v>
      </c>
      <c r="L280" s="657">
        <v>0</v>
      </c>
      <c r="M280" s="657"/>
      <c r="N280" s="657">
        <v>0</v>
      </c>
      <c r="O280" s="658">
        <v>0</v>
      </c>
      <c r="P280" s="658"/>
      <c r="Q280" s="658">
        <v>10</v>
      </c>
      <c r="R280" s="658">
        <v>10</v>
      </c>
      <c r="S280" s="658">
        <f>('INTEC (listas)'!L279)</f>
        <v>10</v>
      </c>
    </row>
    <row r="281" spans="1:19">
      <c r="A281" s="113">
        <v>311</v>
      </c>
      <c r="B281" s="113" t="s">
        <v>893</v>
      </c>
      <c r="C281" s="113" t="s">
        <v>1037</v>
      </c>
      <c r="D281" s="113" t="s">
        <v>1038</v>
      </c>
      <c r="E281" s="657">
        <f>('[4]INTEC (listas)'!R277)</f>
        <v>0</v>
      </c>
      <c r="F281" s="657">
        <f>('[6]INTEC (listas)'!R277)</f>
        <v>0</v>
      </c>
      <c r="G281" s="658">
        <v>0</v>
      </c>
      <c r="H281" s="658">
        <v>0</v>
      </c>
      <c r="I281" s="658"/>
      <c r="J281" s="113"/>
      <c r="K281" s="657">
        <v>0</v>
      </c>
      <c r="L281" s="657">
        <v>0</v>
      </c>
      <c r="M281" s="657"/>
      <c r="N281" s="657">
        <v>0</v>
      </c>
      <c r="O281" s="658">
        <v>0</v>
      </c>
      <c r="P281" s="658"/>
      <c r="Q281" s="658">
        <v>10</v>
      </c>
      <c r="R281" s="658">
        <v>10</v>
      </c>
      <c r="S281" s="658">
        <f>('INTEC (listas)'!L280)</f>
        <v>10</v>
      </c>
    </row>
    <row r="282" spans="1:19">
      <c r="A282" s="113">
        <v>196</v>
      </c>
      <c r="B282" s="113" t="s">
        <v>308</v>
      </c>
      <c r="C282" s="113" t="s">
        <v>1039</v>
      </c>
      <c r="D282" s="113" t="s">
        <v>1040</v>
      </c>
      <c r="E282" s="657">
        <f>('[4]INTEC (listas)'!R278)</f>
        <v>83177.008824000004</v>
      </c>
      <c r="F282" s="657">
        <f>('[6]INTEC (listas)'!R278)</f>
        <v>85796.600448000012</v>
      </c>
      <c r="G282" s="658">
        <v>85796.600448000012</v>
      </c>
      <c r="H282" s="658">
        <v>84009.171272000007</v>
      </c>
      <c r="I282" s="658">
        <v>84009.171272000007</v>
      </c>
      <c r="J282" s="113">
        <v>87428.600999999995</v>
      </c>
      <c r="K282" s="657">
        <v>78700.05</v>
      </c>
      <c r="L282" s="657">
        <v>78700.05</v>
      </c>
      <c r="M282" s="657">
        <v>78700.05</v>
      </c>
      <c r="N282" s="657">
        <v>78700.05</v>
      </c>
      <c r="O282" s="658">
        <v>76315.199999999997</v>
      </c>
      <c r="P282" s="658">
        <v>78700.05</v>
      </c>
      <c r="Q282" s="658">
        <v>82635.3</v>
      </c>
      <c r="R282" s="658">
        <v>78461.8</v>
      </c>
      <c r="S282" s="658">
        <f>('INTEC (listas)'!L281)</f>
        <v>73870.288429752065</v>
      </c>
    </row>
    <row r="283" spans="1:19">
      <c r="A283" s="113">
        <v>197</v>
      </c>
      <c r="B283" s="113" t="s">
        <v>772</v>
      </c>
      <c r="C283" s="113" t="s">
        <v>1041</v>
      </c>
      <c r="D283" s="113" t="s">
        <v>1042</v>
      </c>
      <c r="E283" s="657">
        <f>('[4]INTEC (listas)'!R279)</f>
        <v>0</v>
      </c>
      <c r="F283" s="657">
        <f>('[6]INTEC (listas)'!R279)</f>
        <v>0</v>
      </c>
      <c r="G283" s="658">
        <v>0</v>
      </c>
      <c r="H283" s="658">
        <v>0</v>
      </c>
      <c r="I283" s="658"/>
      <c r="J283" s="113"/>
      <c r="K283" s="657">
        <v>0</v>
      </c>
      <c r="L283" s="657">
        <v>0</v>
      </c>
      <c r="M283" s="657"/>
      <c r="N283" s="657">
        <v>0</v>
      </c>
      <c r="O283" s="658">
        <v>0</v>
      </c>
      <c r="P283" s="658"/>
      <c r="Q283" s="658">
        <v>10</v>
      </c>
      <c r="R283" s="658">
        <v>10</v>
      </c>
      <c r="S283" s="658">
        <f>('INTEC (listas)'!L282)</f>
        <v>10</v>
      </c>
    </row>
    <row r="284" spans="1:19">
      <c r="A284" s="113">
        <v>198</v>
      </c>
      <c r="B284" s="113" t="s">
        <v>772</v>
      </c>
      <c r="C284" s="113" t="s">
        <v>1043</v>
      </c>
      <c r="D284" s="113" t="s">
        <v>1044</v>
      </c>
      <c r="E284" s="657">
        <f>('[4]INTEC (listas)'!R280)</f>
        <v>0</v>
      </c>
      <c r="F284" s="657">
        <f>('[6]INTEC (listas)'!R280)</f>
        <v>0</v>
      </c>
      <c r="G284" s="658">
        <v>0</v>
      </c>
      <c r="H284" s="658">
        <v>0</v>
      </c>
      <c r="I284" s="658"/>
      <c r="J284" s="113"/>
      <c r="K284" s="657">
        <v>0</v>
      </c>
      <c r="L284" s="657">
        <v>0</v>
      </c>
      <c r="M284" s="657"/>
      <c r="N284" s="657">
        <v>0</v>
      </c>
      <c r="O284" s="658">
        <v>0</v>
      </c>
      <c r="P284" s="658"/>
      <c r="Q284" s="658">
        <v>10</v>
      </c>
      <c r="R284" s="658">
        <v>10</v>
      </c>
      <c r="S284" s="658">
        <f>('INTEC (listas)'!L283)</f>
        <v>10</v>
      </c>
    </row>
    <row r="285" spans="1:19">
      <c r="A285" s="113">
        <v>199</v>
      </c>
      <c r="B285" s="113" t="s">
        <v>772</v>
      </c>
      <c r="C285" s="113" t="s">
        <v>1045</v>
      </c>
      <c r="D285" s="113" t="s">
        <v>1046</v>
      </c>
      <c r="E285" s="657">
        <f>('[4]INTEC (listas)'!R281)</f>
        <v>0</v>
      </c>
      <c r="F285" s="657">
        <f>('[6]INTEC (listas)'!R281)</f>
        <v>0</v>
      </c>
      <c r="G285" s="658">
        <v>0</v>
      </c>
      <c r="H285" s="658">
        <v>0</v>
      </c>
      <c r="I285" s="658"/>
      <c r="J285" s="113"/>
      <c r="K285" s="657">
        <v>0</v>
      </c>
      <c r="L285" s="657">
        <v>0</v>
      </c>
      <c r="M285" s="657"/>
      <c r="N285" s="657">
        <v>0</v>
      </c>
      <c r="O285" s="658">
        <v>0</v>
      </c>
      <c r="P285" s="658"/>
      <c r="Q285" s="658">
        <v>10</v>
      </c>
      <c r="R285" s="658">
        <v>10</v>
      </c>
      <c r="S285" s="658">
        <f>('INTEC (listas)'!L284)</f>
        <v>10</v>
      </c>
    </row>
    <row r="286" spans="1:19">
      <c r="A286" s="113">
        <v>312</v>
      </c>
      <c r="B286" s="113" t="s">
        <v>388</v>
      </c>
      <c r="C286" s="113" t="s">
        <v>1047</v>
      </c>
      <c r="D286" s="113" t="s">
        <v>1048</v>
      </c>
      <c r="E286" s="657">
        <f>('[4]INTEC (listas)'!R282)</f>
        <v>0</v>
      </c>
      <c r="F286" s="657">
        <f>('[6]INTEC (listas)'!R282)</f>
        <v>0</v>
      </c>
      <c r="G286" s="658">
        <v>0</v>
      </c>
      <c r="H286" s="658">
        <v>0</v>
      </c>
      <c r="I286" s="658">
        <v>3828.0000000000005</v>
      </c>
      <c r="J286" s="113">
        <v>3828.0000000000005</v>
      </c>
      <c r="K286" s="657">
        <v>3828.0000000000005</v>
      </c>
      <c r="L286" s="657">
        <v>3828.0000000000005</v>
      </c>
      <c r="M286" s="657">
        <v>3828.0000000000005</v>
      </c>
      <c r="N286" s="657">
        <v>3894.0000000000005</v>
      </c>
      <c r="O286" s="658">
        <v>3894.0000000000005</v>
      </c>
      <c r="P286" s="658">
        <v>4026.0000000000005</v>
      </c>
      <c r="Q286" s="658">
        <v>4026.0000000000005</v>
      </c>
      <c r="R286" s="658">
        <v>4026.0000000000005</v>
      </c>
      <c r="S286" s="658">
        <f>('INTEC (listas)'!L285)</f>
        <v>4358.25</v>
      </c>
    </row>
    <row r="287" spans="1:19">
      <c r="A287" s="113">
        <v>313</v>
      </c>
      <c r="B287" s="113" t="s">
        <v>388</v>
      </c>
      <c r="C287" s="113" t="s">
        <v>1049</v>
      </c>
      <c r="D287" s="113" t="s">
        <v>1050</v>
      </c>
      <c r="E287" s="657">
        <f>('[4]INTEC (listas)'!R283)</f>
        <v>67564.799999999988</v>
      </c>
      <c r="F287" s="657">
        <f>('[6]INTEC (listas)'!R283)</f>
        <v>87091.199999999997</v>
      </c>
      <c r="G287" s="658">
        <v>87091.199999999997</v>
      </c>
      <c r="H287" s="658">
        <v>82736.639999999999</v>
      </c>
      <c r="I287" s="658">
        <v>79978.751999999993</v>
      </c>
      <c r="J287" s="113">
        <v>79978.751999999993</v>
      </c>
      <c r="K287" s="657">
        <v>79978.751999999993</v>
      </c>
      <c r="L287" s="657">
        <v>79978.751999999993</v>
      </c>
      <c r="M287" s="657">
        <v>79978.751999999993</v>
      </c>
      <c r="N287" s="657">
        <v>81357.695999999996</v>
      </c>
      <c r="O287" s="658">
        <v>81357.695999999996</v>
      </c>
      <c r="P287" s="658">
        <v>84115.583999999988</v>
      </c>
      <c r="Q287" s="658">
        <v>84115.583999999988</v>
      </c>
      <c r="R287" s="658">
        <v>84115.583999999988</v>
      </c>
      <c r="S287" s="658">
        <f>('INTEC (listas)'!L286)</f>
        <v>89631.360000000001</v>
      </c>
    </row>
    <row r="288" spans="1:19">
      <c r="A288" s="113">
        <v>367</v>
      </c>
      <c r="B288" s="113" t="s">
        <v>772</v>
      </c>
      <c r="C288" s="113" t="s">
        <v>1051</v>
      </c>
      <c r="D288" s="113" t="s">
        <v>1052</v>
      </c>
      <c r="E288" s="657">
        <f>('[4]INTEC (listas)'!R284)</f>
        <v>0</v>
      </c>
      <c r="F288" s="657">
        <f>('[6]INTEC (listas)'!R284)</f>
        <v>0</v>
      </c>
      <c r="G288" s="658">
        <v>0</v>
      </c>
      <c r="H288" s="658">
        <v>0</v>
      </c>
      <c r="I288" s="658"/>
      <c r="J288" s="113"/>
      <c r="K288" s="657">
        <v>0</v>
      </c>
      <c r="L288" s="657">
        <v>0</v>
      </c>
      <c r="M288" s="657"/>
      <c r="N288" s="657">
        <v>0</v>
      </c>
      <c r="O288" s="658">
        <v>0</v>
      </c>
      <c r="P288" s="658"/>
      <c r="Q288" s="658">
        <v>10</v>
      </c>
      <c r="R288" s="658">
        <v>10</v>
      </c>
      <c r="S288" s="658">
        <f>('INTEC (listas)'!L287)</f>
        <v>10</v>
      </c>
    </row>
    <row r="289" spans="1:19">
      <c r="A289" s="113">
        <v>315</v>
      </c>
      <c r="B289" s="113" t="s">
        <v>772</v>
      </c>
      <c r="C289" s="113" t="s">
        <v>1053</v>
      </c>
      <c r="D289" s="113" t="s">
        <v>1054</v>
      </c>
      <c r="E289" s="657">
        <f>('[4]INTEC (listas)'!R285)</f>
        <v>0</v>
      </c>
      <c r="F289" s="657">
        <f>('[6]INTEC (listas)'!R285)</f>
        <v>0</v>
      </c>
      <c r="G289" s="658">
        <v>0</v>
      </c>
      <c r="H289" s="658">
        <v>0</v>
      </c>
      <c r="I289" s="658"/>
      <c r="J289" s="113"/>
      <c r="K289" s="657">
        <v>0</v>
      </c>
      <c r="L289" s="657">
        <v>0</v>
      </c>
      <c r="M289" s="657"/>
      <c r="N289" s="657">
        <v>0</v>
      </c>
      <c r="O289" s="658">
        <v>0</v>
      </c>
      <c r="P289" s="658"/>
      <c r="Q289" s="658">
        <v>10</v>
      </c>
      <c r="R289" s="658">
        <v>10</v>
      </c>
      <c r="S289" s="658">
        <f>('INTEC (listas)'!L288)</f>
        <v>10</v>
      </c>
    </row>
    <row r="290" spans="1:19">
      <c r="A290" s="113">
        <v>368</v>
      </c>
      <c r="B290" s="113" t="s">
        <v>772</v>
      </c>
      <c r="C290" s="113" t="s">
        <v>1055</v>
      </c>
      <c r="D290" s="113" t="s">
        <v>1056</v>
      </c>
      <c r="E290" s="657">
        <f>('[4]INTEC (listas)'!R286)</f>
        <v>0</v>
      </c>
      <c r="F290" s="657">
        <f>('[6]INTEC (listas)'!R286)</f>
        <v>0</v>
      </c>
      <c r="G290" s="658">
        <v>0</v>
      </c>
      <c r="H290" s="658">
        <v>0</v>
      </c>
      <c r="I290" s="658"/>
      <c r="J290" s="113"/>
      <c r="K290" s="657">
        <v>0</v>
      </c>
      <c r="L290" s="657">
        <v>0</v>
      </c>
      <c r="M290" s="657"/>
      <c r="N290" s="657">
        <v>0</v>
      </c>
      <c r="O290" s="658">
        <v>0</v>
      </c>
      <c r="P290" s="658"/>
      <c r="Q290" s="658">
        <v>10</v>
      </c>
      <c r="R290" s="658">
        <v>10</v>
      </c>
      <c r="S290" s="658">
        <f>('INTEC (listas)'!L289)</f>
        <v>10</v>
      </c>
    </row>
    <row r="291" spans="1:19">
      <c r="A291" s="113">
        <v>369</v>
      </c>
      <c r="B291" s="113" t="s">
        <v>772</v>
      </c>
      <c r="C291" s="113" t="s">
        <v>1057</v>
      </c>
      <c r="D291" s="113" t="s">
        <v>1058</v>
      </c>
      <c r="E291" s="657">
        <f>('[4]INTEC (listas)'!R287)</f>
        <v>0</v>
      </c>
      <c r="F291" s="657">
        <f>('[6]INTEC (listas)'!R287)</f>
        <v>0</v>
      </c>
      <c r="G291" s="658">
        <v>0</v>
      </c>
      <c r="H291" s="658">
        <v>0</v>
      </c>
      <c r="I291" s="658"/>
      <c r="J291" s="113"/>
      <c r="K291" s="657">
        <v>0</v>
      </c>
      <c r="L291" s="657">
        <v>0</v>
      </c>
      <c r="M291" s="657"/>
      <c r="N291" s="657">
        <v>0</v>
      </c>
      <c r="O291" s="658">
        <v>0</v>
      </c>
      <c r="P291" s="658"/>
      <c r="Q291" s="658">
        <v>10</v>
      </c>
      <c r="R291" s="658">
        <v>10</v>
      </c>
      <c r="S291" s="658">
        <f>('INTEC (listas)'!L290)</f>
        <v>10</v>
      </c>
    </row>
    <row r="292" spans="1:19">
      <c r="A292" s="113">
        <v>370</v>
      </c>
      <c r="B292" s="113" t="s">
        <v>772</v>
      </c>
      <c r="C292" s="113" t="s">
        <v>1059</v>
      </c>
      <c r="D292" s="113" t="s">
        <v>1060</v>
      </c>
      <c r="E292" s="657">
        <f>('[4]INTEC (listas)'!R288)</f>
        <v>0</v>
      </c>
      <c r="F292" s="657">
        <f>('[6]INTEC (listas)'!R288)</f>
        <v>0</v>
      </c>
      <c r="G292" s="658">
        <v>0</v>
      </c>
      <c r="H292" s="658">
        <v>0</v>
      </c>
      <c r="I292" s="658"/>
      <c r="J292" s="113"/>
      <c r="K292" s="657">
        <v>0</v>
      </c>
      <c r="L292" s="657">
        <v>0</v>
      </c>
      <c r="M292" s="657"/>
      <c r="N292" s="657">
        <v>0</v>
      </c>
      <c r="O292" s="658">
        <v>0</v>
      </c>
      <c r="P292" s="658"/>
      <c r="Q292" s="658">
        <v>10</v>
      </c>
      <c r="R292" s="658">
        <v>10</v>
      </c>
      <c r="S292" s="658">
        <f>('INTEC (listas)'!L291)</f>
        <v>10</v>
      </c>
    </row>
    <row r="293" spans="1:19">
      <c r="A293" s="113">
        <v>330</v>
      </c>
      <c r="B293" s="113" t="s">
        <v>796</v>
      </c>
      <c r="C293" s="113" t="s">
        <v>1061</v>
      </c>
      <c r="D293" s="113" t="s">
        <v>1062</v>
      </c>
      <c r="E293" s="657">
        <f>('[4]INTEC (listas)'!R289)</f>
        <v>23674.560000000001</v>
      </c>
      <c r="F293" s="657">
        <f>('[6]INTEC (listas)'!R289)</f>
        <v>27033.599999999999</v>
      </c>
      <c r="G293" s="658">
        <v>27033.599999999999</v>
      </c>
      <c r="H293" s="658">
        <v>27033.599999999999</v>
      </c>
      <c r="I293" s="658">
        <v>27033.599999999999</v>
      </c>
      <c r="J293" s="113">
        <v>27033.599999999999</v>
      </c>
      <c r="K293" s="657">
        <v>27193.6512</v>
      </c>
      <c r="L293" s="657">
        <v>27193.6512</v>
      </c>
      <c r="M293" s="657">
        <v>26311.68</v>
      </c>
      <c r="N293" s="657">
        <v>26311.68</v>
      </c>
      <c r="O293" s="658">
        <v>26311.68</v>
      </c>
      <c r="P293" s="658">
        <v>28035.072</v>
      </c>
      <c r="Q293" s="658">
        <v>28035.072</v>
      </c>
      <c r="R293" s="658">
        <v>28035.072</v>
      </c>
      <c r="S293" s="658">
        <f>('INTEC (listas)'!L292)</f>
        <v>33338.342400000001</v>
      </c>
    </row>
    <row r="294" spans="1:19">
      <c r="A294" s="113">
        <v>331</v>
      </c>
      <c r="B294" s="113" t="s">
        <v>796</v>
      </c>
      <c r="C294" s="113" t="s">
        <v>1063</v>
      </c>
      <c r="D294" s="113" t="s">
        <v>1064</v>
      </c>
      <c r="E294" s="657">
        <f>('[4]INTEC (listas)'!R290)</f>
        <v>70453.440000000002</v>
      </c>
      <c r="F294" s="657">
        <f>('[6]INTEC (listas)'!R290)</f>
        <v>75646.080000000002</v>
      </c>
      <c r="G294" s="658">
        <v>75646.080000000002</v>
      </c>
      <c r="H294" s="658">
        <v>75646.080000000002</v>
      </c>
      <c r="I294" s="658">
        <v>75646.080000000002</v>
      </c>
      <c r="J294" s="113">
        <v>75646.080000000002</v>
      </c>
      <c r="K294" s="657">
        <v>72307.814400000003</v>
      </c>
      <c r="L294" s="657">
        <v>72307.814400000003</v>
      </c>
      <c r="M294" s="657">
        <v>69963.263999999996</v>
      </c>
      <c r="N294" s="657">
        <v>69963.263999999996</v>
      </c>
      <c r="O294" s="658">
        <v>69963.263999999996</v>
      </c>
      <c r="P294" s="658">
        <v>78241.075199999992</v>
      </c>
      <c r="Q294" s="658">
        <v>78241.075199999992</v>
      </c>
      <c r="R294" s="658">
        <v>78241.075199999992</v>
      </c>
      <c r="S294" s="658">
        <f>('INTEC (listas)'!L293)</f>
        <v>74988.671999999991</v>
      </c>
    </row>
    <row r="295" spans="1:19">
      <c r="A295" s="113">
        <v>332</v>
      </c>
      <c r="B295" s="113" t="s">
        <v>796</v>
      </c>
      <c r="C295" s="113" t="s">
        <v>1065</v>
      </c>
      <c r="D295" s="113" t="s">
        <v>1066</v>
      </c>
      <c r="E295" s="657">
        <f>('[4]INTEC (listas)'!R291)</f>
        <v>40607.040000000001</v>
      </c>
      <c r="F295" s="657">
        <f>('[6]INTEC (listas)'!R291)</f>
        <v>43735.68</v>
      </c>
      <c r="G295" s="658">
        <v>43735.68</v>
      </c>
      <c r="H295" s="658">
        <v>43735.68</v>
      </c>
      <c r="I295" s="658">
        <v>43735.68</v>
      </c>
      <c r="J295" s="113">
        <v>43735.68</v>
      </c>
      <c r="K295" s="657">
        <v>42968.678400000004</v>
      </c>
      <c r="L295" s="657">
        <v>42968.678400000004</v>
      </c>
      <c r="M295" s="657">
        <v>41575.2192</v>
      </c>
      <c r="N295" s="657">
        <v>41575.2192</v>
      </c>
      <c r="O295" s="658">
        <v>41575.2192</v>
      </c>
      <c r="P295" s="658">
        <v>46592.409599999999</v>
      </c>
      <c r="Q295" s="658">
        <v>46592.409599999999</v>
      </c>
      <c r="R295" s="658">
        <v>46592.409599999999</v>
      </c>
      <c r="S295" s="658">
        <f>('INTEC (listas)'!L294)</f>
        <v>43243.6224</v>
      </c>
    </row>
    <row r="296" spans="1:19">
      <c r="A296" s="113">
        <v>333</v>
      </c>
      <c r="B296" s="113" t="s">
        <v>796</v>
      </c>
      <c r="C296" s="113" t="s">
        <v>1067</v>
      </c>
      <c r="D296" s="113" t="s">
        <v>1068</v>
      </c>
      <c r="E296" s="657">
        <f>('[4]INTEC (listas)'!R292)</f>
        <v>36572.160000000003</v>
      </c>
      <c r="F296" s="657">
        <f>('[6]INTEC (listas)'!R292)</f>
        <v>37519.68</v>
      </c>
      <c r="G296" s="658">
        <v>37519.68</v>
      </c>
      <c r="H296" s="658">
        <v>37519.68</v>
      </c>
      <c r="I296" s="658">
        <v>37519.68</v>
      </c>
      <c r="J296" s="113">
        <v>37519.68</v>
      </c>
      <c r="K296" s="657">
        <v>36454.809600000001</v>
      </c>
      <c r="L296" s="657">
        <v>36454.809600000001</v>
      </c>
      <c r="M296" s="657">
        <v>34749.849600000001</v>
      </c>
      <c r="N296" s="657">
        <v>34749.849600000001</v>
      </c>
      <c r="O296" s="658">
        <v>34749.849600000001</v>
      </c>
      <c r="P296" s="658">
        <v>36876.902399999999</v>
      </c>
      <c r="Q296" s="658">
        <v>36876.902399999999</v>
      </c>
      <c r="R296" s="658">
        <v>36876.902399999999</v>
      </c>
      <c r="S296" s="658">
        <f>('INTEC (listas)'!L295)</f>
        <v>34619.904000000002</v>
      </c>
    </row>
    <row r="297" spans="1:19">
      <c r="A297" s="113">
        <v>334</v>
      </c>
      <c r="B297" s="113" t="s">
        <v>796</v>
      </c>
      <c r="C297" s="113" t="s">
        <v>1069</v>
      </c>
      <c r="D297" s="113" t="s">
        <v>1070</v>
      </c>
      <c r="E297" s="657">
        <f>('[4]INTEC (listas)'!R293)</f>
        <v>37504.32</v>
      </c>
      <c r="F297" s="657">
        <f>('[6]INTEC (listas)'!R293)</f>
        <v>38662.080000000002</v>
      </c>
      <c r="G297" s="658">
        <v>38662.080000000002</v>
      </c>
      <c r="H297" s="658">
        <v>38662.080000000002</v>
      </c>
      <c r="I297" s="658">
        <v>38662.080000000002</v>
      </c>
      <c r="J297" s="658">
        <v>38662.080000000002</v>
      </c>
      <c r="K297" s="657">
        <v>36844.646399999998</v>
      </c>
      <c r="L297" s="657">
        <v>36844.646399999998</v>
      </c>
      <c r="M297" s="657">
        <v>35977.4208</v>
      </c>
      <c r="N297" s="657">
        <v>35977.4208</v>
      </c>
      <c r="O297" s="658">
        <v>35977.4208</v>
      </c>
      <c r="P297" s="658">
        <v>37557.964799999994</v>
      </c>
      <c r="Q297" s="658">
        <v>37557.964799999994</v>
      </c>
      <c r="R297" s="658">
        <v>37557.964799999994</v>
      </c>
      <c r="S297" s="658">
        <f>('INTEC (listas)'!L296)</f>
        <v>34858.137599999995</v>
      </c>
    </row>
    <row r="298" spans="1:19">
      <c r="A298" s="113">
        <v>335</v>
      </c>
      <c r="B298" s="113" t="s">
        <v>796</v>
      </c>
      <c r="C298" s="113" t="s">
        <v>1071</v>
      </c>
      <c r="D298" s="113" t="s">
        <v>1072</v>
      </c>
      <c r="E298" s="657">
        <f>('[4]INTEC (listas)'!R294)</f>
        <v>49332.480000000003</v>
      </c>
      <c r="F298" s="657">
        <f>('[6]INTEC (listas)'!R294)</f>
        <v>50896.32</v>
      </c>
      <c r="G298" s="658">
        <v>50896.32</v>
      </c>
      <c r="H298" s="658">
        <v>50896.32</v>
      </c>
      <c r="I298" s="658">
        <v>50896.32</v>
      </c>
      <c r="J298" s="113">
        <v>50896.32</v>
      </c>
      <c r="K298" s="657">
        <v>48456.806399999994</v>
      </c>
      <c r="L298" s="657">
        <v>48456.806399999994</v>
      </c>
      <c r="M298" s="657">
        <v>47316.787199999999</v>
      </c>
      <c r="N298" s="657">
        <v>47316.787199999999</v>
      </c>
      <c r="O298" s="658">
        <v>47316.787199999999</v>
      </c>
      <c r="P298" s="658">
        <v>49584.844799999999</v>
      </c>
      <c r="Q298" s="658">
        <v>49584.844799999999</v>
      </c>
      <c r="R298" s="658">
        <v>49584.844799999999</v>
      </c>
      <c r="S298" s="658">
        <f>('INTEC (listas)'!L297)</f>
        <v>46021.324799999995</v>
      </c>
    </row>
    <row r="299" spans="1:19">
      <c r="A299" s="113">
        <v>336</v>
      </c>
      <c r="B299" s="113" t="s">
        <v>796</v>
      </c>
      <c r="C299" s="113" t="s">
        <v>1073</v>
      </c>
      <c r="D299" s="113" t="s">
        <v>1074</v>
      </c>
      <c r="E299" s="657">
        <f>('[4]INTEC (listas)'!R295)</f>
        <v>110126.39999999999</v>
      </c>
      <c r="F299" s="657">
        <f>('[6]INTEC (listas)'!R295)</f>
        <v>106824.96000000001</v>
      </c>
      <c r="G299" s="658">
        <v>106824.96000000001</v>
      </c>
      <c r="H299" s="658">
        <v>106824.96000000001</v>
      </c>
      <c r="I299" s="658">
        <v>106824.96000000001</v>
      </c>
      <c r="J299" s="113">
        <v>106824.96000000001</v>
      </c>
      <c r="K299" s="657">
        <v>95998.463999999993</v>
      </c>
      <c r="L299" s="657">
        <v>95998.463999999993</v>
      </c>
      <c r="M299" s="657">
        <v>92886.220799999996</v>
      </c>
      <c r="N299" s="657">
        <v>92886.220799999996</v>
      </c>
      <c r="O299" s="658">
        <v>92886.220799999996</v>
      </c>
      <c r="P299" s="658">
        <v>102126.18240000001</v>
      </c>
      <c r="Q299" s="658">
        <v>102126.18240000001</v>
      </c>
      <c r="R299" s="658">
        <v>102126.18240000001</v>
      </c>
      <c r="S299" s="658">
        <f>('INTEC (listas)'!L298)</f>
        <v>94786.559999999998</v>
      </c>
    </row>
    <row r="300" spans="1:19">
      <c r="A300" s="113">
        <v>326</v>
      </c>
      <c r="B300" s="113" t="s">
        <v>308</v>
      </c>
      <c r="C300" s="113" t="s">
        <v>1075</v>
      </c>
      <c r="D300" s="113" t="s">
        <v>1076</v>
      </c>
      <c r="E300" s="657">
        <f>('[4]INTEC (listas)'!R296)</f>
        <v>373049.56799999997</v>
      </c>
      <c r="F300" s="657">
        <f>('[6]INTEC (listas)'!R296)</f>
        <v>412396.73600000003</v>
      </c>
      <c r="G300" s="658">
        <v>412396.73600000003</v>
      </c>
      <c r="H300" s="658">
        <v>414438.304</v>
      </c>
      <c r="I300" s="658">
        <v>414438.304</v>
      </c>
      <c r="J300" s="113">
        <v>408313.59999999998</v>
      </c>
      <c r="K300" s="657">
        <v>408313.59999999998</v>
      </c>
      <c r="L300" s="657">
        <v>408313.59999999998</v>
      </c>
      <c r="M300" s="657">
        <v>315805.05</v>
      </c>
      <c r="N300" s="657">
        <v>315805.05</v>
      </c>
      <c r="O300" s="658">
        <v>306235.2</v>
      </c>
      <c r="P300" s="658">
        <v>315805.05</v>
      </c>
      <c r="Q300" s="658">
        <v>315805.05</v>
      </c>
      <c r="R300" s="658">
        <v>315805.05</v>
      </c>
      <c r="S300" s="658">
        <f>('INTEC (listas)'!L299)</f>
        <v>315805.05</v>
      </c>
    </row>
    <row r="301" spans="1:19">
      <c r="A301" s="113">
        <v>337</v>
      </c>
      <c r="B301" s="113" t="s">
        <v>796</v>
      </c>
      <c r="C301" s="113" t="s">
        <v>1077</v>
      </c>
      <c r="D301" s="113" t="s">
        <v>1078</v>
      </c>
      <c r="E301" s="657">
        <f>('[4]INTEC (listas)'!R297)</f>
        <v>54333.120000000003</v>
      </c>
      <c r="F301" s="657">
        <f>('[6]INTEC (listas)'!R297)</f>
        <v>58522.559999999998</v>
      </c>
      <c r="G301" s="658">
        <v>58522.559999999998</v>
      </c>
      <c r="H301" s="658">
        <v>58522.559999999998</v>
      </c>
      <c r="I301" s="658">
        <v>58522.559999999998</v>
      </c>
      <c r="J301" s="113">
        <v>58522.559999999998</v>
      </c>
      <c r="K301" s="657">
        <v>57520.742400000003</v>
      </c>
      <c r="L301" s="657">
        <v>57520.742400000003</v>
      </c>
      <c r="M301" s="657">
        <v>55656.345600000001</v>
      </c>
      <c r="N301" s="657">
        <v>55656.345600000001</v>
      </c>
      <c r="O301" s="658">
        <v>55656.345600000001</v>
      </c>
      <c r="P301" s="658">
        <v>62296.473600000005</v>
      </c>
      <c r="Q301" s="658">
        <v>62296.473600000005</v>
      </c>
      <c r="R301" s="658">
        <v>62296.473600000005</v>
      </c>
      <c r="S301" s="658">
        <f>('INTEC (listas)'!L300)</f>
        <v>57818.9568</v>
      </c>
    </row>
    <row r="302" spans="1:19">
      <c r="A302" s="113">
        <v>338</v>
      </c>
      <c r="B302" s="113" t="s">
        <v>796</v>
      </c>
      <c r="C302" s="113" t="s">
        <v>1079</v>
      </c>
      <c r="D302" s="113" t="s">
        <v>1080</v>
      </c>
      <c r="E302" s="657">
        <f>('[4]INTEC (listas)'!R298)</f>
        <v>67115.520000000004</v>
      </c>
      <c r="F302" s="657">
        <f>('[6]INTEC (listas)'!R298)</f>
        <v>72130.559999999998</v>
      </c>
      <c r="G302" s="658">
        <v>72130.559999999998</v>
      </c>
      <c r="H302" s="658">
        <v>72130.559999999998</v>
      </c>
      <c r="I302" s="658">
        <v>72130.559999999998</v>
      </c>
      <c r="J302" s="113">
        <v>72130.559999999998</v>
      </c>
      <c r="K302" s="657">
        <v>68815.872000000003</v>
      </c>
      <c r="L302" s="657">
        <v>68815.872000000003</v>
      </c>
      <c r="M302" s="657">
        <v>66584.67839999999</v>
      </c>
      <c r="N302" s="657">
        <v>66584.67839999999</v>
      </c>
      <c r="O302" s="658">
        <v>66584.67839999999</v>
      </c>
      <c r="P302" s="658">
        <v>75209.932799999995</v>
      </c>
      <c r="Q302" s="658">
        <v>75209.932799999995</v>
      </c>
      <c r="R302" s="658">
        <v>75209.932799999995</v>
      </c>
      <c r="S302" s="658">
        <f>('INTEC (listas)'!L301)</f>
        <v>69804.134399999995</v>
      </c>
    </row>
    <row r="303" spans="1:19">
      <c r="A303" s="113">
        <v>339</v>
      </c>
      <c r="B303" s="113" t="s">
        <v>796</v>
      </c>
      <c r="C303" s="113" t="s">
        <v>1081</v>
      </c>
      <c r="D303" s="113" t="s">
        <v>1082</v>
      </c>
      <c r="E303" s="657">
        <f>('[4]INTEC (listas)'!R299)</f>
        <v>101707.2</v>
      </c>
      <c r="F303" s="657">
        <f>('[6]INTEC (listas)'!R299)</f>
        <v>98665.919999999998</v>
      </c>
      <c r="G303" s="658">
        <v>98665.919999999998</v>
      </c>
      <c r="H303" s="658">
        <v>98665.919999999998</v>
      </c>
      <c r="I303" s="658">
        <v>98665.919999999998</v>
      </c>
      <c r="J303" s="113">
        <v>98665.919999999998</v>
      </c>
      <c r="K303" s="657">
        <v>88653.311999999991</v>
      </c>
      <c r="L303" s="657">
        <v>88653.311999999991</v>
      </c>
      <c r="M303" s="657">
        <v>85779.763200000001</v>
      </c>
      <c r="N303" s="657">
        <v>85779.763200000001</v>
      </c>
      <c r="O303" s="658">
        <v>85779.763200000001</v>
      </c>
      <c r="P303" s="658">
        <v>94322.99519999999</v>
      </c>
      <c r="Q303" s="658">
        <v>94322.99519999999</v>
      </c>
      <c r="R303" s="658">
        <v>94322.99519999999</v>
      </c>
      <c r="S303" s="658">
        <f>('INTEC (listas)'!L302)</f>
        <v>87544.089599999992</v>
      </c>
    </row>
    <row r="304" spans="1:19">
      <c r="A304" s="113">
        <v>340</v>
      </c>
      <c r="B304" s="113" t="s">
        <v>796</v>
      </c>
      <c r="C304" s="113" t="s">
        <v>1083</v>
      </c>
      <c r="D304" s="113" t="s">
        <v>1084</v>
      </c>
      <c r="E304" s="657">
        <f>('[4]INTEC (listas)'!R300)</f>
        <v>26451.84</v>
      </c>
      <c r="F304" s="657">
        <f>('[6]INTEC (listas)'!R300)</f>
        <v>27646.080000000002</v>
      </c>
      <c r="G304" s="658">
        <v>27646.080000000002</v>
      </c>
      <c r="H304" s="658">
        <v>27646.080000000002</v>
      </c>
      <c r="I304" s="658">
        <v>27646.080000000002</v>
      </c>
      <c r="J304" s="113">
        <v>27646.080000000002</v>
      </c>
      <c r="K304" s="657">
        <v>26516.2752</v>
      </c>
      <c r="L304" s="657">
        <v>26516.2752</v>
      </c>
      <c r="M304" s="657">
        <v>25892.351999999999</v>
      </c>
      <c r="N304" s="657">
        <v>25892.351999999999</v>
      </c>
      <c r="O304" s="658">
        <v>25892.351999999999</v>
      </c>
      <c r="P304" s="658">
        <v>27061.862399999998</v>
      </c>
      <c r="Q304" s="658">
        <v>27061.862399999998</v>
      </c>
      <c r="R304" s="658">
        <v>27061.862399999998</v>
      </c>
      <c r="S304" s="658">
        <f>('INTEC (listas)'!L303)</f>
        <v>25116.748799999998</v>
      </c>
    </row>
    <row r="305" spans="1:19">
      <c r="A305" s="113">
        <v>364</v>
      </c>
      <c r="B305" s="113" t="s">
        <v>1085</v>
      </c>
      <c r="C305" s="113" t="s">
        <v>1086</v>
      </c>
      <c r="D305" s="113" t="s">
        <v>1087</v>
      </c>
      <c r="E305" s="657">
        <f>('[4]INTEC (listas)'!R301)</f>
        <v>423280</v>
      </c>
      <c r="F305" s="657">
        <f>('[6]INTEC (listas)'!R301)</f>
        <v>423280</v>
      </c>
      <c r="G305" s="658">
        <v>423280</v>
      </c>
      <c r="H305" s="658">
        <v>423280</v>
      </c>
      <c r="I305" s="658">
        <v>423280</v>
      </c>
      <c r="J305" s="113">
        <v>423280</v>
      </c>
      <c r="K305" s="657">
        <v>423280</v>
      </c>
      <c r="L305" s="657">
        <v>444444</v>
      </c>
      <c r="M305" s="657">
        <v>262500</v>
      </c>
      <c r="N305" s="657">
        <v>272500</v>
      </c>
      <c r="O305" s="658">
        <v>272500</v>
      </c>
      <c r="P305" s="658">
        <v>295000</v>
      </c>
      <c r="Q305" s="658">
        <v>300000</v>
      </c>
      <c r="R305" s="658">
        <v>301250</v>
      </c>
      <c r="S305" s="658">
        <f>('INTEC (listas)'!L304)</f>
        <v>320000</v>
      </c>
    </row>
    <row r="306" spans="1:19">
      <c r="A306" s="113">
        <v>341</v>
      </c>
      <c r="B306" s="113" t="s">
        <v>1088</v>
      </c>
      <c r="C306" s="113" t="s">
        <v>379</v>
      </c>
      <c r="D306" s="113" t="s">
        <v>1089</v>
      </c>
      <c r="E306" s="657">
        <f>('[4]INTEC (listas)'!R302)</f>
        <v>623300</v>
      </c>
      <c r="F306" s="657">
        <f>('[6]INTEC (listas)'!R302)</f>
        <v>650400</v>
      </c>
      <c r="G306" s="658">
        <v>650400</v>
      </c>
      <c r="H306" s="658">
        <v>650400</v>
      </c>
      <c r="I306" s="658">
        <v>628720</v>
      </c>
      <c r="J306" s="113">
        <v>628720</v>
      </c>
      <c r="K306" s="657">
        <v>628720</v>
      </c>
      <c r="L306" s="657">
        <v>628720</v>
      </c>
      <c r="M306" s="657">
        <v>628720</v>
      </c>
      <c r="N306" s="657">
        <v>639560</v>
      </c>
      <c r="O306" s="658">
        <v>639560</v>
      </c>
      <c r="P306" s="658">
        <v>661240</v>
      </c>
      <c r="Q306" s="658">
        <v>661240</v>
      </c>
      <c r="R306" s="658">
        <v>661240</v>
      </c>
      <c r="S306" s="658">
        <f>('INTEC (listas)'!L305)</f>
        <v>704600</v>
      </c>
    </row>
    <row r="307" spans="1:19">
      <c r="A307" s="113">
        <v>350</v>
      </c>
      <c r="B307" s="113" t="s">
        <v>388</v>
      </c>
      <c r="C307" s="113" t="s">
        <v>1090</v>
      </c>
      <c r="D307" s="113" t="s">
        <v>1091</v>
      </c>
      <c r="E307" s="657">
        <f>('[4]INTEC (listas)'!R303)</f>
        <v>0</v>
      </c>
      <c r="F307" s="657">
        <f>('[6]INTEC (listas)'!R303)</f>
        <v>0</v>
      </c>
      <c r="G307" s="658">
        <v>0</v>
      </c>
      <c r="H307" s="658">
        <v>0</v>
      </c>
      <c r="I307" s="658"/>
      <c r="J307" s="113"/>
      <c r="K307" s="657">
        <v>0</v>
      </c>
      <c r="L307" s="657">
        <v>0</v>
      </c>
      <c r="M307" s="657"/>
      <c r="N307" s="657">
        <v>0</v>
      </c>
      <c r="O307" s="658">
        <v>0</v>
      </c>
      <c r="P307" s="658"/>
      <c r="Q307" s="658">
        <v>10</v>
      </c>
      <c r="R307" s="658">
        <v>10</v>
      </c>
      <c r="S307" s="658">
        <f>('INTEC (listas)'!L306)</f>
        <v>10</v>
      </c>
    </row>
    <row r="308" spans="1:19">
      <c r="A308" s="113">
        <v>351</v>
      </c>
      <c r="B308" s="113" t="s">
        <v>1088</v>
      </c>
      <c r="C308" s="113" t="s">
        <v>1092</v>
      </c>
      <c r="D308" s="113" t="s">
        <v>1093</v>
      </c>
      <c r="E308" s="657">
        <f>('[4]INTEC (listas)'!R304)</f>
        <v>0</v>
      </c>
      <c r="F308" s="657">
        <f>('[6]INTEC (listas)'!R304)</f>
        <v>0</v>
      </c>
      <c r="G308" s="658">
        <v>0</v>
      </c>
      <c r="H308" s="658">
        <v>0</v>
      </c>
      <c r="I308" s="658">
        <v>0</v>
      </c>
      <c r="J308" s="113">
        <v>0</v>
      </c>
      <c r="K308" s="657">
        <v>0</v>
      </c>
      <c r="L308" s="657">
        <v>0</v>
      </c>
      <c r="M308" s="657">
        <v>0</v>
      </c>
      <c r="N308" s="657">
        <v>0</v>
      </c>
      <c r="O308" s="658">
        <v>0</v>
      </c>
      <c r="P308" s="658">
        <v>0</v>
      </c>
      <c r="Q308" s="658">
        <v>10</v>
      </c>
      <c r="R308" s="658">
        <v>10</v>
      </c>
      <c r="S308" s="658">
        <f>('INTEC (listas)'!L307)</f>
        <v>10</v>
      </c>
    </row>
    <row r="309" spans="1:19">
      <c r="A309" s="113">
        <v>344</v>
      </c>
      <c r="B309" s="113" t="s">
        <v>1088</v>
      </c>
      <c r="C309" s="113" t="s">
        <v>380</v>
      </c>
      <c r="D309" s="113" t="s">
        <v>1094</v>
      </c>
      <c r="E309" s="657">
        <f>('[4]INTEC (listas)'!R305)</f>
        <v>322000</v>
      </c>
      <c r="F309" s="657">
        <f>('[6]INTEC (listas)'!R305)</f>
        <v>336000</v>
      </c>
      <c r="G309" s="658">
        <v>336000</v>
      </c>
      <c r="H309" s="658">
        <v>336000</v>
      </c>
      <c r="I309" s="658">
        <v>324800</v>
      </c>
      <c r="J309" s="113">
        <v>324800</v>
      </c>
      <c r="K309" s="657">
        <v>324800</v>
      </c>
      <c r="L309" s="657">
        <v>324800</v>
      </c>
      <c r="M309" s="657">
        <v>324800</v>
      </c>
      <c r="N309" s="657">
        <v>330400</v>
      </c>
      <c r="O309" s="658">
        <v>330400</v>
      </c>
      <c r="P309" s="658">
        <v>341600</v>
      </c>
      <c r="Q309" s="658">
        <v>341600</v>
      </c>
      <c r="R309" s="658">
        <v>341600</v>
      </c>
      <c r="S309" s="658">
        <f>('INTEC (listas)'!L308)</f>
        <v>364000</v>
      </c>
    </row>
    <row r="310" spans="1:19">
      <c r="A310" s="113">
        <v>345</v>
      </c>
      <c r="B310" s="113" t="s">
        <v>1088</v>
      </c>
      <c r="C310" s="113" t="s">
        <v>381</v>
      </c>
      <c r="D310" s="113" t="s">
        <v>1095</v>
      </c>
      <c r="E310" s="657">
        <f>('[4]INTEC (listas)'!R306)</f>
        <v>111550</v>
      </c>
      <c r="F310" s="657">
        <f>('[6]INTEC (listas)'!R306)</f>
        <v>116400</v>
      </c>
      <c r="G310" s="658">
        <v>116400</v>
      </c>
      <c r="H310" s="658">
        <v>116400</v>
      </c>
      <c r="I310" s="658">
        <v>112520</v>
      </c>
      <c r="J310" s="113">
        <v>112520</v>
      </c>
      <c r="K310" s="657">
        <v>112520</v>
      </c>
      <c r="L310" s="657">
        <v>112520</v>
      </c>
      <c r="M310" s="657">
        <v>112520</v>
      </c>
      <c r="N310" s="657">
        <v>114460</v>
      </c>
      <c r="O310" s="658">
        <v>114460</v>
      </c>
      <c r="P310" s="658">
        <v>118340</v>
      </c>
      <c r="Q310" s="658">
        <v>118340</v>
      </c>
      <c r="R310" s="658">
        <v>118340</v>
      </c>
      <c r="S310" s="658">
        <f>('INTEC (listas)'!L309)</f>
        <v>126100</v>
      </c>
    </row>
    <row r="311" spans="1:19">
      <c r="A311" s="113">
        <v>365</v>
      </c>
      <c r="B311" s="113" t="s">
        <v>1085</v>
      </c>
      <c r="C311" s="113" t="s">
        <v>1096</v>
      </c>
      <c r="D311" s="113" t="s">
        <v>1097</v>
      </c>
      <c r="E311" s="657">
        <f>('[4]INTEC (listas)'!R307)</f>
        <v>0</v>
      </c>
      <c r="F311" s="657">
        <f>('[6]INTEC (listas)'!R307)</f>
        <v>0</v>
      </c>
      <c r="G311" s="658">
        <v>0</v>
      </c>
      <c r="H311" s="658">
        <v>0</v>
      </c>
      <c r="I311" s="658"/>
      <c r="J311" s="113"/>
      <c r="K311" s="657">
        <v>0</v>
      </c>
      <c r="L311" s="657">
        <v>0</v>
      </c>
      <c r="M311" s="657"/>
      <c r="N311" s="657">
        <v>0</v>
      </c>
      <c r="O311" s="658">
        <v>0</v>
      </c>
      <c r="P311" s="658"/>
      <c r="Q311" s="658">
        <v>10</v>
      </c>
      <c r="R311" s="658">
        <v>10</v>
      </c>
      <c r="S311" s="658">
        <f>('INTEC (listas)'!L310)</f>
        <v>10</v>
      </c>
    </row>
    <row r="312" spans="1:19">
      <c r="A312" s="113">
        <v>346</v>
      </c>
      <c r="B312" s="113" t="s">
        <v>1088</v>
      </c>
      <c r="C312" s="113" t="s">
        <v>479</v>
      </c>
      <c r="D312" s="113" t="s">
        <v>1098</v>
      </c>
      <c r="E312" s="657">
        <f>('[4]INTEC (listas)'!R308)</f>
        <v>21859.200000000001</v>
      </c>
      <c r="F312" s="657">
        <f>('[6]INTEC (listas)'!R308)</f>
        <v>22809.599999999999</v>
      </c>
      <c r="G312" s="658">
        <v>22809.599999999999</v>
      </c>
      <c r="H312" s="658">
        <v>21669.120000000003</v>
      </c>
      <c r="I312" s="658">
        <v>20946.816000000003</v>
      </c>
      <c r="J312" s="113">
        <v>20946.816000000003</v>
      </c>
      <c r="K312" s="657">
        <v>20946.816000000003</v>
      </c>
      <c r="L312" s="657">
        <v>20946.816000000003</v>
      </c>
      <c r="M312" s="657">
        <v>20946.816000000003</v>
      </c>
      <c r="N312" s="657">
        <v>21307.968000000001</v>
      </c>
      <c r="O312" s="658">
        <v>21307.968000000001</v>
      </c>
      <c r="P312" s="658">
        <v>22030.272000000001</v>
      </c>
      <c r="Q312" s="658">
        <v>22030.272000000001</v>
      </c>
      <c r="R312" s="658">
        <v>22030.272000000001</v>
      </c>
      <c r="S312" s="658">
        <f>('INTEC (listas)'!L311)</f>
        <v>23474.880000000001</v>
      </c>
    </row>
    <row r="313" spans="1:19">
      <c r="A313" s="113">
        <v>347</v>
      </c>
      <c r="B313" s="113" t="s">
        <v>388</v>
      </c>
      <c r="C313" s="113" t="s">
        <v>459</v>
      </c>
      <c r="D313" s="113" t="s">
        <v>460</v>
      </c>
      <c r="E313" s="657">
        <f>('[4]INTEC (listas)'!R309)</f>
        <v>54647.999999999993</v>
      </c>
      <c r="F313" s="657">
        <f>('[6]INTEC (listas)'!R309)</f>
        <v>46656</v>
      </c>
      <c r="G313" s="658">
        <v>46656</v>
      </c>
      <c r="H313" s="658">
        <v>44323.199999999997</v>
      </c>
      <c r="I313" s="658">
        <v>42845.760000000002</v>
      </c>
      <c r="J313" s="113">
        <v>42845.760000000002</v>
      </c>
      <c r="K313" s="657">
        <v>42845.760000000002</v>
      </c>
      <c r="L313" s="657">
        <v>42845.760000000002</v>
      </c>
      <c r="M313" s="657">
        <v>42845.760000000002</v>
      </c>
      <c r="N313" s="657">
        <v>43584.480000000003</v>
      </c>
      <c r="O313" s="658">
        <v>33899.040000000001</v>
      </c>
      <c r="P313" s="658">
        <v>35048.160000000003</v>
      </c>
      <c r="Q313" s="658">
        <v>35048.160000000003</v>
      </c>
      <c r="R313" s="658">
        <v>35048.160000000003</v>
      </c>
      <c r="S313" s="658">
        <f>('INTEC (listas)'!L312)</f>
        <v>37346.400000000001</v>
      </c>
    </row>
    <row r="314" spans="1:19">
      <c r="A314" s="113">
        <v>327</v>
      </c>
      <c r="B314" s="113" t="s">
        <v>680</v>
      </c>
      <c r="C314" s="113" t="s">
        <v>1099</v>
      </c>
      <c r="D314" s="113" t="s">
        <v>1100</v>
      </c>
      <c r="E314" s="657">
        <f>('[4]INTEC (listas)'!R310)</f>
        <v>57780</v>
      </c>
      <c r="F314" s="657">
        <f>('[6]INTEC (listas)'!R310)</f>
        <v>62402.400000000001</v>
      </c>
      <c r="G314" s="658">
        <v>62402.400000000001</v>
      </c>
      <c r="H314" s="658">
        <v>62402.400000000001</v>
      </c>
      <c r="I314" s="658">
        <v>62402.400000000001</v>
      </c>
      <c r="J314" s="113">
        <v>62402.400000000001</v>
      </c>
      <c r="K314" s="657">
        <v>62402.400000000001</v>
      </c>
      <c r="L314" s="657">
        <v>62402.400000000001</v>
      </c>
      <c r="M314" s="657">
        <v>62402.400000000001</v>
      </c>
      <c r="N314" s="657">
        <v>62402.400000000001</v>
      </c>
      <c r="O314" s="658">
        <v>62402.400000000001</v>
      </c>
      <c r="P314" s="658">
        <v>68792.399999999994</v>
      </c>
      <c r="Q314" s="658">
        <v>69400</v>
      </c>
      <c r="R314" s="658">
        <v>69400</v>
      </c>
      <c r="S314" s="658">
        <f>('INTEC (listas)'!L313)</f>
        <v>69400</v>
      </c>
    </row>
    <row r="315" spans="1:19">
      <c r="A315" s="113">
        <v>328</v>
      </c>
      <c r="B315" s="113" t="s">
        <v>680</v>
      </c>
      <c r="C315" s="113" t="s">
        <v>1101</v>
      </c>
      <c r="D315" s="113" t="s">
        <v>1102</v>
      </c>
      <c r="E315" s="657">
        <f>('[4]INTEC (listas)'!R311)</f>
        <v>75187.44</v>
      </c>
      <c r="F315" s="657">
        <f>('[6]INTEC (listas)'!R311)</f>
        <v>82706.184000000008</v>
      </c>
      <c r="G315" s="658">
        <v>82706.184000000008</v>
      </c>
      <c r="H315" s="658">
        <v>82706.184000000008</v>
      </c>
      <c r="I315" s="658">
        <v>82706.184000000008</v>
      </c>
      <c r="J315" s="113">
        <v>82706.184000000008</v>
      </c>
      <c r="K315" s="657">
        <v>82706.184000000008</v>
      </c>
      <c r="L315" s="657">
        <v>82706.184000000008</v>
      </c>
      <c r="M315" s="657">
        <v>82706.184000000008</v>
      </c>
      <c r="N315" s="657">
        <v>75378.416097600013</v>
      </c>
      <c r="O315" s="658">
        <v>75378.416097600013</v>
      </c>
      <c r="P315" s="658">
        <v>79722</v>
      </c>
      <c r="Q315" s="658">
        <v>80350</v>
      </c>
      <c r="R315" s="658">
        <v>80350</v>
      </c>
      <c r="S315" s="658">
        <f>('INTEC (listas)'!L314)</f>
        <v>89215.520299999989</v>
      </c>
    </row>
    <row r="316" spans="1:19">
      <c r="A316" s="113">
        <v>329</v>
      </c>
      <c r="B316" s="113" t="s">
        <v>680</v>
      </c>
      <c r="C316" s="113" t="s">
        <v>1103</v>
      </c>
      <c r="D316" s="113" t="s">
        <v>1104</v>
      </c>
      <c r="E316" s="657">
        <f>('[4]INTEC (listas)'!R312)</f>
        <v>49158.18</v>
      </c>
      <c r="F316" s="657">
        <f>('[6]INTEC (listas)'!R312)</f>
        <v>54073.998000000007</v>
      </c>
      <c r="G316" s="658">
        <v>54073.998000000007</v>
      </c>
      <c r="H316" s="658">
        <v>54073.998000000007</v>
      </c>
      <c r="I316" s="658">
        <v>54073.998000000007</v>
      </c>
      <c r="J316" s="113">
        <v>54073.998000000007</v>
      </c>
      <c r="K316" s="657">
        <v>54073.998000000007</v>
      </c>
      <c r="L316" s="657">
        <v>54073.998000000007</v>
      </c>
      <c r="M316" s="657">
        <v>52002.000000000007</v>
      </c>
      <c r="N316" s="657">
        <v>52002.000000000007</v>
      </c>
      <c r="O316" s="658">
        <v>52002.000000000007</v>
      </c>
      <c r="P316" s="658">
        <v>57326.400000000001</v>
      </c>
      <c r="Q316" s="658">
        <v>57800</v>
      </c>
      <c r="R316" s="658">
        <v>57800</v>
      </c>
      <c r="S316" s="658">
        <f>('INTEC (listas)'!L315)</f>
        <v>57800</v>
      </c>
    </row>
    <row r="317" spans="1:19">
      <c r="A317" s="113">
        <v>361</v>
      </c>
      <c r="B317" s="113" t="s">
        <v>521</v>
      </c>
      <c r="C317" s="113" t="s">
        <v>1105</v>
      </c>
      <c r="D317" s="113" t="s">
        <v>1106</v>
      </c>
      <c r="E317" s="657">
        <f>('[4]INTEC (listas)'!R313)</f>
        <v>0</v>
      </c>
      <c r="F317" s="657">
        <f>('[6]INTEC (listas)'!R313)</f>
        <v>0</v>
      </c>
      <c r="G317" s="658">
        <v>0</v>
      </c>
      <c r="H317" s="658">
        <v>0</v>
      </c>
      <c r="I317" s="658"/>
      <c r="J317" s="113"/>
      <c r="K317" s="657">
        <v>0</v>
      </c>
      <c r="L317" s="657">
        <v>0</v>
      </c>
      <c r="M317" s="657"/>
      <c r="N317" s="657">
        <v>0</v>
      </c>
      <c r="O317" s="658">
        <v>0</v>
      </c>
      <c r="P317" s="658"/>
      <c r="Q317" s="658">
        <v>10</v>
      </c>
      <c r="R317" s="658">
        <v>10</v>
      </c>
      <c r="S317" s="658">
        <f>('INTEC (listas)'!L316)</f>
        <v>10</v>
      </c>
    </row>
    <row r="318" spans="1:19">
      <c r="A318" s="113">
        <v>362</v>
      </c>
      <c r="B318" s="113" t="s">
        <v>521</v>
      </c>
      <c r="C318" s="113" t="s">
        <v>1107</v>
      </c>
      <c r="D318" s="113" t="s">
        <v>1108</v>
      </c>
      <c r="E318" s="657">
        <f>('[4]INTEC (listas)'!R314)</f>
        <v>0</v>
      </c>
      <c r="F318" s="657">
        <f>('[6]INTEC (listas)'!R314)</f>
        <v>0</v>
      </c>
      <c r="G318" s="658">
        <v>0</v>
      </c>
      <c r="H318" s="658">
        <v>0</v>
      </c>
      <c r="I318" s="658"/>
      <c r="J318" s="113"/>
      <c r="K318" s="657">
        <v>0</v>
      </c>
      <c r="L318" s="657">
        <v>0</v>
      </c>
      <c r="M318" s="657"/>
      <c r="N318" s="657">
        <v>0</v>
      </c>
      <c r="O318" s="658">
        <v>0</v>
      </c>
      <c r="P318" s="658"/>
      <c r="Q318" s="658">
        <v>10</v>
      </c>
      <c r="R318" s="658">
        <v>10</v>
      </c>
      <c r="S318" s="658">
        <f>('INTEC (listas)'!L317)</f>
        <v>10</v>
      </c>
    </row>
    <row r="319" spans="1:19">
      <c r="A319" s="113">
        <v>352</v>
      </c>
      <c r="B319" s="113" t="s">
        <v>1109</v>
      </c>
      <c r="C319" s="113" t="s">
        <v>1110</v>
      </c>
      <c r="D319" s="113">
        <v>2124</v>
      </c>
      <c r="E319" s="657">
        <f>('[4]INTEC (listas)'!R315)</f>
        <v>10266.299999999999</v>
      </c>
      <c r="F319" s="657">
        <f>('[6]INTEC (listas)'!R315)</f>
        <v>10266.299999999999</v>
      </c>
      <c r="G319" s="658">
        <v>10266.299999999999</v>
      </c>
      <c r="H319" s="658">
        <v>10266.299999999999</v>
      </c>
      <c r="I319" s="658">
        <v>10266.299999999999</v>
      </c>
      <c r="J319" s="113">
        <v>10266.299999999999</v>
      </c>
      <c r="K319" s="657">
        <v>10266.299999999999</v>
      </c>
      <c r="L319" s="657">
        <v>10266.299999999999</v>
      </c>
      <c r="M319" s="657">
        <v>10266.299999999999</v>
      </c>
      <c r="N319" s="657">
        <v>10266.299999999999</v>
      </c>
      <c r="O319" s="658">
        <v>10266.299999999999</v>
      </c>
      <c r="P319" s="658">
        <v>10210.200000000001</v>
      </c>
      <c r="Q319" s="658">
        <v>10108.098</v>
      </c>
      <c r="R319" s="658">
        <v>10108.098</v>
      </c>
      <c r="S319" s="658">
        <f>('INTEC (listas)'!L318)</f>
        <v>12481.1</v>
      </c>
    </row>
    <row r="320" spans="1:19">
      <c r="A320" s="113">
        <v>353</v>
      </c>
      <c r="B320" s="113" t="s">
        <v>1109</v>
      </c>
      <c r="C320" s="113" t="s">
        <v>1111</v>
      </c>
      <c r="D320" s="113">
        <v>2504</v>
      </c>
      <c r="E320" s="657">
        <f>('[4]INTEC (listas)'!R316)</f>
        <v>9920.7240000000002</v>
      </c>
      <c r="F320" s="657">
        <f>('[6]INTEC (listas)'!R316)</f>
        <v>9920.7240000000002</v>
      </c>
      <c r="G320" s="658">
        <v>9920.7240000000002</v>
      </c>
      <c r="H320" s="658">
        <v>9920.7240000000002</v>
      </c>
      <c r="I320" s="658">
        <v>9920.7240000000002</v>
      </c>
      <c r="J320" s="113">
        <v>9920.7240000000002</v>
      </c>
      <c r="K320" s="657">
        <v>9920.7240000000002</v>
      </c>
      <c r="L320" s="657">
        <v>9920.7240000000002</v>
      </c>
      <c r="M320" s="657">
        <v>9920.7240000000002</v>
      </c>
      <c r="N320" s="657">
        <v>9920.7240000000002</v>
      </c>
      <c r="O320" s="658">
        <v>9920.7240000000002</v>
      </c>
      <c r="P320" s="658">
        <v>9866.1200000000008</v>
      </c>
      <c r="Q320" s="658">
        <v>9767.4588000000003</v>
      </c>
      <c r="R320" s="658">
        <v>9767.4588000000003</v>
      </c>
      <c r="S320" s="658">
        <f>('INTEC (listas)'!L319)</f>
        <v>12060.25</v>
      </c>
    </row>
    <row r="321" spans="1:19">
      <c r="A321" s="113">
        <v>354</v>
      </c>
      <c r="B321" s="113" t="s">
        <v>1109</v>
      </c>
      <c r="C321" s="113" t="s">
        <v>1112</v>
      </c>
      <c r="D321" s="113">
        <v>8357</v>
      </c>
      <c r="E321" s="657">
        <f>('[4]INTEC (listas)'!R317)</f>
        <v>12188.66</v>
      </c>
      <c r="F321" s="657">
        <f>('[6]INTEC (listas)'!R317)</f>
        <v>12188.66</v>
      </c>
      <c r="G321" s="658">
        <v>12188.66</v>
      </c>
      <c r="H321" s="658">
        <v>12188.66</v>
      </c>
      <c r="I321" s="658">
        <v>12188.66</v>
      </c>
      <c r="J321" s="113">
        <v>12188.66</v>
      </c>
      <c r="K321" s="657">
        <v>12188.66</v>
      </c>
      <c r="L321" s="657">
        <v>12188.66</v>
      </c>
      <c r="M321" s="657">
        <v>12188.66</v>
      </c>
      <c r="N321" s="657">
        <v>12188.66</v>
      </c>
      <c r="O321" s="658">
        <v>12188.66</v>
      </c>
      <c r="P321" s="658">
        <v>12122.088</v>
      </c>
      <c r="Q321" s="658">
        <v>12001.136400000001</v>
      </c>
      <c r="R321" s="658">
        <v>12001.136400000001</v>
      </c>
      <c r="S321" s="658">
        <f>('INTEC (listas)'!L320)</f>
        <v>14818.1</v>
      </c>
    </row>
    <row r="322" spans="1:19">
      <c r="A322" s="113">
        <v>355</v>
      </c>
      <c r="B322" s="113" t="s">
        <v>1109</v>
      </c>
      <c r="C322" s="113" t="s">
        <v>1113</v>
      </c>
      <c r="D322" s="113">
        <v>21644</v>
      </c>
      <c r="E322" s="657">
        <f>('[4]INTEC (listas)'!R318)</f>
        <v>15011.612000000001</v>
      </c>
      <c r="F322" s="657">
        <f>('[6]INTEC (listas)'!R318)</f>
        <v>15011.612000000001</v>
      </c>
      <c r="G322" s="658">
        <v>15011.612000000001</v>
      </c>
      <c r="H322" s="658">
        <v>15011.612000000001</v>
      </c>
      <c r="I322" s="658">
        <v>15011.612000000001</v>
      </c>
      <c r="J322" s="113">
        <v>15011.612000000001</v>
      </c>
      <c r="K322" s="657">
        <v>15011.612000000001</v>
      </c>
      <c r="L322" s="657">
        <v>15011.612000000001</v>
      </c>
      <c r="M322" s="657">
        <v>15011.612000000001</v>
      </c>
      <c r="N322" s="657">
        <v>15011.612000000001</v>
      </c>
      <c r="O322" s="658">
        <v>15011.612000000001</v>
      </c>
      <c r="P322" s="658">
        <v>12309.836000000001</v>
      </c>
      <c r="Q322" s="658">
        <v>12186.9396</v>
      </c>
      <c r="R322" s="658">
        <v>12186.9396</v>
      </c>
      <c r="S322" s="658">
        <f>('INTEC (listas)'!L321)</f>
        <v>15048</v>
      </c>
    </row>
    <row r="323" spans="1:19">
      <c r="A323" s="113">
        <v>356</v>
      </c>
      <c r="B323" s="113" t="s">
        <v>1109</v>
      </c>
      <c r="C323" s="113" t="s">
        <v>1114</v>
      </c>
      <c r="D323" s="113">
        <v>7386</v>
      </c>
      <c r="E323" s="657">
        <f>('[4]INTEC (listas)'!R319)</f>
        <v>15170.936000000002</v>
      </c>
      <c r="F323" s="657">
        <f>('[6]INTEC (listas)'!R319)</f>
        <v>15170.936000000002</v>
      </c>
      <c r="G323" s="658">
        <v>15170.936000000002</v>
      </c>
      <c r="H323" s="658">
        <v>15170.936000000002</v>
      </c>
      <c r="I323" s="658">
        <v>15170.936000000002</v>
      </c>
      <c r="J323" s="658">
        <v>15170.936000000002</v>
      </c>
      <c r="K323" s="657">
        <v>15170.936000000002</v>
      </c>
      <c r="L323" s="657">
        <v>15170.936000000002</v>
      </c>
      <c r="M323" s="657">
        <v>15170.936000000002</v>
      </c>
      <c r="N323" s="657">
        <v>15170.936000000002</v>
      </c>
      <c r="O323" s="658">
        <v>15170.936000000002</v>
      </c>
      <c r="P323" s="658">
        <v>13646.511999999999</v>
      </c>
      <c r="Q323" s="658">
        <v>13510.450800000001</v>
      </c>
      <c r="R323" s="658">
        <v>13510.450800000001</v>
      </c>
      <c r="S323" s="658">
        <f>('INTEC (listas)'!L322)</f>
        <v>19065.55</v>
      </c>
    </row>
    <row r="324" spans="1:19">
      <c r="A324" s="113">
        <v>357</v>
      </c>
      <c r="B324" s="113" t="s">
        <v>1109</v>
      </c>
      <c r="C324" s="113" t="s">
        <v>1115</v>
      </c>
      <c r="D324" s="113">
        <v>1602</v>
      </c>
      <c r="E324" s="657">
        <f>('[4]INTEC (listas)'!R320)</f>
        <v>6039.3519999999999</v>
      </c>
      <c r="F324" s="657">
        <f>('[6]INTEC (listas)'!R320)</f>
        <v>6039.3519999999999</v>
      </c>
      <c r="G324" s="658">
        <v>6039.3519999999999</v>
      </c>
      <c r="H324" s="658">
        <v>6039.3519999999999</v>
      </c>
      <c r="I324" s="658">
        <v>6039.3519999999999</v>
      </c>
      <c r="J324" s="113">
        <v>6039.3519999999999</v>
      </c>
      <c r="K324" s="657">
        <v>6039.3519999999999</v>
      </c>
      <c r="L324" s="657">
        <v>6039.3519999999999</v>
      </c>
      <c r="M324" s="657">
        <v>6039.3519999999999</v>
      </c>
      <c r="N324" s="657">
        <v>6039.3519999999999</v>
      </c>
      <c r="O324" s="658">
        <v>6039.3519999999999</v>
      </c>
      <c r="P324" s="658">
        <v>6257.768</v>
      </c>
      <c r="Q324" s="658">
        <v>6057.4535999999998</v>
      </c>
      <c r="R324" s="658">
        <v>6057.4535999999998</v>
      </c>
      <c r="S324" s="658">
        <f>('INTEC (listas)'!L323)</f>
        <v>7435.65</v>
      </c>
    </row>
    <row r="325" spans="1:19">
      <c r="A325" s="113">
        <v>343</v>
      </c>
      <c r="B325" s="113" t="s">
        <v>1088</v>
      </c>
      <c r="C325" s="113" t="s">
        <v>377</v>
      </c>
      <c r="D325" s="113" t="s">
        <v>1116</v>
      </c>
      <c r="E325" s="657">
        <f>('[4]INTEC (listas)'!R321)</f>
        <v>89125</v>
      </c>
      <c r="F325" s="657">
        <f>('[6]INTEC (listas)'!R321)</f>
        <v>93000</v>
      </c>
      <c r="G325" s="658">
        <v>93000</v>
      </c>
      <c r="H325" s="658">
        <v>93000</v>
      </c>
      <c r="I325" s="658">
        <v>89900</v>
      </c>
      <c r="J325" s="113">
        <v>89900</v>
      </c>
      <c r="K325" s="657">
        <v>89900</v>
      </c>
      <c r="L325" s="657">
        <v>89900</v>
      </c>
      <c r="M325" s="657">
        <v>89900</v>
      </c>
      <c r="N325" s="657">
        <v>91450</v>
      </c>
      <c r="O325" s="658">
        <v>91450</v>
      </c>
      <c r="P325" s="658">
        <v>94550</v>
      </c>
      <c r="Q325" s="658">
        <v>94550</v>
      </c>
      <c r="R325" s="658">
        <v>94550</v>
      </c>
      <c r="S325" s="658">
        <f>('INTEC (listas)'!L324)</f>
        <v>100750</v>
      </c>
    </row>
    <row r="326" spans="1:19">
      <c r="A326" s="113">
        <v>363</v>
      </c>
      <c r="B326" s="113" t="s">
        <v>651</v>
      </c>
      <c r="C326" s="113" t="s">
        <v>1117</v>
      </c>
      <c r="D326" s="113" t="s">
        <v>182</v>
      </c>
      <c r="E326" s="657">
        <f>('[4]INTEC (listas)'!R322)</f>
        <v>287139.78315000003</v>
      </c>
      <c r="F326" s="657">
        <f>('[6]INTEC (listas)'!R322)</f>
        <v>301496.77230750001</v>
      </c>
      <c r="G326" s="658">
        <v>310541.67547672498</v>
      </c>
      <c r="H326" s="658">
        <v>310541.67547672498</v>
      </c>
      <c r="I326" s="658">
        <v>310541.67547672498</v>
      </c>
      <c r="J326" s="113">
        <v>310541.67547672498</v>
      </c>
      <c r="K326" s="657">
        <v>310541.67547672498</v>
      </c>
      <c r="L326" s="657">
        <v>250762.39316699997</v>
      </c>
      <c r="M326" s="657">
        <v>242673.28370999999</v>
      </c>
      <c r="N326" s="657">
        <v>237819.81803579998</v>
      </c>
      <c r="O326" s="658">
        <v>237819.81803579998</v>
      </c>
      <c r="P326" s="658">
        <v>257202.13320571769</v>
      </c>
      <c r="Q326" s="658">
        <v>262346.17586983205</v>
      </c>
      <c r="R326" s="658">
        <v>270216.561145927</v>
      </c>
      <c r="S326" s="658">
        <f>('INTEC (listas)'!L325)</f>
        <v>278322.92746335</v>
      </c>
    </row>
    <row r="327" spans="1:19">
      <c r="A327" s="113">
        <v>349</v>
      </c>
      <c r="B327" s="113" t="s">
        <v>893</v>
      </c>
      <c r="C327" s="155" t="s">
        <v>1118</v>
      </c>
      <c r="D327" s="113" t="s">
        <v>1119</v>
      </c>
      <c r="E327" s="657"/>
      <c r="F327" s="657"/>
      <c r="G327" s="658"/>
      <c r="H327" s="658"/>
      <c r="I327" s="658"/>
      <c r="J327" s="113"/>
      <c r="K327" s="657"/>
      <c r="L327" s="657"/>
      <c r="M327" s="657"/>
      <c r="N327" s="657">
        <v>0</v>
      </c>
      <c r="O327" s="658">
        <v>0</v>
      </c>
      <c r="P327" s="658"/>
      <c r="Q327" s="658">
        <v>10</v>
      </c>
      <c r="R327" s="658">
        <v>10</v>
      </c>
      <c r="S327" s="658">
        <f>('INTEC (listas)'!L326)</f>
        <v>10</v>
      </c>
    </row>
    <row r="328" spans="1:19">
      <c r="A328" s="113">
        <v>378</v>
      </c>
      <c r="B328" s="113" t="s">
        <v>893</v>
      </c>
      <c r="C328" s="155" t="s">
        <v>1120</v>
      </c>
      <c r="D328" s="916" t="s">
        <v>1121</v>
      </c>
      <c r="E328" s="657">
        <f>('[4]INTEC (listas)'!R324)</f>
        <v>0</v>
      </c>
      <c r="F328" s="657">
        <f>('[6]INTEC (listas)'!R324)</f>
        <v>0</v>
      </c>
      <c r="G328" s="658">
        <v>0</v>
      </c>
      <c r="H328" s="658">
        <v>0</v>
      </c>
      <c r="I328" s="658"/>
      <c r="J328" s="658"/>
      <c r="K328" s="657">
        <v>0</v>
      </c>
      <c r="L328" s="657">
        <v>0</v>
      </c>
      <c r="M328" s="657"/>
      <c r="N328" s="657">
        <v>0</v>
      </c>
      <c r="O328" s="658">
        <v>0</v>
      </c>
      <c r="P328" s="658"/>
      <c r="Q328" s="658">
        <v>10</v>
      </c>
      <c r="R328" s="658">
        <v>10</v>
      </c>
      <c r="S328" s="658">
        <f>('INTEC (listas)'!L327)</f>
        <v>10</v>
      </c>
    </row>
    <row r="329" spans="1:19">
      <c r="A329" s="113">
        <v>379</v>
      </c>
      <c r="B329" s="113" t="s">
        <v>893</v>
      </c>
      <c r="C329" s="155" t="s">
        <v>1122</v>
      </c>
      <c r="D329" s="658" t="s">
        <v>1123</v>
      </c>
      <c r="E329" s="657">
        <f>('[4]INTEC (listas)'!R325)</f>
        <v>0</v>
      </c>
      <c r="F329" s="657">
        <f>('[6]INTEC (listas)'!R325)</f>
        <v>0</v>
      </c>
      <c r="G329" s="658">
        <v>0</v>
      </c>
      <c r="H329" s="658">
        <v>0</v>
      </c>
      <c r="I329" s="658"/>
      <c r="J329" s="113"/>
      <c r="K329" s="657">
        <v>0</v>
      </c>
      <c r="L329" s="657">
        <v>0</v>
      </c>
      <c r="M329" s="657"/>
      <c r="N329" s="657">
        <v>0</v>
      </c>
      <c r="O329" s="658">
        <v>0</v>
      </c>
      <c r="P329" s="658"/>
      <c r="Q329" s="658">
        <v>10</v>
      </c>
      <c r="R329" s="658">
        <v>10</v>
      </c>
      <c r="S329" s="658">
        <f>('INTEC (listas)'!L328)</f>
        <v>10</v>
      </c>
    </row>
    <row r="330" spans="1:19">
      <c r="A330" s="113">
        <v>383</v>
      </c>
      <c r="B330" s="113" t="s">
        <v>1124</v>
      </c>
      <c r="C330" s="113" t="s">
        <v>792</v>
      </c>
      <c r="D330" s="113" t="s">
        <v>793</v>
      </c>
      <c r="E330" s="657">
        <f>('[4]INTEC (listas)'!R326)</f>
        <v>0</v>
      </c>
      <c r="F330" s="657">
        <f>('[6]INTEC (listas)'!R326)</f>
        <v>0</v>
      </c>
      <c r="G330" s="658">
        <v>0</v>
      </c>
      <c r="H330" s="658">
        <v>0</v>
      </c>
      <c r="I330" s="658"/>
      <c r="J330" s="113"/>
      <c r="K330" s="657">
        <v>0</v>
      </c>
      <c r="L330" s="657">
        <v>0</v>
      </c>
      <c r="M330" s="657"/>
      <c r="N330" s="657">
        <v>0</v>
      </c>
      <c r="O330" s="658">
        <v>0</v>
      </c>
      <c r="P330" s="658"/>
      <c r="Q330" s="658">
        <v>10</v>
      </c>
      <c r="R330" s="658">
        <v>10</v>
      </c>
      <c r="S330" s="658">
        <f>('INTEC (listas)'!L329)</f>
        <v>10</v>
      </c>
    </row>
    <row r="331" spans="1:19">
      <c r="A331" s="113">
        <v>387</v>
      </c>
      <c r="B331" s="113" t="s">
        <v>521</v>
      </c>
      <c r="C331" s="155" t="s">
        <v>1125</v>
      </c>
      <c r="D331" s="113" t="s">
        <v>1126</v>
      </c>
      <c r="E331" s="657">
        <f>('[4]INTEC (listas)'!R327)</f>
        <v>122805.36</v>
      </c>
      <c r="F331" s="657">
        <f>('[6]INTEC (listas)'!R327)</f>
        <v>112353.84000000003</v>
      </c>
      <c r="G331" s="658">
        <v>101118.45600000001</v>
      </c>
      <c r="H331" s="658">
        <v>101118.45600000001</v>
      </c>
      <c r="I331" s="658">
        <v>113186.63820000002</v>
      </c>
      <c r="J331" s="113">
        <v>113186.63820000002</v>
      </c>
      <c r="K331" s="657">
        <v>103250.19936</v>
      </c>
      <c r="L331" s="657">
        <v>103250.19936</v>
      </c>
      <c r="M331" s="657">
        <v>105024.02400000002</v>
      </c>
      <c r="N331" s="657">
        <v>106298.55936</v>
      </c>
      <c r="O331" s="658">
        <v>106141.6032</v>
      </c>
      <c r="P331" s="658">
        <v>117377.90400000001</v>
      </c>
      <c r="Q331" s="658">
        <v>118372.63200000001</v>
      </c>
      <c r="R331" s="658">
        <v>115863.35040000001</v>
      </c>
      <c r="S331" s="658">
        <f>('INTEC (listas)'!L330)</f>
        <v>120037.3519392</v>
      </c>
    </row>
    <row r="332" spans="1:19">
      <c r="A332" s="113">
        <v>391</v>
      </c>
      <c r="B332" s="113" t="s">
        <v>307</v>
      </c>
      <c r="C332" s="155" t="s">
        <v>1127</v>
      </c>
      <c r="D332" s="113" t="s">
        <v>1128</v>
      </c>
      <c r="E332" s="657">
        <f>('[4]INTEC (listas)'!R328)</f>
        <v>17469.291694214877</v>
      </c>
      <c r="F332" s="657">
        <f>('[6]INTEC (listas)'!R328)</f>
        <v>17469.291694214877</v>
      </c>
      <c r="G332" s="658">
        <v>17469.291694214877</v>
      </c>
      <c r="H332" s="658">
        <v>17469.291694214877</v>
      </c>
      <c r="I332" s="658">
        <v>17469.291694214877</v>
      </c>
      <c r="J332" s="113">
        <v>17469.291694214877</v>
      </c>
      <c r="K332" s="657">
        <v>17469.291694214877</v>
      </c>
      <c r="L332" s="657">
        <v>17469.291694214877</v>
      </c>
      <c r="M332" s="657">
        <v>17469.291694214877</v>
      </c>
      <c r="N332" s="657">
        <v>17469.291694214877</v>
      </c>
      <c r="O332" s="658">
        <v>17469.291694214877</v>
      </c>
      <c r="P332" s="658">
        <v>17469.291694214877</v>
      </c>
      <c r="Q332" s="658">
        <v>17469.291694214877</v>
      </c>
      <c r="R332" s="658">
        <v>17469.291694214877</v>
      </c>
      <c r="S332" s="658">
        <f>('INTEC (listas)'!L331)</f>
        <v>17469.291694214877</v>
      </c>
    </row>
    <row r="333" spans="1:19">
      <c r="A333" s="113">
        <v>395</v>
      </c>
      <c r="B333" s="113" t="s">
        <v>307</v>
      </c>
      <c r="C333" s="155" t="s">
        <v>1129</v>
      </c>
      <c r="D333" s="113" t="s">
        <v>1130</v>
      </c>
      <c r="E333" s="657">
        <f>('[4]INTEC (listas)'!R329)</f>
        <v>18656.947619834707</v>
      </c>
      <c r="F333" s="657">
        <f>('[6]INTEC (listas)'!R329)</f>
        <v>18656.947619834707</v>
      </c>
      <c r="G333" s="658">
        <v>18656.947619834707</v>
      </c>
      <c r="H333" s="658">
        <v>18656.947619834707</v>
      </c>
      <c r="I333" s="658">
        <v>18656.947619834707</v>
      </c>
      <c r="J333" s="113">
        <v>18656.947619834707</v>
      </c>
      <c r="K333" s="657">
        <v>18656.947619834707</v>
      </c>
      <c r="L333" s="657">
        <v>18656.947619834707</v>
      </c>
      <c r="M333" s="657">
        <v>18656.947619834707</v>
      </c>
      <c r="N333" s="657">
        <v>18656.947619834707</v>
      </c>
      <c r="O333" s="658">
        <v>18656.947619834707</v>
      </c>
      <c r="P333" s="658">
        <v>18656.947619834707</v>
      </c>
      <c r="Q333" s="658">
        <v>18656.947619834707</v>
      </c>
      <c r="R333" s="658">
        <v>18656.947619834707</v>
      </c>
      <c r="S333" s="658">
        <f>('INTEC (listas)'!L332)</f>
        <v>18656.947619834707</v>
      </c>
    </row>
    <row r="334" spans="1:19">
      <c r="A334" s="113">
        <v>392</v>
      </c>
      <c r="B334" s="113" t="s">
        <v>307</v>
      </c>
      <c r="C334" s="155" t="s">
        <v>1131</v>
      </c>
      <c r="D334" s="113" t="s">
        <v>320</v>
      </c>
      <c r="E334" s="657">
        <f>('[4]INTEC (listas)'!R330)</f>
        <v>21291.377545454547</v>
      </c>
      <c r="F334" s="657">
        <f>('[6]INTEC (listas)'!R330)</f>
        <v>21291.377545454547</v>
      </c>
      <c r="G334" s="658">
        <v>21291.377545454547</v>
      </c>
      <c r="H334" s="658">
        <v>21291.377545454547</v>
      </c>
      <c r="I334" s="658">
        <v>21291.377545454547</v>
      </c>
      <c r="J334" s="113">
        <v>21291.377545454547</v>
      </c>
      <c r="K334" s="657">
        <v>21291.377545454547</v>
      </c>
      <c r="L334" s="657">
        <v>21291.377545454547</v>
      </c>
      <c r="M334" s="657">
        <v>21291.377545454547</v>
      </c>
      <c r="N334" s="657">
        <v>21291.377545454547</v>
      </c>
      <c r="O334" s="658">
        <v>21291.377545454547</v>
      </c>
      <c r="P334" s="658">
        <v>21291.377545454547</v>
      </c>
      <c r="Q334" s="658">
        <v>21291.377545454547</v>
      </c>
      <c r="R334" s="658">
        <v>21291.377545454547</v>
      </c>
      <c r="S334" s="658">
        <f>('INTEC (listas)'!L333)</f>
        <v>21291.377545454547</v>
      </c>
    </row>
    <row r="335" spans="1:19">
      <c r="A335" s="113">
        <v>394</v>
      </c>
      <c r="B335" s="113" t="s">
        <v>307</v>
      </c>
      <c r="C335" s="155" t="s">
        <v>1132</v>
      </c>
      <c r="D335" s="113" t="s">
        <v>1133</v>
      </c>
      <c r="E335" s="657">
        <f>('[4]INTEC (listas)'!R331)</f>
        <v>14856.459429752067</v>
      </c>
      <c r="F335" s="657">
        <f>('[6]INTEC (listas)'!R331)</f>
        <v>14856.459429752067</v>
      </c>
      <c r="G335" s="658">
        <v>14856.459429752067</v>
      </c>
      <c r="H335" s="658">
        <v>14856.459429752067</v>
      </c>
      <c r="I335" s="658">
        <v>14856.459429752067</v>
      </c>
      <c r="J335" s="113">
        <v>14856.459429752067</v>
      </c>
      <c r="K335" s="657">
        <v>14856.459429752067</v>
      </c>
      <c r="L335" s="657">
        <v>14856.459429752067</v>
      </c>
      <c r="M335" s="657">
        <v>14856.459429752067</v>
      </c>
      <c r="N335" s="657">
        <v>14856.459429752067</v>
      </c>
      <c r="O335" s="658">
        <v>14856.459429752067</v>
      </c>
      <c r="P335" s="658">
        <v>14856.459429752067</v>
      </c>
      <c r="Q335" s="658">
        <v>14856.459429752067</v>
      </c>
      <c r="R335" s="658">
        <v>14856.459429752067</v>
      </c>
      <c r="S335" s="658">
        <f>('INTEC (listas)'!L334)</f>
        <v>14856.459429752067</v>
      </c>
    </row>
    <row r="336" spans="1:19">
      <c r="A336" s="113">
        <v>393</v>
      </c>
      <c r="B336" s="113" t="s">
        <v>307</v>
      </c>
      <c r="C336" s="155" t="s">
        <v>1134</v>
      </c>
      <c r="D336" s="113" t="s">
        <v>1135</v>
      </c>
      <c r="E336" s="657">
        <f>('[4]INTEC (listas)'!R332)</f>
        <v>23904.21750413223</v>
      </c>
      <c r="F336" s="657">
        <f>('[6]INTEC (listas)'!R332)</f>
        <v>23904.21750413223</v>
      </c>
      <c r="G336" s="658">
        <v>23904.21750413223</v>
      </c>
      <c r="H336" s="658">
        <v>23904.21750413223</v>
      </c>
      <c r="I336" s="658">
        <v>23904.21750413223</v>
      </c>
      <c r="J336" s="113">
        <v>23904.21750413223</v>
      </c>
      <c r="K336" s="657">
        <v>23904.21750413223</v>
      </c>
      <c r="L336" s="657">
        <v>23904.21750413223</v>
      </c>
      <c r="M336" s="657">
        <v>23904.21750413223</v>
      </c>
      <c r="N336" s="657">
        <v>23904.21750413223</v>
      </c>
      <c r="O336" s="658">
        <v>23904.21750413223</v>
      </c>
      <c r="P336" s="658">
        <v>23904.21750413223</v>
      </c>
      <c r="Q336" s="658">
        <v>23904.21750413223</v>
      </c>
      <c r="R336" s="658">
        <v>23904.21750413223</v>
      </c>
      <c r="S336" s="658">
        <f>('INTEC (listas)'!L335)</f>
        <v>23904.21750413223</v>
      </c>
    </row>
    <row r="337" spans="1:19">
      <c r="A337" s="113">
        <v>389</v>
      </c>
      <c r="B337" s="113" t="s">
        <v>307</v>
      </c>
      <c r="C337" s="155" t="s">
        <v>1136</v>
      </c>
      <c r="D337" s="113" t="s">
        <v>1137</v>
      </c>
      <c r="E337" s="657">
        <f>('[4]INTEC (listas)'!R333)</f>
        <v>22543.811066115701</v>
      </c>
      <c r="F337" s="657">
        <f>('[6]INTEC (listas)'!R333)</f>
        <v>22543.811066115701</v>
      </c>
      <c r="G337" s="658">
        <v>22543.811066115701</v>
      </c>
      <c r="H337" s="658">
        <v>22543.811066115701</v>
      </c>
      <c r="I337" s="658">
        <v>22543.811066115701</v>
      </c>
      <c r="J337" s="113">
        <v>22543.811066115701</v>
      </c>
      <c r="K337" s="657">
        <v>22543.811066115701</v>
      </c>
      <c r="L337" s="657">
        <v>22543.811066115701</v>
      </c>
      <c r="M337" s="657">
        <v>22543.811066115701</v>
      </c>
      <c r="N337" s="657">
        <v>22543.811066115701</v>
      </c>
      <c r="O337" s="658">
        <v>22543.811066115701</v>
      </c>
      <c r="P337" s="658">
        <v>22543.811066115701</v>
      </c>
      <c r="Q337" s="658">
        <v>22543.811066115701</v>
      </c>
      <c r="R337" s="658">
        <v>22543.811066115701</v>
      </c>
      <c r="S337" s="658">
        <f>('INTEC (listas)'!L336)</f>
        <v>22543.811066115701</v>
      </c>
    </row>
    <row r="338" spans="1:19">
      <c r="A338" s="113">
        <v>388</v>
      </c>
      <c r="B338" s="113" t="s">
        <v>307</v>
      </c>
      <c r="C338" s="155" t="s">
        <v>1138</v>
      </c>
      <c r="D338" s="113" t="s">
        <v>1139</v>
      </c>
      <c r="E338" s="657">
        <f>('[4]INTEC (listas)'!R334)</f>
        <v>21442.530396694216</v>
      </c>
      <c r="F338" s="657">
        <f>('[6]INTEC (listas)'!R334)</f>
        <v>21442.530396694216</v>
      </c>
      <c r="G338" s="658">
        <v>21442.530396694216</v>
      </c>
      <c r="H338" s="658">
        <v>21442.530396694216</v>
      </c>
      <c r="I338" s="658">
        <v>21442.530396694216</v>
      </c>
      <c r="J338" s="113">
        <v>21442.530396694216</v>
      </c>
      <c r="K338" s="657">
        <v>21442.530396694216</v>
      </c>
      <c r="L338" s="657">
        <v>21442.530396694216</v>
      </c>
      <c r="M338" s="657">
        <v>21442.530396694216</v>
      </c>
      <c r="N338" s="657">
        <v>21442.530396694216</v>
      </c>
      <c r="O338" s="658">
        <v>21442.530396694216</v>
      </c>
      <c r="P338" s="658">
        <v>21442.530396694216</v>
      </c>
      <c r="Q338" s="658">
        <v>21442.530396694216</v>
      </c>
      <c r="R338" s="658">
        <v>21442.530396694216</v>
      </c>
      <c r="S338" s="658">
        <f>('INTEC (listas)'!L337)</f>
        <v>21442.530396694216</v>
      </c>
    </row>
    <row r="339" spans="1:19">
      <c r="A339" s="113">
        <v>390</v>
      </c>
      <c r="B339" s="113" t="s">
        <v>307</v>
      </c>
      <c r="C339" s="155" t="s">
        <v>1140</v>
      </c>
      <c r="D339" s="113" t="s">
        <v>1141</v>
      </c>
      <c r="E339" s="657">
        <f>('[4]INTEC (listas)'!R335)</f>
        <v>26689.792586776861</v>
      </c>
      <c r="F339" s="657">
        <f>('[6]INTEC (listas)'!R335)</f>
        <v>26689.792586776861</v>
      </c>
      <c r="G339" s="658">
        <v>26689.792586776861</v>
      </c>
      <c r="H339" s="658">
        <v>26689.792586776861</v>
      </c>
      <c r="I339" s="658">
        <v>26689.792586776861</v>
      </c>
      <c r="J339" s="113">
        <v>26689.792586776861</v>
      </c>
      <c r="K339" s="657">
        <v>26689.792586776861</v>
      </c>
      <c r="L339" s="657">
        <v>26689.792586776861</v>
      </c>
      <c r="M339" s="657">
        <v>26689.792586776861</v>
      </c>
      <c r="N339" s="657">
        <v>26689.792586776861</v>
      </c>
      <c r="O339" s="658">
        <v>26689.792586776861</v>
      </c>
      <c r="P339" s="658">
        <v>26689.792586776861</v>
      </c>
      <c r="Q339" s="658">
        <v>26689.792586776861</v>
      </c>
      <c r="R339" s="658">
        <v>26689.792586776861</v>
      </c>
      <c r="S339" s="658">
        <f>('INTEC (listas)'!L338)</f>
        <v>26689.792586776861</v>
      </c>
    </row>
    <row r="340" spans="1:19">
      <c r="A340" s="113">
        <v>396</v>
      </c>
      <c r="B340" s="113" t="s">
        <v>388</v>
      </c>
      <c r="C340" s="659" t="s">
        <v>1142</v>
      </c>
      <c r="D340" s="113" t="s">
        <v>1143</v>
      </c>
      <c r="E340" s="657">
        <f>('[4]INTEC (listas)'!R336)</f>
        <v>9936</v>
      </c>
      <c r="F340" s="657">
        <f>('[6]INTEC (listas)'!R336)</f>
        <v>10368</v>
      </c>
      <c r="G340" s="658">
        <v>10368</v>
      </c>
      <c r="H340" s="658">
        <v>9849.6</v>
      </c>
      <c r="I340" s="658">
        <v>9521.2800000000007</v>
      </c>
      <c r="J340" s="113">
        <v>9521.2800000000007</v>
      </c>
      <c r="K340" s="657">
        <v>9521.2800000000007</v>
      </c>
      <c r="L340" s="657">
        <v>9521.2800000000007</v>
      </c>
      <c r="M340" s="657">
        <v>9521.2800000000007</v>
      </c>
      <c r="N340" s="657">
        <v>9685.44</v>
      </c>
      <c r="O340" s="658">
        <v>9685.44</v>
      </c>
      <c r="P340" s="658">
        <v>10013.76</v>
      </c>
      <c r="Q340" s="658">
        <v>10013.76</v>
      </c>
      <c r="R340" s="658">
        <v>10013.76</v>
      </c>
      <c r="S340" s="658">
        <f>('INTEC (listas)'!L339)</f>
        <v>10400</v>
      </c>
    </row>
    <row r="341" spans="1:19">
      <c r="A341" s="113">
        <v>397</v>
      </c>
      <c r="B341" s="113" t="s">
        <v>388</v>
      </c>
      <c r="C341" s="660" t="s">
        <v>1144</v>
      </c>
      <c r="D341" s="113" t="s">
        <v>442</v>
      </c>
      <c r="E341" s="657">
        <f>('[4]INTEC (listas)'!R337)</f>
        <v>208656</v>
      </c>
      <c r="F341" s="657">
        <f>('[6]INTEC (listas)'!R337)</f>
        <v>217728</v>
      </c>
      <c r="G341" s="658">
        <v>217728</v>
      </c>
      <c r="H341" s="658">
        <v>206841.60000000001</v>
      </c>
      <c r="I341" s="658">
        <v>199946.88</v>
      </c>
      <c r="J341" s="658">
        <v>199946.88</v>
      </c>
      <c r="K341" s="657">
        <v>199946.88</v>
      </c>
      <c r="L341" s="657">
        <v>199946.88</v>
      </c>
      <c r="M341" s="657">
        <v>218989.44</v>
      </c>
      <c r="N341" s="657">
        <v>222765.12</v>
      </c>
      <c r="O341" s="658">
        <v>222765.12</v>
      </c>
      <c r="P341" s="658">
        <v>230316.47999999998</v>
      </c>
      <c r="Q341" s="658">
        <v>230316.47999999998</v>
      </c>
      <c r="R341" s="658">
        <v>230316.47999999998</v>
      </c>
      <c r="S341" s="658">
        <f>('INTEC (listas)'!L340)</f>
        <v>219585.6</v>
      </c>
    </row>
    <row r="342" spans="1:19">
      <c r="A342" s="113">
        <v>398</v>
      </c>
      <c r="B342" s="113" t="s">
        <v>388</v>
      </c>
      <c r="C342" s="660" t="s">
        <v>467</v>
      </c>
      <c r="D342" s="113" t="s">
        <v>468</v>
      </c>
      <c r="E342" s="657">
        <f>('[4]INTEC (listas)'!R338)</f>
        <v>298080</v>
      </c>
      <c r="F342" s="657">
        <f>('[6]INTEC (listas)'!R338)</f>
        <v>311040</v>
      </c>
      <c r="G342" s="658">
        <v>311040</v>
      </c>
      <c r="H342" s="658">
        <v>295488</v>
      </c>
      <c r="I342" s="658">
        <v>285638.40000000002</v>
      </c>
      <c r="J342" s="658">
        <v>285638.40000000002</v>
      </c>
      <c r="K342" s="657">
        <v>285638.40000000002</v>
      </c>
      <c r="L342" s="657">
        <v>285638.40000000002</v>
      </c>
      <c r="M342" s="657">
        <v>285638.40000000002</v>
      </c>
      <c r="N342" s="657">
        <v>290563.20000000001</v>
      </c>
      <c r="O342" s="658">
        <v>276035.03999999998</v>
      </c>
      <c r="P342" s="658">
        <v>285392.15999999997</v>
      </c>
      <c r="Q342" s="658">
        <v>285392.15999999997</v>
      </c>
      <c r="R342" s="658">
        <v>285392.15999999997</v>
      </c>
      <c r="S342" s="658">
        <f>('INTEC (listas)'!L341)</f>
        <v>304106.40000000002</v>
      </c>
    </row>
    <row r="343" spans="1:19">
      <c r="A343" s="113">
        <v>399</v>
      </c>
      <c r="B343" s="113" t="s">
        <v>388</v>
      </c>
      <c r="C343" s="660" t="s">
        <v>469</v>
      </c>
      <c r="D343" s="113" t="s">
        <v>1145</v>
      </c>
      <c r="E343" s="657">
        <f>('[4]INTEC (listas)'!R339)</f>
        <v>114264</v>
      </c>
      <c r="F343" s="657">
        <f>('[6]INTEC (listas)'!R339)</f>
        <v>119232</v>
      </c>
      <c r="G343" s="658">
        <v>129600</v>
      </c>
      <c r="H343" s="658">
        <v>123120</v>
      </c>
      <c r="I343" s="658">
        <v>119016</v>
      </c>
      <c r="J343" s="658">
        <v>119016</v>
      </c>
      <c r="K343" s="657">
        <v>119016</v>
      </c>
      <c r="L343" s="657">
        <v>119016</v>
      </c>
      <c r="M343" s="657">
        <v>119016</v>
      </c>
      <c r="N343" s="657">
        <v>121068</v>
      </c>
      <c r="O343" s="658">
        <v>130753.43999999999</v>
      </c>
      <c r="P343" s="658">
        <v>135185.75999999998</v>
      </c>
      <c r="Q343" s="658">
        <v>135185.75999999998</v>
      </c>
      <c r="R343" s="658">
        <v>135185.75999999998</v>
      </c>
      <c r="S343" s="658">
        <f>('INTEC (listas)'!L342)</f>
        <v>144050.4</v>
      </c>
    </row>
    <row r="344" spans="1:19">
      <c r="A344" s="113">
        <v>403</v>
      </c>
      <c r="B344" s="113" t="s">
        <v>75</v>
      </c>
      <c r="C344" s="661" t="s">
        <v>1146</v>
      </c>
      <c r="D344" s="113" t="s">
        <v>1147</v>
      </c>
      <c r="E344" s="657">
        <f>('[4]INTEC (listas)'!R340)</f>
        <v>41206.611570247936</v>
      </c>
      <c r="F344" s="657">
        <f>('[6]INTEC (listas)'!R340)</f>
        <v>41206.611570247936</v>
      </c>
      <c r="G344" s="658">
        <v>35231.652892561986</v>
      </c>
      <c r="H344" s="658">
        <v>35231.652892561986</v>
      </c>
      <c r="I344" s="658">
        <v>37085.950413223145</v>
      </c>
      <c r="J344" s="113">
        <v>37085.950413223145</v>
      </c>
      <c r="K344" s="657">
        <v>38198.528925619838</v>
      </c>
      <c r="L344" s="657">
        <v>38198.528925619838</v>
      </c>
      <c r="M344" s="657">
        <v>38198.528925619838</v>
      </c>
      <c r="N344" s="657">
        <v>38198.528925619838</v>
      </c>
      <c r="O344" s="658">
        <v>38198.528925619838</v>
      </c>
      <c r="P344" s="658">
        <v>38198.528925619838</v>
      </c>
      <c r="Q344" s="658">
        <v>44503.140495867774</v>
      </c>
      <c r="R344" s="658">
        <v>37916.263636363641</v>
      </c>
      <c r="S344" s="658">
        <f>('INTEC (listas)'!L343)</f>
        <v>40613.236363636366</v>
      </c>
    </row>
    <row r="345" spans="1:19">
      <c r="A345" s="113">
        <v>401</v>
      </c>
      <c r="B345" s="113" t="s">
        <v>75</v>
      </c>
      <c r="C345" s="661" t="s">
        <v>1148</v>
      </c>
      <c r="D345" s="113" t="s">
        <v>1149</v>
      </c>
      <c r="E345" s="657">
        <f>('[4]INTEC (listas)'!R341)</f>
        <v>50280.991735537194</v>
      </c>
      <c r="F345" s="657">
        <f>('[6]INTEC (listas)'!R341)</f>
        <v>50280.991735537194</v>
      </c>
      <c r="G345" s="658">
        <v>42990.247933884297</v>
      </c>
      <c r="H345" s="658">
        <v>42990.247933884297</v>
      </c>
      <c r="I345" s="658">
        <v>45252.89256198347</v>
      </c>
      <c r="J345" s="113">
        <v>45252.89256198347</v>
      </c>
      <c r="K345" s="657">
        <v>46610.479338842975</v>
      </c>
      <c r="L345" s="657">
        <v>46610.479338842975</v>
      </c>
      <c r="M345" s="657">
        <v>46610.479338842975</v>
      </c>
      <c r="N345" s="657">
        <v>46610.479338842975</v>
      </c>
      <c r="O345" s="658">
        <v>46610.479338842975</v>
      </c>
      <c r="P345" s="658">
        <v>46610.479338842975</v>
      </c>
      <c r="Q345" s="658">
        <v>54303.47107438017</v>
      </c>
      <c r="R345" s="658">
        <v>46266.05454545455</v>
      </c>
      <c r="S345" s="658">
        <f>('INTEC (listas)'!L344)</f>
        <v>49556.945454545457</v>
      </c>
    </row>
    <row r="346" spans="1:19">
      <c r="A346" s="113">
        <v>402</v>
      </c>
      <c r="B346" s="113" t="s">
        <v>75</v>
      </c>
      <c r="C346" s="661" t="s">
        <v>1150</v>
      </c>
      <c r="D346" s="113" t="s">
        <v>1151</v>
      </c>
      <c r="E346" s="657">
        <f>('[4]INTEC (listas)'!R342)</f>
        <v>24438.016528925618</v>
      </c>
      <c r="F346" s="657">
        <f>('[6]INTEC (listas)'!R342)</f>
        <v>24438.016528925618</v>
      </c>
      <c r="G346" s="658">
        <v>20894.504132231403</v>
      </c>
      <c r="H346" s="658">
        <v>20894.504132231403</v>
      </c>
      <c r="I346" s="658">
        <v>21994.214876033056</v>
      </c>
      <c r="J346" s="113">
        <v>21994.214876033056</v>
      </c>
      <c r="K346" s="657">
        <v>22654.041322314046</v>
      </c>
      <c r="L346" s="657">
        <v>22654.041322314046</v>
      </c>
      <c r="M346" s="657">
        <v>22654.041322314046</v>
      </c>
      <c r="N346" s="657">
        <v>22654.041322314046</v>
      </c>
      <c r="O346" s="658">
        <v>22654.041322314046</v>
      </c>
      <c r="P346" s="658">
        <v>22654.041322314046</v>
      </c>
      <c r="Q346" s="658">
        <v>26393.057851239668</v>
      </c>
      <c r="R346" s="658">
        <v>22486.640909090907</v>
      </c>
      <c r="S346" s="658">
        <f>('INTEC (listas)'!L345)</f>
        <v>24086.109090909089</v>
      </c>
    </row>
    <row r="347" spans="1:19">
      <c r="A347" s="113">
        <v>400</v>
      </c>
      <c r="B347" s="113" t="s">
        <v>796</v>
      </c>
      <c r="C347" s="661" t="s">
        <v>1152</v>
      </c>
      <c r="D347" s="113" t="s">
        <v>1153</v>
      </c>
      <c r="E347" s="657">
        <f>('[4]INTEC (listas)'!R343)</f>
        <v>95966.399999999994</v>
      </c>
      <c r="F347" s="657">
        <f>('[6]INTEC (listas)'!R343)</f>
        <v>102383.03999999999</v>
      </c>
      <c r="G347" s="658">
        <v>102383.03999999999</v>
      </c>
      <c r="H347" s="658">
        <v>102383.03999999999</v>
      </c>
      <c r="I347" s="658">
        <v>102383.03999999999</v>
      </c>
      <c r="J347" s="113">
        <v>102383.03999999999</v>
      </c>
      <c r="K347" s="657">
        <v>99847.065600000002</v>
      </c>
      <c r="L347" s="657">
        <v>99847.065600000002</v>
      </c>
      <c r="M347" s="657">
        <v>96610.406399999993</v>
      </c>
      <c r="N347" s="657">
        <v>96610.406399999993</v>
      </c>
      <c r="O347" s="658">
        <v>96610.406399999993</v>
      </c>
      <c r="P347" s="658">
        <v>103623.7824</v>
      </c>
      <c r="Q347" s="658">
        <v>103623.7824</v>
      </c>
      <c r="R347" s="658">
        <v>103623.7824</v>
      </c>
      <c r="S347" s="658">
        <f>('INTEC (listas)'!L346)</f>
        <v>96176.256000000008</v>
      </c>
    </row>
    <row r="348" spans="1:19" ht="15.6">
      <c r="A348" s="113">
        <v>404</v>
      </c>
      <c r="B348" s="113" t="s">
        <v>1109</v>
      </c>
      <c r="C348" s="661" t="s">
        <v>1154</v>
      </c>
      <c r="D348" s="662">
        <v>21646</v>
      </c>
      <c r="E348" s="657">
        <f>('[4]INTEC (listas)'!R344)</f>
        <v>13452.031999999999</v>
      </c>
      <c r="F348" s="657">
        <f>('[6]INTEC (listas)'!R344)</f>
        <v>13452.031999999999</v>
      </c>
      <c r="G348" s="658">
        <v>13452.031999999999</v>
      </c>
      <c r="H348" s="658">
        <v>13452.031999999999</v>
      </c>
      <c r="I348" s="658">
        <v>13452.031999999999</v>
      </c>
      <c r="J348" s="113">
        <v>13452.031999999999</v>
      </c>
      <c r="K348" s="657">
        <v>13452.031999999999</v>
      </c>
      <c r="L348" s="657">
        <v>13452.031999999999</v>
      </c>
      <c r="M348" s="657">
        <v>13452.031999999999</v>
      </c>
      <c r="N348" s="657">
        <v>13452.031999999999</v>
      </c>
      <c r="O348" s="658">
        <v>13452.031999999999</v>
      </c>
      <c r="P348" s="658">
        <v>13726.548000000001</v>
      </c>
      <c r="Q348" s="658">
        <v>12353.8932</v>
      </c>
      <c r="R348" s="658">
        <v>12353.8932</v>
      </c>
      <c r="S348" s="658">
        <f>('INTEC (listas)'!L347)</f>
        <v>16779.849999999999</v>
      </c>
    </row>
    <row r="349" spans="1:19">
      <c r="A349" s="113">
        <v>417</v>
      </c>
      <c r="B349" s="113" t="s">
        <v>307</v>
      </c>
      <c r="C349" s="661" t="s">
        <v>1155</v>
      </c>
      <c r="D349" s="113" t="s">
        <v>1156</v>
      </c>
      <c r="E349" s="657">
        <f>('[4]INTEC (listas)'!R345)</f>
        <v>21291.377545454547</v>
      </c>
      <c r="F349" s="657">
        <f>('[6]INTEC (listas)'!R345)</f>
        <v>21291.377545454547</v>
      </c>
      <c r="G349" s="658">
        <v>21291.377545454547</v>
      </c>
      <c r="H349" s="658">
        <v>21291.377545454547</v>
      </c>
      <c r="I349" s="658">
        <v>21291.377545454547</v>
      </c>
      <c r="J349" s="113">
        <v>21291.377545454547</v>
      </c>
      <c r="K349" s="657">
        <v>21291.377545454547</v>
      </c>
      <c r="L349" s="657">
        <v>21291.377545454547</v>
      </c>
      <c r="M349" s="657">
        <v>21291.377545454547</v>
      </c>
      <c r="N349" s="657">
        <v>21291.377545454547</v>
      </c>
      <c r="O349" s="658">
        <v>21291.377545454547</v>
      </c>
      <c r="P349" s="658">
        <v>21291.377545454547</v>
      </c>
      <c r="Q349" s="658">
        <v>21291.377545454547</v>
      </c>
      <c r="R349" s="658">
        <v>21291.377545454547</v>
      </c>
      <c r="S349" s="658">
        <f>('INTEC (listas)'!L348)</f>
        <v>21291.377545454547</v>
      </c>
    </row>
    <row r="350" spans="1:19">
      <c r="A350" s="113">
        <v>418</v>
      </c>
      <c r="B350" s="113" t="s">
        <v>307</v>
      </c>
      <c r="C350" s="113" t="s">
        <v>1157</v>
      </c>
      <c r="D350" s="113" t="s">
        <v>1158</v>
      </c>
      <c r="E350" s="657">
        <f>('[4]INTEC (listas)'!R346)</f>
        <v>5191.9724999999999</v>
      </c>
      <c r="F350" s="657">
        <f>('[6]INTEC (listas)'!R346)</f>
        <v>5191.9724999999999</v>
      </c>
      <c r="G350" s="658">
        <v>5191.9724999999999</v>
      </c>
      <c r="H350" s="658">
        <v>5191.9724999999999</v>
      </c>
      <c r="I350" s="658">
        <v>5191.9724999999999</v>
      </c>
      <c r="J350" s="113">
        <v>5191.9724999999999</v>
      </c>
      <c r="K350" s="657">
        <v>5191.9724999999999</v>
      </c>
      <c r="L350" s="657">
        <v>5191.9724999999999</v>
      </c>
      <c r="M350" s="657">
        <v>5191.9724999999999</v>
      </c>
      <c r="N350" s="657">
        <v>5191.9724999999999</v>
      </c>
      <c r="O350" s="658">
        <v>5191.9724999999999</v>
      </c>
      <c r="P350" s="658">
        <v>5191.9724999999999</v>
      </c>
      <c r="Q350" s="658">
        <v>5191.9724999999999</v>
      </c>
      <c r="R350" s="658">
        <v>5191.9724999999999</v>
      </c>
      <c r="S350" s="658">
        <f>('INTEC (listas)'!L349)</f>
        <v>7952.55</v>
      </c>
    </row>
    <row r="351" spans="1:19">
      <c r="A351" s="113">
        <v>419</v>
      </c>
      <c r="B351" s="113" t="s">
        <v>307</v>
      </c>
      <c r="C351" s="113" t="s">
        <v>1159</v>
      </c>
      <c r="D351" s="113" t="s">
        <v>1160</v>
      </c>
      <c r="E351" s="657">
        <f>('[4]INTEC (listas)'!R347)</f>
        <v>6319.59</v>
      </c>
      <c r="F351" s="657">
        <f>('[6]INTEC (listas)'!R347)</f>
        <v>6319.59</v>
      </c>
      <c r="G351" s="658">
        <v>6319.59</v>
      </c>
      <c r="H351" s="658">
        <v>6319.59</v>
      </c>
      <c r="I351" s="658">
        <v>6319.59</v>
      </c>
      <c r="J351" s="113">
        <v>6319.59</v>
      </c>
      <c r="K351" s="657">
        <v>6319.59</v>
      </c>
      <c r="L351" s="657">
        <v>6319.59</v>
      </c>
      <c r="M351" s="657">
        <v>6319.59</v>
      </c>
      <c r="N351" s="657">
        <v>6319.59</v>
      </c>
      <c r="O351" s="658">
        <v>6319.59</v>
      </c>
      <c r="P351" s="658">
        <v>6319.59</v>
      </c>
      <c r="Q351" s="658">
        <v>6319.59</v>
      </c>
      <c r="R351" s="658">
        <v>6319.59</v>
      </c>
      <c r="S351" s="658">
        <f>('INTEC (listas)'!L350)</f>
        <v>9310.69</v>
      </c>
    </row>
    <row r="352" spans="1:19">
      <c r="A352" s="113">
        <v>405</v>
      </c>
      <c r="B352" s="113" t="s">
        <v>254</v>
      </c>
      <c r="C352" s="113" t="s">
        <v>1161</v>
      </c>
      <c r="D352" s="113" t="s">
        <v>1162</v>
      </c>
      <c r="E352" s="657">
        <f>('[4]INTEC (listas)'!R348)</f>
        <v>15852.5</v>
      </c>
      <c r="F352" s="657">
        <f>('[6]INTEC (listas)'!R348)</f>
        <v>15852.5</v>
      </c>
      <c r="G352" s="658">
        <v>15852.5</v>
      </c>
      <c r="H352" s="658">
        <v>15852.5</v>
      </c>
      <c r="I352" s="658">
        <v>15852.5</v>
      </c>
      <c r="J352" s="113">
        <v>15852.5</v>
      </c>
      <c r="K352" s="657">
        <v>15852.5</v>
      </c>
      <c r="L352" s="657">
        <v>15852.5</v>
      </c>
      <c r="M352" s="657">
        <v>15852.5</v>
      </c>
      <c r="N352" s="657">
        <v>15852.5</v>
      </c>
      <c r="O352" s="658">
        <v>15852.5</v>
      </c>
      <c r="P352" s="658">
        <v>15852.5</v>
      </c>
      <c r="Q352" s="658">
        <v>15852.5</v>
      </c>
      <c r="R352" s="658">
        <v>15852.5</v>
      </c>
      <c r="S352" s="658">
        <f>('INTEC (listas)'!L351)</f>
        <v>15852.5</v>
      </c>
    </row>
    <row r="353" spans="1:19">
      <c r="A353" s="113">
        <v>414</v>
      </c>
      <c r="B353" s="113" t="s">
        <v>254</v>
      </c>
      <c r="C353" s="113" t="s">
        <v>1163</v>
      </c>
      <c r="D353" s="113" t="s">
        <v>1164</v>
      </c>
      <c r="E353" s="657">
        <f>('[4]INTEC (listas)'!R349)</f>
        <v>21726</v>
      </c>
      <c r="F353" s="657">
        <f>('[6]INTEC (listas)'!R349)</f>
        <v>21726</v>
      </c>
      <c r="G353" s="658">
        <v>21726</v>
      </c>
      <c r="H353" s="658">
        <v>21726</v>
      </c>
      <c r="I353" s="658">
        <v>21726</v>
      </c>
      <c r="J353" s="113">
        <v>21726</v>
      </c>
      <c r="K353" s="657">
        <v>21726</v>
      </c>
      <c r="L353" s="657">
        <v>21726</v>
      </c>
      <c r="M353" s="657">
        <v>21726</v>
      </c>
      <c r="N353" s="657">
        <v>21726</v>
      </c>
      <c r="O353" s="658">
        <v>21726</v>
      </c>
      <c r="P353" s="658">
        <v>21726</v>
      </c>
      <c r="Q353" s="658">
        <v>21726</v>
      </c>
      <c r="R353" s="658">
        <v>21726</v>
      </c>
      <c r="S353" s="658">
        <f>('INTEC (listas)'!L352)</f>
        <v>21726</v>
      </c>
    </row>
    <row r="354" spans="1:19">
      <c r="A354" s="113">
        <v>415</v>
      </c>
      <c r="B354" s="113" t="s">
        <v>254</v>
      </c>
      <c r="C354" s="113" t="s">
        <v>1165</v>
      </c>
      <c r="D354" s="113" t="s">
        <v>1166</v>
      </c>
      <c r="E354" s="657">
        <f>('[4]INTEC (listas)'!R350)</f>
        <v>23800</v>
      </c>
      <c r="F354" s="657">
        <f>('[6]INTEC (listas)'!R350)</f>
        <v>23800</v>
      </c>
      <c r="G354" s="658">
        <v>23800</v>
      </c>
      <c r="H354" s="658">
        <v>23800</v>
      </c>
      <c r="I354" s="658">
        <v>23800</v>
      </c>
      <c r="J354" s="113">
        <v>23800</v>
      </c>
      <c r="K354" s="657">
        <v>23800</v>
      </c>
      <c r="L354" s="657">
        <v>23800</v>
      </c>
      <c r="M354" s="657">
        <v>23800</v>
      </c>
      <c r="N354" s="657">
        <v>23800</v>
      </c>
      <c r="O354" s="658">
        <v>23800</v>
      </c>
      <c r="P354" s="658">
        <v>23800</v>
      </c>
      <c r="Q354" s="658">
        <v>23800</v>
      </c>
      <c r="R354" s="658">
        <v>23800</v>
      </c>
      <c r="S354" s="658">
        <f>('INTEC (listas)'!L353)</f>
        <v>23800</v>
      </c>
    </row>
    <row r="355" spans="1:19">
      <c r="A355" s="113">
        <v>413</v>
      </c>
      <c r="B355" s="113" t="s">
        <v>254</v>
      </c>
      <c r="C355" s="113" t="s">
        <v>1167</v>
      </c>
      <c r="D355" s="113" t="s">
        <v>1168</v>
      </c>
      <c r="E355" s="657">
        <f>('[4]INTEC (listas)'!R351)</f>
        <v>35700</v>
      </c>
      <c r="F355" s="657">
        <f>('[6]INTEC (listas)'!R351)</f>
        <v>0</v>
      </c>
      <c r="G355" s="658">
        <v>0</v>
      </c>
      <c r="H355" s="658">
        <v>0</v>
      </c>
      <c r="I355" s="658">
        <v>0</v>
      </c>
      <c r="J355" s="113">
        <v>0</v>
      </c>
      <c r="K355" s="657">
        <v>0</v>
      </c>
      <c r="L355" s="657">
        <v>0</v>
      </c>
      <c r="M355" s="657">
        <v>0</v>
      </c>
      <c r="N355" s="657">
        <v>0</v>
      </c>
      <c r="O355" s="658">
        <v>0</v>
      </c>
      <c r="P355" s="658">
        <v>0</v>
      </c>
      <c r="Q355" s="658">
        <v>0</v>
      </c>
      <c r="R355" s="658">
        <v>0</v>
      </c>
      <c r="S355" s="658">
        <f>('INTEC (listas)'!L354)</f>
        <v>0</v>
      </c>
    </row>
    <row r="356" spans="1:19">
      <c r="A356" s="113">
        <v>410</v>
      </c>
      <c r="B356" s="113" t="s">
        <v>254</v>
      </c>
      <c r="C356" s="113" t="s">
        <v>1169</v>
      </c>
      <c r="D356" s="113" t="s">
        <v>1170</v>
      </c>
      <c r="E356" s="657">
        <f>('[4]INTEC (listas)'!R352)</f>
        <v>38148</v>
      </c>
      <c r="F356" s="657">
        <f>('[6]INTEC (listas)'!R352)</f>
        <v>38148</v>
      </c>
      <c r="G356" s="658">
        <v>38148</v>
      </c>
      <c r="H356" s="658">
        <v>38148</v>
      </c>
      <c r="I356" s="658">
        <v>38148</v>
      </c>
      <c r="J356" s="113">
        <v>38148</v>
      </c>
      <c r="K356" s="657">
        <v>38148</v>
      </c>
      <c r="L356" s="657">
        <v>38148</v>
      </c>
      <c r="M356" s="657">
        <v>38148</v>
      </c>
      <c r="N356" s="657">
        <v>38148</v>
      </c>
      <c r="O356" s="658">
        <v>38148</v>
      </c>
      <c r="P356" s="658">
        <v>38148</v>
      </c>
      <c r="Q356" s="658">
        <v>38148</v>
      </c>
      <c r="R356" s="658">
        <v>38148</v>
      </c>
      <c r="S356" s="658">
        <f>('INTEC (listas)'!L355)</f>
        <v>38148</v>
      </c>
    </row>
    <row r="357" spans="1:19">
      <c r="A357" s="113">
        <v>411</v>
      </c>
      <c r="B357" s="113" t="s">
        <v>254</v>
      </c>
      <c r="C357" s="113" t="s">
        <v>1171</v>
      </c>
      <c r="D357" s="113" t="s">
        <v>1172</v>
      </c>
      <c r="E357" s="657">
        <f>('[4]INTEC (listas)'!R353)</f>
        <v>41055</v>
      </c>
      <c r="F357" s="657">
        <f>('[6]INTEC (listas)'!R353)</f>
        <v>41055</v>
      </c>
      <c r="G357" s="658">
        <v>41055</v>
      </c>
      <c r="H357" s="658">
        <v>41055</v>
      </c>
      <c r="I357" s="658">
        <v>41055</v>
      </c>
      <c r="J357" s="113">
        <v>41055</v>
      </c>
      <c r="K357" s="657">
        <v>41055</v>
      </c>
      <c r="L357" s="657">
        <v>41055</v>
      </c>
      <c r="M357" s="657">
        <v>41055</v>
      </c>
      <c r="N357" s="657">
        <v>41055</v>
      </c>
      <c r="O357" s="658">
        <v>41055</v>
      </c>
      <c r="P357" s="658">
        <v>41055</v>
      </c>
      <c r="Q357" s="658">
        <v>41055</v>
      </c>
      <c r="R357" s="658">
        <v>41055</v>
      </c>
      <c r="S357" s="658">
        <f>('INTEC (listas)'!L356)</f>
        <v>41055</v>
      </c>
    </row>
    <row r="358" spans="1:19">
      <c r="A358" s="113">
        <v>412</v>
      </c>
      <c r="B358" s="113" t="s">
        <v>254</v>
      </c>
      <c r="C358" s="113" t="s">
        <v>1173</v>
      </c>
      <c r="D358" s="113" t="s">
        <v>1174</v>
      </c>
      <c r="E358" s="657">
        <f>('[4]INTEC (listas)'!R354)</f>
        <v>49385</v>
      </c>
      <c r="F358" s="657">
        <f>('[6]INTEC (listas)'!R354)</f>
        <v>49385</v>
      </c>
      <c r="G358" s="658">
        <v>49385</v>
      </c>
      <c r="H358" s="658">
        <v>49385</v>
      </c>
      <c r="I358" s="658">
        <v>49385</v>
      </c>
      <c r="J358" s="113">
        <v>49385</v>
      </c>
      <c r="K358" s="657">
        <v>49385</v>
      </c>
      <c r="L358" s="657">
        <v>49385</v>
      </c>
      <c r="M358" s="657">
        <v>49385</v>
      </c>
      <c r="N358" s="657">
        <v>49385</v>
      </c>
      <c r="O358" s="658">
        <v>49385</v>
      </c>
      <c r="P358" s="658">
        <v>49385</v>
      </c>
      <c r="Q358" s="658">
        <v>49385</v>
      </c>
      <c r="R358" s="658">
        <v>49385</v>
      </c>
      <c r="S358" s="658">
        <f>('INTEC (listas)'!L357)</f>
        <v>49385</v>
      </c>
    </row>
    <row r="359" spans="1:19">
      <c r="A359" s="113">
        <v>406</v>
      </c>
      <c r="B359" s="113" t="s">
        <v>254</v>
      </c>
      <c r="C359" s="113" t="s">
        <v>1175</v>
      </c>
      <c r="D359" s="113" t="s">
        <v>1176</v>
      </c>
      <c r="E359" s="657">
        <f>('[4]INTEC (listas)'!R355)</f>
        <v>15385</v>
      </c>
      <c r="F359" s="657">
        <f>('[6]INTEC (listas)'!R355)</f>
        <v>15385</v>
      </c>
      <c r="G359" s="658">
        <v>15385</v>
      </c>
      <c r="H359" s="658">
        <v>15385</v>
      </c>
      <c r="I359" s="658">
        <v>15385</v>
      </c>
      <c r="J359" s="113">
        <v>15385</v>
      </c>
      <c r="K359" s="657">
        <v>15385</v>
      </c>
      <c r="L359" s="657">
        <v>15385</v>
      </c>
      <c r="M359" s="657">
        <v>15385</v>
      </c>
      <c r="N359" s="657">
        <v>15385</v>
      </c>
      <c r="O359" s="658">
        <v>15385</v>
      </c>
      <c r="P359" s="658">
        <v>15385</v>
      </c>
      <c r="Q359" s="658">
        <v>15385</v>
      </c>
      <c r="R359" s="658">
        <v>15385</v>
      </c>
      <c r="S359" s="658">
        <f>('INTEC (listas)'!L358)</f>
        <v>15385</v>
      </c>
    </row>
    <row r="360" spans="1:19">
      <c r="A360" s="113">
        <v>407</v>
      </c>
      <c r="B360" s="113" t="s">
        <v>254</v>
      </c>
      <c r="C360" s="113" t="s">
        <v>1177</v>
      </c>
      <c r="D360" s="113" t="s">
        <v>1178</v>
      </c>
      <c r="E360" s="657">
        <f>('[4]INTEC (listas)'!R356)</f>
        <v>20848.8</v>
      </c>
      <c r="F360" s="657">
        <f>('[6]INTEC (listas)'!R356)</f>
        <v>20848.8</v>
      </c>
      <c r="G360" s="658">
        <v>20848.8</v>
      </c>
      <c r="H360" s="658">
        <v>20848.8</v>
      </c>
      <c r="I360" s="658">
        <v>20848.8</v>
      </c>
      <c r="J360" s="113">
        <v>20848.8</v>
      </c>
      <c r="K360" s="657">
        <v>20848.8</v>
      </c>
      <c r="L360" s="657">
        <v>20848.8</v>
      </c>
      <c r="M360" s="657">
        <v>20848.8</v>
      </c>
      <c r="N360" s="657">
        <v>20848.8</v>
      </c>
      <c r="O360" s="658">
        <v>20848.8</v>
      </c>
      <c r="P360" s="658">
        <v>20848.8</v>
      </c>
      <c r="Q360" s="658">
        <v>20848.8</v>
      </c>
      <c r="R360" s="658">
        <v>20848.8</v>
      </c>
      <c r="S360" s="658">
        <f>('INTEC (listas)'!L359)</f>
        <v>20848.8</v>
      </c>
    </row>
    <row r="361" spans="1:19">
      <c r="A361" s="113">
        <v>408</v>
      </c>
      <c r="B361" s="113" t="s">
        <v>254</v>
      </c>
      <c r="C361" s="113" t="s">
        <v>1179</v>
      </c>
      <c r="D361" s="113" t="s">
        <v>1180</v>
      </c>
      <c r="E361" s="657">
        <f>('[4]INTEC (listas)'!R357)</f>
        <v>20604</v>
      </c>
      <c r="F361" s="657">
        <f>('[6]INTEC (listas)'!R357)</f>
        <v>20604</v>
      </c>
      <c r="G361" s="658">
        <v>20604</v>
      </c>
      <c r="H361" s="658">
        <v>20604</v>
      </c>
      <c r="I361" s="658">
        <v>20604</v>
      </c>
      <c r="J361" s="113">
        <v>20604</v>
      </c>
      <c r="K361" s="657">
        <v>20604</v>
      </c>
      <c r="L361" s="657">
        <v>20604</v>
      </c>
      <c r="M361" s="657">
        <v>20604</v>
      </c>
      <c r="N361" s="657">
        <v>20604</v>
      </c>
      <c r="O361" s="658">
        <v>20604</v>
      </c>
      <c r="P361" s="658">
        <v>20604</v>
      </c>
      <c r="Q361" s="658">
        <v>20604</v>
      </c>
      <c r="R361" s="658">
        <v>20604</v>
      </c>
      <c r="S361" s="658">
        <f>('INTEC (listas)'!L360)</f>
        <v>20604</v>
      </c>
    </row>
    <row r="362" spans="1:19">
      <c r="A362" s="113">
        <v>409</v>
      </c>
      <c r="B362" s="113" t="s">
        <v>254</v>
      </c>
      <c r="C362" s="113" t="s">
        <v>1181</v>
      </c>
      <c r="D362" s="113" t="s">
        <v>1182</v>
      </c>
      <c r="E362" s="657">
        <f>('[4]INTEC (listas)'!R358)</f>
        <v>23113.200000000001</v>
      </c>
      <c r="F362" s="657">
        <f>('[6]INTEC (listas)'!R358)</f>
        <v>23113.200000000001</v>
      </c>
      <c r="G362" s="658">
        <v>23113.200000000001</v>
      </c>
      <c r="H362" s="658">
        <v>23113.200000000001</v>
      </c>
      <c r="I362" s="658">
        <v>23113.200000000001</v>
      </c>
      <c r="J362" s="113">
        <v>23113.200000000001</v>
      </c>
      <c r="K362" s="657">
        <v>23113.200000000001</v>
      </c>
      <c r="L362" s="657">
        <v>23113.200000000001</v>
      </c>
      <c r="M362" s="657">
        <v>23113.200000000001</v>
      </c>
      <c r="N362" s="657">
        <v>23113.200000000001</v>
      </c>
      <c r="O362" s="658">
        <v>23113.200000000001</v>
      </c>
      <c r="P362" s="658">
        <v>23113.200000000001</v>
      </c>
      <c r="Q362" s="658">
        <v>23113.200000000001</v>
      </c>
      <c r="R362" s="658">
        <v>23113.200000000001</v>
      </c>
      <c r="S362" s="658">
        <f>('INTEC (listas)'!L361)</f>
        <v>23113.200000000001</v>
      </c>
    </row>
    <row r="363" spans="1:19">
      <c r="A363" s="113">
        <v>423</v>
      </c>
      <c r="B363" s="113" t="s">
        <v>388</v>
      </c>
      <c r="C363" s="113" t="s">
        <v>1183</v>
      </c>
      <c r="D363" s="113" t="s">
        <v>422</v>
      </c>
      <c r="E363" s="657">
        <f>('[4]INTEC (listas)'!R359)</f>
        <v>26827.200000000001</v>
      </c>
      <c r="F363" s="657">
        <f>('[6]INTEC (listas)'!R359)</f>
        <v>27993.599999999999</v>
      </c>
      <c r="G363" s="658">
        <v>27993.599999999999</v>
      </c>
      <c r="H363" s="658">
        <v>26593.919999999998</v>
      </c>
      <c r="I363" s="658">
        <v>25707.455999999998</v>
      </c>
      <c r="J363" s="113">
        <v>25707.455999999998</v>
      </c>
      <c r="K363" s="657">
        <v>25707.455999999998</v>
      </c>
      <c r="L363" s="657">
        <v>25707.455999999998</v>
      </c>
      <c r="M363" s="657">
        <v>25707.455999999998</v>
      </c>
      <c r="N363" s="657">
        <v>25488</v>
      </c>
      <c r="O363" s="658">
        <v>25488</v>
      </c>
      <c r="P363" s="658">
        <v>26352</v>
      </c>
      <c r="Q363" s="658">
        <v>26352</v>
      </c>
      <c r="R363" s="658">
        <v>26352</v>
      </c>
      <c r="S363" s="658">
        <f>('INTEC (listas)'!L362)</f>
        <v>28080.000000000004</v>
      </c>
    </row>
    <row r="364" spans="1:19">
      <c r="A364" s="113">
        <v>460</v>
      </c>
      <c r="B364" s="113" t="s">
        <v>388</v>
      </c>
      <c r="C364" s="113" t="s">
        <v>396</v>
      </c>
      <c r="D364" s="113" t="s">
        <v>397</v>
      </c>
      <c r="E364" s="657">
        <f>('[4]INTEC (listas)'!R360)</f>
        <v>56754.431999999993</v>
      </c>
      <c r="F364" s="657">
        <f>('[6]INTEC (listas)'!R360)</f>
        <v>59222.015999999996</v>
      </c>
      <c r="G364" s="658">
        <v>59222.015999999996</v>
      </c>
      <c r="H364" s="658">
        <v>56260.915200000003</v>
      </c>
      <c r="I364" s="658">
        <v>54385.551359999998</v>
      </c>
      <c r="J364" s="113">
        <v>54385.551359999998</v>
      </c>
      <c r="K364" s="657">
        <v>54385.551359999998</v>
      </c>
      <c r="L364" s="657">
        <v>54385.551359999998</v>
      </c>
      <c r="M364" s="657">
        <v>54385.551359999998</v>
      </c>
      <c r="N364" s="657">
        <v>55323.23328</v>
      </c>
      <c r="O364" s="658">
        <v>34867.584000000003</v>
      </c>
      <c r="P364" s="658">
        <v>36049.536</v>
      </c>
      <c r="Q364" s="658">
        <v>36049.536</v>
      </c>
      <c r="R364" s="658">
        <v>36049.536</v>
      </c>
      <c r="S364" s="658">
        <f>('INTEC (listas)'!L363)</f>
        <v>38413.440000000002</v>
      </c>
    </row>
    <row r="365" spans="1:19">
      <c r="A365" s="113">
        <v>424</v>
      </c>
      <c r="B365" s="113" t="s">
        <v>388</v>
      </c>
      <c r="C365" s="113" t="s">
        <v>429</v>
      </c>
      <c r="D365" s="113" t="s">
        <v>430</v>
      </c>
      <c r="E365" s="657">
        <f>('[4]INTEC (listas)'!R361)</f>
        <v>13910.4</v>
      </c>
      <c r="F365" s="657">
        <f>('[6]INTEC (listas)'!R361)</f>
        <v>13478.4</v>
      </c>
      <c r="G365" s="658">
        <v>14515.2</v>
      </c>
      <c r="H365" s="658">
        <v>13789.439999999999</v>
      </c>
      <c r="I365" s="658">
        <v>13329.791999999999</v>
      </c>
      <c r="J365" s="113">
        <v>13329.791999999999</v>
      </c>
      <c r="K365" s="657">
        <v>13329.791999999999</v>
      </c>
      <c r="L365" s="657">
        <v>13329.791999999999</v>
      </c>
      <c r="M365" s="657">
        <v>13329.791999999999</v>
      </c>
      <c r="N365" s="657">
        <v>13559.615999999998</v>
      </c>
      <c r="O365" s="658">
        <v>13559.615999999998</v>
      </c>
      <c r="P365" s="658">
        <v>14019.263999999999</v>
      </c>
      <c r="Q365" s="658">
        <v>14019.263999999999</v>
      </c>
      <c r="R365" s="658">
        <v>14019.263999999999</v>
      </c>
      <c r="S365" s="658">
        <f>('INTEC (listas)'!L364)</f>
        <v>14938.56</v>
      </c>
    </row>
    <row r="366" spans="1:19">
      <c r="A366" s="113">
        <v>425</v>
      </c>
      <c r="B366" s="113" t="s">
        <v>388</v>
      </c>
      <c r="C366" s="113" t="s">
        <v>1184</v>
      </c>
      <c r="D366" s="113" t="s">
        <v>432</v>
      </c>
      <c r="E366" s="657">
        <f>('[4]INTEC (listas)'!R362)</f>
        <v>13910.4</v>
      </c>
      <c r="F366" s="657">
        <f>('[6]INTEC (listas)'!R362)</f>
        <v>14515.2</v>
      </c>
      <c r="G366" s="658">
        <v>14515.2</v>
      </c>
      <c r="H366" s="658">
        <v>13789.439999999999</v>
      </c>
      <c r="I366" s="658">
        <v>13329.791999999999</v>
      </c>
      <c r="J366" s="113">
        <v>13329.791999999999</v>
      </c>
      <c r="K366" s="657">
        <v>13329.791999999999</v>
      </c>
      <c r="L366" s="657">
        <v>13329.791999999999</v>
      </c>
      <c r="M366" s="657">
        <v>13329.791999999999</v>
      </c>
      <c r="N366" s="657">
        <v>13559.615999999998</v>
      </c>
      <c r="O366" s="658">
        <v>13559.615999999998</v>
      </c>
      <c r="P366" s="658">
        <v>14019.263999999999</v>
      </c>
      <c r="Q366" s="658">
        <v>14019.263999999999</v>
      </c>
      <c r="R366" s="658">
        <v>14019.263999999999</v>
      </c>
      <c r="S366" s="658">
        <f>('INTEC (listas)'!L365)</f>
        <v>14938.56</v>
      </c>
    </row>
    <row r="367" spans="1:19">
      <c r="A367" s="113">
        <v>426</v>
      </c>
      <c r="B367" s="113" t="s">
        <v>1109</v>
      </c>
      <c r="C367" s="113" t="s">
        <v>1185</v>
      </c>
      <c r="D367" s="113">
        <v>20628</v>
      </c>
      <c r="E367" s="657">
        <f>('[4]INTEC (listas)'!R363)</f>
        <v>9599.0839999999989</v>
      </c>
      <c r="F367" s="657">
        <f>('[6]INTEC (listas)'!R363)</f>
        <v>9599.0839999999989</v>
      </c>
      <c r="G367" s="658">
        <v>9599.0839999999989</v>
      </c>
      <c r="H367" s="658">
        <v>9599.0839999999989</v>
      </c>
      <c r="I367" s="658">
        <v>9599.0839999999989</v>
      </c>
      <c r="J367" s="113">
        <v>9599.0839999999989</v>
      </c>
      <c r="K367" s="657">
        <v>9599.0839999999989</v>
      </c>
      <c r="L367" s="657">
        <v>9599.0839999999989</v>
      </c>
      <c r="M367" s="657">
        <v>9599.0839999999989</v>
      </c>
      <c r="N367" s="657">
        <v>9599.0839999999989</v>
      </c>
      <c r="O367" s="658">
        <v>9599.0839999999989</v>
      </c>
      <c r="P367" s="658">
        <v>8257.1720000000005</v>
      </c>
      <c r="Q367" s="658">
        <v>8174.6675999999998</v>
      </c>
      <c r="R367" s="658">
        <v>8174.6675999999998</v>
      </c>
      <c r="S367" s="658">
        <f>('INTEC (listas)'!L366)</f>
        <v>10093.75</v>
      </c>
    </row>
    <row r="368" spans="1:19">
      <c r="A368" s="113">
        <v>427</v>
      </c>
      <c r="B368" s="113" t="s">
        <v>1109</v>
      </c>
      <c r="C368" s="113" t="s">
        <v>1186</v>
      </c>
      <c r="D368" s="113">
        <v>8931</v>
      </c>
      <c r="E368" s="657">
        <f>('[4]INTEC (listas)'!R364)</f>
        <v>11766.04</v>
      </c>
      <c r="F368" s="657">
        <f>('[6]INTEC (listas)'!R364)</f>
        <v>11766.04</v>
      </c>
      <c r="G368" s="658">
        <v>11766.04</v>
      </c>
      <c r="H368" s="658">
        <v>11766.04</v>
      </c>
      <c r="I368" s="658">
        <v>11766.04</v>
      </c>
      <c r="J368" s="113">
        <v>11766.04</v>
      </c>
      <c r="K368" s="657">
        <v>11766.04</v>
      </c>
      <c r="L368" s="657">
        <v>11766.04</v>
      </c>
      <c r="M368" s="657">
        <v>11766.04</v>
      </c>
      <c r="N368" s="657">
        <v>11766.04</v>
      </c>
      <c r="O368" s="658">
        <v>11766.04</v>
      </c>
      <c r="P368" s="658">
        <v>11694.232</v>
      </c>
      <c r="Q368" s="658">
        <v>11577.693599999999</v>
      </c>
      <c r="R368" s="658">
        <v>11577.693599999999</v>
      </c>
      <c r="S368" s="658">
        <f>('INTEC (listas)'!L367)</f>
        <v>14295.6</v>
      </c>
    </row>
    <row r="369" spans="1:19">
      <c r="A369" s="113">
        <v>428</v>
      </c>
      <c r="B369" s="113" t="s">
        <v>1109</v>
      </c>
      <c r="C369" s="113" t="s">
        <v>1187</v>
      </c>
      <c r="D369" s="113">
        <v>2506</v>
      </c>
      <c r="E369" s="657">
        <f>('[4]INTEC (listas)'!R365)</f>
        <v>11086.108</v>
      </c>
      <c r="F369" s="657">
        <f>('[6]INTEC (listas)'!R365)</f>
        <v>11086.108</v>
      </c>
      <c r="G369" s="658">
        <v>11086.108</v>
      </c>
      <c r="H369" s="658">
        <v>11086.108</v>
      </c>
      <c r="I369" s="658">
        <v>11086.108</v>
      </c>
      <c r="J369" s="113">
        <v>11086.108</v>
      </c>
      <c r="K369" s="657">
        <v>11086.108</v>
      </c>
      <c r="L369" s="657">
        <v>11086.108</v>
      </c>
      <c r="M369" s="657">
        <v>11086.108</v>
      </c>
      <c r="N369" s="657">
        <v>11086.108</v>
      </c>
      <c r="O369" s="658">
        <v>11086.108</v>
      </c>
      <c r="P369" s="658">
        <v>9964.8559999999998</v>
      </c>
      <c r="Q369" s="658">
        <v>9873.1512000000002</v>
      </c>
      <c r="R369" s="658">
        <v>9873.1512000000002</v>
      </c>
      <c r="S369" s="658">
        <f>('INTEC (listas)'!L368)</f>
        <v>8798.9</v>
      </c>
    </row>
    <row r="370" spans="1:19">
      <c r="A370" s="113">
        <v>421</v>
      </c>
      <c r="B370" s="113" t="s">
        <v>796</v>
      </c>
      <c r="C370" s="661" t="s">
        <v>1188</v>
      </c>
      <c r="D370" s="113" t="s">
        <v>1189</v>
      </c>
      <c r="E370" s="657">
        <f>('[4]INTEC (listas)'!R366)</f>
        <v>59655.360000000001</v>
      </c>
      <c r="F370" s="657">
        <f>('[6]INTEC (listas)'!R366)</f>
        <v>64285.440000000002</v>
      </c>
      <c r="G370" s="658">
        <v>64285.440000000002</v>
      </c>
      <c r="H370" s="658">
        <v>64285.440000000002</v>
      </c>
      <c r="I370" s="658">
        <v>64285.440000000002</v>
      </c>
      <c r="J370" s="658">
        <v>64285.440000000002</v>
      </c>
      <c r="K370" s="657">
        <v>63174.758399999992</v>
      </c>
      <c r="L370" s="657">
        <v>63174.758399999992</v>
      </c>
      <c r="M370" s="657">
        <v>61126.963199999998</v>
      </c>
      <c r="N370" s="657">
        <v>61126.963199999998</v>
      </c>
      <c r="O370" s="658">
        <v>61126.963199999998</v>
      </c>
      <c r="P370" s="658">
        <v>68474.880000000005</v>
      </c>
      <c r="Q370" s="658">
        <v>68474.880000000005</v>
      </c>
      <c r="R370" s="658">
        <v>68474.880000000005</v>
      </c>
      <c r="S370" s="658">
        <f>('INTEC (listas)'!L369)</f>
        <v>63552.614399999999</v>
      </c>
    </row>
    <row r="371" spans="1:19">
      <c r="A371" s="113">
        <v>429</v>
      </c>
      <c r="B371" s="113" t="s">
        <v>388</v>
      </c>
      <c r="C371" s="113" t="s">
        <v>493</v>
      </c>
      <c r="D371" s="113" t="s">
        <v>1190</v>
      </c>
      <c r="E371" s="657">
        <f>('[4]INTEC (listas)'!R367)</f>
        <v>3179.52</v>
      </c>
      <c r="F371" s="657">
        <f>('[6]INTEC (listas)'!R367)</f>
        <v>3317.76</v>
      </c>
      <c r="G371" s="658">
        <v>3317.76</v>
      </c>
      <c r="H371" s="658">
        <v>3151.8719999999998</v>
      </c>
      <c r="I371" s="658">
        <v>2784.0000000000005</v>
      </c>
      <c r="J371" s="113">
        <v>2784.0000000000005</v>
      </c>
      <c r="K371" s="657">
        <v>2784.0000000000005</v>
      </c>
      <c r="L371" s="657">
        <v>2784.0000000000005</v>
      </c>
      <c r="M371" s="657">
        <v>2784.0000000000005</v>
      </c>
      <c r="N371" s="657">
        <v>2832.0000000000005</v>
      </c>
      <c r="O371" s="658">
        <v>2832.0000000000005</v>
      </c>
      <c r="P371" s="658">
        <v>2928.0000000000005</v>
      </c>
      <c r="Q371" s="658">
        <v>2928.0000000000005</v>
      </c>
      <c r="R371" s="658">
        <v>2928.0000000000005</v>
      </c>
      <c r="S371" s="658">
        <f>('INTEC (listas)'!L370)</f>
        <v>3120.0000000000005</v>
      </c>
    </row>
    <row r="372" spans="1:19">
      <c r="A372" s="113">
        <v>430</v>
      </c>
      <c r="B372" s="113" t="s">
        <v>388</v>
      </c>
      <c r="C372" s="113" t="s">
        <v>495</v>
      </c>
      <c r="D372" s="113" t="s">
        <v>1191</v>
      </c>
      <c r="E372" s="657">
        <f>('[4]INTEC (listas)'!R368)</f>
        <v>2980.8</v>
      </c>
      <c r="F372" s="657">
        <f>('[6]INTEC (listas)'!R368)</f>
        <v>3110.4</v>
      </c>
      <c r="G372" s="658">
        <v>3110.4</v>
      </c>
      <c r="H372" s="658">
        <v>2954.88</v>
      </c>
      <c r="I372" s="658">
        <v>2856.384</v>
      </c>
      <c r="J372" s="113">
        <v>2856.384</v>
      </c>
      <c r="K372" s="657">
        <v>2856.384</v>
      </c>
      <c r="L372" s="657">
        <v>2856.384</v>
      </c>
      <c r="M372" s="657">
        <v>2856.384</v>
      </c>
      <c r="N372" s="657">
        <v>2905.6320000000001</v>
      </c>
      <c r="O372" s="658">
        <v>2421.36</v>
      </c>
      <c r="P372" s="658">
        <v>2503.44</v>
      </c>
      <c r="Q372" s="658">
        <v>2503.44</v>
      </c>
      <c r="R372" s="658">
        <v>2503.44</v>
      </c>
      <c r="S372" s="658">
        <f>('INTEC (listas)'!L371)</f>
        <v>2667.6</v>
      </c>
    </row>
    <row r="373" spans="1:19">
      <c r="A373" s="113">
        <v>431</v>
      </c>
      <c r="B373" s="113" t="s">
        <v>308</v>
      </c>
      <c r="C373" s="113" t="s">
        <v>1192</v>
      </c>
      <c r="D373" s="113" t="s">
        <v>1193</v>
      </c>
      <c r="E373" s="657">
        <f>('[4]INTEC (listas)'!R369)</f>
        <v>100755.51303999999</v>
      </c>
      <c r="F373" s="657">
        <f>('[6]INTEC (listas)'!R369)</f>
        <v>103604.56204799999</v>
      </c>
      <c r="G373" s="658">
        <v>103604.56204799999</v>
      </c>
      <c r="H373" s="658">
        <v>101446.133672</v>
      </c>
      <c r="I373" s="658">
        <v>101446.133672</v>
      </c>
      <c r="J373" s="658">
        <v>105575.30099999999</v>
      </c>
      <c r="K373" s="657">
        <v>95035.05</v>
      </c>
      <c r="L373" s="657">
        <v>95035.05</v>
      </c>
      <c r="M373" s="657">
        <v>95035.05</v>
      </c>
      <c r="N373" s="657">
        <v>95035.05</v>
      </c>
      <c r="O373" s="658">
        <v>92155.199999999997</v>
      </c>
      <c r="P373" s="658">
        <v>95035.05</v>
      </c>
      <c r="Q373" s="658">
        <v>100826.55</v>
      </c>
      <c r="R373" s="658">
        <v>95734.3</v>
      </c>
      <c r="S373" s="658">
        <f>('INTEC (listas)'!L372)</f>
        <v>88335.412396694213</v>
      </c>
    </row>
    <row r="374" spans="1:19">
      <c r="A374" s="113">
        <v>433</v>
      </c>
      <c r="B374" s="113" t="s">
        <v>388</v>
      </c>
      <c r="C374" s="113" t="s">
        <v>392</v>
      </c>
      <c r="D374" s="113">
        <v>27168</v>
      </c>
      <c r="E374" s="657">
        <f>('[4]INTEC (listas)'!R370)</f>
        <v>39227.328000000001</v>
      </c>
      <c r="F374" s="657">
        <f>('[6]INTEC (listas)'!R370)</f>
        <v>40932.864000000001</v>
      </c>
      <c r="G374" s="658">
        <v>40932.864000000001</v>
      </c>
      <c r="H374" s="658">
        <v>38886.220799999996</v>
      </c>
      <c r="I374" s="658">
        <v>37590.013439999995</v>
      </c>
      <c r="J374" s="658">
        <v>37590.013439999995</v>
      </c>
      <c r="K374" s="657">
        <v>37590.013439999995</v>
      </c>
      <c r="L374" s="657">
        <v>37590.013439999995</v>
      </c>
      <c r="M374" s="657">
        <v>37590.013439999995</v>
      </c>
      <c r="N374" s="657">
        <v>38238.117119999995</v>
      </c>
      <c r="O374" s="658">
        <v>47197.149119999995</v>
      </c>
      <c r="P374" s="658">
        <v>48797.052479999998</v>
      </c>
      <c r="Q374" s="658">
        <v>48797.052479999998</v>
      </c>
      <c r="R374" s="658">
        <v>48797.052479999998</v>
      </c>
      <c r="S374" s="658">
        <f>('INTEC (listas)'!L373)</f>
        <v>51996.859199999992</v>
      </c>
    </row>
    <row r="375" spans="1:19">
      <c r="A375" s="113">
        <v>436</v>
      </c>
      <c r="B375" s="113" t="s">
        <v>388</v>
      </c>
      <c r="C375" s="113" t="s">
        <v>1194</v>
      </c>
      <c r="D375" s="113" t="s">
        <v>1195</v>
      </c>
      <c r="E375" s="657">
        <f>('[4]INTEC (listas)'!R371)</f>
        <v>12916.8</v>
      </c>
      <c r="F375" s="657">
        <f>('[6]INTEC (listas)'!R371)</f>
        <v>13478.4</v>
      </c>
      <c r="G375" s="658">
        <v>13478.4</v>
      </c>
      <c r="H375" s="658">
        <v>12804.48</v>
      </c>
      <c r="I375" s="658">
        <v>12377.664000000001</v>
      </c>
      <c r="J375" s="113">
        <v>12377.664000000001</v>
      </c>
      <c r="K375" s="657">
        <v>12377.664000000001</v>
      </c>
      <c r="L375" s="657">
        <v>12377.664000000001</v>
      </c>
      <c r="M375" s="657">
        <v>12377.664000000001</v>
      </c>
      <c r="N375" s="657">
        <v>11275.136</v>
      </c>
      <c r="O375" s="658">
        <v>11275.136</v>
      </c>
      <c r="P375" s="658">
        <v>11657.344000000001</v>
      </c>
      <c r="Q375" s="658">
        <v>11657.344000000001</v>
      </c>
      <c r="R375" s="658">
        <v>11657.344000000001</v>
      </c>
      <c r="S375" s="658">
        <f>('INTEC (listas)'!L374)</f>
        <v>12421.76</v>
      </c>
    </row>
    <row r="376" spans="1:19">
      <c r="A376" s="113">
        <v>437</v>
      </c>
      <c r="B376" s="113" t="s">
        <v>1196</v>
      </c>
      <c r="C376" s="113" t="s">
        <v>1197</v>
      </c>
      <c r="D376" s="113" t="s">
        <v>1198</v>
      </c>
      <c r="E376" s="657">
        <f>('[4]INTEC (listas)'!R372)</f>
        <v>21309.9692</v>
      </c>
      <c r="F376" s="657">
        <f>('[6]INTEC (listas)'!R372)</f>
        <v>20574.889199999998</v>
      </c>
      <c r="G376" s="658">
        <v>20574.889199999998</v>
      </c>
      <c r="H376" s="658">
        <v>20574.889199999998</v>
      </c>
      <c r="I376" s="658">
        <v>20574.889199999998</v>
      </c>
      <c r="J376" s="113">
        <v>20574.889199999998</v>
      </c>
      <c r="K376" s="657">
        <v>20574.889199999998</v>
      </c>
      <c r="L376" s="657">
        <v>20574.889199999998</v>
      </c>
      <c r="M376" s="657">
        <v>20574.889199999998</v>
      </c>
      <c r="N376" s="657">
        <v>20574.889199999998</v>
      </c>
      <c r="O376" s="658">
        <v>20574.889199999998</v>
      </c>
      <c r="P376" s="658">
        <v>17496.548999999999</v>
      </c>
      <c r="Q376" s="658">
        <v>20163</v>
      </c>
      <c r="R376" s="658">
        <v>20628.3</v>
      </c>
      <c r="S376" s="658">
        <f>('INTEC (listas)'!L375)</f>
        <v>20628.3</v>
      </c>
    </row>
    <row r="377" spans="1:19">
      <c r="A377" s="113">
        <v>438</v>
      </c>
      <c r="B377" s="113" t="s">
        <v>1196</v>
      </c>
      <c r="C377" s="113" t="s">
        <v>1199</v>
      </c>
      <c r="D377" s="113" t="s">
        <v>1200</v>
      </c>
      <c r="E377" s="657">
        <f>('[4]INTEC (listas)'!R373)</f>
        <v>25720.449199999999</v>
      </c>
      <c r="F377" s="657">
        <f>('[6]INTEC (listas)'!R373)</f>
        <v>24985.369199999997</v>
      </c>
      <c r="G377" s="658">
        <v>24985.369199999997</v>
      </c>
      <c r="H377" s="658">
        <v>24985.369199999997</v>
      </c>
      <c r="I377" s="658">
        <v>24985.369199999997</v>
      </c>
      <c r="J377" s="113">
        <v>24985.369199999997</v>
      </c>
      <c r="K377" s="657">
        <v>24985.369199999997</v>
      </c>
      <c r="L377" s="657">
        <v>24985.369199999997</v>
      </c>
      <c r="M377" s="657">
        <v>24985.369199999997</v>
      </c>
      <c r="N377" s="657">
        <v>24985.369199999997</v>
      </c>
      <c r="O377" s="658">
        <v>24985.369199999997</v>
      </c>
      <c r="P377" s="658">
        <v>21247.148999999998</v>
      </c>
      <c r="Q377" s="658">
        <v>24440</v>
      </c>
      <c r="R377" s="658">
        <v>25004</v>
      </c>
      <c r="S377" s="658">
        <f>('INTEC (listas)'!L376)</f>
        <v>25004</v>
      </c>
    </row>
    <row r="378" spans="1:19">
      <c r="A378" s="113">
        <v>439</v>
      </c>
      <c r="B378" s="113" t="s">
        <v>1201</v>
      </c>
      <c r="C378" s="113" t="s">
        <v>1202</v>
      </c>
      <c r="D378" s="113" t="s">
        <v>1203</v>
      </c>
      <c r="E378" s="657">
        <f>('[4]INTEC (listas)'!R374)</f>
        <v>311031.89999999997</v>
      </c>
      <c r="F378" s="657">
        <f>('[6]INTEC (listas)'!R374)</f>
        <v>311031.89999999997</v>
      </c>
      <c r="G378" s="658">
        <v>311031.89999999997</v>
      </c>
      <c r="H378" s="658">
        <v>311031.89999999997</v>
      </c>
      <c r="I378" s="658">
        <v>311031.89999999997</v>
      </c>
      <c r="J378" s="113">
        <v>311031.89999999997</v>
      </c>
      <c r="K378" s="657">
        <v>311031.89999999997</v>
      </c>
      <c r="L378" s="657">
        <v>311031.89999999997</v>
      </c>
      <c r="M378" s="657">
        <v>311031.89999999997</v>
      </c>
      <c r="N378" s="657">
        <v>311031.89999999997</v>
      </c>
      <c r="O378" s="658">
        <v>311031.89999999997</v>
      </c>
      <c r="P378" s="658">
        <v>308404.59999999998</v>
      </c>
      <c r="Q378" s="658">
        <v>466127.2</v>
      </c>
      <c r="R378" s="658">
        <v>466127.2</v>
      </c>
      <c r="S378" s="658">
        <f>('INTEC (listas)'!L377)</f>
        <v>506660.00000000006</v>
      </c>
    </row>
    <row r="379" spans="1:19">
      <c r="A379" s="113">
        <v>441</v>
      </c>
      <c r="B379" s="113" t="s">
        <v>388</v>
      </c>
      <c r="C379" s="113" t="s">
        <v>435</v>
      </c>
      <c r="D379" s="113" t="s">
        <v>436</v>
      </c>
      <c r="E379" s="657">
        <f>('[4]INTEC (listas)'!R375)</f>
        <v>17884.8</v>
      </c>
      <c r="F379" s="657">
        <f>('[6]INTEC (listas)'!R375)</f>
        <v>18662.399999999998</v>
      </c>
      <c r="G379" s="658">
        <v>18662.399999999998</v>
      </c>
      <c r="H379" s="658">
        <v>17729.28</v>
      </c>
      <c r="I379" s="658">
        <v>17138.304</v>
      </c>
      <c r="J379" s="113">
        <v>17138.304</v>
      </c>
      <c r="K379" s="657">
        <v>17138.304</v>
      </c>
      <c r="L379" s="657">
        <v>17138.304</v>
      </c>
      <c r="M379" s="657">
        <v>17138.304</v>
      </c>
      <c r="N379" s="657">
        <v>17433.792000000001</v>
      </c>
      <c r="O379" s="658">
        <v>17433.792000000001</v>
      </c>
      <c r="P379" s="658">
        <v>18024.768</v>
      </c>
      <c r="Q379" s="658">
        <v>18024.768</v>
      </c>
      <c r="R379" s="658">
        <v>18024.768</v>
      </c>
      <c r="S379" s="658">
        <f>('INTEC (listas)'!L378)</f>
        <v>19206.72</v>
      </c>
    </row>
    <row r="380" spans="1:19">
      <c r="A380" s="113">
        <v>442</v>
      </c>
      <c r="B380" s="113" t="s">
        <v>388</v>
      </c>
      <c r="C380" s="113" t="s">
        <v>427</v>
      </c>
      <c r="D380" s="113" t="s">
        <v>428</v>
      </c>
      <c r="E380" s="657">
        <f>('[4]INTEC (listas)'!R376)</f>
        <v>11923.2</v>
      </c>
      <c r="F380" s="657">
        <f>('[6]INTEC (listas)'!R376)</f>
        <v>12441.6</v>
      </c>
      <c r="G380" s="658">
        <v>12441.6</v>
      </c>
      <c r="H380" s="658">
        <v>11819.52</v>
      </c>
      <c r="I380" s="658">
        <v>11425.536</v>
      </c>
      <c r="J380" s="113">
        <v>11425.536</v>
      </c>
      <c r="K380" s="657">
        <v>11425.536</v>
      </c>
      <c r="L380" s="657">
        <v>11425.536</v>
      </c>
      <c r="M380" s="657">
        <v>11425.536</v>
      </c>
      <c r="N380" s="657">
        <v>11622.528</v>
      </c>
      <c r="O380" s="658">
        <v>11622.528</v>
      </c>
      <c r="P380" s="658">
        <v>12016.512000000001</v>
      </c>
      <c r="Q380" s="658">
        <v>12016.512000000001</v>
      </c>
      <c r="R380" s="658">
        <v>12016.512000000001</v>
      </c>
      <c r="S380" s="658">
        <f>('INTEC (listas)'!L379)</f>
        <v>12804.480000000001</v>
      </c>
    </row>
    <row r="381" spans="1:19">
      <c r="A381" s="113">
        <v>443</v>
      </c>
      <c r="B381" s="113" t="s">
        <v>388</v>
      </c>
      <c r="C381" s="113" t="s">
        <v>481</v>
      </c>
      <c r="D381" s="113" t="s">
        <v>482</v>
      </c>
      <c r="E381" s="657">
        <f>('[4]INTEC (listas)'!R377)</f>
        <v>39744</v>
      </c>
      <c r="F381" s="657">
        <f>('[6]INTEC (listas)'!R377)</f>
        <v>41472</v>
      </c>
      <c r="G381" s="658">
        <v>41472</v>
      </c>
      <c r="H381" s="658">
        <v>39398.400000000001</v>
      </c>
      <c r="I381" s="658">
        <v>38085.120000000003</v>
      </c>
      <c r="J381" s="113">
        <v>38085.120000000003</v>
      </c>
      <c r="K381" s="657">
        <v>38085.120000000003</v>
      </c>
      <c r="L381" s="657">
        <v>38085.120000000003</v>
      </c>
      <c r="M381" s="657">
        <v>38085.120000000003</v>
      </c>
      <c r="N381" s="657">
        <v>30975</v>
      </c>
      <c r="O381" s="658">
        <v>30975</v>
      </c>
      <c r="P381" s="658">
        <v>32025</v>
      </c>
      <c r="Q381" s="658">
        <v>32025</v>
      </c>
      <c r="R381" s="658">
        <v>32025</v>
      </c>
      <c r="S381" s="658">
        <f>('INTEC (listas)'!L380)</f>
        <v>34125</v>
      </c>
    </row>
    <row r="382" spans="1:19">
      <c r="A382" s="113">
        <v>444</v>
      </c>
      <c r="B382" s="113" t="s">
        <v>388</v>
      </c>
      <c r="C382" s="113" t="s">
        <v>399</v>
      </c>
      <c r="D382" s="113" t="s">
        <v>400</v>
      </c>
      <c r="E382" s="657">
        <f>('[4]INTEC (listas)'!R378)</f>
        <v>51667.199999999997</v>
      </c>
      <c r="F382" s="657">
        <f>('[6]INTEC (listas)'!R378)</f>
        <v>53913.599999999999</v>
      </c>
      <c r="G382" s="658">
        <v>53913.599999999999</v>
      </c>
      <c r="H382" s="658">
        <v>51217.920000000006</v>
      </c>
      <c r="I382" s="658">
        <v>49510.656000000003</v>
      </c>
      <c r="J382" s="113">
        <v>49510.656000000003</v>
      </c>
      <c r="K382" s="657">
        <v>49510.656000000003</v>
      </c>
      <c r="L382" s="657">
        <v>49510.656000000003</v>
      </c>
      <c r="M382" s="657">
        <v>49510.656000000003</v>
      </c>
      <c r="N382" s="657">
        <v>50364.288</v>
      </c>
      <c r="O382" s="658">
        <v>50364.288</v>
      </c>
      <c r="P382" s="658">
        <v>52071.552000000003</v>
      </c>
      <c r="Q382" s="658">
        <v>52071.552000000003</v>
      </c>
      <c r="R382" s="658">
        <v>52071.552000000003</v>
      </c>
      <c r="S382" s="658">
        <f>('INTEC (listas)'!L381)</f>
        <v>55486.080000000002</v>
      </c>
    </row>
    <row r="383" spans="1:19">
      <c r="A383" s="113">
        <v>445</v>
      </c>
      <c r="B383" s="113" t="s">
        <v>382</v>
      </c>
      <c r="C383" s="113" t="s">
        <v>1204</v>
      </c>
      <c r="D383" s="113">
        <v>25046</v>
      </c>
      <c r="E383" s="657">
        <f>('[4]INTEC (listas)'!R379)</f>
        <v>12928.53</v>
      </c>
      <c r="F383" s="657">
        <f>('[6]INTEC (listas)'!R379)</f>
        <v>13490.640000000001</v>
      </c>
      <c r="G383" s="658">
        <v>13490.640000000001</v>
      </c>
      <c r="H383" s="658">
        <v>13490.640000000001</v>
      </c>
      <c r="I383" s="658">
        <v>13040.952000000001</v>
      </c>
      <c r="J383" s="113">
        <v>13040.952000000001</v>
      </c>
      <c r="K383" s="657">
        <v>13040.952000000001</v>
      </c>
      <c r="L383" s="657">
        <v>13040.952000000001</v>
      </c>
      <c r="M383" s="657">
        <v>13040.952000000001</v>
      </c>
      <c r="N383" s="657">
        <v>13265.796</v>
      </c>
      <c r="O383" s="658">
        <v>13265.796</v>
      </c>
      <c r="P383" s="658">
        <v>13715.484</v>
      </c>
      <c r="Q383" s="658">
        <v>13715.484</v>
      </c>
      <c r="R383" s="658">
        <v>13715.484</v>
      </c>
      <c r="S383" s="658">
        <f>('INTEC (listas)'!L382)</f>
        <v>14614.86</v>
      </c>
    </row>
    <row r="384" spans="1:19">
      <c r="A384" s="113">
        <v>446</v>
      </c>
      <c r="B384" s="113" t="s">
        <v>382</v>
      </c>
      <c r="C384" s="113" t="s">
        <v>1205</v>
      </c>
      <c r="D384" s="113">
        <v>49621</v>
      </c>
      <c r="E384" s="657">
        <f>('[4]INTEC (listas)'!R380)</f>
        <v>18850.57</v>
      </c>
      <c r="F384" s="657">
        <f>('[6]INTEC (listas)'!R380)</f>
        <v>19670.16</v>
      </c>
      <c r="G384" s="658">
        <v>19670.16</v>
      </c>
      <c r="H384" s="658">
        <v>19670.16</v>
      </c>
      <c r="I384" s="658">
        <v>19014.488000000001</v>
      </c>
      <c r="J384" s="113">
        <v>19014.488000000001</v>
      </c>
      <c r="K384" s="657">
        <v>17261.444959999997</v>
      </c>
      <c r="L384" s="657">
        <v>17261.444959999997</v>
      </c>
      <c r="M384" s="657">
        <v>17261.444959999997</v>
      </c>
      <c r="N384" s="657">
        <v>17559.056079999998</v>
      </c>
      <c r="O384" s="658">
        <v>18744.885279999999</v>
      </c>
      <c r="P384" s="658">
        <v>19380.305120000001</v>
      </c>
      <c r="Q384" s="658">
        <v>19380.305120000001</v>
      </c>
      <c r="R384" s="658">
        <v>19380.305120000001</v>
      </c>
      <c r="S384" s="658">
        <f>('INTEC (listas)'!L383)</f>
        <v>20651.144799999998</v>
      </c>
    </row>
    <row r="385" spans="1:19">
      <c r="A385" s="113">
        <v>447</v>
      </c>
      <c r="B385" s="113" t="s">
        <v>388</v>
      </c>
      <c r="C385" s="113" t="s">
        <v>475</v>
      </c>
      <c r="D385" s="113" t="s">
        <v>476</v>
      </c>
      <c r="E385" s="657">
        <f>('[4]INTEC (listas)'!R381)</f>
        <v>35769.599999999999</v>
      </c>
      <c r="F385" s="657">
        <f>('[6]INTEC (listas)'!R381)</f>
        <v>37324.799999999996</v>
      </c>
      <c r="G385" s="658">
        <v>37324.799999999996</v>
      </c>
      <c r="H385" s="658">
        <v>35458.559999999998</v>
      </c>
      <c r="I385" s="658">
        <v>34276.608</v>
      </c>
      <c r="J385" s="113">
        <v>34276.608</v>
      </c>
      <c r="K385" s="657">
        <v>34276.608</v>
      </c>
      <c r="L385" s="657">
        <v>34276.608</v>
      </c>
      <c r="M385" s="657">
        <v>34276.608</v>
      </c>
      <c r="N385" s="657">
        <v>34867.584000000003</v>
      </c>
      <c r="O385" s="658">
        <v>34867.584000000003</v>
      </c>
      <c r="P385" s="658">
        <v>36049.536</v>
      </c>
      <c r="Q385" s="658">
        <v>36049.536</v>
      </c>
      <c r="R385" s="658">
        <v>36049.536</v>
      </c>
      <c r="S385" s="658">
        <f>('INTEC (listas)'!L384)</f>
        <v>38413.440000000002</v>
      </c>
    </row>
    <row r="386" spans="1:19">
      <c r="A386" s="113">
        <v>448</v>
      </c>
      <c r="B386" s="113" t="s">
        <v>388</v>
      </c>
      <c r="C386" s="113" t="s">
        <v>477</v>
      </c>
      <c r="D386" s="113" t="s">
        <v>478</v>
      </c>
      <c r="E386" s="657">
        <f>('[4]INTEC (listas)'!R382)</f>
        <v>28290</v>
      </c>
      <c r="F386" s="657">
        <f>('[6]INTEC (listas)'!R382)</f>
        <v>29520</v>
      </c>
      <c r="G386" s="658">
        <v>29520</v>
      </c>
      <c r="H386" s="658">
        <v>29520</v>
      </c>
      <c r="I386" s="658">
        <v>28563.84</v>
      </c>
      <c r="J386" s="113">
        <v>28563.84</v>
      </c>
      <c r="K386" s="657">
        <v>28563.84</v>
      </c>
      <c r="L386" s="657">
        <v>28563.84</v>
      </c>
      <c r="M386" s="657">
        <v>28563.84</v>
      </c>
      <c r="N386" s="657">
        <v>29056.32</v>
      </c>
      <c r="O386" s="658">
        <v>29056.32</v>
      </c>
      <c r="P386" s="658">
        <v>30041.279999999999</v>
      </c>
      <c r="Q386" s="658">
        <v>30041.279999999999</v>
      </c>
      <c r="R386" s="658">
        <v>30041.279999999999</v>
      </c>
      <c r="S386" s="658">
        <f>('INTEC (listas)'!L385)</f>
        <v>32011.199999999997</v>
      </c>
    </row>
    <row r="387" spans="1:19">
      <c r="A387" s="113">
        <v>453</v>
      </c>
      <c r="B387" s="113" t="s">
        <v>382</v>
      </c>
      <c r="C387" s="113" t="s">
        <v>1206</v>
      </c>
      <c r="D387" s="113">
        <v>19286</v>
      </c>
      <c r="E387" s="113"/>
      <c r="F387" s="113"/>
      <c r="G387" s="113"/>
      <c r="H387" s="113"/>
      <c r="I387" s="658">
        <v>22217.656319999998</v>
      </c>
      <c r="J387" s="658">
        <v>22217.656319999998</v>
      </c>
      <c r="K387" s="658">
        <v>22217.656319999998</v>
      </c>
      <c r="L387" s="657">
        <v>22217.656319999998</v>
      </c>
      <c r="M387" s="657">
        <v>22217.656319999998</v>
      </c>
      <c r="N387" s="657">
        <v>22600.719359999999</v>
      </c>
      <c r="O387" s="658">
        <v>20486.23488</v>
      </c>
      <c r="P387" s="658">
        <v>21180.683519999999</v>
      </c>
      <c r="Q387" s="658">
        <v>21180.683519999999</v>
      </c>
      <c r="R387" s="658">
        <v>21180.683519999999</v>
      </c>
      <c r="S387" s="658">
        <f>('INTEC (listas)'!L386)</f>
        <v>22569.5808</v>
      </c>
    </row>
    <row r="388" spans="1:19">
      <c r="A388" s="113">
        <v>451</v>
      </c>
      <c r="B388" s="113" t="s">
        <v>388</v>
      </c>
      <c r="C388" s="113" t="s">
        <v>1207</v>
      </c>
      <c r="D388" s="113" t="s">
        <v>444</v>
      </c>
      <c r="E388" s="113"/>
      <c r="F388" s="113"/>
      <c r="G388" s="113"/>
      <c r="H388" s="113"/>
      <c r="I388" s="658">
        <v>57127.68</v>
      </c>
      <c r="J388" s="658">
        <v>57127.68</v>
      </c>
      <c r="K388" s="658">
        <v>57127.68</v>
      </c>
      <c r="L388" s="657">
        <v>57127.68</v>
      </c>
      <c r="M388" s="657">
        <v>57127.68</v>
      </c>
      <c r="N388" s="657">
        <v>58112.639999999999</v>
      </c>
      <c r="O388" s="658">
        <v>58112.639999999999</v>
      </c>
      <c r="P388" s="658">
        <v>60082.559999999998</v>
      </c>
      <c r="Q388" s="658">
        <v>60082.559999999998</v>
      </c>
      <c r="R388" s="658">
        <v>60082.559999999998</v>
      </c>
      <c r="S388" s="658">
        <f>('INTEC (listas)'!L387)</f>
        <v>64022.399999999994</v>
      </c>
    </row>
    <row r="389" spans="1:19">
      <c r="A389" s="113">
        <v>450</v>
      </c>
      <c r="B389" s="113" t="s">
        <v>388</v>
      </c>
      <c r="C389" s="113" t="s">
        <v>1208</v>
      </c>
      <c r="D389" s="113" t="s">
        <v>416</v>
      </c>
      <c r="E389" s="113"/>
      <c r="F389" s="113"/>
      <c r="G389" s="113"/>
      <c r="H389" s="113"/>
      <c r="I389" s="658">
        <v>52367.040000000001</v>
      </c>
      <c r="J389" s="658">
        <v>52367.040000000001</v>
      </c>
      <c r="K389" s="658">
        <v>52367.040000000001</v>
      </c>
      <c r="L389" s="657">
        <v>52367.040000000001</v>
      </c>
      <c r="M389" s="657">
        <v>52367.040000000001</v>
      </c>
      <c r="N389" s="657">
        <v>53269.919999999998</v>
      </c>
      <c r="O389" s="658">
        <v>53269.919999999998</v>
      </c>
      <c r="P389" s="658">
        <v>55075.68</v>
      </c>
      <c r="Q389" s="658">
        <v>55075.68</v>
      </c>
      <c r="R389" s="658">
        <v>55075.68</v>
      </c>
      <c r="S389" s="658">
        <f>('INTEC (listas)'!L388)</f>
        <v>58687.199999999997</v>
      </c>
    </row>
    <row r="390" spans="1:19">
      <c r="A390" s="113">
        <v>455</v>
      </c>
      <c r="B390" s="113" t="s">
        <v>388</v>
      </c>
      <c r="C390" s="113" t="s">
        <v>463</v>
      </c>
      <c r="D390" s="113" t="s">
        <v>464</v>
      </c>
      <c r="E390" s="113"/>
      <c r="F390" s="113"/>
      <c r="G390" s="113"/>
      <c r="H390" s="113"/>
      <c r="I390" s="658">
        <v>131393.66399999999</v>
      </c>
      <c r="J390" s="658">
        <v>131393.66399999999</v>
      </c>
      <c r="K390" s="658">
        <v>131393.66399999999</v>
      </c>
      <c r="L390" s="657">
        <v>131393.66399999999</v>
      </c>
      <c r="M390" s="657">
        <v>131393.66399999999</v>
      </c>
      <c r="N390" s="657">
        <v>133659.07199999999</v>
      </c>
      <c r="O390" s="658">
        <v>133659.07199999999</v>
      </c>
      <c r="P390" s="658">
        <v>138189.88800000001</v>
      </c>
      <c r="Q390" s="658">
        <v>138189.88800000001</v>
      </c>
      <c r="R390" s="658">
        <v>138189.88800000001</v>
      </c>
      <c r="S390" s="658">
        <f>('INTEC (listas)'!L389)</f>
        <v>147251.51999999999</v>
      </c>
    </row>
    <row r="391" spans="1:19">
      <c r="A391" s="113">
        <v>457</v>
      </c>
      <c r="B391" s="113" t="s">
        <v>388</v>
      </c>
      <c r="C391" s="113" t="s">
        <v>471</v>
      </c>
      <c r="D391" s="113" t="s">
        <v>472</v>
      </c>
      <c r="E391" s="113"/>
      <c r="F391" s="113"/>
      <c r="G391" s="113"/>
      <c r="H391" s="113"/>
      <c r="I391" s="658">
        <v>199946.88</v>
      </c>
      <c r="J391" s="658">
        <v>199946.88</v>
      </c>
      <c r="K391" s="658">
        <v>199946.88</v>
      </c>
      <c r="L391" s="657">
        <v>199946.88</v>
      </c>
      <c r="M391" s="657">
        <v>199946.88</v>
      </c>
      <c r="N391" s="657">
        <v>203394.24</v>
      </c>
      <c r="O391" s="658">
        <v>203394.24</v>
      </c>
      <c r="P391" s="658">
        <v>210288.96</v>
      </c>
      <c r="Q391" s="658">
        <v>210288.96</v>
      </c>
      <c r="R391" s="658">
        <v>210288.96</v>
      </c>
      <c r="S391" s="658">
        <f>('INTEC (listas)'!L390)</f>
        <v>224078.4</v>
      </c>
    </row>
    <row r="392" spans="1:19">
      <c r="A392" s="113">
        <v>458</v>
      </c>
      <c r="B392" s="113" t="s">
        <v>388</v>
      </c>
      <c r="C392" s="113" t="s">
        <v>401</v>
      </c>
      <c r="D392" s="113" t="s">
        <v>402</v>
      </c>
      <c r="E392" s="113"/>
      <c r="F392" s="113"/>
      <c r="G392" s="113"/>
      <c r="H392" s="113"/>
      <c r="I392" s="658">
        <v>42845.760000000002</v>
      </c>
      <c r="J392" s="658">
        <v>42845.760000000002</v>
      </c>
      <c r="K392" s="658">
        <v>42845.760000000002</v>
      </c>
      <c r="L392" s="657">
        <v>42845.760000000002</v>
      </c>
      <c r="M392" s="657">
        <v>42845.760000000002</v>
      </c>
      <c r="N392" s="657">
        <v>43584.480000000003</v>
      </c>
      <c r="O392" s="658">
        <v>43584.480000000003</v>
      </c>
      <c r="P392" s="658">
        <v>45061.919999999998</v>
      </c>
      <c r="Q392" s="658">
        <v>45061.919999999998</v>
      </c>
      <c r="R392" s="658">
        <v>45061.919999999998</v>
      </c>
      <c r="S392" s="658">
        <f>('INTEC (listas)'!L391)</f>
        <v>48016.800000000003</v>
      </c>
    </row>
    <row r="393" spans="1:19">
      <c r="A393" s="113">
        <v>459</v>
      </c>
      <c r="B393" s="113" t="s">
        <v>388</v>
      </c>
      <c r="C393" s="113" t="s">
        <v>483</v>
      </c>
      <c r="D393" s="113" t="s">
        <v>484</v>
      </c>
      <c r="E393" s="113"/>
      <c r="F393" s="113"/>
      <c r="G393" s="113"/>
      <c r="H393" s="113"/>
      <c r="I393" s="658">
        <v>36180.864000000001</v>
      </c>
      <c r="J393" s="658">
        <v>36180.864000000001</v>
      </c>
      <c r="K393" s="658">
        <v>36180.864000000001</v>
      </c>
      <c r="L393" s="657">
        <v>36180.864000000001</v>
      </c>
      <c r="M393" s="657">
        <v>36180.864000000001</v>
      </c>
      <c r="N393" s="657">
        <v>36804.671999999999</v>
      </c>
      <c r="O393" s="658">
        <v>36804.671999999999</v>
      </c>
      <c r="P393" s="658">
        <v>38052.288</v>
      </c>
      <c r="Q393" s="658">
        <v>38052.288</v>
      </c>
      <c r="R393" s="658">
        <v>38052.288</v>
      </c>
      <c r="S393" s="658">
        <f>('INTEC (listas)'!L392)</f>
        <v>40547.520000000004</v>
      </c>
    </row>
    <row r="394" spans="1:19">
      <c r="A394" s="113">
        <v>461</v>
      </c>
      <c r="B394" s="113" t="s">
        <v>388</v>
      </c>
      <c r="C394" s="113" t="s">
        <v>1209</v>
      </c>
      <c r="D394" s="113" t="s">
        <v>498</v>
      </c>
      <c r="E394" s="113"/>
      <c r="F394" s="113"/>
      <c r="G394" s="113"/>
      <c r="H394" s="113"/>
      <c r="I394" s="658">
        <v>15312</v>
      </c>
      <c r="J394" s="658">
        <v>15312</v>
      </c>
      <c r="K394" s="658">
        <v>15312</v>
      </c>
      <c r="L394" s="657">
        <v>15312</v>
      </c>
      <c r="M394" s="657">
        <v>15312</v>
      </c>
      <c r="N394" s="657">
        <v>21307.968000000001</v>
      </c>
      <c r="O394" s="658">
        <v>21307.968000000001</v>
      </c>
      <c r="P394" s="658">
        <v>22030.272000000001</v>
      </c>
      <c r="Q394" s="658">
        <v>36049.536</v>
      </c>
      <c r="R394" s="658">
        <v>36049.536</v>
      </c>
      <c r="S394" s="658">
        <f>('INTEC (listas)'!L393)</f>
        <v>38413.440000000002</v>
      </c>
    </row>
    <row r="395" spans="1:19">
      <c r="A395" s="113">
        <v>462</v>
      </c>
      <c r="B395" s="113" t="s">
        <v>388</v>
      </c>
      <c r="C395" s="113" t="s">
        <v>417</v>
      </c>
      <c r="D395" s="113" t="s">
        <v>418</v>
      </c>
      <c r="E395" s="113"/>
      <c r="F395" s="113"/>
      <c r="G395" s="113"/>
      <c r="H395" s="113"/>
      <c r="I395" s="658">
        <v>13050</v>
      </c>
      <c r="J395" s="658">
        <v>13050</v>
      </c>
      <c r="K395" s="658">
        <v>13050</v>
      </c>
      <c r="L395" s="657">
        <v>13050</v>
      </c>
      <c r="M395" s="657">
        <v>13050</v>
      </c>
      <c r="N395" s="657">
        <v>13275</v>
      </c>
      <c r="O395" s="658">
        <v>14160</v>
      </c>
      <c r="P395" s="658">
        <v>14640</v>
      </c>
      <c r="Q395" s="658">
        <v>22030.272000000001</v>
      </c>
      <c r="R395" s="658">
        <v>22030.272000000001</v>
      </c>
      <c r="S395" s="658">
        <f>('INTEC (listas)'!L394)</f>
        <v>20020</v>
      </c>
    </row>
    <row r="396" spans="1:19">
      <c r="A396" s="113">
        <v>463</v>
      </c>
      <c r="B396" s="113" t="s">
        <v>388</v>
      </c>
      <c r="C396" s="113" t="s">
        <v>450</v>
      </c>
      <c r="D396" s="113" t="s">
        <v>451</v>
      </c>
      <c r="E396" s="113"/>
      <c r="F396" s="113"/>
      <c r="G396" s="113"/>
      <c r="H396" s="113"/>
      <c r="I396" s="658">
        <v>109494.72</v>
      </c>
      <c r="J396" s="658">
        <v>109494.72</v>
      </c>
      <c r="K396" s="658">
        <v>109494.72</v>
      </c>
      <c r="L396" s="657">
        <v>109494.72</v>
      </c>
      <c r="M396" s="657">
        <v>109494.72</v>
      </c>
      <c r="N396" s="657">
        <v>111382.56</v>
      </c>
      <c r="O396" s="658">
        <v>111382.56</v>
      </c>
      <c r="P396" s="658">
        <v>115158.23999999999</v>
      </c>
      <c r="Q396" s="658">
        <v>14640</v>
      </c>
      <c r="R396" s="658">
        <v>14640</v>
      </c>
      <c r="S396" s="658">
        <f>('INTEC (listas)'!L395)</f>
        <v>15600</v>
      </c>
    </row>
    <row r="397" spans="1:19">
      <c r="A397" s="36">
        <v>464</v>
      </c>
      <c r="B397" s="36" t="s">
        <v>388</v>
      </c>
      <c r="C397" s="36" t="s">
        <v>1210</v>
      </c>
      <c r="D397" s="36" t="s">
        <v>500</v>
      </c>
      <c r="E397" s="36"/>
      <c r="F397" s="36"/>
      <c r="G397" s="36"/>
      <c r="H397" s="36"/>
      <c r="I397" s="73">
        <v>1740</v>
      </c>
      <c r="J397" s="73">
        <v>1740</v>
      </c>
      <c r="K397" s="73">
        <v>1740</v>
      </c>
      <c r="L397" s="959">
        <v>1740</v>
      </c>
      <c r="M397" s="959">
        <v>1740</v>
      </c>
      <c r="N397" s="959">
        <v>2212.5</v>
      </c>
      <c r="O397" s="73">
        <v>2212.5</v>
      </c>
      <c r="P397" s="73">
        <v>2287.5</v>
      </c>
      <c r="Q397" s="73">
        <v>2275</v>
      </c>
      <c r="R397" s="73">
        <v>2275</v>
      </c>
      <c r="S397" s="73">
        <v>2275</v>
      </c>
    </row>
    <row r="398" spans="1:19">
      <c r="A398" s="113">
        <v>465</v>
      </c>
      <c r="B398" s="113" t="s">
        <v>388</v>
      </c>
      <c r="C398" s="113" t="s">
        <v>448</v>
      </c>
      <c r="D398" s="113" t="s">
        <v>449</v>
      </c>
      <c r="E398" s="113"/>
      <c r="F398" s="113"/>
      <c r="G398" s="113"/>
      <c r="H398" s="113"/>
      <c r="I398" s="658">
        <v>79978.751999999993</v>
      </c>
      <c r="J398" s="658">
        <v>79978.751999999993</v>
      </c>
      <c r="K398" s="658">
        <v>79978.751999999993</v>
      </c>
      <c r="L398" s="657">
        <v>79978.751999999993</v>
      </c>
      <c r="M398" s="657">
        <v>79978.751999999993</v>
      </c>
      <c r="N398" s="657">
        <v>81357.695999999996</v>
      </c>
      <c r="O398" s="658">
        <v>81357.695999999996</v>
      </c>
      <c r="P398" s="658">
        <v>84115.583999999988</v>
      </c>
      <c r="Q398" s="658">
        <v>2135</v>
      </c>
      <c r="R398" s="658">
        <v>2135</v>
      </c>
      <c r="S398" s="658">
        <f>('INTEC (listas)'!L397)</f>
        <v>2275</v>
      </c>
    </row>
    <row r="399" spans="1:19">
      <c r="A399" s="113">
        <v>468</v>
      </c>
      <c r="B399" s="113" t="s">
        <v>388</v>
      </c>
      <c r="C399" s="113" t="s">
        <v>489</v>
      </c>
      <c r="D399" s="113" t="s">
        <v>490</v>
      </c>
      <c r="E399" s="113"/>
      <c r="F399" s="113"/>
      <c r="G399" s="113"/>
      <c r="H399" s="113"/>
      <c r="I399" s="113"/>
      <c r="J399" s="113"/>
      <c r="K399" s="657">
        <v>152340.48000000001</v>
      </c>
      <c r="L399" s="657">
        <v>152340.48000000001</v>
      </c>
      <c r="M399" s="657">
        <v>152340.48000000001</v>
      </c>
      <c r="N399" s="657">
        <v>154967.04000000001</v>
      </c>
      <c r="O399" s="658">
        <v>154967.04000000001</v>
      </c>
      <c r="P399" s="658">
        <v>160220.16</v>
      </c>
      <c r="Q399" s="658">
        <v>84115.583999999988</v>
      </c>
      <c r="R399" s="658">
        <v>84115.583999999988</v>
      </c>
      <c r="S399" s="658">
        <f>('INTEC (listas)'!L398)</f>
        <v>89631.360000000001</v>
      </c>
    </row>
    <row r="400" spans="1:19">
      <c r="A400" s="113">
        <v>469</v>
      </c>
      <c r="B400" s="113" t="s">
        <v>1211</v>
      </c>
      <c r="C400" s="113" t="s">
        <v>1212</v>
      </c>
      <c r="D400" s="113" t="s">
        <v>1213</v>
      </c>
      <c r="E400" s="113"/>
      <c r="F400" s="113"/>
      <c r="G400" s="113"/>
      <c r="H400" s="113"/>
      <c r="I400" s="113"/>
      <c r="J400" s="113"/>
      <c r="K400" s="657"/>
      <c r="L400" s="658">
        <v>4630.97</v>
      </c>
      <c r="M400" s="657">
        <v>4630.97</v>
      </c>
      <c r="N400" s="657">
        <v>4630.97</v>
      </c>
      <c r="O400" s="658">
        <v>4630.97</v>
      </c>
      <c r="P400" s="658">
        <v>4630.97</v>
      </c>
      <c r="Q400" s="658">
        <v>4813.2299999999996</v>
      </c>
      <c r="R400" s="658">
        <v>4813.2299999999996</v>
      </c>
      <c r="S400" s="658">
        <f>('INTEC (listas)'!L400)</f>
        <v>4813.2299999999996</v>
      </c>
    </row>
    <row r="401" spans="1:19">
      <c r="A401" s="113">
        <v>470</v>
      </c>
      <c r="B401" s="113" t="s">
        <v>1211</v>
      </c>
      <c r="C401" s="113" t="s">
        <v>1214</v>
      </c>
      <c r="D401" s="113" t="s">
        <v>1215</v>
      </c>
      <c r="E401" s="113"/>
      <c r="F401" s="113"/>
      <c r="G401" s="113"/>
      <c r="H401" s="113"/>
      <c r="I401" s="113"/>
      <c r="J401" s="113"/>
      <c r="K401" s="657"/>
      <c r="L401" s="658">
        <v>4630.97</v>
      </c>
      <c r="M401" s="657">
        <v>4630.97</v>
      </c>
      <c r="N401" s="657">
        <v>4630.97</v>
      </c>
      <c r="O401" s="658">
        <v>4630.97</v>
      </c>
      <c r="P401" s="658">
        <v>4630.97</v>
      </c>
      <c r="Q401" s="658">
        <v>4813.2299999999996</v>
      </c>
      <c r="R401" s="658">
        <v>4813.2299999999996</v>
      </c>
      <c r="S401" s="658">
        <f>('INTEC (listas)'!L401)</f>
        <v>4813.2299999999996</v>
      </c>
    </row>
    <row r="402" spans="1:19">
      <c r="A402" s="113">
        <v>471</v>
      </c>
      <c r="B402" s="113" t="s">
        <v>1211</v>
      </c>
      <c r="C402" s="113" t="s">
        <v>1216</v>
      </c>
      <c r="D402" s="113" t="s">
        <v>1217</v>
      </c>
      <c r="E402" s="113"/>
      <c r="F402" s="113"/>
      <c r="G402" s="113"/>
      <c r="H402" s="113"/>
      <c r="I402" s="113"/>
      <c r="J402" s="113"/>
      <c r="K402" s="657"/>
      <c r="L402" s="658">
        <v>4630.97</v>
      </c>
      <c r="M402" s="657">
        <v>4630.97</v>
      </c>
      <c r="N402" s="657">
        <v>4630.97</v>
      </c>
      <c r="O402" s="658">
        <v>4630.97</v>
      </c>
      <c r="P402" s="658">
        <v>4630.97</v>
      </c>
      <c r="Q402" s="658">
        <v>4813.2299999999996</v>
      </c>
      <c r="R402" s="658">
        <v>4813.2299999999996</v>
      </c>
      <c r="S402" s="658">
        <f>('INTEC (listas)'!L402)</f>
        <v>4813.2299999999996</v>
      </c>
    </row>
    <row r="403" spans="1:19">
      <c r="A403" s="113">
        <v>472</v>
      </c>
      <c r="B403" s="113" t="s">
        <v>1211</v>
      </c>
      <c r="C403" s="113" t="s">
        <v>1218</v>
      </c>
      <c r="D403" s="113" t="s">
        <v>1219</v>
      </c>
      <c r="E403" s="113"/>
      <c r="F403" s="113"/>
      <c r="G403" s="113"/>
      <c r="H403" s="113"/>
      <c r="I403" s="113"/>
      <c r="J403" s="113"/>
      <c r="K403" s="657"/>
      <c r="L403" s="658">
        <v>4630.97</v>
      </c>
      <c r="M403" s="657">
        <v>4630.97</v>
      </c>
      <c r="N403" s="657">
        <v>4630.97</v>
      </c>
      <c r="O403" s="658">
        <v>4630.97</v>
      </c>
      <c r="P403" s="658">
        <v>4630.97</v>
      </c>
      <c r="Q403" s="658">
        <v>4813.2299999999996</v>
      </c>
      <c r="R403" s="658">
        <v>4813.2299999999996</v>
      </c>
      <c r="S403" s="658">
        <f>('INTEC (listas)'!L403)</f>
        <v>4813.2299999999996</v>
      </c>
    </row>
    <row r="404" spans="1:19">
      <c r="A404" s="113">
        <v>473</v>
      </c>
      <c r="B404" s="113" t="s">
        <v>1211</v>
      </c>
      <c r="C404" s="113" t="s">
        <v>1220</v>
      </c>
      <c r="D404" s="113" t="s">
        <v>1221</v>
      </c>
      <c r="E404" s="113"/>
      <c r="F404" s="113"/>
      <c r="G404" s="113"/>
      <c r="H404" s="113"/>
      <c r="I404" s="113"/>
      <c r="J404" s="113"/>
      <c r="K404" s="657"/>
      <c r="L404" s="658">
        <v>4630.97</v>
      </c>
      <c r="M404" s="657">
        <v>4630.97</v>
      </c>
      <c r="N404" s="657">
        <v>4630.97</v>
      </c>
      <c r="O404" s="658">
        <v>4630.97</v>
      </c>
      <c r="P404" s="658">
        <v>4630.97</v>
      </c>
      <c r="Q404" s="658">
        <v>4813.2299999999996</v>
      </c>
      <c r="R404" s="658">
        <v>4813.2299999999996</v>
      </c>
      <c r="S404" s="658">
        <f>('INTEC (listas)'!L404)</f>
        <v>4813.2299999999996</v>
      </c>
    </row>
    <row r="405" spans="1:19">
      <c r="A405" s="113">
        <v>474</v>
      </c>
      <c r="B405" s="113" t="s">
        <v>1211</v>
      </c>
      <c r="C405" s="113" t="s">
        <v>1222</v>
      </c>
      <c r="D405" s="113" t="s">
        <v>1223</v>
      </c>
      <c r="E405" s="113"/>
      <c r="F405" s="113"/>
      <c r="G405" s="113"/>
      <c r="H405" s="113"/>
      <c r="I405" s="113"/>
      <c r="J405" s="113"/>
      <c r="K405" s="657"/>
      <c r="L405" s="658">
        <v>4630.97</v>
      </c>
      <c r="M405" s="657">
        <v>4630.97</v>
      </c>
      <c r="N405" s="657">
        <v>4630.97</v>
      </c>
      <c r="O405" s="658">
        <v>4630.97</v>
      </c>
      <c r="P405" s="658">
        <v>4630.97</v>
      </c>
      <c r="Q405" s="658">
        <v>4813.2299999999996</v>
      </c>
      <c r="R405" s="658">
        <v>4813.2299999999996</v>
      </c>
      <c r="S405" s="658">
        <f>('INTEC (listas)'!L405)</f>
        <v>4813.2299999999996</v>
      </c>
    </row>
    <row r="406" spans="1:19">
      <c r="A406" s="113">
        <v>475</v>
      </c>
      <c r="B406" s="113" t="s">
        <v>1211</v>
      </c>
      <c r="C406" s="113" t="s">
        <v>1224</v>
      </c>
      <c r="D406" s="113" t="s">
        <v>1225</v>
      </c>
      <c r="E406" s="113"/>
      <c r="F406" s="113"/>
      <c r="G406" s="113"/>
      <c r="H406" s="113"/>
      <c r="I406" s="113"/>
      <c r="J406" s="113"/>
      <c r="K406" s="657"/>
      <c r="L406" s="658">
        <v>4630.97</v>
      </c>
      <c r="M406" s="657">
        <v>4630.97</v>
      </c>
      <c r="N406" s="657">
        <v>4630.97</v>
      </c>
      <c r="O406" s="658">
        <v>4630.97</v>
      </c>
      <c r="P406" s="658">
        <v>4630.97</v>
      </c>
      <c r="Q406" s="658">
        <v>4813.2299999999996</v>
      </c>
      <c r="R406" s="658">
        <v>4813.2299999999996</v>
      </c>
      <c r="S406" s="658">
        <f>('INTEC (listas)'!L406)</f>
        <v>4813.2299999999996</v>
      </c>
    </row>
    <row r="407" spans="1:19">
      <c r="A407" s="113">
        <v>476</v>
      </c>
      <c r="B407" s="113" t="s">
        <v>1211</v>
      </c>
      <c r="C407" s="113" t="s">
        <v>1226</v>
      </c>
      <c r="D407" s="113" t="s">
        <v>1227</v>
      </c>
      <c r="E407" s="113"/>
      <c r="F407" s="113"/>
      <c r="G407" s="113"/>
      <c r="H407" s="113"/>
      <c r="I407" s="113"/>
      <c r="J407" s="113"/>
      <c r="K407" s="657"/>
      <c r="L407" s="658">
        <v>4630.97</v>
      </c>
      <c r="M407" s="657">
        <v>4630.97</v>
      </c>
      <c r="N407" s="657">
        <v>4630.97</v>
      </c>
      <c r="O407" s="658">
        <v>4630.97</v>
      </c>
      <c r="P407" s="658">
        <v>4630.97</v>
      </c>
      <c r="Q407" s="658">
        <v>4813.2299999999996</v>
      </c>
      <c r="R407" s="658">
        <v>4813.2299999999996</v>
      </c>
      <c r="S407" s="658">
        <f>('INTEC (listas)'!L407)</f>
        <v>4813.2299999999996</v>
      </c>
    </row>
    <row r="408" spans="1:19">
      <c r="A408" s="113">
        <v>477</v>
      </c>
      <c r="B408" s="113" t="s">
        <v>1211</v>
      </c>
      <c r="C408" s="113" t="s">
        <v>1228</v>
      </c>
      <c r="D408" s="113" t="s">
        <v>1229</v>
      </c>
      <c r="E408" s="113"/>
      <c r="F408" s="113"/>
      <c r="G408" s="113"/>
      <c r="H408" s="113"/>
      <c r="I408" s="113"/>
      <c r="J408" s="113"/>
      <c r="K408" s="657"/>
      <c r="L408" s="658">
        <v>4630.97</v>
      </c>
      <c r="M408" s="657">
        <v>4630.97</v>
      </c>
      <c r="N408" s="657">
        <v>4630.97</v>
      </c>
      <c r="O408" s="658">
        <v>4630.97</v>
      </c>
      <c r="P408" s="658">
        <v>4630.97</v>
      </c>
      <c r="Q408" s="658">
        <v>4813.2299999999996</v>
      </c>
      <c r="R408" s="658">
        <v>4813.2299999999996</v>
      </c>
      <c r="S408" s="658">
        <f>('INTEC (listas)'!L408)</f>
        <v>4813.2299999999996</v>
      </c>
    </row>
    <row r="409" spans="1:19">
      <c r="A409" s="113">
        <v>478</v>
      </c>
      <c r="B409" s="113" t="s">
        <v>1211</v>
      </c>
      <c r="C409" s="113" t="s">
        <v>1230</v>
      </c>
      <c r="D409" s="113" t="s">
        <v>1231</v>
      </c>
      <c r="E409" s="113"/>
      <c r="F409" s="113"/>
      <c r="G409" s="113"/>
      <c r="H409" s="113"/>
      <c r="I409" s="113"/>
      <c r="J409" s="113"/>
      <c r="K409" s="657"/>
      <c r="L409" s="658">
        <v>4630.97</v>
      </c>
      <c r="M409" s="657">
        <v>4630.97</v>
      </c>
      <c r="N409" s="657">
        <v>4630.97</v>
      </c>
      <c r="O409" s="658">
        <v>4630.97</v>
      </c>
      <c r="P409" s="658">
        <v>4630.97</v>
      </c>
      <c r="Q409" s="658">
        <v>4813.2299999999996</v>
      </c>
      <c r="R409" s="658">
        <v>4813.2299999999996</v>
      </c>
      <c r="S409" s="658">
        <f>('INTEC (listas)'!L409)</f>
        <v>4813.2299999999996</v>
      </c>
    </row>
    <row r="410" spans="1:19">
      <c r="A410" s="113">
        <v>479</v>
      </c>
      <c r="B410" s="113" t="s">
        <v>1211</v>
      </c>
      <c r="C410" s="113" t="s">
        <v>1232</v>
      </c>
      <c r="D410" s="113" t="s">
        <v>1233</v>
      </c>
      <c r="E410" s="113"/>
      <c r="F410" s="113"/>
      <c r="G410" s="113"/>
      <c r="H410" s="113"/>
      <c r="I410" s="113"/>
      <c r="J410" s="113"/>
      <c r="K410" s="657"/>
      <c r="L410" s="658">
        <v>4955.3100000000004</v>
      </c>
      <c r="M410" s="657">
        <v>4955.3100000000004</v>
      </c>
      <c r="N410" s="657">
        <v>4955.3100000000004</v>
      </c>
      <c r="O410" s="658">
        <v>4955.3100000000004</v>
      </c>
      <c r="P410" s="658">
        <v>4955.3100000000004</v>
      </c>
      <c r="Q410" s="658">
        <v>4813.2299999999996</v>
      </c>
      <c r="R410" s="658">
        <v>4813.2299999999996</v>
      </c>
      <c r="S410" s="658">
        <f>('INTEC (listas)'!L410)</f>
        <v>4813.2299999999996</v>
      </c>
    </row>
    <row r="411" spans="1:19">
      <c r="A411" s="113">
        <v>480</v>
      </c>
      <c r="B411" s="113" t="s">
        <v>1211</v>
      </c>
      <c r="C411" s="113" t="s">
        <v>1234</v>
      </c>
      <c r="D411" s="113" t="s">
        <v>1235</v>
      </c>
      <c r="E411" s="113"/>
      <c r="F411" s="113"/>
      <c r="G411" s="113"/>
      <c r="H411" s="113"/>
      <c r="I411" s="113"/>
      <c r="J411" s="113"/>
      <c r="K411" s="657"/>
      <c r="L411" s="658">
        <v>4955.3100000000004</v>
      </c>
      <c r="M411" s="657">
        <v>4955.3100000000004</v>
      </c>
      <c r="N411" s="657">
        <v>4955.3100000000004</v>
      </c>
      <c r="O411" s="658">
        <v>4955.3100000000004</v>
      </c>
      <c r="P411" s="658">
        <v>4955.3100000000004</v>
      </c>
      <c r="Q411" s="658">
        <v>4813.2299999999996</v>
      </c>
      <c r="R411" s="658">
        <v>4813.2299999999996</v>
      </c>
      <c r="S411" s="658">
        <f>('INTEC (listas)'!L411)</f>
        <v>5706</v>
      </c>
    </row>
    <row r="412" spans="1:19">
      <c r="A412" s="113">
        <v>481</v>
      </c>
      <c r="B412" s="113" t="s">
        <v>1211</v>
      </c>
      <c r="C412" s="113" t="s">
        <v>1236</v>
      </c>
      <c r="D412" s="113" t="s">
        <v>1237</v>
      </c>
      <c r="E412" s="113"/>
      <c r="F412" s="113"/>
      <c r="G412" s="113"/>
      <c r="H412" s="113"/>
      <c r="I412" s="113"/>
      <c r="J412" s="113"/>
      <c r="K412" s="657"/>
      <c r="L412" s="658">
        <v>4955.3100000000004</v>
      </c>
      <c r="M412" s="657">
        <v>4955.3100000000004</v>
      </c>
      <c r="N412" s="657">
        <v>4955.3100000000004</v>
      </c>
      <c r="O412" s="658">
        <v>4955.3100000000004</v>
      </c>
      <c r="P412" s="658">
        <v>4955.3100000000004</v>
      </c>
      <c r="Q412" s="658">
        <v>5706</v>
      </c>
      <c r="R412" s="658">
        <v>5706</v>
      </c>
      <c r="S412" s="658">
        <f>('INTEC (listas)'!L412)</f>
        <v>5783.63</v>
      </c>
    </row>
    <row r="413" spans="1:19">
      <c r="A413" s="113">
        <v>482</v>
      </c>
      <c r="B413" s="113" t="s">
        <v>1211</v>
      </c>
      <c r="C413" s="113" t="s">
        <v>1238</v>
      </c>
      <c r="D413" s="113" t="s">
        <v>1239</v>
      </c>
      <c r="E413" s="113"/>
      <c r="F413" s="113"/>
      <c r="G413" s="113"/>
      <c r="H413" s="113"/>
      <c r="I413" s="113"/>
      <c r="J413" s="113"/>
      <c r="K413" s="657"/>
      <c r="L413" s="658">
        <v>6183.9</v>
      </c>
      <c r="M413" s="657">
        <v>6183.9</v>
      </c>
      <c r="N413" s="657">
        <v>6183.9</v>
      </c>
      <c r="O413" s="658">
        <v>6183.9</v>
      </c>
      <c r="P413" s="658">
        <v>6183.9</v>
      </c>
      <c r="Q413" s="658">
        <v>5783.63</v>
      </c>
      <c r="R413" s="658">
        <v>5783.63</v>
      </c>
      <c r="S413" s="658">
        <f>('INTEC (listas)'!L413)</f>
        <v>5861.27</v>
      </c>
    </row>
    <row r="414" spans="1:19">
      <c r="A414" s="113">
        <v>483</v>
      </c>
      <c r="B414" s="113" t="s">
        <v>1211</v>
      </c>
      <c r="C414" s="113" t="s">
        <v>1240</v>
      </c>
      <c r="D414" s="113" t="s">
        <v>1241</v>
      </c>
      <c r="E414" s="113"/>
      <c r="F414" s="113"/>
      <c r="G414" s="113"/>
      <c r="H414" s="113"/>
      <c r="I414" s="113"/>
      <c r="J414" s="113"/>
      <c r="K414" s="657"/>
      <c r="L414" s="658">
        <v>4037.13</v>
      </c>
      <c r="M414" s="657">
        <v>4037.13</v>
      </c>
      <c r="N414" s="657">
        <v>4037.13</v>
      </c>
      <c r="O414" s="658">
        <v>4037.13</v>
      </c>
      <c r="P414" s="658">
        <v>4037.13</v>
      </c>
      <c r="Q414" s="658">
        <v>5861.27</v>
      </c>
      <c r="R414" s="658">
        <v>5861.27</v>
      </c>
      <c r="S414" s="658">
        <f>('INTEC (listas)'!L414)</f>
        <v>4134.72</v>
      </c>
    </row>
    <row r="415" spans="1:19">
      <c r="A415" s="113">
        <v>484</v>
      </c>
      <c r="B415" s="113" t="s">
        <v>1211</v>
      </c>
      <c r="C415" s="113" t="s">
        <v>1242</v>
      </c>
      <c r="D415" s="113" t="s">
        <v>1243</v>
      </c>
      <c r="E415" s="113"/>
      <c r="F415" s="113"/>
      <c r="G415" s="113"/>
      <c r="H415" s="113"/>
      <c r="I415" s="113"/>
      <c r="J415" s="113"/>
      <c r="K415" s="657"/>
      <c r="L415" s="658">
        <v>4260.51</v>
      </c>
      <c r="M415" s="657">
        <v>4260.51</v>
      </c>
      <c r="N415" s="657">
        <v>4260.51</v>
      </c>
      <c r="O415" s="658">
        <v>4260.51</v>
      </c>
      <c r="P415" s="658">
        <v>4260.51</v>
      </c>
      <c r="Q415" s="658">
        <v>4134.72</v>
      </c>
      <c r="R415" s="658">
        <v>4134.72</v>
      </c>
      <c r="S415" s="658">
        <f>('INTEC (listas)'!L415)</f>
        <v>4363.5</v>
      </c>
    </row>
    <row r="416" spans="1:19">
      <c r="A416" s="113">
        <v>485</v>
      </c>
      <c r="B416" s="113" t="s">
        <v>1211</v>
      </c>
      <c r="C416" s="113" t="s">
        <v>1244</v>
      </c>
      <c r="D416" s="113" t="s">
        <v>1245</v>
      </c>
      <c r="E416" s="113"/>
      <c r="F416" s="113"/>
      <c r="G416" s="113"/>
      <c r="H416" s="113"/>
      <c r="I416" s="113"/>
      <c r="J416" s="113"/>
      <c r="K416" s="657"/>
      <c r="L416" s="658">
        <v>4260.51</v>
      </c>
      <c r="M416" s="657">
        <v>4260.51</v>
      </c>
      <c r="N416" s="657">
        <v>4260.51</v>
      </c>
      <c r="O416" s="658">
        <v>4260.51</v>
      </c>
      <c r="P416" s="658">
        <v>4260.51</v>
      </c>
      <c r="Q416" s="658">
        <v>4363.5</v>
      </c>
      <c r="R416" s="658">
        <v>4363.5</v>
      </c>
      <c r="S416" s="658">
        <f>('INTEC (listas)'!L416)</f>
        <v>4363.5</v>
      </c>
    </row>
    <row r="417" spans="1:19">
      <c r="A417" s="113">
        <v>486</v>
      </c>
      <c r="B417" s="113" t="s">
        <v>1211</v>
      </c>
      <c r="C417" s="113" t="s">
        <v>1246</v>
      </c>
      <c r="D417" s="113" t="s">
        <v>1247</v>
      </c>
      <c r="E417" s="113"/>
      <c r="F417" s="113"/>
      <c r="G417" s="113"/>
      <c r="H417" s="113"/>
      <c r="I417" s="113"/>
      <c r="J417" s="113"/>
      <c r="K417" s="657"/>
      <c r="L417" s="658">
        <v>4260.51</v>
      </c>
      <c r="M417" s="657">
        <v>4260.51</v>
      </c>
      <c r="N417" s="657">
        <v>4260.51</v>
      </c>
      <c r="O417" s="658">
        <v>4260.51</v>
      </c>
      <c r="P417" s="658">
        <v>4260.51</v>
      </c>
      <c r="Q417" s="658">
        <v>4363.5</v>
      </c>
      <c r="R417" s="658">
        <v>4363.5</v>
      </c>
      <c r="S417" s="658">
        <f>('INTEC (listas)'!L417)</f>
        <v>4363.5</v>
      </c>
    </row>
    <row r="418" spans="1:19">
      <c r="A418" s="113">
        <v>487</v>
      </c>
      <c r="B418" s="113" t="s">
        <v>1211</v>
      </c>
      <c r="C418" s="113" t="s">
        <v>1248</v>
      </c>
      <c r="D418" s="113" t="s">
        <v>1249</v>
      </c>
      <c r="E418" s="113"/>
      <c r="F418" s="113"/>
      <c r="G418" s="113"/>
      <c r="H418" s="113"/>
      <c r="I418" s="113"/>
      <c r="J418" s="113"/>
      <c r="K418" s="657"/>
      <c r="L418" s="658">
        <v>4479.2299999999996</v>
      </c>
      <c r="M418" s="657">
        <v>4479.2299999999996</v>
      </c>
      <c r="N418" s="657">
        <v>4479.2299999999996</v>
      </c>
      <c r="O418" s="658">
        <v>4479.2299999999996</v>
      </c>
      <c r="P418" s="658">
        <v>4479.2299999999996</v>
      </c>
      <c r="Q418" s="658">
        <v>4363.5</v>
      </c>
      <c r="R418" s="658">
        <v>4363.5</v>
      </c>
      <c r="S418" s="658">
        <f>('INTEC (listas)'!L418)</f>
        <v>4587.5200000000004</v>
      </c>
    </row>
    <row r="419" spans="1:19">
      <c r="A419" s="113">
        <v>488</v>
      </c>
      <c r="B419" s="113" t="s">
        <v>1211</v>
      </c>
      <c r="C419" s="113" t="s">
        <v>1250</v>
      </c>
      <c r="D419" s="113" t="s">
        <v>1251</v>
      </c>
      <c r="E419" s="113"/>
      <c r="F419" s="113"/>
      <c r="G419" s="113"/>
      <c r="H419" s="113"/>
      <c r="I419" s="113"/>
      <c r="J419" s="113"/>
      <c r="K419" s="113"/>
      <c r="L419" s="658">
        <v>4479.2299999999996</v>
      </c>
      <c r="M419" s="657">
        <v>4479.2299999999996</v>
      </c>
      <c r="N419" s="657">
        <v>4479.2299999999996</v>
      </c>
      <c r="O419" s="658">
        <v>4479.2299999999996</v>
      </c>
      <c r="P419" s="658">
        <v>4479.2299999999996</v>
      </c>
      <c r="Q419" s="658">
        <v>4587.5200000000004</v>
      </c>
      <c r="R419" s="658">
        <v>4587.5200000000004</v>
      </c>
      <c r="S419" s="658">
        <f>('INTEC (listas)'!L419)</f>
        <v>4587.5200000000004</v>
      </c>
    </row>
    <row r="420" spans="1:19">
      <c r="A420" s="113">
        <v>489</v>
      </c>
      <c r="B420" s="113" t="s">
        <v>1211</v>
      </c>
      <c r="C420" s="113" t="s">
        <v>1252</v>
      </c>
      <c r="D420" s="113" t="s">
        <v>1253</v>
      </c>
      <c r="E420" s="113"/>
      <c r="F420" s="113"/>
      <c r="G420" s="113"/>
      <c r="H420" s="113"/>
      <c r="I420" s="113"/>
      <c r="J420" s="113"/>
      <c r="K420" s="113"/>
      <c r="L420" s="658">
        <v>4479.2299999999996</v>
      </c>
      <c r="M420" s="657">
        <v>4479.2299999999996</v>
      </c>
      <c r="N420" s="657">
        <v>4479.2299999999996</v>
      </c>
      <c r="O420" s="658">
        <v>4479.2299999999996</v>
      </c>
      <c r="P420" s="658">
        <v>4479.2299999999996</v>
      </c>
      <c r="Q420" s="658">
        <v>4587.5200000000004</v>
      </c>
      <c r="R420" s="658">
        <v>4587.5200000000004</v>
      </c>
      <c r="S420" s="658">
        <f>('INTEC (listas)'!L420)</f>
        <v>4587.5200000000004</v>
      </c>
    </row>
    <row r="421" spans="1:19">
      <c r="A421" s="113">
        <v>490</v>
      </c>
      <c r="B421" s="113" t="s">
        <v>1211</v>
      </c>
      <c r="C421" s="113" t="s">
        <v>1254</v>
      </c>
      <c r="D421" s="113" t="s">
        <v>1255</v>
      </c>
      <c r="E421" s="113"/>
      <c r="F421" s="113"/>
      <c r="G421" s="113"/>
      <c r="H421" s="113"/>
      <c r="I421" s="113"/>
      <c r="J421" s="113"/>
      <c r="K421" s="113"/>
      <c r="L421" s="658">
        <v>4479.2299999999996</v>
      </c>
      <c r="M421" s="657">
        <v>4479.2299999999996</v>
      </c>
      <c r="N421" s="657">
        <v>4479.2299999999996</v>
      </c>
      <c r="O421" s="658">
        <v>4479.2299999999996</v>
      </c>
      <c r="P421" s="658">
        <v>4479.2299999999996</v>
      </c>
      <c r="Q421" s="658">
        <v>4587.5200000000004</v>
      </c>
      <c r="R421" s="658">
        <v>4587.5200000000004</v>
      </c>
      <c r="S421" s="658">
        <f>('INTEC (listas)'!L421)</f>
        <v>4587.5200000000004</v>
      </c>
    </row>
    <row r="422" spans="1:19">
      <c r="A422" s="113">
        <v>491</v>
      </c>
      <c r="B422" s="113" t="s">
        <v>1211</v>
      </c>
      <c r="C422" s="113" t="s">
        <v>1256</v>
      </c>
      <c r="D422" s="113" t="s">
        <v>1257</v>
      </c>
      <c r="E422" s="113"/>
      <c r="F422" s="113"/>
      <c r="G422" s="113"/>
      <c r="H422" s="113"/>
      <c r="I422" s="113"/>
      <c r="J422" s="113"/>
      <c r="K422" s="113"/>
      <c r="L422" s="658">
        <v>20743.13</v>
      </c>
      <c r="M422" s="657">
        <v>20743.13</v>
      </c>
      <c r="N422" s="657">
        <v>20743.13</v>
      </c>
      <c r="O422" s="658">
        <v>20743.13</v>
      </c>
      <c r="P422" s="658">
        <v>20743.13</v>
      </c>
      <c r="Q422" s="658">
        <v>4587.5200000000004</v>
      </c>
      <c r="R422" s="658">
        <v>4587.5200000000004</v>
      </c>
      <c r="S422" s="658">
        <f>('INTEC (listas)'!L422)</f>
        <v>21933.54</v>
      </c>
    </row>
    <row r="423" spans="1:19">
      <c r="A423" s="113">
        <v>492</v>
      </c>
      <c r="B423" s="113" t="s">
        <v>1211</v>
      </c>
      <c r="C423" s="113" t="s">
        <v>1258</v>
      </c>
      <c r="D423" s="113" t="s">
        <v>1259</v>
      </c>
      <c r="E423" s="113"/>
      <c r="F423" s="113"/>
      <c r="G423" s="113"/>
      <c r="H423" s="113"/>
      <c r="I423" s="113"/>
      <c r="J423" s="113"/>
      <c r="K423" s="113"/>
      <c r="L423" s="658">
        <v>24593.49</v>
      </c>
      <c r="M423" s="657">
        <v>24593.49</v>
      </c>
      <c r="N423" s="657">
        <v>24593.49</v>
      </c>
      <c r="O423" s="658">
        <v>24593.49</v>
      </c>
      <c r="P423" s="658">
        <v>24593.49</v>
      </c>
      <c r="Q423" s="658">
        <v>21933.54</v>
      </c>
      <c r="R423" s="658">
        <v>21933.54</v>
      </c>
      <c r="S423" s="658">
        <f>('INTEC (listas)'!L423)</f>
        <v>25956.62</v>
      </c>
    </row>
    <row r="424" spans="1:19">
      <c r="A424" s="113">
        <v>493</v>
      </c>
      <c r="B424" s="113" t="s">
        <v>1211</v>
      </c>
      <c r="C424" s="113" t="s">
        <v>1260</v>
      </c>
      <c r="D424" s="113" t="s">
        <v>1261</v>
      </c>
      <c r="E424" s="113"/>
      <c r="F424" s="113"/>
      <c r="G424" s="113"/>
      <c r="H424" s="113"/>
      <c r="I424" s="113"/>
      <c r="J424" s="113"/>
      <c r="K424" s="113"/>
      <c r="L424" s="658">
        <v>20522.810000000001</v>
      </c>
      <c r="M424" s="657">
        <v>20522.810000000001</v>
      </c>
      <c r="N424" s="657">
        <v>20522.810000000001</v>
      </c>
      <c r="O424" s="658">
        <v>20522.810000000001</v>
      </c>
      <c r="P424" s="658">
        <v>20522.810000000001</v>
      </c>
      <c r="Q424" s="658">
        <v>25956.62</v>
      </c>
      <c r="R424" s="658">
        <v>25956.62</v>
      </c>
      <c r="S424" s="658">
        <f>('INTEC (listas)'!L424)</f>
        <v>21620.2</v>
      </c>
    </row>
    <row r="425" spans="1:19">
      <c r="A425" s="113">
        <v>494</v>
      </c>
      <c r="B425" s="113" t="s">
        <v>1211</v>
      </c>
      <c r="C425" s="113" t="s">
        <v>1262</v>
      </c>
      <c r="D425" s="113" t="s">
        <v>1263</v>
      </c>
      <c r="E425" s="113"/>
      <c r="F425" s="113"/>
      <c r="G425" s="113"/>
      <c r="H425" s="113"/>
      <c r="I425" s="113"/>
      <c r="J425" s="113"/>
      <c r="K425" s="113"/>
      <c r="L425" s="658">
        <v>24004.26</v>
      </c>
      <c r="M425" s="657">
        <v>24004.26</v>
      </c>
      <c r="N425" s="657">
        <v>24004.26</v>
      </c>
      <c r="O425" s="658">
        <v>24004.26</v>
      </c>
      <c r="P425" s="658">
        <v>24004.26</v>
      </c>
      <c r="Q425" s="658">
        <v>21620.2</v>
      </c>
      <c r="R425" s="658">
        <v>21620.2</v>
      </c>
      <c r="S425" s="658">
        <f>('INTEC (listas)'!L425)</f>
        <v>25217.77</v>
      </c>
    </row>
    <row r="426" spans="1:19">
      <c r="A426" s="113">
        <v>495</v>
      </c>
      <c r="B426" s="113" t="s">
        <v>1211</v>
      </c>
      <c r="C426" s="113" t="s">
        <v>1264</v>
      </c>
      <c r="D426" s="113" t="s">
        <v>1265</v>
      </c>
      <c r="E426" s="113"/>
      <c r="F426" s="113"/>
      <c r="G426" s="113"/>
      <c r="H426" s="113"/>
      <c r="I426" s="113"/>
      <c r="J426" s="113"/>
      <c r="K426" s="113"/>
      <c r="L426" s="658">
        <v>17932.23</v>
      </c>
      <c r="M426" s="657">
        <v>17932.23</v>
      </c>
      <c r="N426" s="657">
        <v>17932.23</v>
      </c>
      <c r="O426" s="658">
        <v>17932.23</v>
      </c>
      <c r="P426" s="658">
        <v>17932.23</v>
      </c>
      <c r="Q426" s="658">
        <v>25217.77</v>
      </c>
      <c r="R426" s="658">
        <v>25217.77</v>
      </c>
      <c r="S426" s="658">
        <f>('INTEC (listas)'!L426)</f>
        <v>18804.05</v>
      </c>
    </row>
    <row r="427" spans="1:19">
      <c r="A427" s="113">
        <v>496</v>
      </c>
      <c r="B427" s="113" t="s">
        <v>1211</v>
      </c>
      <c r="C427" s="113" t="s">
        <v>1266</v>
      </c>
      <c r="D427" s="113" t="s">
        <v>1267</v>
      </c>
      <c r="E427" s="113"/>
      <c r="F427" s="113"/>
      <c r="G427" s="113"/>
      <c r="H427" s="113"/>
      <c r="I427" s="113"/>
      <c r="J427" s="113"/>
      <c r="K427" s="113"/>
      <c r="L427" s="658">
        <v>20955.189999999999</v>
      </c>
      <c r="M427" s="657">
        <v>20955.189999999999</v>
      </c>
      <c r="N427" s="657">
        <v>20955.189999999999</v>
      </c>
      <c r="O427" s="658">
        <v>20955.189999999999</v>
      </c>
      <c r="P427" s="658">
        <v>20955.189999999999</v>
      </c>
      <c r="Q427" s="658">
        <v>18804.05</v>
      </c>
      <c r="R427" s="658">
        <v>18804.05</v>
      </c>
      <c r="S427" s="658">
        <f>('INTEC (listas)'!L427)</f>
        <v>21933.54</v>
      </c>
    </row>
    <row r="428" spans="1:19">
      <c r="A428" s="113">
        <v>497</v>
      </c>
      <c r="B428" s="113" t="s">
        <v>1211</v>
      </c>
      <c r="C428" s="113" t="s">
        <v>1268</v>
      </c>
      <c r="D428" s="113" t="s">
        <v>1269</v>
      </c>
      <c r="E428" s="113"/>
      <c r="F428" s="113"/>
      <c r="G428" s="113"/>
      <c r="H428" s="113"/>
      <c r="I428" s="113"/>
      <c r="J428" s="113"/>
      <c r="K428" s="113"/>
      <c r="L428" s="658">
        <v>39600</v>
      </c>
      <c r="M428" s="657">
        <v>39600</v>
      </c>
      <c r="N428" s="657">
        <v>39600</v>
      </c>
      <c r="O428" s="658">
        <v>39600</v>
      </c>
      <c r="P428" s="658">
        <v>39600</v>
      </c>
      <c r="Q428" s="658">
        <v>21933.54</v>
      </c>
      <c r="R428" s="658">
        <v>21933.54</v>
      </c>
      <c r="S428" s="658">
        <f>('INTEC (listas)'!L428)</f>
        <v>39600</v>
      </c>
    </row>
    <row r="429" spans="1:19">
      <c r="A429" s="113">
        <v>498</v>
      </c>
      <c r="B429" s="113" t="s">
        <v>1211</v>
      </c>
      <c r="C429" s="113" t="s">
        <v>1270</v>
      </c>
      <c r="D429" s="113" t="s">
        <v>1271</v>
      </c>
      <c r="E429" s="113"/>
      <c r="F429" s="113"/>
      <c r="G429" s="113"/>
      <c r="H429" s="113"/>
      <c r="I429" s="113"/>
      <c r="J429" s="113"/>
      <c r="K429" s="113"/>
      <c r="L429" s="658">
        <v>19866</v>
      </c>
      <c r="M429" s="657">
        <v>19866</v>
      </c>
      <c r="N429" s="657">
        <v>19866</v>
      </c>
      <c r="O429" s="658">
        <v>19866</v>
      </c>
      <c r="P429" s="658">
        <v>19866</v>
      </c>
      <c r="Q429" s="658">
        <v>39600</v>
      </c>
      <c r="R429" s="658">
        <v>39600</v>
      </c>
      <c r="S429" s="658">
        <f>('INTEC (listas)'!L429)</f>
        <v>19866</v>
      </c>
    </row>
    <row r="430" spans="1:19">
      <c r="A430" s="113">
        <v>501</v>
      </c>
      <c r="B430" s="113" t="s">
        <v>388</v>
      </c>
      <c r="C430" s="113" t="s">
        <v>465</v>
      </c>
      <c r="D430" s="113" t="s">
        <v>466</v>
      </c>
      <c r="E430" s="113"/>
      <c r="F430" s="113"/>
      <c r="G430" s="113"/>
      <c r="H430" s="113"/>
      <c r="I430" s="113"/>
      <c r="J430" s="113"/>
      <c r="K430" s="113"/>
      <c r="L430" s="658">
        <v>155347.19999999998</v>
      </c>
      <c r="M430" s="657">
        <v>155347.19999999998</v>
      </c>
      <c r="N430" s="657">
        <v>158025.59999999998</v>
      </c>
      <c r="O430" s="658">
        <v>158025.59999999998</v>
      </c>
      <c r="P430" s="658">
        <v>163382.39999999999</v>
      </c>
      <c r="Q430" s="658">
        <v>19866</v>
      </c>
      <c r="R430" s="658">
        <v>19866</v>
      </c>
      <c r="S430" s="658">
        <f>('INTEC (listas)'!L430)</f>
        <v>174095.99999999997</v>
      </c>
    </row>
    <row r="431" spans="1:19">
      <c r="A431" s="113">
        <v>502</v>
      </c>
      <c r="B431" s="113" t="s">
        <v>388</v>
      </c>
      <c r="C431" s="113" t="s">
        <v>473</v>
      </c>
      <c r="D431" s="113" t="s">
        <v>474</v>
      </c>
      <c r="E431" s="113"/>
      <c r="F431" s="113"/>
      <c r="G431" s="113"/>
      <c r="H431" s="113"/>
      <c r="I431" s="113"/>
      <c r="J431" s="113"/>
      <c r="K431" s="113"/>
      <c r="L431" s="658">
        <v>76170.240000000005</v>
      </c>
      <c r="M431" s="657">
        <v>76170.240000000005</v>
      </c>
      <c r="N431" s="657">
        <v>77483.520000000004</v>
      </c>
      <c r="O431" s="658">
        <v>77483.520000000004</v>
      </c>
      <c r="P431" s="658">
        <v>80110.080000000002</v>
      </c>
      <c r="Q431" s="658">
        <v>163382.39999999999</v>
      </c>
      <c r="R431" s="658">
        <v>163382.39999999999</v>
      </c>
      <c r="S431" s="658">
        <f>('INTEC (listas)'!L431)</f>
        <v>81095.040000000008</v>
      </c>
    </row>
    <row r="432" spans="1:19">
      <c r="A432" s="113">
        <v>503</v>
      </c>
      <c r="B432" s="113" t="s">
        <v>388</v>
      </c>
      <c r="C432" s="113" t="s">
        <v>491</v>
      </c>
      <c r="D432" s="113" t="s">
        <v>492</v>
      </c>
      <c r="E432" s="113"/>
      <c r="F432" s="113"/>
      <c r="G432" s="113"/>
      <c r="H432" s="113"/>
      <c r="I432" s="113"/>
      <c r="J432" s="113"/>
      <c r="K432" s="113"/>
      <c r="L432" s="658">
        <v>71409.600000000006</v>
      </c>
      <c r="M432" s="657">
        <v>71409.600000000006</v>
      </c>
      <c r="N432" s="657">
        <v>72640.800000000003</v>
      </c>
      <c r="O432" s="658">
        <v>72640.800000000003</v>
      </c>
      <c r="P432" s="658">
        <v>75103.199999999997</v>
      </c>
      <c r="Q432" s="658">
        <v>80110.080000000002</v>
      </c>
      <c r="R432" s="658">
        <v>80110.080000000002</v>
      </c>
      <c r="S432" s="658">
        <f>('INTEC (listas)'!L432)</f>
        <v>80028</v>
      </c>
    </row>
    <row r="433" spans="1:19">
      <c r="A433" s="36">
        <v>504</v>
      </c>
      <c r="B433" s="36" t="s">
        <v>382</v>
      </c>
      <c r="C433" s="36" t="s">
        <v>387</v>
      </c>
      <c r="D433" s="36">
        <v>49622</v>
      </c>
      <c r="E433" s="36"/>
      <c r="F433" s="36"/>
      <c r="G433" s="36"/>
      <c r="H433" s="36"/>
      <c r="I433" s="36"/>
      <c r="J433" s="36"/>
      <c r="K433" s="36"/>
      <c r="L433" s="73">
        <v>11495.04552</v>
      </c>
      <c r="M433" s="959">
        <v>11495.04552</v>
      </c>
      <c r="N433" s="959">
        <v>12738.902399999999</v>
      </c>
      <c r="O433" s="73">
        <v>12738.902399999999</v>
      </c>
      <c r="P433" s="73">
        <v>13170.729599999999</v>
      </c>
      <c r="Q433" s="73">
        <v>14225.48</v>
      </c>
      <c r="R433" s="73">
        <v>14225.48</v>
      </c>
      <c r="S433" s="658">
        <f>('INTEC (listas)'!L433)</f>
        <v>14225.483999999999</v>
      </c>
    </row>
    <row r="434" spans="1:19">
      <c r="A434" s="113">
        <v>506</v>
      </c>
      <c r="B434" s="113" t="s">
        <v>1272</v>
      </c>
      <c r="C434" s="113" t="s">
        <v>1273</v>
      </c>
      <c r="D434" s="113" t="s">
        <v>1274</v>
      </c>
      <c r="E434" s="113"/>
      <c r="F434" s="113"/>
      <c r="G434" s="113"/>
      <c r="H434" s="113"/>
      <c r="I434" s="113"/>
      <c r="J434" s="113"/>
      <c r="K434" s="113"/>
      <c r="L434" s="113"/>
      <c r="M434" s="657">
        <v>15000</v>
      </c>
      <c r="N434" s="657">
        <v>15000</v>
      </c>
      <c r="O434" s="658">
        <v>15000</v>
      </c>
      <c r="P434" s="658">
        <v>16862.5</v>
      </c>
      <c r="Q434" s="658">
        <v>13350.069599999999</v>
      </c>
      <c r="R434" s="658">
        <v>13350.069599999999</v>
      </c>
      <c r="S434" s="658">
        <f>('INTEC (listas)'!L434)</f>
        <v>18000</v>
      </c>
    </row>
    <row r="435" spans="1:19">
      <c r="A435" s="113">
        <v>507</v>
      </c>
      <c r="B435" s="113" t="s">
        <v>1272</v>
      </c>
      <c r="C435" s="113" t="s">
        <v>1275</v>
      </c>
      <c r="D435" s="113" t="s">
        <v>1276</v>
      </c>
      <c r="E435" s="113"/>
      <c r="F435" s="113"/>
      <c r="G435" s="113"/>
      <c r="H435" s="113"/>
      <c r="I435" s="113"/>
      <c r="J435" s="113"/>
      <c r="K435" s="113"/>
      <c r="L435" s="113"/>
      <c r="M435" s="657">
        <v>15000</v>
      </c>
      <c r="N435" s="657">
        <v>15000</v>
      </c>
      <c r="O435" s="658">
        <v>15000</v>
      </c>
      <c r="P435" s="658">
        <v>16862.5</v>
      </c>
      <c r="Q435" s="658">
        <v>16862.5</v>
      </c>
      <c r="R435" s="658">
        <v>16862.5</v>
      </c>
      <c r="S435" s="658">
        <f>('INTEC (listas)'!L435)</f>
        <v>18000</v>
      </c>
    </row>
    <row r="436" spans="1:19">
      <c r="A436" s="113">
        <v>508</v>
      </c>
      <c r="B436" s="113" t="s">
        <v>1277</v>
      </c>
      <c r="C436" s="113" t="s">
        <v>1278</v>
      </c>
      <c r="D436" s="113" t="s">
        <v>1279</v>
      </c>
      <c r="E436" s="113"/>
      <c r="F436" s="113"/>
      <c r="G436" s="113"/>
      <c r="H436" s="113"/>
      <c r="I436" s="113"/>
      <c r="J436" s="113"/>
      <c r="K436" s="113"/>
      <c r="L436" s="113"/>
      <c r="M436" s="657">
        <v>10996.4694</v>
      </c>
      <c r="N436" s="657">
        <v>11205.92596</v>
      </c>
      <c r="O436" s="658">
        <v>11205.92596</v>
      </c>
      <c r="P436" s="658">
        <v>11167.245296000001</v>
      </c>
      <c r="Q436" s="658">
        <v>16862.5</v>
      </c>
      <c r="R436" s="658">
        <v>16862.5</v>
      </c>
      <c r="S436" s="658">
        <f>('INTEC (listas)'!L436)</f>
        <v>11528.203385000001</v>
      </c>
    </row>
    <row r="437" spans="1:19">
      <c r="A437" s="113">
        <v>509</v>
      </c>
      <c r="B437" s="113" t="s">
        <v>1277</v>
      </c>
      <c r="C437" s="113" t="s">
        <v>1280</v>
      </c>
      <c r="D437" s="113" t="s">
        <v>1281</v>
      </c>
      <c r="E437" s="113"/>
      <c r="F437" s="113"/>
      <c r="G437" s="113"/>
      <c r="H437" s="113"/>
      <c r="I437" s="113"/>
      <c r="J437" s="113"/>
      <c r="K437" s="113"/>
      <c r="L437" s="113"/>
      <c r="M437" s="657">
        <v>13131.550319999998</v>
      </c>
      <c r="N437" s="657">
        <v>13381.675087999998</v>
      </c>
      <c r="O437" s="658">
        <v>13381.675087999998</v>
      </c>
      <c r="P437" s="658">
        <v>13747.077407999999</v>
      </c>
      <c r="Q437" s="658">
        <v>10892.7906</v>
      </c>
      <c r="R437" s="658">
        <v>10892.7906</v>
      </c>
      <c r="S437" s="658">
        <f>('INTEC (listas)'!L437)</f>
        <v>14191.423229999999</v>
      </c>
    </row>
    <row r="438" spans="1:19">
      <c r="A438" s="113">
        <v>510</v>
      </c>
      <c r="B438" s="113" t="s">
        <v>1277</v>
      </c>
      <c r="C438" s="113" t="s">
        <v>1282</v>
      </c>
      <c r="D438" s="113" t="s">
        <v>1283</v>
      </c>
      <c r="E438" s="113"/>
      <c r="F438" s="113"/>
      <c r="G438" s="113"/>
      <c r="H438" s="113"/>
      <c r="I438" s="113"/>
      <c r="J438" s="113"/>
      <c r="K438" s="113"/>
      <c r="L438" s="113"/>
      <c r="M438" s="657">
        <v>13131.550319999998</v>
      </c>
      <c r="N438" s="657">
        <v>13381.675087999998</v>
      </c>
      <c r="O438" s="658">
        <v>13381.675087999998</v>
      </c>
      <c r="P438" s="658">
        <v>13747.077407999999</v>
      </c>
      <c r="Q438" s="658">
        <v>13409.218799999999</v>
      </c>
      <c r="R438" s="658">
        <v>13409.218799999999</v>
      </c>
      <c r="S438" s="658">
        <f>('INTEC (listas)'!L438)</f>
        <v>14191.423229999999</v>
      </c>
    </row>
    <row r="439" spans="1:19">
      <c r="A439" s="113">
        <v>511</v>
      </c>
      <c r="B439" s="113" t="s">
        <v>1277</v>
      </c>
      <c r="C439" s="113" t="s">
        <v>1284</v>
      </c>
      <c r="D439" s="113" t="s">
        <v>1285</v>
      </c>
      <c r="E439" s="113"/>
      <c r="F439" s="113"/>
      <c r="G439" s="113"/>
      <c r="H439" s="113"/>
      <c r="I439" s="113"/>
      <c r="J439" s="113"/>
      <c r="K439" s="113"/>
      <c r="L439" s="113"/>
      <c r="M439" s="657">
        <v>15250.578</v>
      </c>
      <c r="N439" s="657">
        <v>15541.065199999999</v>
      </c>
      <c r="O439" s="658">
        <v>15541.065199999999</v>
      </c>
      <c r="P439" s="658">
        <v>15046.013856000001</v>
      </c>
      <c r="Q439" s="658">
        <v>13409.218799999999</v>
      </c>
      <c r="R439" s="658">
        <v>13409.218799999999</v>
      </c>
      <c r="S439" s="658">
        <f>('INTEC (listas)'!L439)</f>
        <v>15532.34511</v>
      </c>
    </row>
    <row r="440" spans="1:19">
      <c r="A440" s="113">
        <v>512</v>
      </c>
      <c r="B440" s="113" t="s">
        <v>1277</v>
      </c>
      <c r="C440" s="113" t="s">
        <v>1286</v>
      </c>
      <c r="D440" s="113" t="s">
        <v>1287</v>
      </c>
      <c r="E440" s="113"/>
      <c r="F440" s="113"/>
      <c r="G440" s="113"/>
      <c r="H440" s="113"/>
      <c r="I440" s="113"/>
      <c r="J440" s="113"/>
      <c r="K440" s="113"/>
      <c r="L440" s="113"/>
      <c r="M440" s="657">
        <v>21045.797639999997</v>
      </c>
      <c r="N440" s="657">
        <v>21446.669975999997</v>
      </c>
      <c r="O440" s="658">
        <v>21446.669975999997</v>
      </c>
      <c r="P440" s="658">
        <v>23867.957232000001</v>
      </c>
      <c r="Q440" s="658">
        <v>14676.231599999999</v>
      </c>
      <c r="R440" s="658">
        <v>14676.231599999999</v>
      </c>
      <c r="S440" s="658">
        <f>('INTEC (listas)'!L440)</f>
        <v>24639.439545000001</v>
      </c>
    </row>
    <row r="441" spans="1:19">
      <c r="A441" s="113">
        <v>513</v>
      </c>
      <c r="B441" s="113" t="s">
        <v>1277</v>
      </c>
      <c r="C441" s="113" t="s">
        <v>1288</v>
      </c>
      <c r="D441" s="113" t="s">
        <v>1289</v>
      </c>
      <c r="E441" s="113"/>
      <c r="F441" s="113"/>
      <c r="G441" s="113"/>
      <c r="H441" s="113"/>
      <c r="I441" s="113"/>
      <c r="J441" s="113"/>
      <c r="K441" s="113"/>
      <c r="L441" s="113"/>
      <c r="M441" s="657">
        <v>26230.994159999998</v>
      </c>
      <c r="N441" s="657">
        <v>26730.632143999996</v>
      </c>
      <c r="O441" s="658">
        <v>26730.632143999996</v>
      </c>
      <c r="P441" s="658">
        <v>29478.641055999997</v>
      </c>
      <c r="Q441" s="658">
        <v>23281.360199999999</v>
      </c>
      <c r="R441" s="658">
        <v>23281.360199999999</v>
      </c>
      <c r="S441" s="658">
        <f>('INTEC (listas)'!L441)</f>
        <v>30431.47711</v>
      </c>
    </row>
    <row r="442" spans="1:19">
      <c r="A442" s="113">
        <v>514</v>
      </c>
      <c r="B442" s="113" t="s">
        <v>1277</v>
      </c>
      <c r="C442" s="113" t="s">
        <v>1290</v>
      </c>
      <c r="D442" s="113" t="s">
        <v>1291</v>
      </c>
      <c r="E442" s="113"/>
      <c r="F442" s="113"/>
      <c r="G442" s="113"/>
      <c r="H442" s="113"/>
      <c r="I442" s="113"/>
      <c r="J442" s="113"/>
      <c r="K442" s="113"/>
      <c r="L442" s="113"/>
      <c r="M442" s="657">
        <v>32026.213800000001</v>
      </c>
      <c r="N442" s="657">
        <v>32636.236920000003</v>
      </c>
      <c r="O442" s="658">
        <v>32636.236920000003</v>
      </c>
      <c r="P442" s="658">
        <v>35991.364079999999</v>
      </c>
      <c r="Q442" s="658">
        <v>28754.151600000001</v>
      </c>
      <c r="R442" s="658">
        <v>28754.151600000001</v>
      </c>
      <c r="S442" s="658">
        <f>('INTEC (listas)'!L442)</f>
        <v>37154.710424999997</v>
      </c>
    </row>
    <row r="443" spans="1:19">
      <c r="A443" s="113">
        <v>515</v>
      </c>
      <c r="B443" s="113" t="s">
        <v>1277</v>
      </c>
      <c r="C443" s="113" t="s">
        <v>1292</v>
      </c>
      <c r="D443" s="113" t="s">
        <v>1293</v>
      </c>
      <c r="E443" s="113"/>
      <c r="F443" s="113"/>
      <c r="G443" s="113"/>
      <c r="H443" s="113"/>
      <c r="I443" s="113"/>
      <c r="J443" s="113"/>
      <c r="K443" s="113"/>
      <c r="L443" s="113"/>
      <c r="M443" s="657">
        <v>63426.351239999996</v>
      </c>
      <c r="N443" s="657">
        <v>64634.472215999995</v>
      </c>
      <c r="O443" s="658">
        <v>64634.472215999995</v>
      </c>
      <c r="P443" s="658">
        <v>71279.137583999996</v>
      </c>
      <c r="Q443" s="658">
        <v>35106.812999999995</v>
      </c>
      <c r="R443" s="658">
        <v>35106.812999999995</v>
      </c>
      <c r="S443" s="658">
        <f>('INTEC (listas)'!L443)</f>
        <v>73583.088164999994</v>
      </c>
    </row>
    <row r="444" spans="1:19">
      <c r="A444" s="113">
        <v>516</v>
      </c>
      <c r="B444" s="113" t="s">
        <v>1277</v>
      </c>
      <c r="C444" s="113" t="s">
        <v>1294</v>
      </c>
      <c r="D444" s="113" t="s">
        <v>1295</v>
      </c>
      <c r="E444" s="113"/>
      <c r="F444" s="113"/>
      <c r="G444" s="113"/>
      <c r="H444" s="113"/>
      <c r="I444" s="113"/>
      <c r="J444" s="113"/>
      <c r="K444" s="113"/>
      <c r="L444" s="113"/>
      <c r="M444" s="657">
        <v>9471.4116000000013</v>
      </c>
      <c r="N444" s="657">
        <v>9651.8194400000011</v>
      </c>
      <c r="O444" s="658">
        <v>9651.8194400000011</v>
      </c>
      <c r="P444" s="658">
        <v>9705.9417919999996</v>
      </c>
      <c r="Q444" s="658">
        <v>69527.327399999995</v>
      </c>
      <c r="R444" s="658">
        <v>69527.327399999995</v>
      </c>
      <c r="S444" s="658">
        <f>('INTEC (listas)'!L444)</f>
        <v>10019.66627</v>
      </c>
    </row>
    <row r="445" spans="1:19">
      <c r="A445" s="113">
        <v>517</v>
      </c>
      <c r="B445" s="113" t="s">
        <v>1277</v>
      </c>
      <c r="C445" s="113" t="s">
        <v>1296</v>
      </c>
      <c r="D445" s="113" t="s">
        <v>1297</v>
      </c>
      <c r="E445" s="113"/>
      <c r="F445" s="113"/>
      <c r="G445" s="113"/>
      <c r="H445" s="113"/>
      <c r="I445" s="113"/>
      <c r="J445" s="113"/>
      <c r="K445" s="113"/>
      <c r="L445" s="113"/>
      <c r="M445" s="657">
        <v>10290.126840000001</v>
      </c>
      <c r="N445" s="657">
        <v>10486.129256</v>
      </c>
      <c r="O445" s="658">
        <v>10486.129256</v>
      </c>
      <c r="P445" s="658">
        <v>11167.245296000001</v>
      </c>
      <c r="Q445" s="658">
        <v>9467.4011999999984</v>
      </c>
      <c r="R445" s="658">
        <v>9467.4011999999984</v>
      </c>
      <c r="S445" s="658">
        <f>('INTEC (listas)'!L445)</f>
        <v>11528.203385000001</v>
      </c>
    </row>
    <row r="446" spans="1:19">
      <c r="A446" s="113">
        <v>518</v>
      </c>
      <c r="B446" s="113" t="s">
        <v>1277</v>
      </c>
      <c r="C446" s="113" t="s">
        <v>1298</v>
      </c>
      <c r="D446" s="113" t="s">
        <v>1299</v>
      </c>
      <c r="E446" s="113"/>
      <c r="F446" s="113"/>
      <c r="G446" s="113"/>
      <c r="H446" s="113"/>
      <c r="I446" s="113"/>
      <c r="J446" s="113"/>
      <c r="K446" s="113"/>
      <c r="L446" s="113"/>
      <c r="M446" s="657">
        <v>11911.504080000001</v>
      </c>
      <c r="N446" s="657">
        <v>12138.389872</v>
      </c>
      <c r="O446" s="658">
        <v>12138.389872</v>
      </c>
      <c r="P446" s="658">
        <v>12466.181744000001</v>
      </c>
      <c r="Q446" s="658">
        <v>10892.7906</v>
      </c>
      <c r="R446" s="658">
        <v>10892.7906</v>
      </c>
      <c r="S446" s="658">
        <f>('INTEC (listas)'!L446)</f>
        <v>12869.125265000001</v>
      </c>
    </row>
    <row r="447" spans="1:19">
      <c r="A447" s="113">
        <v>519</v>
      </c>
      <c r="B447" s="113" t="s">
        <v>1277</v>
      </c>
      <c r="C447" s="113" t="s">
        <v>1300</v>
      </c>
      <c r="D447" s="113" t="s">
        <v>1301</v>
      </c>
      <c r="E447" s="113"/>
      <c r="F447" s="113"/>
      <c r="G447" s="113"/>
      <c r="H447" s="113"/>
      <c r="I447" s="113"/>
      <c r="J447" s="113"/>
      <c r="K447" s="113"/>
      <c r="L447" s="113"/>
      <c r="M447" s="657">
        <v>13131.550319999998</v>
      </c>
      <c r="N447" s="657">
        <v>13381.675087999998</v>
      </c>
      <c r="O447" s="658">
        <v>13381.675087999998</v>
      </c>
      <c r="P447" s="658">
        <v>13747.077407999999</v>
      </c>
      <c r="Q447" s="658">
        <v>12159.803400000001</v>
      </c>
      <c r="R447" s="658">
        <v>12159.803400000001</v>
      </c>
      <c r="S447" s="658">
        <f>('INTEC (listas)'!L447)</f>
        <v>14191.423229999999</v>
      </c>
    </row>
    <row r="448" spans="1:19">
      <c r="A448" s="113">
        <v>520</v>
      </c>
      <c r="B448" s="113" t="s">
        <v>1277</v>
      </c>
      <c r="C448" s="113" t="s">
        <v>1302</v>
      </c>
      <c r="D448" s="113" t="s">
        <v>1303</v>
      </c>
      <c r="E448" s="113"/>
      <c r="F448" s="113"/>
      <c r="G448" s="113"/>
      <c r="H448" s="113"/>
      <c r="I448" s="113"/>
      <c r="J448" s="113"/>
      <c r="K448" s="113"/>
      <c r="L448" s="113"/>
      <c r="M448" s="657">
        <v>13131.550319999998</v>
      </c>
      <c r="N448" s="657">
        <v>13381.675087999998</v>
      </c>
      <c r="O448" s="658">
        <v>13381.675087999998</v>
      </c>
      <c r="P448" s="658">
        <v>13747.077407999999</v>
      </c>
      <c r="Q448" s="658">
        <v>13409.218799999999</v>
      </c>
      <c r="R448" s="658">
        <v>13409.218799999999</v>
      </c>
      <c r="S448" s="658">
        <f>('INTEC (listas)'!L448)</f>
        <v>14191.423229999999</v>
      </c>
    </row>
    <row r="449" spans="1:19">
      <c r="A449" s="113">
        <v>521</v>
      </c>
      <c r="B449" s="113" t="s">
        <v>1277</v>
      </c>
      <c r="C449" s="113" t="s">
        <v>1304</v>
      </c>
      <c r="D449" s="113" t="s">
        <v>1305</v>
      </c>
      <c r="E449" s="113"/>
      <c r="F449" s="113"/>
      <c r="G449" s="113"/>
      <c r="H449" s="113"/>
      <c r="I449" s="113"/>
      <c r="J449" s="113"/>
      <c r="K449" s="113"/>
      <c r="L449" s="113"/>
      <c r="M449" s="657">
        <v>15250.578</v>
      </c>
      <c r="N449" s="657">
        <v>15541.065199999999</v>
      </c>
      <c r="O449" s="658">
        <v>15541.065199999999</v>
      </c>
      <c r="P449" s="658">
        <v>15695.482079999998</v>
      </c>
      <c r="Q449" s="658">
        <v>13409.218799999999</v>
      </c>
      <c r="R449" s="658">
        <v>13409.218799999999</v>
      </c>
      <c r="S449" s="658">
        <f>('INTEC (listas)'!L449)</f>
        <v>16202.806049999999</v>
      </c>
    </row>
    <row r="450" spans="1:19">
      <c r="A450" s="113">
        <v>522</v>
      </c>
      <c r="B450" s="113" t="s">
        <v>1277</v>
      </c>
      <c r="C450" s="113" t="s">
        <v>1306</v>
      </c>
      <c r="D450" s="113" t="s">
        <v>1307</v>
      </c>
      <c r="E450" s="113"/>
      <c r="F450" s="113"/>
      <c r="G450" s="113"/>
      <c r="H450" s="113"/>
      <c r="I450" s="113"/>
      <c r="J450" s="113"/>
      <c r="K450" s="113"/>
      <c r="L450" s="113"/>
      <c r="M450" s="657">
        <v>21045.797639999997</v>
      </c>
      <c r="N450" s="657">
        <v>21446.669975999997</v>
      </c>
      <c r="O450" s="658">
        <v>21446.669975999997</v>
      </c>
      <c r="P450" s="658">
        <v>21035.554143999998</v>
      </c>
      <c r="Q450" s="658">
        <v>15309.737999999999</v>
      </c>
      <c r="R450" s="658">
        <v>15309.737999999999</v>
      </c>
      <c r="S450" s="658">
        <f>('INTEC (listas)'!L450)</f>
        <v>21715.48489</v>
      </c>
    </row>
    <row r="451" spans="1:19">
      <c r="A451" s="113">
        <v>523</v>
      </c>
      <c r="B451" s="113" t="s">
        <v>1277</v>
      </c>
      <c r="C451" s="113" t="s">
        <v>1308</v>
      </c>
      <c r="D451" s="113" t="s">
        <v>1309</v>
      </c>
      <c r="E451" s="113"/>
      <c r="F451" s="113"/>
      <c r="G451" s="113"/>
      <c r="H451" s="113"/>
      <c r="I451" s="113"/>
      <c r="J451" s="113"/>
      <c r="K451" s="113"/>
      <c r="L451" s="113"/>
      <c r="M451" s="657">
        <v>24705.936360000003</v>
      </c>
      <c r="N451" s="657">
        <v>25176.525624000002</v>
      </c>
      <c r="O451" s="658">
        <v>25176.525624000002</v>
      </c>
      <c r="P451" s="658">
        <v>22659.224704</v>
      </c>
      <c r="Q451" s="658">
        <v>20518.5684</v>
      </c>
      <c r="R451" s="658">
        <v>20518.5684</v>
      </c>
      <c r="S451" s="658">
        <f>('INTEC (listas)'!L451)</f>
        <v>23391.63724</v>
      </c>
    </row>
    <row r="452" spans="1:19">
      <c r="A452" s="36">
        <v>524</v>
      </c>
      <c r="B452" s="36" t="s">
        <v>1277</v>
      </c>
      <c r="C452" s="36" t="s">
        <v>1310</v>
      </c>
      <c r="D452" s="36" t="s">
        <v>1311</v>
      </c>
      <c r="E452" s="36"/>
      <c r="F452" s="36"/>
      <c r="G452" s="36"/>
      <c r="H452" s="36"/>
      <c r="I452" s="36"/>
      <c r="J452" s="36"/>
      <c r="K452" s="36"/>
      <c r="L452" s="36"/>
      <c r="M452" s="959">
        <v>45735.680759999996</v>
      </c>
      <c r="N452" s="959">
        <v>46606.836583999997</v>
      </c>
      <c r="O452" s="73">
        <v>46606.836583999997</v>
      </c>
      <c r="P452" s="73">
        <v>47717.873679999997</v>
      </c>
      <c r="Q452" s="73">
        <v>22102.3344</v>
      </c>
      <c r="R452" s="73">
        <v>22102.3344</v>
      </c>
      <c r="S452" s="658">
        <f>('INTEC (listas)'!L452)</f>
        <v>49260.255174999998</v>
      </c>
    </row>
    <row r="453" spans="1:19">
      <c r="A453" s="36">
        <v>525</v>
      </c>
      <c r="B453" s="36" t="s">
        <v>1277</v>
      </c>
      <c r="C453" s="36" t="s">
        <v>1312</v>
      </c>
      <c r="D453" s="36" t="s">
        <v>1313</v>
      </c>
      <c r="E453" s="36"/>
      <c r="F453" s="36"/>
      <c r="G453" s="36"/>
      <c r="H453" s="36"/>
      <c r="I453" s="36"/>
      <c r="J453" s="36"/>
      <c r="K453" s="36"/>
      <c r="L453" s="36"/>
      <c r="M453" s="959">
        <v>16470.624240000001</v>
      </c>
      <c r="N453" s="959">
        <v>16784.350416000001</v>
      </c>
      <c r="O453" s="73">
        <v>16784.350416000001</v>
      </c>
      <c r="P453" s="73">
        <v>14613.035039999999</v>
      </c>
      <c r="Q453" s="73">
        <v>46545.123</v>
      </c>
      <c r="R453" s="73">
        <v>46545.123</v>
      </c>
      <c r="S453" s="658">
        <f>('INTEC (listas)'!L453)</f>
        <v>15085.371150000003</v>
      </c>
    </row>
    <row r="454" spans="1:19">
      <c r="A454" s="113">
        <v>526</v>
      </c>
      <c r="B454" s="113" t="s">
        <v>1277</v>
      </c>
      <c r="C454" s="113" t="s">
        <v>1314</v>
      </c>
      <c r="D454" s="113" t="s">
        <v>1315</v>
      </c>
      <c r="E454" s="113"/>
      <c r="F454" s="113"/>
      <c r="G454" s="113"/>
      <c r="H454" s="113"/>
      <c r="I454" s="113"/>
      <c r="J454" s="113"/>
      <c r="K454" s="113"/>
      <c r="L454" s="113"/>
      <c r="M454" s="657">
        <v>23790.901679999999</v>
      </c>
      <c r="N454" s="657">
        <v>24244.061711999999</v>
      </c>
      <c r="O454" s="658">
        <v>24244.061711999999</v>
      </c>
      <c r="P454" s="658">
        <v>22081.919615999999</v>
      </c>
      <c r="Q454" s="658">
        <v>14253.894000000002</v>
      </c>
      <c r="R454" s="658">
        <v>14253.894000000002</v>
      </c>
      <c r="S454" s="658">
        <f>('INTEC (listas)'!L454)</f>
        <v>22795.67196</v>
      </c>
    </row>
    <row r="455" spans="1:19">
      <c r="A455" s="113">
        <v>527</v>
      </c>
      <c r="B455" s="113" t="s">
        <v>1277</v>
      </c>
      <c r="C455" s="113" t="s">
        <v>1316</v>
      </c>
      <c r="D455" s="113" t="s">
        <v>1317</v>
      </c>
      <c r="E455" s="113"/>
      <c r="F455" s="113"/>
      <c r="G455" s="113"/>
      <c r="H455" s="113"/>
      <c r="I455" s="113"/>
      <c r="J455" s="113"/>
      <c r="K455" s="113"/>
      <c r="L455" s="113"/>
      <c r="M455" s="657">
        <v>25925.982599999999</v>
      </c>
      <c r="N455" s="657">
        <v>26419.810839999998</v>
      </c>
      <c r="O455" s="658">
        <v>26419.810839999998</v>
      </c>
      <c r="P455" s="658">
        <v>29135.866160000001</v>
      </c>
      <c r="Q455" s="658">
        <v>21539.2176</v>
      </c>
      <c r="R455" s="658">
        <v>21539.2176</v>
      </c>
      <c r="S455" s="658">
        <f>('INTEC (listas)'!L455)</f>
        <v>30077.622724999994</v>
      </c>
    </row>
    <row r="456" spans="1:19">
      <c r="A456" s="113">
        <v>528</v>
      </c>
      <c r="B456" s="113" t="s">
        <v>1277</v>
      </c>
      <c r="C456" s="113" t="s">
        <v>1318</v>
      </c>
      <c r="D456" s="113" t="s">
        <v>1319</v>
      </c>
      <c r="E456" s="113"/>
      <c r="F456" s="113"/>
      <c r="G456" s="113"/>
      <c r="H456" s="113"/>
      <c r="I456" s="113"/>
      <c r="J456" s="113"/>
      <c r="K456" s="113"/>
      <c r="L456" s="113"/>
      <c r="M456" s="657">
        <v>24705.936360000003</v>
      </c>
      <c r="N456" s="657">
        <v>25176.525624000002</v>
      </c>
      <c r="O456" s="658">
        <v>25176.525624000002</v>
      </c>
      <c r="P456" s="658">
        <v>23867.957232000001</v>
      </c>
      <c r="Q456" s="658">
        <v>28419.800999999996</v>
      </c>
      <c r="R456" s="658">
        <v>28419.800999999996</v>
      </c>
      <c r="S456" s="658">
        <f>('INTEC (listas)'!L456)</f>
        <v>24639.439545000001</v>
      </c>
    </row>
    <row r="457" spans="1:19">
      <c r="A457" s="113">
        <v>530</v>
      </c>
      <c r="B457" s="113" t="s">
        <v>796</v>
      </c>
      <c r="C457" s="113" t="s">
        <v>1320</v>
      </c>
      <c r="D457" s="113" t="s">
        <v>1321</v>
      </c>
      <c r="E457" s="113"/>
      <c r="F457" s="113"/>
      <c r="G457" s="113"/>
      <c r="H457" s="113"/>
      <c r="I457" s="113"/>
      <c r="J457" s="113"/>
      <c r="K457" s="113"/>
      <c r="L457" s="113"/>
      <c r="M457" s="657">
        <v>20968.32</v>
      </c>
      <c r="N457" s="657">
        <v>20968.32</v>
      </c>
      <c r="O457" s="658">
        <v>20968.32</v>
      </c>
      <c r="P457" s="658">
        <v>21778.560000000001</v>
      </c>
      <c r="Q457" s="658">
        <v>23281.360199999999</v>
      </c>
      <c r="R457" s="658">
        <v>23281.360199999999</v>
      </c>
      <c r="S457" s="658">
        <f>('INTEC (listas)'!L457)</f>
        <v>19405.055999999997</v>
      </c>
    </row>
    <row r="458" spans="1:19">
      <c r="A458" s="113">
        <v>531</v>
      </c>
      <c r="B458" s="113" t="s">
        <v>388</v>
      </c>
      <c r="C458" s="113" t="s">
        <v>485</v>
      </c>
      <c r="D458" s="113" t="s">
        <v>1322</v>
      </c>
      <c r="E458" s="113"/>
      <c r="F458" s="113"/>
      <c r="G458" s="113"/>
      <c r="H458" s="113"/>
      <c r="I458" s="113"/>
      <c r="J458" s="113"/>
      <c r="K458" s="113"/>
      <c r="L458" s="113"/>
      <c r="M458" s="657">
        <v>125039.88</v>
      </c>
      <c r="N458" s="657">
        <v>140438.87999999998</v>
      </c>
      <c r="O458" s="658">
        <v>140438.87999999998</v>
      </c>
      <c r="P458" s="658">
        <v>145199.51999999999</v>
      </c>
      <c r="Q458" s="658">
        <v>21778.560000000001</v>
      </c>
      <c r="R458" s="658">
        <v>21778.560000000001</v>
      </c>
      <c r="S458" s="658">
        <f>('INTEC (listas)'!L458)</f>
        <v>154720.79999999999</v>
      </c>
    </row>
    <row r="459" spans="1:19">
      <c r="A459" s="36">
        <v>534</v>
      </c>
      <c r="B459" s="36" t="s">
        <v>388</v>
      </c>
      <c r="C459" s="36" t="s">
        <v>487</v>
      </c>
      <c r="D459" s="36" t="s">
        <v>488</v>
      </c>
      <c r="E459" s="36"/>
      <c r="F459" s="36"/>
      <c r="G459" s="36"/>
      <c r="H459" s="36"/>
      <c r="I459" s="36"/>
      <c r="J459" s="36"/>
      <c r="K459" s="36"/>
      <c r="L459" s="36"/>
      <c r="M459" s="959">
        <v>41392.512000000002</v>
      </c>
      <c r="N459" s="959">
        <v>46490.111999999994</v>
      </c>
      <c r="O459" s="73">
        <v>46490.111999999994</v>
      </c>
      <c r="P459" s="73">
        <v>48066.047999999995</v>
      </c>
      <c r="Q459" s="73">
        <v>145199.51999999999</v>
      </c>
      <c r="R459" s="73">
        <v>145199.51999999999</v>
      </c>
      <c r="S459" s="658">
        <f>('INTEC (listas)'!L459)</f>
        <v>51217.919999999991</v>
      </c>
    </row>
    <row r="460" spans="1:19">
      <c r="A460" s="36">
        <v>532</v>
      </c>
      <c r="B460" s="36" t="s">
        <v>521</v>
      </c>
      <c r="C460" s="36" t="s">
        <v>1323</v>
      </c>
      <c r="D460" s="36" t="s">
        <v>1324</v>
      </c>
      <c r="E460" s="36"/>
      <c r="F460" s="36"/>
      <c r="G460" s="36"/>
      <c r="H460" s="36"/>
      <c r="I460" s="36"/>
      <c r="J460" s="36"/>
      <c r="K460" s="36"/>
      <c r="L460" s="36"/>
      <c r="M460" s="959">
        <v>45764.722500000003</v>
      </c>
      <c r="N460" s="959">
        <v>46320.107400000008</v>
      </c>
      <c r="O460" s="73">
        <v>46251.713000000003</v>
      </c>
      <c r="P460" s="73">
        <v>51147.985000000001</v>
      </c>
      <c r="Q460" s="73">
        <v>48066.047999999995</v>
      </c>
      <c r="R460" s="73">
        <v>48066.047999999995</v>
      </c>
      <c r="S460" s="658">
        <f>('INTEC (listas)'!L460)</f>
        <v>52306.852203000002</v>
      </c>
    </row>
    <row r="461" spans="1:19">
      <c r="A461" s="917">
        <f>VLOOKUP(D461,Tabla1[#All],3,FALSE)</f>
        <v>538</v>
      </c>
      <c r="B461" s="113" t="s">
        <v>388</v>
      </c>
      <c r="C461" s="113" t="s">
        <v>501</v>
      </c>
      <c r="D461" s="113" t="s">
        <v>502</v>
      </c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>
        <v>54900</v>
      </c>
      <c r="Q461" s="658">
        <v>51581.442500000005</v>
      </c>
      <c r="R461" s="658">
        <v>50488.011000000006</v>
      </c>
      <c r="S461" s="658">
        <f>('INTEC (listas)'!L461)</f>
        <v>58500</v>
      </c>
    </row>
    <row r="462" spans="1:19">
      <c r="A462" s="917">
        <f>VLOOKUP(D462,Tabla1[#All],3,FALSE)</f>
        <v>539</v>
      </c>
      <c r="B462" s="113" t="s">
        <v>388</v>
      </c>
      <c r="C462" s="113" t="s">
        <v>503</v>
      </c>
      <c r="D462" s="113" t="s">
        <v>504</v>
      </c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>
        <v>17919.359999999997</v>
      </c>
      <c r="Q462" s="658">
        <v>19094.400000000001</v>
      </c>
      <c r="R462" s="658">
        <v>19094.400000000001</v>
      </c>
      <c r="S462" s="658">
        <f>('INTEC (listas)'!L462)</f>
        <v>19094.399999999998</v>
      </c>
    </row>
    <row r="463" spans="1:19">
      <c r="A463" s="917">
        <f>VLOOKUP(D463,Tabla1[#All],3,FALSE)</f>
        <v>540</v>
      </c>
      <c r="B463" s="113" t="s">
        <v>388</v>
      </c>
      <c r="C463" s="113" t="s">
        <v>1325</v>
      </c>
      <c r="D463" s="113" t="s">
        <v>1326</v>
      </c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>
        <v>11657.344000000001</v>
      </c>
      <c r="Q463" s="658">
        <v>17919.359999999997</v>
      </c>
      <c r="R463" s="658">
        <v>17919.359999999997</v>
      </c>
      <c r="S463" s="658">
        <f>('INTEC (listas)'!L463)</f>
        <v>12421.76</v>
      </c>
    </row>
    <row r="464" spans="1:19">
      <c r="A464" s="917">
        <f>VLOOKUP(D464,Tabla1[#All],3,FALSE)</f>
        <v>454</v>
      </c>
      <c r="B464" s="113" t="s">
        <v>651</v>
      </c>
      <c r="C464" s="113" t="s">
        <v>1327</v>
      </c>
      <c r="D464" s="113" t="s">
        <v>1328</v>
      </c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658">
        <v>11657.344000000001</v>
      </c>
      <c r="R464" s="658">
        <v>11657.344000000001</v>
      </c>
      <c r="S464" s="658">
        <f>('INTEC (listas)'!L464)</f>
        <v>78558.339251699988</v>
      </c>
    </row>
    <row r="465" spans="1:19">
      <c r="A465" s="917">
        <f>VLOOKUP(D465,Tabla1[#All],3,FALSE)</f>
        <v>541</v>
      </c>
      <c r="B465" s="113" t="s">
        <v>1196</v>
      </c>
      <c r="C465" s="113" t="s">
        <v>1329</v>
      </c>
      <c r="D465" s="113" t="s">
        <v>1330</v>
      </c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658">
        <v>74048.989784661739</v>
      </c>
      <c r="R465" s="658">
        <v>76270.459478201592</v>
      </c>
      <c r="S465" s="658">
        <f>('INTEC (listas)'!L465)</f>
        <v>19378.099999999999</v>
      </c>
    </row>
    <row r="466" spans="1:19">
      <c r="A466" s="917">
        <f>VLOOKUP(D466,Tabla1[#All],3,FALSE)</f>
        <v>542</v>
      </c>
      <c r="B466" s="113" t="s">
        <v>1196</v>
      </c>
      <c r="C466" s="113" t="s">
        <v>1331</v>
      </c>
      <c r="D466" s="113" t="s">
        <v>1332</v>
      </c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658">
        <v>18941</v>
      </c>
      <c r="R466" s="658">
        <v>19378.099999999999</v>
      </c>
      <c r="S466" s="658">
        <f>('INTEC (listas)'!L466)</f>
        <v>20003.2</v>
      </c>
    </row>
    <row r="467" spans="1:19">
      <c r="A467" s="917">
        <f>VLOOKUP(D467,Tabla1[#All],3,FALSE)</f>
        <v>543</v>
      </c>
      <c r="B467" s="113" t="s">
        <v>1196</v>
      </c>
      <c r="C467" s="113" t="s">
        <v>1333</v>
      </c>
      <c r="D467" s="113" t="s">
        <v>1334</v>
      </c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658">
        <v>19552</v>
      </c>
      <c r="R467" s="658">
        <v>20003.2</v>
      </c>
      <c r="S467" s="658">
        <f>('INTEC (listas)'!L467)</f>
        <v>31255</v>
      </c>
    </row>
    <row r="468" spans="1:19">
      <c r="A468" s="917">
        <f>VLOOKUP(D468,Tabla1[#All],3,FALSE)</f>
        <v>544</v>
      </c>
      <c r="B468" s="113" t="s">
        <v>1196</v>
      </c>
      <c r="C468" s="113" t="s">
        <v>1335</v>
      </c>
      <c r="D468" s="113" t="s">
        <v>1336</v>
      </c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658">
        <v>30550</v>
      </c>
      <c r="R468" s="658">
        <v>31255</v>
      </c>
      <c r="S468" s="658">
        <f>('INTEC (listas)'!L468)</f>
        <v>35630.699999999997</v>
      </c>
    </row>
    <row r="469" spans="1:19">
      <c r="A469" s="917">
        <f>VLOOKUP(D469,Tabla1[#All],3,FALSE)</f>
        <v>545</v>
      </c>
      <c r="B469" s="113" t="s">
        <v>1109</v>
      </c>
      <c r="C469" s="113" t="s">
        <v>1337</v>
      </c>
      <c r="D469" s="113">
        <v>2505</v>
      </c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658">
        <v>34827</v>
      </c>
      <c r="R469" s="658">
        <v>35630.699999999997</v>
      </c>
      <c r="S469" s="658">
        <f>('INTEC (listas)'!L469)</f>
        <v>8798.9</v>
      </c>
    </row>
    <row r="470" spans="1:19">
      <c r="A470" s="917">
        <f>VLOOKUP(D470,Tabla1[#All],3,FALSE)</f>
        <v>546</v>
      </c>
      <c r="B470" s="113" t="s">
        <v>1109</v>
      </c>
      <c r="C470" s="113" t="s">
        <v>1338</v>
      </c>
      <c r="D470" s="113">
        <v>2657</v>
      </c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658">
        <v>9873.1512000000002</v>
      </c>
      <c r="R470" s="658">
        <v>9873.1512000000002</v>
      </c>
      <c r="S470" s="658">
        <f>('INTEC (listas)'!L470)</f>
        <v>14326</v>
      </c>
    </row>
    <row r="471" spans="1:19">
      <c r="A471" s="917">
        <f>VLOOKUP(D471,Tabla1[#All],3,FALSE)</f>
        <v>547</v>
      </c>
      <c r="B471" s="113" t="s">
        <v>1109</v>
      </c>
      <c r="C471" s="113" t="s">
        <v>1339</v>
      </c>
      <c r="D471" s="113">
        <v>3040</v>
      </c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658">
        <v>11602.602000000001</v>
      </c>
      <c r="R471" s="658">
        <v>11602.602000000001</v>
      </c>
      <c r="S471" s="658">
        <f>('INTEC (listas)'!L471)</f>
        <v>8770.4</v>
      </c>
    </row>
    <row r="472" spans="1:19">
      <c r="A472" s="917">
        <f>VLOOKUP(D472,Tabla1[#All],3,FALSE)</f>
        <v>548</v>
      </c>
      <c r="B472" s="113" t="s">
        <v>388</v>
      </c>
      <c r="C472" s="113" t="s">
        <v>509</v>
      </c>
      <c r="D472" s="113" t="s">
        <v>510</v>
      </c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658">
        <v>6618.2292000000007</v>
      </c>
      <c r="R472" s="658">
        <v>6618.2292000000007</v>
      </c>
      <c r="S472" s="658">
        <f>('INTEC (listas)'!L472)</f>
        <v>10400</v>
      </c>
    </row>
    <row r="473" spans="1:19">
      <c r="A473" s="917">
        <f>VLOOKUP(D473,Tabla1[#All],3,FALSE)</f>
        <v>533</v>
      </c>
      <c r="B473" s="113" t="s">
        <v>388</v>
      </c>
      <c r="C473" s="113" t="s">
        <v>505</v>
      </c>
      <c r="D473" s="113" t="s">
        <v>506</v>
      </c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658">
        <v>8432.6400000000012</v>
      </c>
      <c r="R473" s="658">
        <v>8432.6400000000012</v>
      </c>
      <c r="S473" s="658">
        <f>('INTEC (listas)'!L473)</f>
        <v>34369.919999999998</v>
      </c>
    </row>
    <row r="474" spans="1:19">
      <c r="A474" s="113">
        <v>550</v>
      </c>
      <c r="B474" s="113" t="s">
        <v>388</v>
      </c>
      <c r="C474" s="113" t="s">
        <v>507</v>
      </c>
      <c r="D474" s="113" t="s">
        <v>508</v>
      </c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>
        <v>32254.848000000002</v>
      </c>
      <c r="R474" s="113">
        <v>32254.848000000002</v>
      </c>
      <c r="S474" s="658">
        <f>('INTEC (listas)'!L474)</f>
        <v>58406.399999999994</v>
      </c>
    </row>
    <row r="475" spans="1:19">
      <c r="A475" s="113"/>
      <c r="B475" s="974" t="s">
        <v>796</v>
      </c>
      <c r="C475" s="113" t="s">
        <v>1340</v>
      </c>
      <c r="D475" s="113" t="s">
        <v>1341</v>
      </c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>
        <v>54812.159999999996</v>
      </c>
      <c r="R475" s="113">
        <v>54812.159999999996</v>
      </c>
      <c r="S475" s="658">
        <f>('INTEC (listas)'!L475)</f>
        <v>36893.260800000004</v>
      </c>
    </row>
    <row r="476" spans="1:19">
      <c r="A476" s="113"/>
      <c r="B476" s="974" t="s">
        <v>388</v>
      </c>
      <c r="C476" s="113" t="s">
        <v>511</v>
      </c>
      <c r="D476" s="113">
        <v>15480</v>
      </c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658">
        <f>('INTEC (listas)'!L476)</f>
        <v>16134.767999999998</v>
      </c>
    </row>
    <row r="477" spans="1:19">
      <c r="A477" s="113"/>
      <c r="B477" s="974" t="s">
        <v>388</v>
      </c>
      <c r="C477" s="113" t="s">
        <v>512</v>
      </c>
      <c r="D477" s="113" t="s">
        <v>513</v>
      </c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658">
        <f>('INTEC (listas)'!L477)</f>
        <v>68739.839999999997</v>
      </c>
    </row>
    <row r="478" spans="1:19">
      <c r="A478" s="113"/>
      <c r="B478" s="974" t="s">
        <v>388</v>
      </c>
      <c r="C478" s="113" t="s">
        <v>514</v>
      </c>
      <c r="D478" s="113" t="s">
        <v>515</v>
      </c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658">
        <f>('INTEC (listas)'!L478)</f>
        <v>19094.399999999998</v>
      </c>
    </row>
  </sheetData>
  <autoFilter ref="A1:O460" xr:uid="{C84FCACA-C13E-4DC6-9F8F-407064E2C514}">
    <filterColumn colId="14">
      <filters>
        <filter val="10,00"/>
        <filter val="101987,53"/>
        <filter val="10266,30"/>
        <filter val="10486,13"/>
        <filter val="105000,00"/>
        <filter val="106141,60"/>
        <filter val="106539,84"/>
        <filter val="108665,48"/>
        <filter val="108955,20"/>
        <filter val="10900,00"/>
        <filter val="11086,11"/>
        <filter val="111382,56"/>
        <filter val="11205,93"/>
        <filter val="11275,14"/>
        <filter val="113280,00"/>
        <filter val="114460,00"/>
        <filter val="11622,53"/>
        <filter val="11766,04"/>
        <filter val="119520,54"/>
        <filter val="12138,39"/>
        <filter val="12188,66"/>
        <filter val="122848,60"/>
        <filter val="122875,20"/>
        <filter val="12288,50"/>
        <filter val="1247,40"/>
        <filter val="125275,20"/>
        <filter val="125864,10"/>
        <filter val="12738,90"/>
        <filter val="1287,00"/>
        <filter val="129145,90"/>
        <filter val="130753,44"/>
        <filter val="131716,57"/>
        <filter val="13265,80"/>
        <filter val="132955,20"/>
        <filter val="133659,07"/>
        <filter val="13381,68"/>
        <filter val="13452,03"/>
        <filter val="13559,62"/>
        <filter val="135596,16"/>
        <filter val="137237,68"/>
        <filter val="139315,01"/>
        <filter val="139675,20"/>
        <filter val="140438,88"/>
        <filter val="141407,42"/>
        <filter val="14160,00"/>
        <filter val="1431,90"/>
        <filter val="14409,80"/>
        <filter val="145427,04"/>
        <filter val="14856,46"/>
        <filter val="14885,63"/>
        <filter val="14954,58"/>
        <filter val="15000,00"/>
        <filter val="15011,61"/>
        <filter val="15170,94"/>
        <filter val="152155,20"/>
        <filter val="153377,40"/>
        <filter val="15385,00"/>
        <filter val="154967,04"/>
        <filter val="15541,07"/>
        <filter val="158025,60"/>
        <filter val="15852,50"/>
        <filter val="161755,20"/>
        <filter val="1618,20"/>
        <filter val="162743,51"/>
        <filter val="16784,35"/>
        <filter val="173082,13"/>
        <filter val="17433,79"/>
        <filter val="17469,29"/>
        <filter val="17932,23"/>
        <filter val="1813,64"/>
        <filter val="184795,20"/>
        <filter val="185175,00"/>
        <filter val="186507,00"/>
        <filter val="18656,95"/>
        <filter val="18744,89"/>
        <filter val="18961,36"/>
        <filter val="191298,04"/>
        <filter val="19303,08"/>
        <filter val="19627,88"/>
        <filter val="19866,00"/>
        <filter val="198841,85"/>
        <filter val="201875,12"/>
        <filter val="20217,79"/>
        <filter val="203394,24"/>
        <filter val="20486,23"/>
        <filter val="20522,81"/>
        <filter val="205435,20"/>
        <filter val="20547,22"/>
        <filter val="20574,89"/>
        <filter val="20604,00"/>
        <filter val="20743,13"/>
        <filter val="20768,00"/>
        <filter val="20848,80"/>
        <filter val="20955,19"/>
        <filter val="20968,32"/>
        <filter val="21291,38"/>
        <filter val="21307,97"/>
        <filter val="21442,53"/>
        <filter val="21446,67"/>
        <filter val="21726,00"/>
        <filter val="2212,50"/>
        <filter val="22276,51"/>
        <filter val="222765,12"/>
        <filter val="22543,81"/>
        <filter val="22654,04"/>
        <filter val="23113,20"/>
        <filter val="237819,82"/>
        <filter val="23800,00"/>
        <filter val="23904,22"/>
        <filter val="23948,10"/>
        <filter val="24004,26"/>
        <filter val="24150,00"/>
        <filter val="2421,36"/>
        <filter val="24244,06"/>
        <filter val="243355,20"/>
        <filter val="24593,49"/>
        <filter val="249100,00"/>
        <filter val="24985,37"/>
        <filter val="25059,64"/>
        <filter val="2510,08"/>
        <filter val="25176,53"/>
        <filter val="25182,14"/>
        <filter val="25251,17"/>
        <filter val="25488,00"/>
        <filter val="25892,35"/>
        <filter val="26311,68"/>
        <filter val="263995,20"/>
        <filter val="26419,81"/>
        <filter val="26500,00"/>
        <filter val="26689,79"/>
        <filter val="26730,63"/>
        <filter val="272045,75"/>
        <filter val="272500,00"/>
        <filter val="276035,04"/>
        <filter val="28162,41"/>
        <filter val="2832,00"/>
        <filter val="29056,32"/>
        <filter val="29400,00"/>
        <filter val="294150,00"/>
        <filter val="30483,74"/>
        <filter val="306235,20"/>
        <filter val="30975,00"/>
        <filter val="311031,90"/>
        <filter val="312700,00"/>
        <filter val="31282,51"/>
        <filter val="32299,44"/>
        <filter val="32322,42"/>
        <filter val="32636,24"/>
        <filter val="330400,00"/>
        <filter val="33050,23"/>
        <filter val="33899,04"/>
        <filter val="3393,00"/>
        <filter val="34268,36"/>
        <filter val="3450,50"/>
        <filter val="34590,12"/>
        <filter val="34749,85"/>
        <filter val="34867,58"/>
        <filter val="35316,00"/>
        <filter val="35510,00"/>
        <filter val="35977,42"/>
        <filter val="36804,67"/>
        <filter val="37248,55"/>
        <filter val="37800,00"/>
        <filter val="38148,00"/>
        <filter val="38198,53"/>
        <filter val="38902,00"/>
        <filter val="3894,00"/>
        <filter val="39600,00"/>
        <filter val="4037,13"/>
        <filter val="41055,00"/>
        <filter val="41575,22"/>
        <filter val="42269,85"/>
        <filter val="4260,51"/>
        <filter val="42876,16"/>
        <filter val="43584,48"/>
        <filter val="43660,93"/>
        <filter val="4479,23"/>
        <filter val="46251,71"/>
        <filter val="4630,97"/>
        <filter val="46490,11"/>
        <filter val="46606,84"/>
        <filter val="46610,48"/>
        <filter val="47197,15"/>
        <filter val="47201,42"/>
        <filter val="47316,79"/>
        <filter val="48686,65"/>
        <filter val="48960,82"/>
        <filter val="49385,00"/>
        <filter val="4955,31"/>
        <filter val="49551,27"/>
        <filter val="50364,29"/>
        <filter val="51000,32"/>
        <filter val="515,26"/>
        <filter val="5191,97"/>
        <filter val="51920,00"/>
        <filter val="52002,00"/>
        <filter val="52155,28"/>
        <filter val="52711,90"/>
        <filter val="52792,94"/>
        <filter val="53071,20"/>
        <filter val="53269,92"/>
        <filter val="54321,16"/>
        <filter val="5469,30"/>
        <filter val="55656,35"/>
        <filter val="561,55"/>
        <filter val="56175,55"/>
        <filter val="56700,69"/>
        <filter val="572,87"/>
        <filter val="577,19"/>
        <filter val="57879,00"/>
        <filter val="58112,64"/>
        <filter val="59169,98"/>
        <filter val="59267,65"/>
        <filter val="59623,61"/>
        <filter val="59995,20"/>
        <filter val="6039,35"/>
        <filter val="61126,96"/>
        <filter val="6183,90"/>
        <filter val="61915,20"/>
        <filter val="62402,40"/>
        <filter val="6319,59"/>
        <filter val="63355,20"/>
        <filter val="639560,00"/>
        <filter val="64634,47"/>
        <filter val="66150,00"/>
        <filter val="66235,20"/>
        <filter val="66584,68"/>
        <filter val="66751,21"/>
        <filter val="66859,49"/>
        <filter val="6686,80"/>
        <filter val="67195,20"/>
        <filter val="69115,20"/>
        <filter val="69406,95"/>
        <filter val="69963,26"/>
        <filter val="70460,06"/>
        <filter val="70684,20"/>
        <filter val="71698,84"/>
        <filter val="71744,00"/>
        <filter val="72188,76"/>
        <filter val="72640,80"/>
        <filter val="74395,20"/>
        <filter val="74766,85"/>
        <filter val="75378,42"/>
        <filter val="76315,20"/>
        <filter val="76514,98"/>
        <filter val="77483,52"/>
        <filter val="77755,20"/>
        <filter val="78480,00"/>
        <filter val="7867,21"/>
        <filter val="79420,61"/>
        <filter val="81056,73"/>
        <filter val="81357,70"/>
        <filter val="8297,43"/>
        <filter val="83333,40"/>
        <filter val="83515,20"/>
        <filter val="8514,88"/>
        <filter val="85779,76"/>
        <filter val="86561,21"/>
        <filter val="87563,33"/>
        <filter val="89106,05"/>
        <filter val="91310,95"/>
        <filter val="91450,00"/>
        <filter val="92155,20"/>
        <filter val="92886,22"/>
        <filter val="92936,80"/>
        <filter val="93115,20"/>
        <filter val="94054,80"/>
        <filter val="94500,00"/>
        <filter val="9599,08"/>
        <filter val="9651,82"/>
        <filter val="96610,41"/>
        <filter val="9685,44"/>
        <filter val="97655,37"/>
        <filter val="98395,20"/>
        <filter val="9920,72"/>
        <filter val="99376,94"/>
        <dateGroupItem year="2025" dateTimeGrouping="year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</vt:i4>
      </vt:variant>
    </vt:vector>
  </HeadingPairs>
  <TitlesOfParts>
    <vt:vector size="29" baseType="lpstr">
      <vt:lpstr>Varta</vt:lpstr>
      <vt:lpstr>Acubat-Lubeck</vt:lpstr>
      <vt:lpstr>Moura</vt:lpstr>
      <vt:lpstr>Willard - Elpra</vt:lpstr>
      <vt:lpstr>Novelbat</vt:lpstr>
      <vt:lpstr>Optima - Pioneiro</vt:lpstr>
      <vt:lpstr>Moto</vt:lpstr>
      <vt:lpstr>Lusqtoff</vt:lpstr>
      <vt:lpstr>Costos</vt:lpstr>
      <vt:lpstr>Hoja1</vt:lpstr>
      <vt:lpstr>Mayorista</vt:lpstr>
      <vt:lpstr>Talleres</vt:lpstr>
      <vt:lpstr>INTEC (listas)</vt:lpstr>
      <vt:lpstr>Publico</vt:lpstr>
      <vt:lpstr>Domicilio</vt:lpstr>
      <vt:lpstr>Yuasa</vt:lpstr>
      <vt:lpstr>Tempel - Melisam</vt:lpstr>
      <vt:lpstr>Battery Trading</vt:lpstr>
      <vt:lpstr>LiquiMoly</vt:lpstr>
      <vt:lpstr>Terminales - Liquimoly - Bari</vt:lpstr>
      <vt:lpstr>Mota</vt:lpstr>
      <vt:lpstr>Pilas</vt:lpstr>
      <vt:lpstr>Hoja2</vt:lpstr>
      <vt:lpstr>Newmax</vt:lpstr>
      <vt:lpstr>Sis8120 articulos</vt:lpstr>
      <vt:lpstr>nuevo</vt:lpstr>
      <vt:lpstr>Bronco </vt:lpstr>
      <vt:lpstr>Domicilio!Área_de_impresión</vt:lpstr>
      <vt:lpstr>Publico!Área_de_impresión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Acubat</dc:creator>
  <cp:keywords/>
  <dc:description/>
  <cp:lastModifiedBy>ariel valbuena</cp:lastModifiedBy>
  <cp:revision/>
  <dcterms:created xsi:type="dcterms:W3CDTF">2019-08-16T21:51:58Z</dcterms:created>
  <dcterms:modified xsi:type="dcterms:W3CDTF">2025-07-18T19:15:06Z</dcterms:modified>
  <cp:category/>
  <cp:contentStatus/>
</cp:coreProperties>
</file>