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Документы\МФТИ\Лабы\1.3.1\"/>
    </mc:Choice>
  </mc:AlternateContent>
  <xr:revisionPtr revIDLastSave="0" documentId="13_ncr:1_{2D850BB5-BF0B-41CB-A682-1ACBCD851CF6}" xr6:coauthVersionLast="47" xr6:coauthVersionMax="47" xr10:uidLastSave="{00000000-0000-0000-0000-000000000000}"/>
  <bookViews>
    <workbookView xWindow="-96" yWindow="-96" windowWidth="23232" windowHeight="12552" activeTab="1" xr2:uid="{4567492B-E486-418B-887D-37449742929D}"/>
  </bookViews>
  <sheets>
    <sheet name="Лист1" sheetId="1" r:id="rId1"/>
    <sheet name="Лист2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J47" i="1" l="1"/>
  <c r="J46" i="1"/>
  <c r="M69" i="2"/>
  <c r="M68" i="2"/>
  <c r="O65" i="2"/>
  <c r="AI63" i="2" s="1"/>
  <c r="N65" i="2"/>
  <c r="AH63" i="2" s="1"/>
  <c r="I65" i="2"/>
  <c r="J65" i="2" s="1"/>
  <c r="H65" i="2"/>
  <c r="K65" i="2" s="1"/>
  <c r="G65" i="2"/>
  <c r="L65" i="2" s="1"/>
  <c r="AF63" i="2" s="1"/>
  <c r="F65" i="2"/>
  <c r="M65" i="2" s="1"/>
  <c r="AG63" i="2" s="1"/>
  <c r="E65" i="2"/>
  <c r="D65" i="2"/>
  <c r="C65" i="2"/>
  <c r="W63" i="2" s="1"/>
  <c r="AC63" i="2"/>
  <c r="Y63" i="2"/>
  <c r="X63" i="2"/>
  <c r="P63" i="2"/>
  <c r="AJ62" i="2" s="1"/>
  <c r="O63" i="2"/>
  <c r="AI61" i="2" s="1"/>
  <c r="N63" i="2"/>
  <c r="AH61" i="2" s="1"/>
  <c r="M63" i="2"/>
  <c r="AG61" i="2" s="1"/>
  <c r="L63" i="2"/>
  <c r="AF61" i="2" s="1"/>
  <c r="K63" i="2"/>
  <c r="AE62" i="2" s="1"/>
  <c r="J63" i="2"/>
  <c r="AD62" i="2" s="1"/>
  <c r="I63" i="2"/>
  <c r="AC62" i="2" s="1"/>
  <c r="H63" i="2"/>
  <c r="AB62" i="2" s="1"/>
  <c r="G63" i="2"/>
  <c r="AA61" i="2" s="1"/>
  <c r="F63" i="2"/>
  <c r="Z61" i="2" s="1"/>
  <c r="E63" i="2"/>
  <c r="Y61" i="2" s="1"/>
  <c r="D63" i="2"/>
  <c r="C63" i="2"/>
  <c r="W62" i="2" s="1"/>
  <c r="O59" i="2"/>
  <c r="N59" i="2"/>
  <c r="AH57" i="2" s="1"/>
  <c r="K59" i="2"/>
  <c r="AE57" i="2" s="1"/>
  <c r="I59" i="2"/>
  <c r="J59" i="2" s="1"/>
  <c r="H59" i="2"/>
  <c r="AB57" i="2" s="1"/>
  <c r="G59" i="2"/>
  <c r="F59" i="2"/>
  <c r="M59" i="2" s="1"/>
  <c r="AG57" i="2" s="1"/>
  <c r="E59" i="2"/>
  <c r="D59" i="2"/>
  <c r="C59" i="2"/>
  <c r="W57" i="2" s="1"/>
  <c r="AC57" i="2"/>
  <c r="Y57" i="2"/>
  <c r="X57" i="2"/>
  <c r="P57" i="2"/>
  <c r="AJ56" i="2" s="1"/>
  <c r="O57" i="2"/>
  <c r="AI56" i="2" s="1"/>
  <c r="N57" i="2"/>
  <c r="AH55" i="2" s="1"/>
  <c r="M57" i="2"/>
  <c r="AG55" i="2" s="1"/>
  <c r="L57" i="2"/>
  <c r="K57" i="2"/>
  <c r="AE56" i="2" s="1"/>
  <c r="J57" i="2"/>
  <c r="AD56" i="2" s="1"/>
  <c r="I57" i="2"/>
  <c r="AC56" i="2" s="1"/>
  <c r="H57" i="2"/>
  <c r="AB56" i="2" s="1"/>
  <c r="G57" i="2"/>
  <c r="AA56" i="2" s="1"/>
  <c r="F57" i="2"/>
  <c r="Z55" i="2" s="1"/>
  <c r="E57" i="2"/>
  <c r="Y55" i="2" s="1"/>
  <c r="D57" i="2"/>
  <c r="C57" i="2"/>
  <c r="W56" i="2" s="1"/>
  <c r="M43" i="2"/>
  <c r="M42" i="2"/>
  <c r="I39" i="2"/>
  <c r="J39" i="2" s="1"/>
  <c r="H39" i="2"/>
  <c r="AB37" i="2" s="1"/>
  <c r="G39" i="2"/>
  <c r="AA37" i="2" s="1"/>
  <c r="F39" i="2"/>
  <c r="M39" i="2" s="1"/>
  <c r="AG37" i="2" s="1"/>
  <c r="E39" i="2"/>
  <c r="N39" i="2" s="1"/>
  <c r="AH37" i="2" s="1"/>
  <c r="D39" i="2"/>
  <c r="X37" i="2" s="1"/>
  <c r="C39" i="2"/>
  <c r="P39" i="2" s="1"/>
  <c r="AJ37" i="2" s="1"/>
  <c r="P37" i="2"/>
  <c r="O37" i="2"/>
  <c r="N37" i="2"/>
  <c r="M37" i="2"/>
  <c r="AG36" i="2" s="1"/>
  <c r="L37" i="2"/>
  <c r="AF36" i="2" s="1"/>
  <c r="K37" i="2"/>
  <c r="AE36" i="2" s="1"/>
  <c r="J37" i="2"/>
  <c r="AD36" i="2" s="1"/>
  <c r="I37" i="2"/>
  <c r="AC35" i="2" s="1"/>
  <c r="H37" i="2"/>
  <c r="AB35" i="2" s="1"/>
  <c r="G37" i="2"/>
  <c r="AA35" i="2" s="1"/>
  <c r="F37" i="2"/>
  <c r="E37" i="2"/>
  <c r="Y36" i="2" s="1"/>
  <c r="D37" i="2"/>
  <c r="X36" i="2" s="1"/>
  <c r="C37" i="2"/>
  <c r="W36" i="2" s="1"/>
  <c r="O33" i="2"/>
  <c r="AI31" i="2" s="1"/>
  <c r="I33" i="2"/>
  <c r="J33" i="2" s="1"/>
  <c r="H33" i="2"/>
  <c r="K33" i="2" s="1"/>
  <c r="G33" i="2"/>
  <c r="L33" i="2" s="1"/>
  <c r="F33" i="2"/>
  <c r="M33" i="2" s="1"/>
  <c r="AG31" i="2" s="1"/>
  <c r="E33" i="2"/>
  <c r="N33" i="2" s="1"/>
  <c r="AH31" i="2" s="1"/>
  <c r="D33" i="2"/>
  <c r="X31" i="2" s="1"/>
  <c r="C33" i="2"/>
  <c r="P33" i="2" s="1"/>
  <c r="AJ31" i="2" s="1"/>
  <c r="Z31" i="2"/>
  <c r="Y31" i="2"/>
  <c r="W31" i="2"/>
  <c r="P31" i="2"/>
  <c r="O31" i="2"/>
  <c r="N31" i="2"/>
  <c r="AH29" i="2" s="1"/>
  <c r="M31" i="2"/>
  <c r="AG30" i="2" s="1"/>
  <c r="L31" i="2"/>
  <c r="AF30" i="2" s="1"/>
  <c r="K31" i="2"/>
  <c r="AE30" i="2" s="1"/>
  <c r="J31" i="2"/>
  <c r="AD30" i="2" s="1"/>
  <c r="I31" i="2"/>
  <c r="AC30" i="2" s="1"/>
  <c r="H31" i="2"/>
  <c r="G31" i="2"/>
  <c r="F31" i="2"/>
  <c r="Z30" i="2" s="1"/>
  <c r="E31" i="2"/>
  <c r="D31" i="2"/>
  <c r="X30" i="2" s="1"/>
  <c r="C31" i="2"/>
  <c r="W30" i="2" s="1"/>
  <c r="M16" i="2"/>
  <c r="M17" i="2"/>
  <c r="Y4" i="2"/>
  <c r="Z4" i="2"/>
  <c r="I13" i="2"/>
  <c r="J13" i="2" s="1"/>
  <c r="AD11" i="2" s="1"/>
  <c r="H13" i="2"/>
  <c r="K13" i="2" s="1"/>
  <c r="AE11" i="2" s="1"/>
  <c r="G13" i="2"/>
  <c r="L13" i="2" s="1"/>
  <c r="AF11" i="2" s="1"/>
  <c r="F13" i="2"/>
  <c r="Z11" i="2" s="1"/>
  <c r="E13" i="2"/>
  <c r="N13" i="2" s="1"/>
  <c r="AH11" i="2" s="1"/>
  <c r="D13" i="2"/>
  <c r="X11" i="2" s="1"/>
  <c r="C13" i="2"/>
  <c r="W11" i="2" s="1"/>
  <c r="P11" i="2"/>
  <c r="AJ10" i="2" s="1"/>
  <c r="O11" i="2"/>
  <c r="AI10" i="2" s="1"/>
  <c r="N11" i="2"/>
  <c r="M11" i="2"/>
  <c r="L11" i="2"/>
  <c r="K11" i="2"/>
  <c r="J11" i="2"/>
  <c r="AD10" i="2" s="1"/>
  <c r="I11" i="2"/>
  <c r="H11" i="2"/>
  <c r="AB10" i="2" s="1"/>
  <c r="G11" i="2"/>
  <c r="AA10" i="2" s="1"/>
  <c r="F11" i="2"/>
  <c r="E11" i="2"/>
  <c r="D11" i="2"/>
  <c r="X9" i="2" s="1"/>
  <c r="C11" i="2"/>
  <c r="W9" i="2" s="1"/>
  <c r="D5" i="2"/>
  <c r="X4" i="2" s="1"/>
  <c r="E5" i="2"/>
  <c r="F5" i="2"/>
  <c r="G5" i="2"/>
  <c r="AA4" i="2" s="1"/>
  <c r="H5" i="2"/>
  <c r="AB4" i="2" s="1"/>
  <c r="I5" i="2"/>
  <c r="J5" i="2"/>
  <c r="K5" i="2"/>
  <c r="AE4" i="2" s="1"/>
  <c r="L5" i="2"/>
  <c r="AF4" i="2" s="1"/>
  <c r="M5" i="2"/>
  <c r="AG4" i="2" s="1"/>
  <c r="N5" i="2"/>
  <c r="AH4" i="2" s="1"/>
  <c r="O5" i="2"/>
  <c r="AI4" i="2" s="1"/>
  <c r="P5" i="2"/>
  <c r="AJ4" i="2" s="1"/>
  <c r="C5" i="2"/>
  <c r="D7" i="2"/>
  <c r="O7" i="2" s="1"/>
  <c r="AI5" i="2" s="1"/>
  <c r="E7" i="2"/>
  <c r="N7" i="2" s="1"/>
  <c r="AH5" i="2" s="1"/>
  <c r="F7" i="2"/>
  <c r="M7" i="2" s="1"/>
  <c r="AG5" i="2" s="1"/>
  <c r="G7" i="2"/>
  <c r="L7" i="2" s="1"/>
  <c r="AF5" i="2" s="1"/>
  <c r="H7" i="2"/>
  <c r="AB5" i="2" s="1"/>
  <c r="I7" i="2"/>
  <c r="AC5" i="2" s="1"/>
  <c r="C7" i="2"/>
  <c r="P7" i="2" s="1"/>
  <c r="AJ5" i="2" s="1"/>
  <c r="D16" i="1"/>
  <c r="I33" i="1" s="1"/>
  <c r="J43" i="1"/>
  <c r="J42" i="1"/>
  <c r="J39" i="1"/>
  <c r="I39" i="1"/>
  <c r="R31" i="1"/>
  <c r="R29" i="1"/>
  <c r="O31" i="1"/>
  <c r="O29" i="1"/>
  <c r="L31" i="1"/>
  <c r="L29" i="1"/>
  <c r="I31" i="1"/>
  <c r="D17" i="1"/>
  <c r="C17" i="1"/>
  <c r="C16" i="1"/>
  <c r="D15" i="1"/>
  <c r="D14" i="1"/>
  <c r="I29" i="1"/>
  <c r="S24" i="1"/>
  <c r="S27" i="1" s="1"/>
  <c r="R24" i="1"/>
  <c r="R21" i="1"/>
  <c r="T19" i="1"/>
  <c r="S19" i="1"/>
  <c r="R19" i="1"/>
  <c r="T18" i="1"/>
  <c r="S18" i="1"/>
  <c r="R18" i="1"/>
  <c r="T17" i="1"/>
  <c r="S17" i="1"/>
  <c r="S21" i="1" s="1"/>
  <c r="R17" i="1"/>
  <c r="T16" i="1"/>
  <c r="S16" i="1"/>
  <c r="R16" i="1"/>
  <c r="T15" i="1"/>
  <c r="S15" i="1"/>
  <c r="R15" i="1"/>
  <c r="T14" i="1"/>
  <c r="T21" i="1" s="1"/>
  <c r="R27" i="1" s="1"/>
  <c r="S14" i="1"/>
  <c r="R14" i="1"/>
  <c r="T13" i="1"/>
  <c r="S13" i="1"/>
  <c r="R13" i="1"/>
  <c r="P24" i="1"/>
  <c r="P27" i="1" s="1"/>
  <c r="O24" i="1"/>
  <c r="O21" i="1"/>
  <c r="Q19" i="1"/>
  <c r="P19" i="1"/>
  <c r="O19" i="1"/>
  <c r="Q18" i="1"/>
  <c r="P18" i="1"/>
  <c r="O18" i="1"/>
  <c r="Q17" i="1"/>
  <c r="P17" i="1"/>
  <c r="P21" i="1" s="1"/>
  <c r="O17" i="1"/>
  <c r="Q16" i="1"/>
  <c r="P16" i="1"/>
  <c r="O16" i="1"/>
  <c r="Q15" i="1"/>
  <c r="P15" i="1"/>
  <c r="O15" i="1"/>
  <c r="Q14" i="1"/>
  <c r="Q21" i="1" s="1"/>
  <c r="O27" i="1" s="1"/>
  <c r="P14" i="1"/>
  <c r="O14" i="1"/>
  <c r="Q13" i="1"/>
  <c r="P13" i="1"/>
  <c r="O13" i="1"/>
  <c r="M24" i="1"/>
  <c r="L24" i="1"/>
  <c r="N19" i="1"/>
  <c r="M19" i="1"/>
  <c r="L19" i="1"/>
  <c r="N18" i="1"/>
  <c r="M18" i="1"/>
  <c r="L18" i="1"/>
  <c r="N17" i="1"/>
  <c r="M17" i="1"/>
  <c r="M21" i="1" s="1"/>
  <c r="L17" i="1"/>
  <c r="N16" i="1"/>
  <c r="M16" i="1"/>
  <c r="L16" i="1"/>
  <c r="N15" i="1"/>
  <c r="M15" i="1"/>
  <c r="L15" i="1"/>
  <c r="L21" i="1" s="1"/>
  <c r="N14" i="1"/>
  <c r="N21" i="1" s="1"/>
  <c r="L27" i="1" s="1"/>
  <c r="M14" i="1"/>
  <c r="L14" i="1"/>
  <c r="N13" i="1"/>
  <c r="M13" i="1"/>
  <c r="L13" i="1"/>
  <c r="J27" i="1"/>
  <c r="C4" i="1"/>
  <c r="J4" i="1" s="1"/>
  <c r="C5" i="1"/>
  <c r="C6" i="1"/>
  <c r="C7" i="1"/>
  <c r="C8" i="1"/>
  <c r="C9" i="1"/>
  <c r="J9" i="1" s="1"/>
  <c r="C10" i="1"/>
  <c r="J10" i="1" s="1"/>
  <c r="I19" i="1" s="1"/>
  <c r="J5" i="1"/>
  <c r="J6" i="1"/>
  <c r="J24" i="1"/>
  <c r="J21" i="1"/>
  <c r="J13" i="1"/>
  <c r="J14" i="1"/>
  <c r="J15" i="1"/>
  <c r="J16" i="1"/>
  <c r="J17" i="1"/>
  <c r="J18" i="1"/>
  <c r="J19" i="1"/>
  <c r="T5" i="1"/>
  <c r="T6" i="1"/>
  <c r="T7" i="1"/>
  <c r="T8" i="1"/>
  <c r="T9" i="1"/>
  <c r="T10" i="1"/>
  <c r="T4" i="1"/>
  <c r="Q10" i="1"/>
  <c r="Q5" i="1"/>
  <c r="Q6" i="1"/>
  <c r="Q7" i="1"/>
  <c r="Q8" i="1"/>
  <c r="Q9" i="1"/>
  <c r="Q4" i="1"/>
  <c r="N5" i="1"/>
  <c r="N6" i="1"/>
  <c r="N7" i="1"/>
  <c r="N8" i="1"/>
  <c r="N9" i="1"/>
  <c r="N10" i="1"/>
  <c r="N4" i="1"/>
  <c r="S3" i="1"/>
  <c r="T3" i="1"/>
  <c r="P3" i="1"/>
  <c r="Q3" i="1"/>
  <c r="K5" i="1"/>
  <c r="K6" i="1"/>
  <c r="K7" i="1"/>
  <c r="K8" i="1"/>
  <c r="K9" i="1"/>
  <c r="K10" i="1"/>
  <c r="K4" i="1"/>
  <c r="J7" i="1"/>
  <c r="K16" i="1" s="1"/>
  <c r="J8" i="1"/>
  <c r="I17" i="1" s="1"/>
  <c r="AB55" i="2" l="1"/>
  <c r="AC55" i="2"/>
  <c r="AI55" i="2"/>
  <c r="AA55" i="2"/>
  <c r="AI62" i="2"/>
  <c r="AB61" i="2"/>
  <c r="AC61" i="2"/>
  <c r="R63" i="2"/>
  <c r="AA62" i="2"/>
  <c r="R57" i="2"/>
  <c r="AD57" i="2"/>
  <c r="AD55" i="2"/>
  <c r="AE63" i="2"/>
  <c r="AE61" i="2"/>
  <c r="AF55" i="2"/>
  <c r="AD63" i="2"/>
  <c r="AD61" i="2"/>
  <c r="X56" i="2"/>
  <c r="X62" i="2"/>
  <c r="W55" i="2"/>
  <c r="AE55" i="2"/>
  <c r="Y56" i="2"/>
  <c r="AG56" i="2"/>
  <c r="AA57" i="2"/>
  <c r="AI57" i="2"/>
  <c r="W61" i="2"/>
  <c r="Y62" i="2"/>
  <c r="AG62" i="2"/>
  <c r="AA63" i="2"/>
  <c r="AF56" i="2"/>
  <c r="Z57" i="2"/>
  <c r="P59" i="2"/>
  <c r="AF62" i="2"/>
  <c r="Z63" i="2"/>
  <c r="P65" i="2"/>
  <c r="X55" i="2"/>
  <c r="Z56" i="2"/>
  <c r="AH56" i="2"/>
  <c r="X61" i="2"/>
  <c r="Z62" i="2"/>
  <c r="AH62" i="2"/>
  <c r="AB63" i="2"/>
  <c r="L59" i="2"/>
  <c r="AF57" i="2" s="1"/>
  <c r="S63" i="2"/>
  <c r="W3" i="2"/>
  <c r="AC3" i="2"/>
  <c r="R11" i="2"/>
  <c r="X35" i="2"/>
  <c r="AC36" i="2"/>
  <c r="W37" i="2"/>
  <c r="AB29" i="2"/>
  <c r="Y37" i="2"/>
  <c r="AC11" i="2"/>
  <c r="Z37" i="2"/>
  <c r="O39" i="2"/>
  <c r="AI37" i="2" s="1"/>
  <c r="AJ35" i="2"/>
  <c r="W5" i="2"/>
  <c r="AC9" i="2"/>
  <c r="AD9" i="2"/>
  <c r="AA9" i="2"/>
  <c r="Y29" i="2"/>
  <c r="W35" i="2"/>
  <c r="AJ29" i="2"/>
  <c r="AE9" i="2"/>
  <c r="AF9" i="2"/>
  <c r="AC10" i="2"/>
  <c r="AA29" i="2"/>
  <c r="AI29" i="2"/>
  <c r="Z35" i="2"/>
  <c r="W29" i="2"/>
  <c r="X29" i="2"/>
  <c r="R37" i="2"/>
  <c r="R31" i="2"/>
  <c r="AC29" i="2"/>
  <c r="AH35" i="2"/>
  <c r="AE29" i="2"/>
  <c r="AE31" i="2"/>
  <c r="AD31" i="2"/>
  <c r="AD29" i="2"/>
  <c r="AF31" i="2"/>
  <c r="AF29" i="2"/>
  <c r="AD35" i="2"/>
  <c r="AD37" i="2"/>
  <c r="Y30" i="2"/>
  <c r="AH30" i="2"/>
  <c r="AB31" i="2"/>
  <c r="AH36" i="2"/>
  <c r="AG29" i="2"/>
  <c r="AA30" i="2"/>
  <c r="AI30" i="2"/>
  <c r="AC31" i="2"/>
  <c r="Y35" i="2"/>
  <c r="AG35" i="2"/>
  <c r="AA36" i="2"/>
  <c r="AI36" i="2"/>
  <c r="AC37" i="2"/>
  <c r="K39" i="2"/>
  <c r="AA31" i="2"/>
  <c r="Z36" i="2"/>
  <c r="Z29" i="2"/>
  <c r="AB30" i="2"/>
  <c r="AJ30" i="2"/>
  <c r="S31" i="2"/>
  <c r="AB36" i="2"/>
  <c r="AJ36" i="2"/>
  <c r="L39" i="2"/>
  <c r="Z9" i="2"/>
  <c r="AH9" i="2"/>
  <c r="AH3" i="2"/>
  <c r="Z3" i="2"/>
  <c r="P13" i="2"/>
  <c r="AG3" i="2"/>
  <c r="Y3" i="2"/>
  <c r="X3" i="2"/>
  <c r="AA5" i="2"/>
  <c r="Y9" i="2"/>
  <c r="AF3" i="2"/>
  <c r="AB3" i="2"/>
  <c r="AI3" i="2"/>
  <c r="Z5" i="2"/>
  <c r="AB9" i="2"/>
  <c r="J7" i="2"/>
  <c r="AD5" i="2" s="1"/>
  <c r="M13" i="2"/>
  <c r="AG11" i="2" s="1"/>
  <c r="Y5" i="2"/>
  <c r="AD4" i="2"/>
  <c r="W10" i="2"/>
  <c r="AE10" i="2"/>
  <c r="AJ3" i="2"/>
  <c r="K7" i="2"/>
  <c r="AE5" i="2" s="1"/>
  <c r="O13" i="2"/>
  <c r="X5" i="2"/>
  <c r="AC4" i="2"/>
  <c r="X10" i="2"/>
  <c r="AF10" i="2"/>
  <c r="AA3" i="2"/>
  <c r="Y10" i="2"/>
  <c r="AG10" i="2"/>
  <c r="Y11" i="2"/>
  <c r="R5" i="2"/>
  <c r="W4" i="2"/>
  <c r="S8" i="2" s="1"/>
  <c r="Z10" i="2"/>
  <c r="AH10" i="2"/>
  <c r="AA11" i="2"/>
  <c r="AB11" i="2"/>
  <c r="L33" i="1"/>
  <c r="O33" i="1"/>
  <c r="R33" i="1"/>
  <c r="M27" i="1"/>
  <c r="K17" i="1"/>
  <c r="M8" i="1"/>
  <c r="P8" i="1" s="1"/>
  <c r="S8" i="1" s="1"/>
  <c r="K14" i="1"/>
  <c r="I14" i="1"/>
  <c r="M5" i="1"/>
  <c r="P5" i="1" s="1"/>
  <c r="S5" i="1" s="1"/>
  <c r="I18" i="1"/>
  <c r="K18" i="1"/>
  <c r="M9" i="1"/>
  <c r="P9" i="1" s="1"/>
  <c r="S9" i="1" s="1"/>
  <c r="K15" i="1"/>
  <c r="M6" i="1"/>
  <c r="P6" i="1" s="1"/>
  <c r="S6" i="1" s="1"/>
  <c r="I15" i="1"/>
  <c r="M10" i="1"/>
  <c r="P10" i="1" s="1"/>
  <c r="S10" i="1" s="1"/>
  <c r="K19" i="1"/>
  <c r="I16" i="1"/>
  <c r="M7" i="1"/>
  <c r="P7" i="1" s="1"/>
  <c r="S7" i="1" s="1"/>
  <c r="K13" i="1"/>
  <c r="I13" i="1"/>
  <c r="M4" i="1"/>
  <c r="P4" i="1" s="1"/>
  <c r="S4" i="1" s="1"/>
  <c r="I24" i="1"/>
  <c r="S60" i="2" l="1"/>
  <c r="S66" i="2"/>
  <c r="T66" i="2"/>
  <c r="T60" i="2"/>
  <c r="AJ55" i="2"/>
  <c r="R60" i="2" s="1"/>
  <c r="AJ57" i="2"/>
  <c r="S57" i="2"/>
  <c r="AJ63" i="2"/>
  <c r="AJ61" i="2"/>
  <c r="R66" i="2" s="1"/>
  <c r="W66" i="2" s="1"/>
  <c r="AC66" i="2" s="1"/>
  <c r="T8" i="2"/>
  <c r="T34" i="2"/>
  <c r="AI35" i="2"/>
  <c r="S40" i="2"/>
  <c r="R34" i="2"/>
  <c r="S34" i="2"/>
  <c r="AF37" i="2"/>
  <c r="AF35" i="2"/>
  <c r="S37" i="2"/>
  <c r="AE37" i="2"/>
  <c r="AE35" i="2"/>
  <c r="AJ9" i="2"/>
  <c r="AJ11" i="2"/>
  <c r="AE3" i="2"/>
  <c r="AG9" i="2"/>
  <c r="S11" i="2"/>
  <c r="S5" i="2"/>
  <c r="AI11" i="2"/>
  <c r="AI9" i="2"/>
  <c r="AD3" i="2"/>
  <c r="S14" i="2"/>
  <c r="I21" i="1"/>
  <c r="K21" i="1"/>
  <c r="I27" i="1"/>
  <c r="W60" i="2" l="1"/>
  <c r="C72" i="2" s="1"/>
  <c r="C75" i="2" s="1"/>
  <c r="X66" i="2"/>
  <c r="V66" i="2"/>
  <c r="AB66" i="2" s="1"/>
  <c r="R40" i="2"/>
  <c r="W40" i="2" s="1"/>
  <c r="AC40" i="2" s="1"/>
  <c r="T40" i="2"/>
  <c r="T14" i="2"/>
  <c r="R8" i="2"/>
  <c r="W8" i="2" s="1"/>
  <c r="W34" i="2"/>
  <c r="V34" i="2" s="1"/>
  <c r="AB34" i="2" s="1"/>
  <c r="R14" i="2"/>
  <c r="W14" i="2" s="1"/>
  <c r="X14" i="2" s="1"/>
  <c r="V60" i="2" l="1"/>
  <c r="AB60" i="2" s="1"/>
  <c r="X60" i="2"/>
  <c r="C73" i="2" s="1"/>
  <c r="C76" i="2" s="1"/>
  <c r="AC60" i="2"/>
  <c r="AC8" i="2"/>
  <c r="C20" i="2"/>
  <c r="C23" i="2" s="1"/>
  <c r="X8" i="2"/>
  <c r="C21" i="2" s="1"/>
  <c r="V8" i="2"/>
  <c r="AB8" i="2" s="1"/>
  <c r="AC34" i="2"/>
  <c r="X34" i="2"/>
  <c r="V40" i="2"/>
  <c r="AB40" i="2" s="1"/>
  <c r="X40" i="2"/>
  <c r="C46" i="2"/>
  <c r="C49" i="2" s="1"/>
  <c r="V14" i="2"/>
  <c r="AB14" i="2" s="1"/>
  <c r="AC14" i="2"/>
  <c r="C24" i="2" l="1"/>
  <c r="C47" i="2"/>
  <c r="C50" i="2" s="1"/>
</calcChain>
</file>

<file path=xl/sharedStrings.xml><?xml version="1.0" encoding="utf-8"?>
<sst xmlns="http://schemas.openxmlformats.org/spreadsheetml/2006/main" count="274" uniqueCount="56">
  <si>
    <t>Эксперимент 1</t>
  </si>
  <si>
    <t>dm</t>
  </si>
  <si>
    <t>P, H</t>
  </si>
  <si>
    <t>dm, гр</t>
  </si>
  <si>
    <t>h1 ↓, см</t>
  </si>
  <si>
    <t>h1 ↑, см</t>
  </si>
  <si>
    <t>h2 ↓, см</t>
  </si>
  <si>
    <t>h2 ↑, см</t>
  </si>
  <si>
    <t xml:space="preserve">h1нач = </t>
  </si>
  <si>
    <t xml:space="preserve">h2нач = </t>
  </si>
  <si>
    <t xml:space="preserve">g = </t>
  </si>
  <si>
    <t>&lt;x&gt;</t>
  </si>
  <si>
    <t>&lt;y&gt;</t>
  </si>
  <si>
    <t>&lt;xy&gt;</t>
  </si>
  <si>
    <t>&lt;x^2&gt;</t>
  </si>
  <si>
    <t>&lt;y^2&gt;</t>
  </si>
  <si>
    <t>xy</t>
  </si>
  <si>
    <t>x^2</t>
  </si>
  <si>
    <t>y^2</t>
  </si>
  <si>
    <t>x</t>
  </si>
  <si>
    <t>y</t>
  </si>
  <si>
    <t>k</t>
  </si>
  <si>
    <t>b</t>
  </si>
  <si>
    <t>E</t>
  </si>
  <si>
    <t>dE</t>
  </si>
  <si>
    <t>dk</t>
  </si>
  <si>
    <t>L =</t>
  </si>
  <si>
    <t>h =</t>
  </si>
  <si>
    <t>d</t>
  </si>
  <si>
    <t>м</t>
  </si>
  <si>
    <t xml:space="preserve">r = </t>
  </si>
  <si>
    <t xml:space="preserve">S = </t>
  </si>
  <si>
    <t>см/Н</t>
  </si>
  <si>
    <t>Графики</t>
  </si>
  <si>
    <t>&lt;k&gt;</t>
  </si>
  <si>
    <t>&lt;b&gt;</t>
  </si>
  <si>
    <t>ГПа</t>
  </si>
  <si>
    <t>Эксперимент 2</t>
  </si>
  <si>
    <t>Дерево</t>
  </si>
  <si>
    <t xml:space="preserve">y0 = </t>
  </si>
  <si>
    <t>ymax</t>
  </si>
  <si>
    <t>P</t>
  </si>
  <si>
    <t>g =</t>
  </si>
  <si>
    <t>Дерево пер</t>
  </si>
  <si>
    <t>a</t>
  </si>
  <si>
    <t>&lt;&gt;</t>
  </si>
  <si>
    <t>График</t>
  </si>
  <si>
    <t xml:space="preserve">E = </t>
  </si>
  <si>
    <t xml:space="preserve">L = </t>
  </si>
  <si>
    <t>&lt;dk&gt;</t>
  </si>
  <si>
    <t>Н/мм</t>
  </si>
  <si>
    <t>dE =</t>
  </si>
  <si>
    <t>Сталь</t>
  </si>
  <si>
    <t>Сталь пер</t>
  </si>
  <si>
    <t>&lt;E&gt;</t>
  </si>
  <si>
    <t>&lt;dE&gt;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</si>
</sst>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Alignment="1">
      <alignment horizontal="right"/>
    </xf>
    <xf numFmtId="0" fontId="0" fillId="0" borderId="0" xfId="0" applyAlignment="1">
      <alignment horizontal="left"/>
    </xf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ru-RU"/>
              <a:t>Зависимость</a:t>
            </a:r>
            <a:r>
              <a:rPr lang="ru-RU" baseline="0"/>
              <a:t> </a:t>
            </a:r>
            <a:r>
              <a:rPr lang="en-US" baseline="0"/>
              <a:t>h(N)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k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Лист1!$I$42:$I$43</c:f>
              <c:numCache>
                <c:formatCode>General</c:formatCode>
                <c:ptCount val="2"/>
                <c:pt idx="0">
                  <c:v>0</c:v>
                </c:pt>
                <c:pt idx="1">
                  <c:v>20</c:v>
                </c:pt>
              </c:numCache>
            </c:numRef>
          </c:xVal>
          <c:yVal>
            <c:numRef>
              <c:f>Лист1!$J$42:$J$43</c:f>
              <c:numCache>
                <c:formatCode>General</c:formatCode>
                <c:ptCount val="2"/>
                <c:pt idx="0">
                  <c:v>0.25626326524445253</c:v>
                </c:pt>
                <c:pt idx="1">
                  <c:v>10.564321182693419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FED4-4DEA-9391-DA9507A81BBE}"/>
            </c:ext>
          </c:extLst>
        </c:ser>
        <c:ser>
          <c:idx val="1"/>
          <c:order val="1"/>
          <c:tx>
            <c:v>h1↓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Лист1!$J$4:$J$10</c:f>
              <c:numCache>
                <c:formatCode>General</c:formatCode>
                <c:ptCount val="7"/>
                <c:pt idx="0">
                  <c:v>2.4058999999999999</c:v>
                </c:pt>
                <c:pt idx="1">
                  <c:v>4.8176800000000011</c:v>
                </c:pt>
                <c:pt idx="2">
                  <c:v>7.2245600000000012</c:v>
                </c:pt>
                <c:pt idx="3">
                  <c:v>9.6314400000000013</c:v>
                </c:pt>
                <c:pt idx="4">
                  <c:v>12.034400000000002</c:v>
                </c:pt>
                <c:pt idx="5">
                  <c:v>14.443240000000001</c:v>
                </c:pt>
                <c:pt idx="6">
                  <c:v>16.851100000000002</c:v>
                </c:pt>
              </c:numCache>
            </c:numRef>
          </c:xVal>
          <c:yVal>
            <c:numRef>
              <c:f>Лист1!$K$4:$K$10</c:f>
              <c:numCache>
                <c:formatCode>General</c:formatCode>
                <c:ptCount val="7"/>
                <c:pt idx="0">
                  <c:v>1.6999999999999993</c:v>
                </c:pt>
                <c:pt idx="1">
                  <c:v>3</c:v>
                </c:pt>
                <c:pt idx="2">
                  <c:v>4.1999999999999993</c:v>
                </c:pt>
                <c:pt idx="3">
                  <c:v>5.6</c:v>
                </c:pt>
                <c:pt idx="4">
                  <c:v>6.6999999999999993</c:v>
                </c:pt>
                <c:pt idx="5">
                  <c:v>7.8999999999999995</c:v>
                </c:pt>
                <c:pt idx="6">
                  <c:v>9.1999999999999993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FED4-4DEA-9391-DA9507A81BBE}"/>
            </c:ext>
          </c:extLst>
        </c:ser>
        <c:ser>
          <c:idx val="2"/>
          <c:order val="2"/>
          <c:tx>
            <c:v>h1↑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Лист1!$M$4:$M$10</c:f>
              <c:numCache>
                <c:formatCode>General</c:formatCode>
                <c:ptCount val="7"/>
                <c:pt idx="0">
                  <c:v>2.4058999999999999</c:v>
                </c:pt>
                <c:pt idx="1">
                  <c:v>4.8176800000000011</c:v>
                </c:pt>
                <c:pt idx="2">
                  <c:v>7.2245600000000012</c:v>
                </c:pt>
                <c:pt idx="3">
                  <c:v>9.6314400000000013</c:v>
                </c:pt>
                <c:pt idx="4">
                  <c:v>12.034400000000002</c:v>
                </c:pt>
                <c:pt idx="5">
                  <c:v>14.443240000000001</c:v>
                </c:pt>
                <c:pt idx="6">
                  <c:v>16.851100000000002</c:v>
                </c:pt>
              </c:numCache>
            </c:numRef>
          </c:xVal>
          <c:yVal>
            <c:numRef>
              <c:f>Лист1!$N$4:$N$10</c:f>
              <c:numCache>
                <c:formatCode>General</c:formatCode>
                <c:ptCount val="7"/>
                <c:pt idx="0">
                  <c:v>1.6999999999999993</c:v>
                </c:pt>
                <c:pt idx="1">
                  <c:v>2.8</c:v>
                </c:pt>
                <c:pt idx="2">
                  <c:v>4</c:v>
                </c:pt>
                <c:pt idx="3">
                  <c:v>5.5</c:v>
                </c:pt>
                <c:pt idx="4">
                  <c:v>7.1</c:v>
                </c:pt>
                <c:pt idx="5">
                  <c:v>8.2999999999999989</c:v>
                </c:pt>
                <c:pt idx="6">
                  <c:v>9.5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FED4-4DEA-9391-DA9507A81BBE}"/>
            </c:ext>
          </c:extLst>
        </c:ser>
        <c:ser>
          <c:idx val="3"/>
          <c:order val="3"/>
          <c:tx>
            <c:v>h2↓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Лист1!$P$4:$P$10</c:f>
              <c:numCache>
                <c:formatCode>General</c:formatCode>
                <c:ptCount val="7"/>
                <c:pt idx="0">
                  <c:v>2.4058999999999999</c:v>
                </c:pt>
                <c:pt idx="1">
                  <c:v>4.8176800000000011</c:v>
                </c:pt>
                <c:pt idx="2">
                  <c:v>7.2245600000000012</c:v>
                </c:pt>
                <c:pt idx="3">
                  <c:v>9.6314400000000013</c:v>
                </c:pt>
                <c:pt idx="4">
                  <c:v>12.034400000000002</c:v>
                </c:pt>
                <c:pt idx="5">
                  <c:v>14.443240000000001</c:v>
                </c:pt>
                <c:pt idx="6">
                  <c:v>16.851100000000002</c:v>
                </c:pt>
              </c:numCache>
            </c:numRef>
          </c:xVal>
          <c:yVal>
            <c:numRef>
              <c:f>Лист1!$Q$4:$Q$10</c:f>
              <c:numCache>
                <c:formatCode>General</c:formatCode>
                <c:ptCount val="7"/>
                <c:pt idx="0">
                  <c:v>1.4000000000000004</c:v>
                </c:pt>
                <c:pt idx="1">
                  <c:v>2.7</c:v>
                </c:pt>
                <c:pt idx="2">
                  <c:v>4</c:v>
                </c:pt>
                <c:pt idx="3">
                  <c:v>5.3</c:v>
                </c:pt>
                <c:pt idx="4">
                  <c:v>6.4</c:v>
                </c:pt>
                <c:pt idx="5">
                  <c:v>7.6</c:v>
                </c:pt>
                <c:pt idx="6">
                  <c:v>8.9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FED4-4DEA-9391-DA9507A81BBE}"/>
            </c:ext>
          </c:extLst>
        </c:ser>
        <c:ser>
          <c:idx val="4"/>
          <c:order val="4"/>
          <c:tx>
            <c:v>h2↑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xVal>
            <c:numRef>
              <c:f>Лист1!$S$4:$S$10</c:f>
              <c:numCache>
                <c:formatCode>General</c:formatCode>
                <c:ptCount val="7"/>
                <c:pt idx="0">
                  <c:v>2.4058999999999999</c:v>
                </c:pt>
                <c:pt idx="1">
                  <c:v>4.8176800000000011</c:v>
                </c:pt>
                <c:pt idx="2">
                  <c:v>7.2245600000000012</c:v>
                </c:pt>
                <c:pt idx="3">
                  <c:v>9.6314400000000013</c:v>
                </c:pt>
                <c:pt idx="4">
                  <c:v>12.034400000000002</c:v>
                </c:pt>
                <c:pt idx="5">
                  <c:v>14.443240000000001</c:v>
                </c:pt>
                <c:pt idx="6">
                  <c:v>16.851100000000002</c:v>
                </c:pt>
              </c:numCache>
            </c:numRef>
          </c:xVal>
          <c:yVal>
            <c:numRef>
              <c:f>Лист1!$T$4:$T$10</c:f>
              <c:numCache>
                <c:formatCode>General</c:formatCode>
                <c:ptCount val="7"/>
                <c:pt idx="0">
                  <c:v>1.3000000000000007</c:v>
                </c:pt>
                <c:pt idx="1">
                  <c:v>2.5999999999999996</c:v>
                </c:pt>
                <c:pt idx="2">
                  <c:v>3.9000000000000004</c:v>
                </c:pt>
                <c:pt idx="3">
                  <c:v>5.3</c:v>
                </c:pt>
                <c:pt idx="4">
                  <c:v>6.5</c:v>
                </c:pt>
                <c:pt idx="5">
                  <c:v>7.6</c:v>
                </c:pt>
                <c:pt idx="6">
                  <c:v>8.9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FED4-4DEA-9391-DA9507A81BB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2228312"/>
        <c:axId val="102226152"/>
      </c:scatterChart>
      <c:valAx>
        <c:axId val="10222831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P, </a:t>
                </a:r>
                <a:r>
                  <a:rPr lang="ru-RU"/>
                  <a:t>Н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02226152"/>
        <c:crosses val="autoZero"/>
        <c:crossBetween val="midCat"/>
      </c:valAx>
      <c:valAx>
        <c:axId val="10222615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h, </a:t>
                </a:r>
                <a:r>
                  <a:rPr lang="ru-RU"/>
                  <a:t>см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0222831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ru-RU"/>
              <a:t>Зависимость </a:t>
            </a:r>
            <a:r>
              <a:rPr lang="en-US"/>
              <a:t>P(ymax)</a:t>
            </a:r>
            <a:r>
              <a:rPr lang="ru-RU"/>
              <a:t> для дерева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Дерево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Лист2!$AB$7:$AC$7</c:f>
              <c:numCache>
                <c:formatCode>General</c:formatCode>
                <c:ptCount val="2"/>
                <c:pt idx="0">
                  <c:v>0</c:v>
                </c:pt>
                <c:pt idx="1">
                  <c:v>6</c:v>
                </c:pt>
              </c:numCache>
            </c:numRef>
          </c:xVal>
          <c:yVal>
            <c:numRef>
              <c:f>Лист2!$AB$8:$AC$8</c:f>
              <c:numCache>
                <c:formatCode>General</c:formatCode>
                <c:ptCount val="2"/>
                <c:pt idx="0">
                  <c:v>-0.12195010738281553</c:v>
                </c:pt>
                <c:pt idx="1">
                  <c:v>40.919374116064056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BA34-42CB-8268-5B0BE3617B47}"/>
            </c:ext>
          </c:extLst>
        </c:ser>
        <c:ser>
          <c:idx val="1"/>
          <c:order val="1"/>
          <c:tx>
            <c:v>Перевёрнутое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Лист2!$AB$13:$AC$13</c:f>
              <c:numCache>
                <c:formatCode>General</c:formatCode>
                <c:ptCount val="2"/>
                <c:pt idx="0">
                  <c:v>0</c:v>
                </c:pt>
                <c:pt idx="1">
                  <c:v>6</c:v>
                </c:pt>
              </c:numCache>
            </c:numRef>
          </c:xVal>
          <c:yVal>
            <c:numRef>
              <c:f>Лист2!$AB$14:$AC$14</c:f>
              <c:numCache>
                <c:formatCode>General</c:formatCode>
                <c:ptCount val="2"/>
                <c:pt idx="0">
                  <c:v>-1.1265289961310678</c:v>
                </c:pt>
                <c:pt idx="1">
                  <c:v>40.714793928657606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BA34-42CB-8268-5B0BE3617B47}"/>
            </c:ext>
          </c:extLst>
        </c:ser>
        <c:ser>
          <c:idx val="2"/>
          <c:order val="2"/>
          <c:tx>
            <c:v>Дерево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Лист2!$C$5:$P$5</c:f>
              <c:numCache>
                <c:formatCode>General</c:formatCode>
                <c:ptCount val="14"/>
                <c:pt idx="0">
                  <c:v>0.6800000000000006</c:v>
                </c:pt>
                <c:pt idx="1">
                  <c:v>1.4100000000000001</c:v>
                </c:pt>
                <c:pt idx="2">
                  <c:v>2.0600000000000005</c:v>
                </c:pt>
                <c:pt idx="3">
                  <c:v>2.7800000000000002</c:v>
                </c:pt>
                <c:pt idx="4">
                  <c:v>3.49</c:v>
                </c:pt>
                <c:pt idx="5">
                  <c:v>4.1500000000000004</c:v>
                </c:pt>
                <c:pt idx="6">
                  <c:v>4.870000000000001</c:v>
                </c:pt>
                <c:pt idx="7">
                  <c:v>4.8900000000000006</c:v>
                </c:pt>
                <c:pt idx="8">
                  <c:v>4.1900000000000004</c:v>
                </c:pt>
                <c:pt idx="9">
                  <c:v>3.5300000000000002</c:v>
                </c:pt>
                <c:pt idx="10">
                  <c:v>2.8500000000000005</c:v>
                </c:pt>
                <c:pt idx="11">
                  <c:v>2.1500000000000004</c:v>
                </c:pt>
                <c:pt idx="12">
                  <c:v>1.4900000000000002</c:v>
                </c:pt>
                <c:pt idx="13">
                  <c:v>0.75</c:v>
                </c:pt>
              </c:numCache>
            </c:numRef>
          </c:xVal>
          <c:yVal>
            <c:numRef>
              <c:f>Лист2!$C$7:$P$7</c:f>
              <c:numCache>
                <c:formatCode>General</c:formatCode>
                <c:ptCount val="14"/>
                <c:pt idx="0">
                  <c:v>5.0078000000000005</c:v>
                </c:pt>
                <c:pt idx="1">
                  <c:v>9.5814600000000016</c:v>
                </c:pt>
                <c:pt idx="2">
                  <c:v>14.107100000000001</c:v>
                </c:pt>
                <c:pt idx="3">
                  <c:v>19.039439999999999</c:v>
                </c:pt>
                <c:pt idx="4">
                  <c:v>23.767940000000003</c:v>
                </c:pt>
                <c:pt idx="5">
                  <c:v>28.353360000000006</c:v>
                </c:pt>
                <c:pt idx="6">
                  <c:v>33.266100000000009</c:v>
                </c:pt>
                <c:pt idx="7">
                  <c:v>33.266100000000009</c:v>
                </c:pt>
                <c:pt idx="8">
                  <c:v>28.353360000000006</c:v>
                </c:pt>
                <c:pt idx="9">
                  <c:v>23.767940000000003</c:v>
                </c:pt>
                <c:pt idx="10">
                  <c:v>19.039439999999999</c:v>
                </c:pt>
                <c:pt idx="11">
                  <c:v>14.107100000000001</c:v>
                </c:pt>
                <c:pt idx="12">
                  <c:v>9.5814600000000016</c:v>
                </c:pt>
                <c:pt idx="13">
                  <c:v>5.0078000000000005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BA34-42CB-8268-5B0BE3617B47}"/>
            </c:ext>
          </c:extLst>
        </c:ser>
        <c:ser>
          <c:idx val="3"/>
          <c:order val="3"/>
          <c:tx>
            <c:v>Перевёрнутое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Лист2!$C$11:$P$11</c:f>
              <c:numCache>
                <c:formatCode>General</c:formatCode>
                <c:ptCount val="14"/>
                <c:pt idx="0">
                  <c:v>0.8100000000000005</c:v>
                </c:pt>
                <c:pt idx="1">
                  <c:v>1.58</c:v>
                </c:pt>
                <c:pt idx="2">
                  <c:v>2.2300000000000004</c:v>
                </c:pt>
                <c:pt idx="3">
                  <c:v>2.9400000000000004</c:v>
                </c:pt>
                <c:pt idx="4">
                  <c:v>3.6300000000000008</c:v>
                </c:pt>
                <c:pt idx="5">
                  <c:v>4.3600000000000003</c:v>
                </c:pt>
                <c:pt idx="6">
                  <c:v>5.03</c:v>
                </c:pt>
                <c:pt idx="7">
                  <c:v>5.0600000000000005</c:v>
                </c:pt>
                <c:pt idx="8">
                  <c:v>4.3500000000000005</c:v>
                </c:pt>
                <c:pt idx="9">
                  <c:v>3.6900000000000004</c:v>
                </c:pt>
                <c:pt idx="10">
                  <c:v>3.0200000000000005</c:v>
                </c:pt>
                <c:pt idx="11">
                  <c:v>2.3100000000000005</c:v>
                </c:pt>
                <c:pt idx="12">
                  <c:v>1.6400000000000006</c:v>
                </c:pt>
                <c:pt idx="13">
                  <c:v>0.91000000000000014</c:v>
                </c:pt>
              </c:numCache>
            </c:numRef>
          </c:xVal>
          <c:yVal>
            <c:numRef>
              <c:f>Лист2!$C$13:$P$13</c:f>
              <c:numCache>
                <c:formatCode>General</c:formatCode>
                <c:ptCount val="14"/>
                <c:pt idx="0">
                  <c:v>5.0078000000000005</c:v>
                </c:pt>
                <c:pt idx="1">
                  <c:v>9.5814600000000016</c:v>
                </c:pt>
                <c:pt idx="2">
                  <c:v>14.107100000000001</c:v>
                </c:pt>
                <c:pt idx="3">
                  <c:v>19.039439999999999</c:v>
                </c:pt>
                <c:pt idx="4">
                  <c:v>23.767940000000003</c:v>
                </c:pt>
                <c:pt idx="5">
                  <c:v>28.353360000000006</c:v>
                </c:pt>
                <c:pt idx="6">
                  <c:v>33.266100000000009</c:v>
                </c:pt>
                <c:pt idx="7">
                  <c:v>33.266100000000009</c:v>
                </c:pt>
                <c:pt idx="8">
                  <c:v>28.353360000000006</c:v>
                </c:pt>
                <c:pt idx="9">
                  <c:v>23.767940000000003</c:v>
                </c:pt>
                <c:pt idx="10">
                  <c:v>19.039439999999999</c:v>
                </c:pt>
                <c:pt idx="11">
                  <c:v>14.107100000000001</c:v>
                </c:pt>
                <c:pt idx="12">
                  <c:v>9.5814600000000016</c:v>
                </c:pt>
                <c:pt idx="13">
                  <c:v>5.0078000000000005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BA34-42CB-8268-5B0BE3617B4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55247040"/>
        <c:axId val="455247400"/>
      </c:scatterChart>
      <c:valAx>
        <c:axId val="45524704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ymax, </a:t>
                </a:r>
                <a:r>
                  <a:rPr lang="ru-RU"/>
                  <a:t>мм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455247400"/>
        <c:crosses val="autoZero"/>
        <c:crossBetween val="midCat"/>
      </c:valAx>
      <c:valAx>
        <c:axId val="4552474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P, </a:t>
                </a:r>
                <a:r>
                  <a:rPr lang="ru-RU"/>
                  <a:t>Н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45524704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ru-RU"/>
              <a:t>Зависимость </a:t>
            </a:r>
            <a:r>
              <a:rPr lang="en-US"/>
              <a:t>P(ymax)</a:t>
            </a:r>
            <a:r>
              <a:rPr lang="ru-RU"/>
              <a:t> для стали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Сталь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Лист2!$AB$33:$AC$33</c:f>
              <c:numCache>
                <c:formatCode>General</c:formatCode>
                <c:ptCount val="2"/>
                <c:pt idx="0">
                  <c:v>0</c:v>
                </c:pt>
                <c:pt idx="1">
                  <c:v>5</c:v>
                </c:pt>
              </c:numCache>
            </c:numRef>
          </c:xVal>
          <c:yVal>
            <c:numRef>
              <c:f>Лист2!$AB$34:$AC$34</c:f>
              <c:numCache>
                <c:formatCode>General</c:formatCode>
                <c:ptCount val="2"/>
                <c:pt idx="0">
                  <c:v>-1.5786164363511546E-2</c:v>
                </c:pt>
                <c:pt idx="1">
                  <c:v>35.989655091989341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FEC9-4F32-8496-9B6B6E288840}"/>
            </c:ext>
          </c:extLst>
        </c:ser>
        <c:ser>
          <c:idx val="1"/>
          <c:order val="1"/>
          <c:tx>
            <c:v>Перевёрнутая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Лист2!$AB$39:$AC$39</c:f>
              <c:numCache>
                <c:formatCode>General</c:formatCode>
                <c:ptCount val="2"/>
                <c:pt idx="0">
                  <c:v>0</c:v>
                </c:pt>
                <c:pt idx="1">
                  <c:v>5</c:v>
                </c:pt>
              </c:numCache>
            </c:numRef>
          </c:xVal>
          <c:yVal>
            <c:numRef>
              <c:f>Лист2!$AB$40:$AC$40</c:f>
              <c:numCache>
                <c:formatCode>General</c:formatCode>
                <c:ptCount val="2"/>
                <c:pt idx="0">
                  <c:v>-0.25077206268970187</c:v>
                </c:pt>
                <c:pt idx="1">
                  <c:v>35.871969265645724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FEC9-4F32-8496-9B6B6E288840}"/>
            </c:ext>
          </c:extLst>
        </c:ser>
        <c:ser>
          <c:idx val="2"/>
          <c:order val="2"/>
          <c:tx>
            <c:v>Сталь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Лист2!$C$31:$P$31</c:f>
              <c:numCache>
                <c:formatCode>General</c:formatCode>
                <c:ptCount val="14"/>
                <c:pt idx="0">
                  <c:v>0.70000000000000107</c:v>
                </c:pt>
                <c:pt idx="1">
                  <c:v>1.3200000000000003</c:v>
                </c:pt>
                <c:pt idx="2">
                  <c:v>1.9600000000000009</c:v>
                </c:pt>
                <c:pt idx="3">
                  <c:v>2.6400000000000006</c:v>
                </c:pt>
                <c:pt idx="4">
                  <c:v>3.2900000000000009</c:v>
                </c:pt>
                <c:pt idx="5">
                  <c:v>3.8900000000000006</c:v>
                </c:pt>
                <c:pt idx="6">
                  <c:v>4.620000000000001</c:v>
                </c:pt>
                <c:pt idx="7">
                  <c:v>4.6500000000000012</c:v>
                </c:pt>
                <c:pt idx="8">
                  <c:v>3.9900000000000011</c:v>
                </c:pt>
                <c:pt idx="9">
                  <c:v>3.3000000000000007</c:v>
                </c:pt>
                <c:pt idx="10">
                  <c:v>2.6400000000000006</c:v>
                </c:pt>
                <c:pt idx="11">
                  <c:v>1.9600000000000009</c:v>
                </c:pt>
                <c:pt idx="12">
                  <c:v>1.3400000000000016</c:v>
                </c:pt>
                <c:pt idx="13">
                  <c:v>0.72000000000000064</c:v>
                </c:pt>
              </c:numCache>
            </c:numRef>
          </c:xVal>
          <c:yVal>
            <c:numRef>
              <c:f>Лист2!$C$33:$P$33</c:f>
              <c:numCache>
                <c:formatCode>General</c:formatCode>
                <c:ptCount val="14"/>
                <c:pt idx="0">
                  <c:v>5.0078000000000005</c:v>
                </c:pt>
                <c:pt idx="1">
                  <c:v>9.5814600000000016</c:v>
                </c:pt>
                <c:pt idx="2">
                  <c:v>14.107100000000001</c:v>
                </c:pt>
                <c:pt idx="3">
                  <c:v>19.039439999999999</c:v>
                </c:pt>
                <c:pt idx="4">
                  <c:v>23.767940000000003</c:v>
                </c:pt>
                <c:pt idx="5">
                  <c:v>28.353360000000006</c:v>
                </c:pt>
                <c:pt idx="6">
                  <c:v>33.266100000000009</c:v>
                </c:pt>
                <c:pt idx="7">
                  <c:v>33.266100000000009</c:v>
                </c:pt>
                <c:pt idx="8">
                  <c:v>28.353360000000006</c:v>
                </c:pt>
                <c:pt idx="9">
                  <c:v>23.767940000000003</c:v>
                </c:pt>
                <c:pt idx="10">
                  <c:v>19.039439999999999</c:v>
                </c:pt>
                <c:pt idx="11">
                  <c:v>14.107100000000001</c:v>
                </c:pt>
                <c:pt idx="12">
                  <c:v>9.5814600000000016</c:v>
                </c:pt>
                <c:pt idx="13">
                  <c:v>5.0078000000000005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FEC9-4F32-8496-9B6B6E288840}"/>
            </c:ext>
          </c:extLst>
        </c:ser>
        <c:ser>
          <c:idx val="3"/>
          <c:order val="3"/>
          <c:tx>
            <c:v>Перевёрнутая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Лист2!$C$37:$P$37</c:f>
              <c:numCache>
                <c:formatCode>General</c:formatCode>
                <c:ptCount val="14"/>
                <c:pt idx="0">
                  <c:v>0.71000000000000085</c:v>
                </c:pt>
                <c:pt idx="1">
                  <c:v>1.3100000000000005</c:v>
                </c:pt>
                <c:pt idx="2">
                  <c:v>1.9400000000000013</c:v>
                </c:pt>
                <c:pt idx="3">
                  <c:v>2.6400000000000006</c:v>
                </c:pt>
                <c:pt idx="4">
                  <c:v>3.3100000000000005</c:v>
                </c:pt>
                <c:pt idx="5">
                  <c:v>3.9500000000000011</c:v>
                </c:pt>
                <c:pt idx="6">
                  <c:v>4.6700000000000008</c:v>
                </c:pt>
                <c:pt idx="7">
                  <c:v>4.7000000000000011</c:v>
                </c:pt>
                <c:pt idx="8">
                  <c:v>4.0000000000000009</c:v>
                </c:pt>
                <c:pt idx="9">
                  <c:v>3.370000000000001</c:v>
                </c:pt>
                <c:pt idx="10">
                  <c:v>2.7200000000000006</c:v>
                </c:pt>
                <c:pt idx="11">
                  <c:v>2.0900000000000016</c:v>
                </c:pt>
                <c:pt idx="12">
                  <c:v>1.4100000000000001</c:v>
                </c:pt>
                <c:pt idx="13">
                  <c:v>0.78000000000000114</c:v>
                </c:pt>
              </c:numCache>
            </c:numRef>
          </c:xVal>
          <c:yVal>
            <c:numRef>
              <c:f>Лист2!$C$39:$P$39</c:f>
              <c:numCache>
                <c:formatCode>General</c:formatCode>
                <c:ptCount val="14"/>
                <c:pt idx="0">
                  <c:v>5.0078000000000005</c:v>
                </c:pt>
                <c:pt idx="1">
                  <c:v>9.5814600000000016</c:v>
                </c:pt>
                <c:pt idx="2">
                  <c:v>14.107100000000001</c:v>
                </c:pt>
                <c:pt idx="3">
                  <c:v>19.039439999999999</c:v>
                </c:pt>
                <c:pt idx="4">
                  <c:v>23.767940000000003</c:v>
                </c:pt>
                <c:pt idx="5">
                  <c:v>28.353360000000006</c:v>
                </c:pt>
                <c:pt idx="6">
                  <c:v>33.266100000000009</c:v>
                </c:pt>
                <c:pt idx="7">
                  <c:v>33.266100000000009</c:v>
                </c:pt>
                <c:pt idx="8">
                  <c:v>28.353360000000006</c:v>
                </c:pt>
                <c:pt idx="9">
                  <c:v>23.767940000000003</c:v>
                </c:pt>
                <c:pt idx="10">
                  <c:v>19.039439999999999</c:v>
                </c:pt>
                <c:pt idx="11">
                  <c:v>14.107100000000001</c:v>
                </c:pt>
                <c:pt idx="12">
                  <c:v>9.5814600000000016</c:v>
                </c:pt>
                <c:pt idx="13">
                  <c:v>5.0078000000000005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FEC9-4F32-8496-9B6B6E28884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55247040"/>
        <c:axId val="455247400"/>
      </c:scatterChart>
      <c:valAx>
        <c:axId val="45524704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ymax, </a:t>
                </a:r>
                <a:r>
                  <a:rPr lang="ru-RU"/>
                  <a:t>мм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455247400"/>
        <c:crosses val="autoZero"/>
        <c:crossBetween val="midCat"/>
      </c:valAx>
      <c:valAx>
        <c:axId val="4552474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P, </a:t>
                </a:r>
                <a:r>
                  <a:rPr lang="ru-RU"/>
                  <a:t>Н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45524704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ru-RU"/>
              <a:t>Зависимость </a:t>
            </a:r>
            <a:r>
              <a:rPr lang="en-US"/>
              <a:t>P(ymax)</a:t>
            </a:r>
            <a:r>
              <a:rPr lang="ru-RU"/>
              <a:t> для латуни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Латунь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Лист2!$AB$59:$AC$59</c:f>
              <c:numCache>
                <c:formatCode>General</c:formatCode>
                <c:ptCount val="2"/>
                <c:pt idx="0">
                  <c:v>0</c:v>
                </c:pt>
                <c:pt idx="1">
                  <c:v>9</c:v>
                </c:pt>
              </c:numCache>
            </c:numRef>
          </c:xVal>
          <c:yVal>
            <c:numRef>
              <c:f>Лист2!$AB$60:$AC$60</c:f>
              <c:numCache>
                <c:formatCode>General</c:formatCode>
                <c:ptCount val="2"/>
                <c:pt idx="0">
                  <c:v>0.11006590121635185</c:v>
                </c:pt>
                <c:pt idx="1">
                  <c:v>35.992586439745274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C6EA-401A-AF2A-D214F4572F11}"/>
            </c:ext>
          </c:extLst>
        </c:ser>
        <c:ser>
          <c:idx val="1"/>
          <c:order val="1"/>
          <c:tx>
            <c:v>Перевёрнутая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Лист2!$AB$65:$AC$65</c:f>
              <c:numCache>
                <c:formatCode>General</c:formatCode>
                <c:ptCount val="2"/>
                <c:pt idx="0">
                  <c:v>0</c:v>
                </c:pt>
                <c:pt idx="1">
                  <c:v>9</c:v>
                </c:pt>
              </c:numCache>
            </c:numRef>
          </c:xVal>
          <c:yVal>
            <c:numRef>
              <c:f>Лист2!$AB$66:$AC$66</c:f>
              <c:numCache>
                <c:formatCode>General</c:formatCode>
                <c:ptCount val="2"/>
                <c:pt idx="0">
                  <c:v>4.8915744177296716E-2</c:v>
                </c:pt>
                <c:pt idx="1">
                  <c:v>36.05452128878656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C6EA-401A-AF2A-D214F4572F11}"/>
            </c:ext>
          </c:extLst>
        </c:ser>
        <c:ser>
          <c:idx val="2"/>
          <c:order val="2"/>
          <c:tx>
            <c:v>Латунь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Лист2!$C$57:$P$57</c:f>
              <c:numCache>
                <c:formatCode>General</c:formatCode>
                <c:ptCount val="14"/>
                <c:pt idx="0">
                  <c:v>1.2400000000000002</c:v>
                </c:pt>
                <c:pt idx="1">
                  <c:v>2.3599999999999994</c:v>
                </c:pt>
                <c:pt idx="2">
                  <c:v>3.4800000000000004</c:v>
                </c:pt>
                <c:pt idx="3">
                  <c:v>4.7200000000000006</c:v>
                </c:pt>
                <c:pt idx="4">
                  <c:v>5.91</c:v>
                </c:pt>
                <c:pt idx="5">
                  <c:v>7.08</c:v>
                </c:pt>
                <c:pt idx="6">
                  <c:v>8.3000000000000007</c:v>
                </c:pt>
                <c:pt idx="7">
                  <c:v>8.2900000000000009</c:v>
                </c:pt>
                <c:pt idx="8">
                  <c:v>7.0600000000000005</c:v>
                </c:pt>
                <c:pt idx="9">
                  <c:v>5.91</c:v>
                </c:pt>
                <c:pt idx="10">
                  <c:v>4.74</c:v>
                </c:pt>
                <c:pt idx="11">
                  <c:v>3.49</c:v>
                </c:pt>
                <c:pt idx="12">
                  <c:v>2.370000000000001</c:v>
                </c:pt>
                <c:pt idx="13">
                  <c:v>1.2400000000000002</c:v>
                </c:pt>
              </c:numCache>
            </c:numRef>
          </c:xVal>
          <c:yVal>
            <c:numRef>
              <c:f>Лист2!$C$59:$P$59</c:f>
              <c:numCache>
                <c:formatCode>General</c:formatCode>
                <c:ptCount val="14"/>
                <c:pt idx="0">
                  <c:v>5.0078000000000005</c:v>
                </c:pt>
                <c:pt idx="1">
                  <c:v>9.5814600000000016</c:v>
                </c:pt>
                <c:pt idx="2">
                  <c:v>14.107100000000001</c:v>
                </c:pt>
                <c:pt idx="3">
                  <c:v>19.039439999999999</c:v>
                </c:pt>
                <c:pt idx="4">
                  <c:v>23.767940000000003</c:v>
                </c:pt>
                <c:pt idx="5">
                  <c:v>28.353360000000006</c:v>
                </c:pt>
                <c:pt idx="6">
                  <c:v>33.266100000000009</c:v>
                </c:pt>
                <c:pt idx="7">
                  <c:v>33.266100000000009</c:v>
                </c:pt>
                <c:pt idx="8">
                  <c:v>28.353360000000006</c:v>
                </c:pt>
                <c:pt idx="9">
                  <c:v>23.767940000000003</c:v>
                </c:pt>
                <c:pt idx="10">
                  <c:v>19.039439999999999</c:v>
                </c:pt>
                <c:pt idx="11">
                  <c:v>14.107100000000001</c:v>
                </c:pt>
                <c:pt idx="12">
                  <c:v>9.5814600000000016</c:v>
                </c:pt>
                <c:pt idx="13">
                  <c:v>5.0078000000000005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C6EA-401A-AF2A-D214F4572F11}"/>
            </c:ext>
          </c:extLst>
        </c:ser>
        <c:ser>
          <c:idx val="3"/>
          <c:order val="3"/>
          <c:tx>
            <c:v>Перевёрнутая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Лист2!$C$63:$P$63</c:f>
              <c:numCache>
                <c:formatCode>General</c:formatCode>
                <c:ptCount val="14"/>
                <c:pt idx="0">
                  <c:v>1.2400000000000002</c:v>
                </c:pt>
                <c:pt idx="1">
                  <c:v>2.38</c:v>
                </c:pt>
                <c:pt idx="2">
                  <c:v>3.5300000000000002</c:v>
                </c:pt>
                <c:pt idx="3">
                  <c:v>4.74</c:v>
                </c:pt>
                <c:pt idx="4">
                  <c:v>5.93</c:v>
                </c:pt>
                <c:pt idx="5">
                  <c:v>7.07</c:v>
                </c:pt>
                <c:pt idx="6">
                  <c:v>8.2899999999999991</c:v>
                </c:pt>
                <c:pt idx="7">
                  <c:v>8.3000000000000007</c:v>
                </c:pt>
                <c:pt idx="8">
                  <c:v>7.0500000000000007</c:v>
                </c:pt>
                <c:pt idx="9">
                  <c:v>5.91</c:v>
                </c:pt>
                <c:pt idx="10">
                  <c:v>4.7300000000000004</c:v>
                </c:pt>
                <c:pt idx="11">
                  <c:v>3.5200000000000005</c:v>
                </c:pt>
                <c:pt idx="12">
                  <c:v>2.37</c:v>
                </c:pt>
                <c:pt idx="13">
                  <c:v>1.2300000000000004</c:v>
                </c:pt>
              </c:numCache>
            </c:numRef>
          </c:xVal>
          <c:yVal>
            <c:numRef>
              <c:f>Лист2!$C$65:$P$65</c:f>
              <c:numCache>
                <c:formatCode>General</c:formatCode>
                <c:ptCount val="14"/>
                <c:pt idx="0">
                  <c:v>5.0078000000000005</c:v>
                </c:pt>
                <c:pt idx="1">
                  <c:v>9.5814600000000016</c:v>
                </c:pt>
                <c:pt idx="2">
                  <c:v>14.107100000000001</c:v>
                </c:pt>
                <c:pt idx="3">
                  <c:v>19.039439999999999</c:v>
                </c:pt>
                <c:pt idx="4">
                  <c:v>23.767940000000003</c:v>
                </c:pt>
                <c:pt idx="5">
                  <c:v>28.353360000000006</c:v>
                </c:pt>
                <c:pt idx="6">
                  <c:v>33.266100000000009</c:v>
                </c:pt>
                <c:pt idx="7">
                  <c:v>33.266100000000009</c:v>
                </c:pt>
                <c:pt idx="8">
                  <c:v>28.353360000000006</c:v>
                </c:pt>
                <c:pt idx="9">
                  <c:v>23.767940000000003</c:v>
                </c:pt>
                <c:pt idx="10">
                  <c:v>19.039439999999999</c:v>
                </c:pt>
                <c:pt idx="11">
                  <c:v>14.107100000000001</c:v>
                </c:pt>
                <c:pt idx="12">
                  <c:v>9.5814600000000016</c:v>
                </c:pt>
                <c:pt idx="13">
                  <c:v>5.0078000000000005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C6EA-401A-AF2A-D214F4572F1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55247040"/>
        <c:axId val="455247400"/>
      </c:scatterChart>
      <c:valAx>
        <c:axId val="45524704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ymax, </a:t>
                </a:r>
                <a:r>
                  <a:rPr lang="ru-RU"/>
                  <a:t>мм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455247400"/>
        <c:crosses val="autoZero"/>
        <c:crossBetween val="midCat"/>
      </c:valAx>
      <c:valAx>
        <c:axId val="4552474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P, </a:t>
                </a:r>
                <a:r>
                  <a:rPr lang="ru-RU"/>
                  <a:t>Н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45524704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chart" Target="../charts/chart4.xml"/><Relationship Id="rId2" Type="http://schemas.openxmlformats.org/officeDocument/2006/relationships/chart" Target="../charts/chart3.xml"/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161364</xdr:colOff>
      <xdr:row>18</xdr:row>
      <xdr:rowOff>62338</xdr:rowOff>
    </xdr:from>
    <xdr:to>
      <xdr:col>7</xdr:col>
      <xdr:colOff>376517</xdr:colOff>
      <xdr:row>38</xdr:row>
      <xdr:rowOff>8966</xdr:rowOff>
    </xdr:to>
    <xdr:graphicFrame macro="">
      <xdr:nvGraphicFramePr>
        <xdr:cNvPr id="3" name="Диаграмма 2">
          <a:extLst>
            <a:ext uri="{FF2B5EF4-FFF2-40B4-BE49-F238E27FC236}">
              <a16:creationId xmlns:a16="http://schemas.microsoft.com/office/drawing/2014/main" id="{56961B57-070C-5043-C8B2-8D540C45CD4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143640</xdr:colOff>
      <xdr:row>2</xdr:row>
      <xdr:rowOff>125710</xdr:rowOff>
    </xdr:from>
    <xdr:to>
      <xdr:col>0</xdr:col>
      <xdr:colOff>9455728</xdr:colOff>
      <xdr:row>23</xdr:row>
      <xdr:rowOff>83128</xdr:rowOff>
    </xdr:to>
    <xdr:graphicFrame macro="">
      <xdr:nvGraphicFramePr>
        <xdr:cNvPr id="2" name="Диаграмма 1">
          <a:extLst>
            <a:ext uri="{FF2B5EF4-FFF2-40B4-BE49-F238E27FC236}">
              <a16:creationId xmlns:a16="http://schemas.microsoft.com/office/drawing/2014/main" id="{5F202D79-ED00-3B96-71D0-58C3A4BFB34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174171</xdr:colOff>
      <xdr:row>27</xdr:row>
      <xdr:rowOff>125185</xdr:rowOff>
    </xdr:from>
    <xdr:to>
      <xdr:col>0</xdr:col>
      <xdr:colOff>9486259</xdr:colOff>
      <xdr:row>48</xdr:row>
      <xdr:rowOff>82603</xdr:rowOff>
    </xdr:to>
    <xdr:graphicFrame macro="">
      <xdr:nvGraphicFramePr>
        <xdr:cNvPr id="3" name="Диаграмма 2">
          <a:extLst>
            <a:ext uri="{FF2B5EF4-FFF2-40B4-BE49-F238E27FC236}">
              <a16:creationId xmlns:a16="http://schemas.microsoft.com/office/drawing/2014/main" id="{D743D67D-A26B-4CBB-8752-182DF7010AD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0</xdr:col>
      <xdr:colOff>136071</xdr:colOff>
      <xdr:row>53</xdr:row>
      <xdr:rowOff>130628</xdr:rowOff>
    </xdr:from>
    <xdr:to>
      <xdr:col>0</xdr:col>
      <xdr:colOff>9448159</xdr:colOff>
      <xdr:row>74</xdr:row>
      <xdr:rowOff>88046</xdr:rowOff>
    </xdr:to>
    <xdr:graphicFrame macro="">
      <xdr:nvGraphicFramePr>
        <xdr:cNvPr id="4" name="Диаграмма 3">
          <a:extLst>
            <a:ext uri="{FF2B5EF4-FFF2-40B4-BE49-F238E27FC236}">
              <a16:creationId xmlns:a16="http://schemas.microsoft.com/office/drawing/2014/main" id="{E052B885-1390-4884-9DED-FCA6B110F09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DAFAE6-7889-4A41-AD82-8B497CF3E4AD}">
  <dimension ref="A1:T47"/>
  <sheetViews>
    <sheetView topLeftCell="A11" zoomScale="74" zoomScaleNormal="70" workbookViewId="0">
      <selection activeCell="W20" sqref="W20"/>
    </sheetView>
  </sheetViews>
  <sheetFormatPr defaultRowHeight="14.4" x14ac:dyDescent="0.55000000000000004"/>
  <cols>
    <col min="1" max="1" width="16.26171875" customWidth="1"/>
    <col min="3" max="3" width="10.68359375" bestFit="1" customWidth="1"/>
    <col min="4" max="4" width="11.578125" customWidth="1"/>
    <col min="9" max="9" width="9.578125" bestFit="1" customWidth="1"/>
  </cols>
  <sheetData>
    <row r="1" spans="1:20" ht="14.7" thickBot="1" x14ac:dyDescent="0.6">
      <c r="A1" t="s">
        <v>0</v>
      </c>
      <c r="B1" s="1" t="s">
        <v>10</v>
      </c>
      <c r="C1" s="2">
        <v>9.8000000000000007</v>
      </c>
    </row>
    <row r="2" spans="1:20" x14ac:dyDescent="0.55000000000000004">
      <c r="D2" s="1" t="s">
        <v>8</v>
      </c>
      <c r="E2" s="2">
        <v>10.1</v>
      </c>
      <c r="F2" s="1" t="s">
        <v>9</v>
      </c>
      <c r="G2" s="2">
        <v>10</v>
      </c>
      <c r="I2" s="4"/>
      <c r="J2" s="5"/>
      <c r="K2" s="6" t="s">
        <v>4</v>
      </c>
      <c r="L2" s="4"/>
      <c r="M2" s="5"/>
      <c r="N2" s="6" t="s">
        <v>5</v>
      </c>
      <c r="O2" s="4"/>
      <c r="P2" s="5"/>
      <c r="Q2" s="6" t="s">
        <v>6</v>
      </c>
      <c r="R2" s="4"/>
      <c r="S2" s="5"/>
      <c r="T2" s="6" t="s">
        <v>7</v>
      </c>
    </row>
    <row r="3" spans="1:20" x14ac:dyDescent="0.55000000000000004">
      <c r="B3" t="s">
        <v>3</v>
      </c>
      <c r="C3" t="s">
        <v>2</v>
      </c>
      <c r="D3" t="s">
        <v>4</v>
      </c>
      <c r="E3" t="s">
        <v>5</v>
      </c>
      <c r="F3" t="s">
        <v>6</v>
      </c>
      <c r="G3" t="s">
        <v>7</v>
      </c>
      <c r="I3" s="7"/>
      <c r="J3" t="s">
        <v>19</v>
      </c>
      <c r="K3" s="8" t="s">
        <v>20</v>
      </c>
      <c r="L3" s="7"/>
      <c r="M3" t="s">
        <v>19</v>
      </c>
      <c r="N3" s="8" t="s">
        <v>20</v>
      </c>
      <c r="O3" s="7"/>
      <c r="P3" t="str">
        <f t="shared" ref="P3:Q10" si="0">M3</f>
        <v>x</v>
      </c>
      <c r="Q3" s="8" t="str">
        <f t="shared" si="0"/>
        <v>y</v>
      </c>
      <c r="R3" s="7"/>
      <c r="S3" t="str">
        <f t="shared" ref="S3:T10" si="1">P3</f>
        <v>x</v>
      </c>
      <c r="T3" s="8" t="str">
        <f t="shared" si="1"/>
        <v>y</v>
      </c>
    </row>
    <row r="4" spans="1:20" x14ac:dyDescent="0.55000000000000004">
      <c r="B4">
        <v>245.5</v>
      </c>
      <c r="C4">
        <f>SUM($B$4:B4)/1000 * $C$1</f>
        <v>2.4058999999999999</v>
      </c>
      <c r="D4">
        <v>8.4</v>
      </c>
      <c r="E4">
        <v>8.4</v>
      </c>
      <c r="F4">
        <v>8.6</v>
      </c>
      <c r="G4">
        <v>8.6999999999999993</v>
      </c>
      <c r="I4" s="7"/>
      <c r="J4">
        <f>C4</f>
        <v>2.4058999999999999</v>
      </c>
      <c r="K4" s="8">
        <f>$E$2-D4</f>
        <v>1.6999999999999993</v>
      </c>
      <c r="L4" s="7"/>
      <c r="M4">
        <f t="shared" ref="M4:M10" si="2">J4</f>
        <v>2.4058999999999999</v>
      </c>
      <c r="N4" s="8">
        <f>$E$2-E4</f>
        <v>1.6999999999999993</v>
      </c>
      <c r="O4" s="7"/>
      <c r="P4">
        <f t="shared" si="0"/>
        <v>2.4058999999999999</v>
      </c>
      <c r="Q4" s="8">
        <f>$G$2-F4</f>
        <v>1.4000000000000004</v>
      </c>
      <c r="R4" s="7"/>
      <c r="S4">
        <f t="shared" si="1"/>
        <v>2.4058999999999999</v>
      </c>
      <c r="T4" s="8">
        <f>$G$2-G4</f>
        <v>1.3000000000000007</v>
      </c>
    </row>
    <row r="5" spans="1:20" x14ac:dyDescent="0.55000000000000004">
      <c r="B5">
        <v>246.1</v>
      </c>
      <c r="C5">
        <f>SUM($B$4:B5)/1000 * $C$1</f>
        <v>4.8176800000000011</v>
      </c>
      <c r="D5">
        <v>7.1</v>
      </c>
      <c r="E5">
        <v>7.3</v>
      </c>
      <c r="F5">
        <v>7.3</v>
      </c>
      <c r="G5">
        <v>7.4</v>
      </c>
      <c r="I5" s="7"/>
      <c r="J5">
        <f t="shared" ref="J5:J10" si="3">C5</f>
        <v>4.8176800000000011</v>
      </c>
      <c r="K5" s="8">
        <f t="shared" ref="K5:K10" si="4">$E$2-D5</f>
        <v>3</v>
      </c>
      <c r="L5" s="7"/>
      <c r="M5">
        <f t="shared" si="2"/>
        <v>4.8176800000000011</v>
      </c>
      <c r="N5" s="8">
        <f t="shared" ref="N5:N10" si="5">$E$2-E5</f>
        <v>2.8</v>
      </c>
      <c r="O5" s="7"/>
      <c r="P5">
        <f t="shared" si="0"/>
        <v>4.8176800000000011</v>
      </c>
      <c r="Q5" s="8">
        <f t="shared" ref="Q5:Q9" si="6">$G$2-F5</f>
        <v>2.7</v>
      </c>
      <c r="R5" s="7"/>
      <c r="S5">
        <f t="shared" si="1"/>
        <v>4.8176800000000011</v>
      </c>
      <c r="T5" s="8">
        <f t="shared" ref="T5:T10" si="7">$G$2-G5</f>
        <v>2.5999999999999996</v>
      </c>
    </row>
    <row r="6" spans="1:20" x14ac:dyDescent="0.55000000000000004">
      <c r="B6">
        <v>245.6</v>
      </c>
      <c r="C6">
        <f>SUM($B$4:B6)/1000 * $C$1</f>
        <v>7.2245600000000012</v>
      </c>
      <c r="D6">
        <v>5.9</v>
      </c>
      <c r="E6">
        <v>6.1</v>
      </c>
      <c r="F6">
        <v>6</v>
      </c>
      <c r="G6">
        <v>6.1</v>
      </c>
      <c r="I6" s="7"/>
      <c r="J6">
        <f t="shared" si="3"/>
        <v>7.2245600000000012</v>
      </c>
      <c r="K6" s="8">
        <f t="shared" si="4"/>
        <v>4.1999999999999993</v>
      </c>
      <c r="L6" s="7"/>
      <c r="M6">
        <f t="shared" si="2"/>
        <v>7.2245600000000012</v>
      </c>
      <c r="N6" s="8">
        <f t="shared" si="5"/>
        <v>4</v>
      </c>
      <c r="O6" s="7"/>
      <c r="P6">
        <f t="shared" si="0"/>
        <v>7.2245600000000012</v>
      </c>
      <c r="Q6" s="8">
        <f t="shared" si="6"/>
        <v>4</v>
      </c>
      <c r="R6" s="7"/>
      <c r="S6">
        <f t="shared" si="1"/>
        <v>7.2245600000000012</v>
      </c>
      <c r="T6" s="8">
        <f t="shared" si="7"/>
        <v>3.9000000000000004</v>
      </c>
    </row>
    <row r="7" spans="1:20" x14ac:dyDescent="0.55000000000000004">
      <c r="B7">
        <v>245.6</v>
      </c>
      <c r="C7">
        <f>SUM($B$4:B7)/1000 * $C$1</f>
        <v>9.6314400000000013</v>
      </c>
      <c r="D7">
        <v>4.5</v>
      </c>
      <c r="E7">
        <v>4.5999999999999996</v>
      </c>
      <c r="F7">
        <v>4.7</v>
      </c>
      <c r="G7">
        <v>4.7</v>
      </c>
      <c r="I7" s="7"/>
      <c r="J7">
        <f t="shared" si="3"/>
        <v>9.6314400000000013</v>
      </c>
      <c r="K7" s="8">
        <f t="shared" si="4"/>
        <v>5.6</v>
      </c>
      <c r="L7" s="7"/>
      <c r="M7">
        <f t="shared" si="2"/>
        <v>9.6314400000000013</v>
      </c>
      <c r="N7" s="8">
        <f t="shared" si="5"/>
        <v>5.5</v>
      </c>
      <c r="O7" s="7"/>
      <c r="P7">
        <f t="shared" si="0"/>
        <v>9.6314400000000013</v>
      </c>
      <c r="Q7" s="8">
        <f t="shared" si="6"/>
        <v>5.3</v>
      </c>
      <c r="R7" s="7"/>
      <c r="S7">
        <f t="shared" si="1"/>
        <v>9.6314400000000013</v>
      </c>
      <c r="T7" s="8">
        <f t="shared" si="7"/>
        <v>5.3</v>
      </c>
    </row>
    <row r="8" spans="1:20" x14ac:dyDescent="0.55000000000000004">
      <c r="B8">
        <v>245.2</v>
      </c>
      <c r="C8">
        <f>SUM($B$4:B8)/1000 * $C$1</f>
        <v>12.034400000000002</v>
      </c>
      <c r="D8">
        <v>3.4</v>
      </c>
      <c r="E8">
        <v>3</v>
      </c>
      <c r="F8">
        <v>3.6</v>
      </c>
      <c r="G8">
        <v>3.5</v>
      </c>
      <c r="I8" s="7"/>
      <c r="J8">
        <f t="shared" si="3"/>
        <v>12.034400000000002</v>
      </c>
      <c r="K8" s="8">
        <f t="shared" si="4"/>
        <v>6.6999999999999993</v>
      </c>
      <c r="L8" s="7"/>
      <c r="M8">
        <f t="shared" si="2"/>
        <v>12.034400000000002</v>
      </c>
      <c r="N8" s="8">
        <f t="shared" si="5"/>
        <v>7.1</v>
      </c>
      <c r="O8" s="7"/>
      <c r="P8">
        <f t="shared" si="0"/>
        <v>12.034400000000002</v>
      </c>
      <c r="Q8" s="8">
        <f t="shared" si="6"/>
        <v>6.4</v>
      </c>
      <c r="R8" s="7"/>
      <c r="S8">
        <f t="shared" si="1"/>
        <v>12.034400000000002</v>
      </c>
      <c r="T8" s="8">
        <f t="shared" si="7"/>
        <v>6.5</v>
      </c>
    </row>
    <row r="9" spans="1:20" x14ac:dyDescent="0.55000000000000004">
      <c r="B9">
        <v>245.8</v>
      </c>
      <c r="C9">
        <f>SUM($B$4:B9)/1000 * $C$1</f>
        <v>14.443240000000001</v>
      </c>
      <c r="D9">
        <v>2.2000000000000002</v>
      </c>
      <c r="E9">
        <v>1.8</v>
      </c>
      <c r="F9">
        <v>2.4</v>
      </c>
      <c r="G9">
        <v>2.4</v>
      </c>
      <c r="I9" s="7"/>
      <c r="J9">
        <f t="shared" si="3"/>
        <v>14.443240000000001</v>
      </c>
      <c r="K9" s="8">
        <f t="shared" si="4"/>
        <v>7.8999999999999995</v>
      </c>
      <c r="L9" s="7"/>
      <c r="M9">
        <f t="shared" si="2"/>
        <v>14.443240000000001</v>
      </c>
      <c r="N9" s="8">
        <f t="shared" si="5"/>
        <v>8.2999999999999989</v>
      </c>
      <c r="O9" s="7"/>
      <c r="P9">
        <f t="shared" si="0"/>
        <v>14.443240000000001</v>
      </c>
      <c r="Q9" s="8">
        <f t="shared" si="6"/>
        <v>7.6</v>
      </c>
      <c r="R9" s="7"/>
      <c r="S9">
        <f t="shared" si="1"/>
        <v>14.443240000000001</v>
      </c>
      <c r="T9" s="8">
        <f t="shared" si="7"/>
        <v>7.6</v>
      </c>
    </row>
    <row r="10" spans="1:20" x14ac:dyDescent="0.55000000000000004">
      <c r="B10">
        <v>245.7</v>
      </c>
      <c r="C10">
        <f>SUM($B$4:B10)/1000 * $C$1</f>
        <v>16.851100000000002</v>
      </c>
      <c r="D10">
        <v>0.9</v>
      </c>
      <c r="E10">
        <v>0.6</v>
      </c>
      <c r="F10">
        <v>1.1000000000000001</v>
      </c>
      <c r="G10">
        <v>1.1000000000000001</v>
      </c>
      <c r="I10" s="7"/>
      <c r="J10">
        <f t="shared" si="3"/>
        <v>16.851100000000002</v>
      </c>
      <c r="K10" s="8">
        <f t="shared" si="4"/>
        <v>9.1999999999999993</v>
      </c>
      <c r="L10" s="7"/>
      <c r="M10">
        <f t="shared" si="2"/>
        <v>16.851100000000002</v>
      </c>
      <c r="N10" s="8">
        <f t="shared" si="5"/>
        <v>9.5</v>
      </c>
      <c r="O10" s="7"/>
      <c r="P10">
        <f t="shared" si="0"/>
        <v>16.851100000000002</v>
      </c>
      <c r="Q10" s="8">
        <f>$G$2-F10</f>
        <v>8.9</v>
      </c>
      <c r="R10" s="7"/>
      <c r="S10">
        <f t="shared" si="1"/>
        <v>16.851100000000002</v>
      </c>
      <c r="T10" s="8">
        <f t="shared" si="7"/>
        <v>8.9</v>
      </c>
    </row>
    <row r="11" spans="1:20" x14ac:dyDescent="0.55000000000000004">
      <c r="I11" s="7"/>
      <c r="K11" s="8"/>
      <c r="L11" s="7"/>
      <c r="N11" s="8"/>
      <c r="O11" s="7"/>
      <c r="Q11" s="8"/>
      <c r="R11" s="7"/>
      <c r="T11" s="8"/>
    </row>
    <row r="12" spans="1:20" x14ac:dyDescent="0.55000000000000004">
      <c r="I12" s="7" t="s">
        <v>17</v>
      </c>
      <c r="J12" t="s">
        <v>18</v>
      </c>
      <c r="K12" s="8" t="s">
        <v>16</v>
      </c>
      <c r="L12" s="7" t="s">
        <v>17</v>
      </c>
      <c r="M12" t="s">
        <v>18</v>
      </c>
      <c r="N12" s="8" t="s">
        <v>16</v>
      </c>
      <c r="O12" s="7" t="s">
        <v>17</v>
      </c>
      <c r="P12" t="s">
        <v>18</v>
      </c>
      <c r="Q12" s="8" t="s">
        <v>16</v>
      </c>
      <c r="R12" s="7" t="s">
        <v>17</v>
      </c>
      <c r="S12" t="s">
        <v>18</v>
      </c>
      <c r="T12" s="8" t="s">
        <v>16</v>
      </c>
    </row>
    <row r="13" spans="1:20" x14ac:dyDescent="0.55000000000000004">
      <c r="D13" t="s">
        <v>28</v>
      </c>
      <c r="I13" s="7">
        <f>J4*J4</f>
        <v>5.7883548099999995</v>
      </c>
      <c r="J13">
        <f>K4*K4</f>
        <v>2.8899999999999975</v>
      </c>
      <c r="K13" s="8">
        <f>J4*K4</f>
        <v>4.0900299999999978</v>
      </c>
      <c r="L13" s="7">
        <f>M4*M4</f>
        <v>5.7883548099999995</v>
      </c>
      <c r="M13">
        <f>N4*N4</f>
        <v>2.8899999999999975</v>
      </c>
      <c r="N13" s="8">
        <f>M4*N4</f>
        <v>4.0900299999999978</v>
      </c>
      <c r="O13" s="7">
        <f>P4*P4</f>
        <v>5.7883548099999995</v>
      </c>
      <c r="P13">
        <f>Q4*Q4</f>
        <v>1.9600000000000011</v>
      </c>
      <c r="Q13" s="8">
        <f>P4*Q4</f>
        <v>3.3682600000000007</v>
      </c>
      <c r="R13" s="7">
        <f>S4*S4</f>
        <v>5.7883548099999995</v>
      </c>
      <c r="S13">
        <f>T4*T4</f>
        <v>1.6900000000000019</v>
      </c>
      <c r="T13" s="8">
        <f>S4*T4</f>
        <v>3.1276700000000015</v>
      </c>
    </row>
    <row r="14" spans="1:20" x14ac:dyDescent="0.55000000000000004">
      <c r="B14" t="s">
        <v>26</v>
      </c>
      <c r="C14">
        <v>1.764</v>
      </c>
      <c r="D14">
        <f>0.5/100</f>
        <v>5.0000000000000001E-3</v>
      </c>
      <c r="E14" t="s">
        <v>29</v>
      </c>
      <c r="I14" s="7">
        <f t="shared" ref="I14:J19" si="8">J5*J5</f>
        <v>23.210040582400012</v>
      </c>
      <c r="J14">
        <f t="shared" si="8"/>
        <v>9</v>
      </c>
      <c r="K14" s="8">
        <f t="shared" ref="K14:K19" si="9">J5*K5</f>
        <v>14.453040000000003</v>
      </c>
      <c r="L14" s="7">
        <f t="shared" ref="L14:M14" si="10">M5*M5</f>
        <v>23.210040582400012</v>
      </c>
      <c r="M14">
        <f t="shared" si="10"/>
        <v>7.839999999999999</v>
      </c>
      <c r="N14" s="8">
        <f t="shared" ref="N14:N19" si="11">M5*N5</f>
        <v>13.489504000000002</v>
      </c>
      <c r="O14" s="7">
        <f t="shared" ref="O14:P14" si="12">P5*P5</f>
        <v>23.210040582400012</v>
      </c>
      <c r="P14">
        <f t="shared" si="12"/>
        <v>7.2900000000000009</v>
      </c>
      <c r="Q14" s="8">
        <f t="shared" ref="Q14:Q19" si="13">P5*Q5</f>
        <v>13.007736000000003</v>
      </c>
      <c r="R14" s="7">
        <f t="shared" ref="R14:S14" si="14">S5*S5</f>
        <v>23.210040582400012</v>
      </c>
      <c r="S14">
        <f t="shared" si="14"/>
        <v>6.759999999999998</v>
      </c>
      <c r="T14" s="8">
        <f t="shared" ref="T14:T19" si="15">S5*T5</f>
        <v>12.525968000000001</v>
      </c>
    </row>
    <row r="15" spans="1:20" x14ac:dyDescent="0.55000000000000004">
      <c r="B15" t="s">
        <v>27</v>
      </c>
      <c r="C15">
        <v>1.44</v>
      </c>
      <c r="D15">
        <f>0.1/100</f>
        <v>1E-3</v>
      </c>
      <c r="E15" t="s">
        <v>29</v>
      </c>
      <c r="I15" s="7">
        <f t="shared" si="8"/>
        <v>52.19426719360002</v>
      </c>
      <c r="J15">
        <f t="shared" si="8"/>
        <v>17.639999999999993</v>
      </c>
      <c r="K15" s="8">
        <f t="shared" si="9"/>
        <v>30.343152</v>
      </c>
      <c r="L15" s="7">
        <f t="shared" ref="L15:M15" si="16">M6*M6</f>
        <v>52.19426719360002</v>
      </c>
      <c r="M15">
        <f t="shared" si="16"/>
        <v>16</v>
      </c>
      <c r="N15" s="8">
        <f t="shared" si="11"/>
        <v>28.898240000000005</v>
      </c>
      <c r="O15" s="7">
        <f t="shared" ref="O15:P15" si="17">P6*P6</f>
        <v>52.19426719360002</v>
      </c>
      <c r="P15">
        <f t="shared" si="17"/>
        <v>16</v>
      </c>
      <c r="Q15" s="8">
        <f t="shared" si="13"/>
        <v>28.898240000000005</v>
      </c>
      <c r="R15" s="7">
        <f t="shared" ref="R15:S15" si="18">S6*S6</f>
        <v>52.19426719360002</v>
      </c>
      <c r="S15">
        <f t="shared" si="18"/>
        <v>15.210000000000003</v>
      </c>
      <c r="T15" s="8">
        <f t="shared" si="15"/>
        <v>28.175784000000007</v>
      </c>
    </row>
    <row r="16" spans="1:20" x14ac:dyDescent="0.55000000000000004">
      <c r="B16" t="s">
        <v>30</v>
      </c>
      <c r="C16">
        <f>13/1000</f>
        <v>1.2999999999999999E-2</v>
      </c>
      <c r="D16">
        <f>1/1000</f>
        <v>1E-3</v>
      </c>
      <c r="E16" t="s">
        <v>29</v>
      </c>
      <c r="I16" s="7">
        <f t="shared" si="8"/>
        <v>92.764636473600021</v>
      </c>
      <c r="J16">
        <f t="shared" si="8"/>
        <v>31.359999999999996</v>
      </c>
      <c r="K16" s="8">
        <f t="shared" si="9"/>
        <v>53.936064000000002</v>
      </c>
      <c r="L16" s="7">
        <f t="shared" ref="L16:M16" si="19">M7*M7</f>
        <v>92.764636473600021</v>
      </c>
      <c r="M16">
        <f t="shared" si="19"/>
        <v>30.25</v>
      </c>
      <c r="N16" s="8">
        <f t="shared" si="11"/>
        <v>52.972920000000009</v>
      </c>
      <c r="O16" s="7">
        <f t="shared" ref="O16:P16" si="20">P7*P7</f>
        <v>92.764636473600021</v>
      </c>
      <c r="P16">
        <f t="shared" si="20"/>
        <v>28.09</v>
      </c>
      <c r="Q16" s="8">
        <f t="shared" si="13"/>
        <v>51.046632000000002</v>
      </c>
      <c r="R16" s="7">
        <f t="shared" ref="R16:S16" si="21">S7*S7</f>
        <v>92.764636473600021</v>
      </c>
      <c r="S16">
        <f t="shared" si="21"/>
        <v>28.09</v>
      </c>
      <c r="T16" s="8">
        <f t="shared" si="15"/>
        <v>51.046632000000002</v>
      </c>
    </row>
    <row r="17" spans="2:20" x14ac:dyDescent="0.55000000000000004">
      <c r="B17" t="s">
        <v>31</v>
      </c>
      <c r="C17">
        <f>0.42/1000000</f>
        <v>4.2E-7</v>
      </c>
      <c r="D17">
        <f>2*C17*0.01/0.73</f>
        <v>1.1506849315068494E-8</v>
      </c>
      <c r="E17" t="s">
        <v>29</v>
      </c>
      <c r="I17" s="7">
        <f t="shared" si="8"/>
        <v>144.82678336000004</v>
      </c>
      <c r="J17">
        <f t="shared" si="8"/>
        <v>44.889999999999993</v>
      </c>
      <c r="K17" s="8">
        <f t="shared" si="9"/>
        <v>80.630480000000006</v>
      </c>
      <c r="L17" s="7">
        <f t="shared" ref="L17:M17" si="22">M8*M8</f>
        <v>144.82678336000004</v>
      </c>
      <c r="M17">
        <f t="shared" si="22"/>
        <v>50.41</v>
      </c>
      <c r="N17" s="8">
        <f t="shared" si="11"/>
        <v>85.444240000000008</v>
      </c>
      <c r="O17" s="7">
        <f t="shared" ref="O17:P17" si="23">P8*P8</f>
        <v>144.82678336000004</v>
      </c>
      <c r="P17">
        <f t="shared" si="23"/>
        <v>40.960000000000008</v>
      </c>
      <c r="Q17" s="8">
        <f t="shared" si="13"/>
        <v>77.020160000000018</v>
      </c>
      <c r="R17" s="7">
        <f t="shared" ref="R17:S17" si="24">S8*S8</f>
        <v>144.82678336000004</v>
      </c>
      <c r="S17">
        <f t="shared" si="24"/>
        <v>42.25</v>
      </c>
      <c r="T17" s="8">
        <f t="shared" si="15"/>
        <v>78.223600000000005</v>
      </c>
    </row>
    <row r="18" spans="2:20" x14ac:dyDescent="0.55000000000000004">
      <c r="I18" s="7">
        <f t="shared" si="8"/>
        <v>208.60718169760003</v>
      </c>
      <c r="J18">
        <f t="shared" si="8"/>
        <v>62.409999999999989</v>
      </c>
      <c r="K18" s="8">
        <f t="shared" si="9"/>
        <v>114.101596</v>
      </c>
      <c r="L18" s="7">
        <f t="shared" ref="L18:M18" si="25">M9*M9</f>
        <v>208.60718169760003</v>
      </c>
      <c r="M18">
        <f t="shared" si="25"/>
        <v>68.889999999999986</v>
      </c>
      <c r="N18" s="8">
        <f t="shared" si="11"/>
        <v>119.87889199999999</v>
      </c>
      <c r="O18" s="7">
        <f t="shared" ref="O18:P18" si="26">P9*P9</f>
        <v>208.60718169760003</v>
      </c>
      <c r="P18">
        <f t="shared" si="26"/>
        <v>57.76</v>
      </c>
      <c r="Q18" s="8">
        <f t="shared" si="13"/>
        <v>109.768624</v>
      </c>
      <c r="R18" s="7">
        <f t="shared" ref="R18:S18" si="27">S9*S9</f>
        <v>208.60718169760003</v>
      </c>
      <c r="S18">
        <f t="shared" si="27"/>
        <v>57.76</v>
      </c>
      <c r="T18" s="8">
        <f t="shared" si="15"/>
        <v>109.768624</v>
      </c>
    </row>
    <row r="19" spans="2:20" x14ac:dyDescent="0.55000000000000004">
      <c r="I19" s="7">
        <f t="shared" si="8"/>
        <v>283.95957121000009</v>
      </c>
      <c r="J19">
        <f t="shared" si="8"/>
        <v>84.639999999999986</v>
      </c>
      <c r="K19" s="8">
        <f t="shared" si="9"/>
        <v>155.03012000000001</v>
      </c>
      <c r="L19" s="7">
        <f t="shared" ref="L19:M19" si="28">M10*M10</f>
        <v>283.95957121000009</v>
      </c>
      <c r="M19">
        <f t="shared" si="28"/>
        <v>90.25</v>
      </c>
      <c r="N19" s="8">
        <f t="shared" si="11"/>
        <v>160.08545000000004</v>
      </c>
      <c r="O19" s="7">
        <f t="shared" ref="O19:P19" si="29">P10*P10</f>
        <v>283.95957121000009</v>
      </c>
      <c r="P19">
        <f t="shared" si="29"/>
        <v>79.210000000000008</v>
      </c>
      <c r="Q19" s="8">
        <f t="shared" si="13"/>
        <v>149.97479000000004</v>
      </c>
      <c r="R19" s="7">
        <f t="shared" ref="R19:S19" si="30">S10*S10</f>
        <v>283.95957121000009</v>
      </c>
      <c r="S19">
        <f t="shared" si="30"/>
        <v>79.210000000000008</v>
      </c>
      <c r="T19" s="8">
        <f t="shared" si="15"/>
        <v>149.97479000000004</v>
      </c>
    </row>
    <row r="20" spans="2:20" x14ac:dyDescent="0.55000000000000004">
      <c r="I20" s="7" t="s">
        <v>14</v>
      </c>
      <c r="J20" t="s">
        <v>15</v>
      </c>
      <c r="K20" s="8" t="s">
        <v>13</v>
      </c>
      <c r="L20" s="7" t="s">
        <v>14</v>
      </c>
      <c r="M20" t="s">
        <v>15</v>
      </c>
      <c r="N20" s="8" t="s">
        <v>13</v>
      </c>
      <c r="O20" s="7" t="s">
        <v>14</v>
      </c>
      <c r="P20" t="s">
        <v>15</v>
      </c>
      <c r="Q20" s="8" t="s">
        <v>13</v>
      </c>
      <c r="R20" s="7" t="s">
        <v>14</v>
      </c>
      <c r="S20" t="s">
        <v>15</v>
      </c>
      <c r="T20" s="8" t="s">
        <v>13</v>
      </c>
    </row>
    <row r="21" spans="2:20" x14ac:dyDescent="0.55000000000000004">
      <c r="I21" s="7">
        <f>AVERAGE(I13:I19)</f>
        <v>115.90726218960003</v>
      </c>
      <c r="J21">
        <f t="shared" ref="J21:K21" si="31">AVERAGE(J13:J19)</f>
        <v>36.118571428571421</v>
      </c>
      <c r="K21" s="8">
        <f t="shared" si="31"/>
        <v>64.654926000000003</v>
      </c>
      <c r="L21" s="7">
        <f>AVERAGE(L13:L19)</f>
        <v>115.90726218960003</v>
      </c>
      <c r="M21">
        <f t="shared" ref="M21:N21" si="32">AVERAGE(M13:M19)</f>
        <v>38.075714285714284</v>
      </c>
      <c r="N21" s="8">
        <f t="shared" si="32"/>
        <v>66.408468000000013</v>
      </c>
      <c r="O21" s="7">
        <f>AVERAGE(O13:O19)</f>
        <v>115.90726218960003</v>
      </c>
      <c r="P21">
        <f t="shared" ref="P21:Q21" si="33">AVERAGE(P13:P19)</f>
        <v>33.03857142857143</v>
      </c>
      <c r="Q21" s="8">
        <f t="shared" si="33"/>
        <v>61.869206000000013</v>
      </c>
      <c r="R21" s="7">
        <f>AVERAGE(R13:R19)</f>
        <v>115.90726218960003</v>
      </c>
      <c r="S21">
        <f t="shared" ref="S21:T21" si="34">AVERAGE(S13:S19)</f>
        <v>32.995714285714286</v>
      </c>
      <c r="T21" s="8">
        <f t="shared" si="34"/>
        <v>61.834724000000008</v>
      </c>
    </row>
    <row r="22" spans="2:20" x14ac:dyDescent="0.55000000000000004">
      <c r="I22" s="7"/>
      <c r="K22" s="8"/>
      <c r="L22" s="7"/>
      <c r="N22" s="8"/>
      <c r="O22" s="7"/>
      <c r="Q22" s="8"/>
      <c r="R22" s="7"/>
      <c r="T22" s="8"/>
    </row>
    <row r="23" spans="2:20" x14ac:dyDescent="0.55000000000000004">
      <c r="I23" s="7" t="s">
        <v>11</v>
      </c>
      <c r="J23" t="s">
        <v>12</v>
      </c>
      <c r="K23" s="8"/>
      <c r="L23" s="7" t="s">
        <v>11</v>
      </c>
      <c r="M23" t="s">
        <v>12</v>
      </c>
      <c r="N23" s="8"/>
      <c r="O23" s="7" t="s">
        <v>11</v>
      </c>
      <c r="P23" t="s">
        <v>12</v>
      </c>
      <c r="Q23" s="8"/>
      <c r="R23" s="7" t="s">
        <v>11</v>
      </c>
      <c r="S23" t="s">
        <v>12</v>
      </c>
      <c r="T23" s="8"/>
    </row>
    <row r="24" spans="2:20" x14ac:dyDescent="0.55000000000000004">
      <c r="I24" s="7">
        <f>AVERAGE(J4:J10)</f>
        <v>9.629760000000001</v>
      </c>
      <c r="J24">
        <f>AVERAGE(K4:K10)</f>
        <v>5.4714285714285706</v>
      </c>
      <c r="K24" s="8"/>
      <c r="L24" s="7">
        <f>AVERAGE(M4:M10)</f>
        <v>9.629760000000001</v>
      </c>
      <c r="M24">
        <f>AVERAGE(N4:N10)</f>
        <v>5.5571428571428569</v>
      </c>
      <c r="N24" s="8"/>
      <c r="O24" s="7">
        <f>AVERAGE(P4:P10)</f>
        <v>9.629760000000001</v>
      </c>
      <c r="P24">
        <f>AVERAGE(Q4:Q10)</f>
        <v>5.1857142857142859</v>
      </c>
      <c r="Q24" s="8"/>
      <c r="R24" s="7">
        <f>AVERAGE(S4:S10)</f>
        <v>9.629760000000001</v>
      </c>
      <c r="S24">
        <f>AVERAGE(T4:T10)</f>
        <v>5.1571428571428575</v>
      </c>
      <c r="T24" s="8"/>
    </row>
    <row r="25" spans="2:20" x14ac:dyDescent="0.55000000000000004">
      <c r="I25" s="7"/>
      <c r="K25" s="8"/>
      <c r="L25" s="7"/>
      <c r="N25" s="8"/>
      <c r="O25" s="7"/>
      <c r="Q25" s="8"/>
      <c r="R25" s="7"/>
      <c r="T25" s="8"/>
    </row>
    <row r="26" spans="2:20" x14ac:dyDescent="0.55000000000000004">
      <c r="I26" s="7" t="s">
        <v>21</v>
      </c>
      <c r="J26" t="s">
        <v>22</v>
      </c>
      <c r="K26" s="8"/>
      <c r="L26" s="7" t="s">
        <v>21</v>
      </c>
      <c r="M26" t="s">
        <v>22</v>
      </c>
      <c r="N26" s="8"/>
      <c r="O26" s="7" t="s">
        <v>21</v>
      </c>
      <c r="P26" t="s">
        <v>22</v>
      </c>
      <c r="Q26" s="8"/>
      <c r="R26" s="7" t="s">
        <v>21</v>
      </c>
      <c r="S26" t="s">
        <v>22</v>
      </c>
      <c r="T26" s="8"/>
    </row>
    <row r="27" spans="2:20" x14ac:dyDescent="0.55000000000000004">
      <c r="I27" s="7">
        <f>(K21-I24*J24)/(I21-I24*I24)</f>
        <v>0.51634908249784706</v>
      </c>
      <c r="J27">
        <f>J24-I27*I24</f>
        <v>0.49911083075410279</v>
      </c>
      <c r="K27" s="8" t="s">
        <v>32</v>
      </c>
      <c r="L27" s="7">
        <f>(N21-L24*M24)/(L21-L24*L24)</f>
        <v>0.55639804126709413</v>
      </c>
      <c r="M27">
        <f>M24-L27*L24</f>
        <v>0.19916325527064416</v>
      </c>
      <c r="N27" s="8" t="s">
        <v>32</v>
      </c>
      <c r="O27" s="7">
        <f>(Q21-O24*P24)/(O21-O24*O24)</f>
        <v>0.51486644936156356</v>
      </c>
      <c r="P27">
        <f>P24-O27*O24</f>
        <v>0.22767394631027482</v>
      </c>
      <c r="Q27" s="8" t="s">
        <v>32</v>
      </c>
      <c r="R27" s="7">
        <f>(T21-R24*S24)/(R21-R24*R24)</f>
        <v>0.52525066341217941</v>
      </c>
      <c r="S27">
        <f>S24-R27*R24</f>
        <v>9.9105028642788362E-2</v>
      </c>
      <c r="T27" s="8" t="s">
        <v>32</v>
      </c>
    </row>
    <row r="28" spans="2:20" x14ac:dyDescent="0.55000000000000004">
      <c r="I28" s="7" t="s">
        <v>25</v>
      </c>
      <c r="K28" s="8"/>
      <c r="L28" s="7" t="s">
        <v>25</v>
      </c>
      <c r="N28" s="8"/>
      <c r="O28" s="7" t="s">
        <v>25</v>
      </c>
      <c r="Q28" s="8"/>
      <c r="R28" s="7" t="s">
        <v>25</v>
      </c>
      <c r="T28" s="8"/>
    </row>
    <row r="29" spans="2:20" x14ac:dyDescent="0.55000000000000004">
      <c r="I29" s="7">
        <f>1/SQRT(7)*SQRT((J21-J24*J24)/(I21-I24*I24) - I27*I27)</f>
        <v>4.4486085866999652E-3</v>
      </c>
      <c r="J29" t="s">
        <v>32</v>
      </c>
      <c r="K29" s="8"/>
      <c r="L29" s="7">
        <f>1/SQRT(7)*SQRT((M21-M24*M24)/(L21-L24*L24) - L27*L27)</f>
        <v>1.093392601194434E-2</v>
      </c>
      <c r="M29" t="s">
        <v>32</v>
      </c>
      <c r="N29" s="8"/>
      <c r="O29" s="7">
        <f>1/SQRT(7)*SQRT((P21-P24*P24)/(O21-O24*O24) - O27*O27)</f>
        <v>4.6719981628168504E-3</v>
      </c>
      <c r="P29" t="s">
        <v>32</v>
      </c>
      <c r="Q29" s="8"/>
      <c r="R29" s="7">
        <f>1/SQRT(7)*SQRT((S21-S24*S24)/(R21-R24*R24) - R27*R27)</f>
        <v>6.0233767453053665E-3</v>
      </c>
      <c r="S29" t="s">
        <v>32</v>
      </c>
      <c r="T29" s="8"/>
    </row>
    <row r="30" spans="2:20" x14ac:dyDescent="0.55000000000000004">
      <c r="I30" s="7" t="s">
        <v>23</v>
      </c>
      <c r="K30" s="8"/>
      <c r="L30" s="7" t="s">
        <v>23</v>
      </c>
      <c r="N30" s="8"/>
      <c r="O30" s="7" t="s">
        <v>23</v>
      </c>
      <c r="Q30" s="8"/>
      <c r="R30" s="7" t="s">
        <v>23</v>
      </c>
      <c r="T30" s="8"/>
    </row>
    <row r="31" spans="2:20" x14ac:dyDescent="0.55000000000000004">
      <c r="I31" s="7">
        <f>2*$C$14*$C$15/$C$17/$C$16/I27*100  /1000000000</f>
        <v>180.20009524572322</v>
      </c>
      <c r="J31" t="s">
        <v>36</v>
      </c>
      <c r="K31" s="8"/>
      <c r="L31" s="7">
        <f>2*$C$14*$C$15/$C$17/$C$16/L27*100  /1000000000</f>
        <v>167.22947772112627</v>
      </c>
      <c r="M31" t="s">
        <v>36</v>
      </c>
      <c r="N31" s="8"/>
      <c r="O31" s="7">
        <f>2*$C$14*$C$15/$C$17/$C$16/O27*100  /1000000000</f>
        <v>180.71900773789287</v>
      </c>
      <c r="P31" t="s">
        <v>36</v>
      </c>
      <c r="Q31" s="8"/>
      <c r="R31" s="7">
        <f>2*$C$14*$C$15/$C$17/$C$16/R27*100  /1000000000</f>
        <v>177.1461900527631</v>
      </c>
      <c r="S31" t="s">
        <v>36</v>
      </c>
      <c r="T31" s="8"/>
    </row>
    <row r="32" spans="2:20" x14ac:dyDescent="0.55000000000000004">
      <c r="I32" s="7" t="s">
        <v>24</v>
      </c>
      <c r="K32" s="8"/>
      <c r="L32" s="7" t="s">
        <v>24</v>
      </c>
      <c r="N32" s="8"/>
      <c r="O32" s="7" t="s">
        <v>24</v>
      </c>
      <c r="Q32" s="8"/>
      <c r="R32" s="7" t="s">
        <v>24</v>
      </c>
      <c r="T32" s="8"/>
    </row>
    <row r="33" spans="9:20" ht="14.7" thickBot="1" x14ac:dyDescent="0.6">
      <c r="I33" s="9">
        <f>I31*SQRT((I29/I27)^2 + ($D14/$C14)^2 +  ($D15/$C15)^2 + ($D17/$C17)^2 + ($D16/$C16)^2)</f>
        <v>14.805511168533313</v>
      </c>
      <c r="J33" s="3" t="s">
        <v>36</v>
      </c>
      <c r="K33" s="10"/>
      <c r="L33" s="9">
        <f>L31*SQRT((L29/L27)^2 + ($D14/$C14)^2 +  ($D15/$C15)^2 + ($D17/$C17)^2 + ($D16/$C16)^2)</f>
        <v>14.053703390650966</v>
      </c>
      <c r="M33" s="3" t="s">
        <v>36</v>
      </c>
      <c r="N33" s="10"/>
      <c r="O33" s="9">
        <f>O31*SQRT((O29/O27)^2 + ($D14/$C14)^2 +  ($D15/$C15)^2 + ($D17/$C17)^2 + ($D16/$C16)^2)</f>
        <v>14.85706679176668</v>
      </c>
      <c r="P33" s="3" t="s">
        <v>36</v>
      </c>
      <c r="Q33" s="10"/>
      <c r="R33" s="9">
        <f>R31*SQRT((R29/R27)^2 + ($D14/$C14)^2 +  ($D15/$C15)^2 + ($D17/$C17)^2 + ($D16/$C16)^2)</f>
        <v>14.616216607056316</v>
      </c>
      <c r="S33" s="3" t="s">
        <v>36</v>
      </c>
      <c r="T33" s="10"/>
    </row>
    <row r="37" spans="9:20" x14ac:dyDescent="0.55000000000000004">
      <c r="I37" t="s">
        <v>33</v>
      </c>
    </row>
    <row r="38" spans="9:20" x14ac:dyDescent="0.55000000000000004">
      <c r="I38" t="s">
        <v>34</v>
      </c>
      <c r="J38" t="s">
        <v>35</v>
      </c>
    </row>
    <row r="39" spans="9:20" x14ac:dyDescent="0.55000000000000004">
      <c r="I39">
        <f>AVERAGE(I27,L27,O27,R27)</f>
        <v>0.52821605913467096</v>
      </c>
      <c r="J39">
        <f>AVERAGE(J27,M27,P27,S27)</f>
        <v>0.25626326524445253</v>
      </c>
    </row>
    <row r="41" spans="9:20" x14ac:dyDescent="0.55000000000000004">
      <c r="I41" t="s">
        <v>19</v>
      </c>
      <c r="J41" t="s">
        <v>20</v>
      </c>
    </row>
    <row r="42" spans="9:20" x14ac:dyDescent="0.55000000000000004">
      <c r="I42">
        <v>0</v>
      </c>
      <c r="J42">
        <f>J39</f>
        <v>0.25626326524445253</v>
      </c>
    </row>
    <row r="43" spans="9:20" x14ac:dyDescent="0.55000000000000004">
      <c r="I43">
        <v>20</v>
      </c>
      <c r="J43">
        <f>I43*I39</f>
        <v>10.564321182693419</v>
      </c>
    </row>
    <row r="45" spans="9:20" ht="14.7" thickBot="1" x14ac:dyDescent="0.6"/>
    <row r="46" spans="9:20" x14ac:dyDescent="0.55000000000000004">
      <c r="I46" s="4" t="s">
        <v>54</v>
      </c>
      <c r="J46" s="6">
        <f>AVERAGE(I31,L31,O31,R31)</f>
        <v>176.32369268937637</v>
      </c>
    </row>
    <row r="47" spans="9:20" ht="14.7" thickBot="1" x14ac:dyDescent="0.6">
      <c r="I47" s="9" t="s">
        <v>55</v>
      </c>
      <c r="J47" s="10">
        <f>AVERAGE(I33,L33,O33,R33)</f>
        <v>14.58312448950182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6EF941-85E5-4F27-A04B-5FDC1F1670F8}">
  <dimension ref="A1:AJ76"/>
  <sheetViews>
    <sheetView tabSelected="1" zoomScale="53" zoomScaleNormal="70" workbookViewId="0">
      <selection activeCell="G25" sqref="G25"/>
    </sheetView>
  </sheetViews>
  <sheetFormatPr defaultRowHeight="14.4" x14ac:dyDescent="0.55000000000000004"/>
  <cols>
    <col min="1" max="1" width="132.9453125" customWidth="1"/>
    <col min="2" max="2" width="12.62890625" customWidth="1"/>
    <col min="3" max="3" width="11.68359375" bestFit="1" customWidth="1"/>
  </cols>
  <sheetData>
    <row r="1" spans="1:36" x14ac:dyDescent="0.55000000000000004">
      <c r="A1" t="s">
        <v>37</v>
      </c>
      <c r="B1" t="s">
        <v>42</v>
      </c>
      <c r="C1">
        <v>9.8000000000000007</v>
      </c>
    </row>
    <row r="2" spans="1:36" ht="14.7" thickBot="1" x14ac:dyDescent="0.6">
      <c r="B2" t="s">
        <v>48</v>
      </c>
      <c r="C2">
        <v>0.5</v>
      </c>
      <c r="D2">
        <v>1E-3</v>
      </c>
      <c r="E2" t="s">
        <v>29</v>
      </c>
    </row>
    <row r="3" spans="1:36" x14ac:dyDescent="0.55000000000000004">
      <c r="B3" s="4" t="s">
        <v>38</v>
      </c>
      <c r="C3" s="5" t="s">
        <v>39</v>
      </c>
      <c r="D3" s="5">
        <v>8.48</v>
      </c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 t="s">
        <v>16</v>
      </c>
      <c r="W3" s="5">
        <f>C5*C7</f>
        <v>3.4053040000000032</v>
      </c>
      <c r="X3" s="5">
        <f t="shared" ref="X3:AJ3" si="0">D5*D7</f>
        <v>13.509858600000003</v>
      </c>
      <c r="Y3" s="5">
        <f t="shared" si="0"/>
        <v>29.06062600000001</v>
      </c>
      <c r="Z3" s="5">
        <f t="shared" si="0"/>
        <v>52.929643200000001</v>
      </c>
      <c r="AA3" s="5">
        <f t="shared" si="0"/>
        <v>82.950110600000016</v>
      </c>
      <c r="AB3" s="5">
        <f t="shared" si="0"/>
        <v>117.66644400000003</v>
      </c>
      <c r="AC3" s="5">
        <f t="shared" si="0"/>
        <v>162.00590700000006</v>
      </c>
      <c r="AD3" s="5">
        <f t="shared" si="0"/>
        <v>162.67122900000007</v>
      </c>
      <c r="AE3" s="5">
        <f t="shared" si="0"/>
        <v>118.80057840000003</v>
      </c>
      <c r="AF3" s="5">
        <f t="shared" si="0"/>
        <v>83.900828200000021</v>
      </c>
      <c r="AG3" s="5">
        <f t="shared" si="0"/>
        <v>54.262404000000011</v>
      </c>
      <c r="AH3" s="5">
        <f t="shared" si="0"/>
        <v>30.330265000000008</v>
      </c>
      <c r="AI3" s="5">
        <f t="shared" si="0"/>
        <v>14.276375400000004</v>
      </c>
      <c r="AJ3" s="6">
        <f t="shared" si="0"/>
        <v>3.7558500000000006</v>
      </c>
    </row>
    <row r="4" spans="1:36" ht="14.7" thickBot="1" x14ac:dyDescent="0.6">
      <c r="B4" s="7" t="s">
        <v>20</v>
      </c>
      <c r="C4">
        <v>7.8</v>
      </c>
      <c r="D4">
        <v>7.07</v>
      </c>
      <c r="E4">
        <v>6.42</v>
      </c>
      <c r="F4">
        <v>5.7</v>
      </c>
      <c r="G4">
        <v>4.99</v>
      </c>
      <c r="H4">
        <v>4.33</v>
      </c>
      <c r="I4">
        <v>3.61</v>
      </c>
      <c r="J4">
        <v>3.59</v>
      </c>
      <c r="K4">
        <v>4.29</v>
      </c>
      <c r="L4">
        <v>4.95</v>
      </c>
      <c r="M4">
        <v>5.63</v>
      </c>
      <c r="N4">
        <v>6.33</v>
      </c>
      <c r="O4">
        <v>6.99</v>
      </c>
      <c r="P4">
        <v>7.73</v>
      </c>
      <c r="R4" t="s">
        <v>11</v>
      </c>
      <c r="S4" t="s">
        <v>12</v>
      </c>
      <c r="V4" t="s">
        <v>17</v>
      </c>
      <c r="W4">
        <f>C5*C5</f>
        <v>0.46240000000000081</v>
      </c>
      <c r="X4">
        <f t="shared" ref="X4:AJ4" si="1">D5*D5</f>
        <v>1.9881000000000004</v>
      </c>
      <c r="Y4">
        <f t="shared" si="1"/>
        <v>4.2436000000000025</v>
      </c>
      <c r="Z4">
        <f t="shared" si="1"/>
        <v>7.7284000000000015</v>
      </c>
      <c r="AA4">
        <f t="shared" si="1"/>
        <v>12.180100000000001</v>
      </c>
      <c r="AB4">
        <f t="shared" si="1"/>
        <v>17.222500000000004</v>
      </c>
      <c r="AC4">
        <f t="shared" si="1"/>
        <v>23.71690000000001</v>
      </c>
      <c r="AD4">
        <f t="shared" si="1"/>
        <v>23.912100000000006</v>
      </c>
      <c r="AE4">
        <f t="shared" si="1"/>
        <v>17.556100000000004</v>
      </c>
      <c r="AF4">
        <f t="shared" si="1"/>
        <v>12.460900000000002</v>
      </c>
      <c r="AG4">
        <f t="shared" si="1"/>
        <v>8.1225000000000023</v>
      </c>
      <c r="AH4">
        <f t="shared" si="1"/>
        <v>4.6225000000000014</v>
      </c>
      <c r="AI4">
        <f t="shared" si="1"/>
        <v>2.2201000000000009</v>
      </c>
      <c r="AJ4" s="8">
        <f t="shared" si="1"/>
        <v>0.5625</v>
      </c>
    </row>
    <row r="5" spans="1:36" ht="14.7" thickBot="1" x14ac:dyDescent="0.6">
      <c r="B5" s="7" t="s">
        <v>40</v>
      </c>
      <c r="C5" s="11">
        <f>$D3-C4</f>
        <v>0.6800000000000006</v>
      </c>
      <c r="D5" s="12">
        <f t="shared" ref="D5:P5" si="2">$D3-D4</f>
        <v>1.4100000000000001</v>
      </c>
      <c r="E5" s="12">
        <f t="shared" si="2"/>
        <v>2.0600000000000005</v>
      </c>
      <c r="F5" s="12">
        <f t="shared" si="2"/>
        <v>2.7800000000000002</v>
      </c>
      <c r="G5" s="12">
        <f t="shared" si="2"/>
        <v>3.49</v>
      </c>
      <c r="H5" s="12">
        <f t="shared" si="2"/>
        <v>4.1500000000000004</v>
      </c>
      <c r="I5" s="12">
        <f t="shared" si="2"/>
        <v>4.870000000000001</v>
      </c>
      <c r="J5" s="12">
        <f t="shared" si="2"/>
        <v>4.8900000000000006</v>
      </c>
      <c r="K5" s="12">
        <f t="shared" si="2"/>
        <v>4.1900000000000004</v>
      </c>
      <c r="L5" s="12">
        <f t="shared" si="2"/>
        <v>3.5300000000000002</v>
      </c>
      <c r="M5" s="12">
        <f t="shared" si="2"/>
        <v>2.8500000000000005</v>
      </c>
      <c r="N5" s="12">
        <f t="shared" si="2"/>
        <v>2.1500000000000004</v>
      </c>
      <c r="O5" s="12">
        <f t="shared" si="2"/>
        <v>1.4900000000000002</v>
      </c>
      <c r="P5" s="13">
        <f t="shared" si="2"/>
        <v>0.75</v>
      </c>
      <c r="Q5" t="s">
        <v>19</v>
      </c>
      <c r="R5">
        <f>AVERAGE(C5:P5)</f>
        <v>2.8064285714285719</v>
      </c>
      <c r="S5">
        <f>AVERAGE(C7:P7)</f>
        <v>19.017600000000005</v>
      </c>
      <c r="V5" t="s">
        <v>18</v>
      </c>
      <c r="W5">
        <f>C7*C7</f>
        <v>25.078060840000006</v>
      </c>
      <c r="X5">
        <f t="shared" ref="X5:AJ5" si="3">D7*D7</f>
        <v>91.804375731600032</v>
      </c>
      <c r="Y5">
        <f t="shared" si="3"/>
        <v>199.01027041000003</v>
      </c>
      <c r="Z5">
        <f t="shared" si="3"/>
        <v>362.50027551359995</v>
      </c>
      <c r="AA5">
        <f t="shared" si="3"/>
        <v>564.91497184360014</v>
      </c>
      <c r="AB5">
        <f t="shared" si="3"/>
        <v>803.91302328960035</v>
      </c>
      <c r="AC5">
        <f t="shared" si="3"/>
        <v>1106.6334092100005</v>
      </c>
      <c r="AD5">
        <f t="shared" si="3"/>
        <v>1106.6334092100005</v>
      </c>
      <c r="AE5">
        <f t="shared" si="3"/>
        <v>803.91302328960035</v>
      </c>
      <c r="AF5">
        <f t="shared" si="3"/>
        <v>564.91497184360014</v>
      </c>
      <c r="AG5">
        <f t="shared" si="3"/>
        <v>362.50027551359995</v>
      </c>
      <c r="AH5">
        <f t="shared" si="3"/>
        <v>199.01027041000003</v>
      </c>
      <c r="AI5">
        <f t="shared" si="3"/>
        <v>91.804375731600032</v>
      </c>
      <c r="AJ5" s="8">
        <f t="shared" si="3"/>
        <v>25.078060840000006</v>
      </c>
    </row>
    <row r="6" spans="1:36" ht="14.7" thickBot="1" x14ac:dyDescent="0.6">
      <c r="B6" s="7" t="s">
        <v>1</v>
      </c>
      <c r="C6">
        <v>511</v>
      </c>
      <c r="D6">
        <v>466.7</v>
      </c>
      <c r="E6">
        <v>461.8</v>
      </c>
      <c r="F6">
        <v>503.3</v>
      </c>
      <c r="G6">
        <v>482.5</v>
      </c>
      <c r="H6">
        <v>467.9</v>
      </c>
      <c r="I6">
        <v>501.3</v>
      </c>
      <c r="J6">
        <v>501.3</v>
      </c>
      <c r="K6">
        <v>467.9</v>
      </c>
      <c r="L6">
        <v>482.5</v>
      </c>
      <c r="M6">
        <v>503.3</v>
      </c>
      <c r="N6">
        <v>461.8</v>
      </c>
      <c r="O6">
        <v>466.7</v>
      </c>
      <c r="P6">
        <v>511</v>
      </c>
      <c r="AJ6" s="8"/>
    </row>
    <row r="7" spans="1:36" ht="14.7" thickBot="1" x14ac:dyDescent="0.6">
      <c r="B7" s="7" t="s">
        <v>41</v>
      </c>
      <c r="C7" s="11">
        <f>SUM($C6:C6)/1000 * $C$1</f>
        <v>5.0078000000000005</v>
      </c>
      <c r="D7" s="12">
        <f>SUM($C6:D6)/1000 * $C$1</f>
        <v>9.5814600000000016</v>
      </c>
      <c r="E7" s="12">
        <f>SUM($C6:E6)/1000 * $C$1</f>
        <v>14.107100000000001</v>
      </c>
      <c r="F7" s="12">
        <f>SUM($C6:F6)/1000 * $C$1</f>
        <v>19.039439999999999</v>
      </c>
      <c r="G7" s="12">
        <f>SUM($C6:G6)/1000 * $C$1</f>
        <v>23.767940000000003</v>
      </c>
      <c r="H7" s="12">
        <f>SUM($C6:H6)/1000 * $C$1</f>
        <v>28.353360000000006</v>
      </c>
      <c r="I7" s="12">
        <f>SUM($C6:I6)/1000 * $C$1</f>
        <v>33.266100000000009</v>
      </c>
      <c r="J7" s="12">
        <f>I7</f>
        <v>33.266100000000009</v>
      </c>
      <c r="K7" s="12">
        <f>H7</f>
        <v>28.353360000000006</v>
      </c>
      <c r="L7" s="12">
        <f>G7</f>
        <v>23.767940000000003</v>
      </c>
      <c r="M7" s="12">
        <f>F7</f>
        <v>19.039439999999999</v>
      </c>
      <c r="N7" s="12">
        <f>E7</f>
        <v>14.107100000000001</v>
      </c>
      <c r="O7" s="12">
        <f>D7</f>
        <v>9.5814600000000016</v>
      </c>
      <c r="P7" s="13">
        <f>C7</f>
        <v>5.0078000000000005</v>
      </c>
      <c r="Q7" t="s">
        <v>20</v>
      </c>
      <c r="R7" t="s">
        <v>13</v>
      </c>
      <c r="S7" t="s">
        <v>14</v>
      </c>
      <c r="T7" t="s">
        <v>15</v>
      </c>
      <c r="V7" t="s">
        <v>22</v>
      </c>
      <c r="W7" t="s">
        <v>21</v>
      </c>
      <c r="X7" t="s">
        <v>25</v>
      </c>
      <c r="Z7" t="s">
        <v>46</v>
      </c>
      <c r="AA7" t="s">
        <v>19</v>
      </c>
      <c r="AB7">
        <v>0</v>
      </c>
      <c r="AC7">
        <v>6</v>
      </c>
      <c r="AJ7" s="8"/>
    </row>
    <row r="8" spans="1:36" ht="14.7" thickBot="1" x14ac:dyDescent="0.6">
      <c r="B8" s="9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>
        <f>AVERAGE(W3:AJ3)</f>
        <v>66.39467310000002</v>
      </c>
      <c r="S8" s="3">
        <f>AVERAGE(W4:AJ4)</f>
        <v>9.7856214285714316</v>
      </c>
      <c r="T8" s="3">
        <f>AVERAGE(W5:AJ5)</f>
        <v>450.55062669120019</v>
      </c>
      <c r="U8" s="3"/>
      <c r="V8" s="3">
        <f>S5-W8*R5</f>
        <v>-0.12195010738281553</v>
      </c>
      <c r="W8" s="3">
        <f>(R8 - R5*S5)/(S8-R5*R5)</f>
        <v>6.8198956860106756</v>
      </c>
      <c r="X8" s="3">
        <f>1/SQRT(14)*SQRT((T8-S5*S5)/(S8-R5*R5) - W8*W8)</f>
        <v>4.9339206870683418E-2</v>
      </c>
      <c r="Y8" s="3"/>
      <c r="Z8" s="3"/>
      <c r="AA8" s="3" t="s">
        <v>20</v>
      </c>
      <c r="AB8" s="3">
        <f>V8</f>
        <v>-0.12195010738281553</v>
      </c>
      <c r="AC8" s="3">
        <f>W8*AC7</f>
        <v>40.919374116064056</v>
      </c>
      <c r="AD8" s="3"/>
      <c r="AE8" s="3"/>
      <c r="AF8" s="3"/>
      <c r="AG8" s="3"/>
      <c r="AH8" s="3"/>
      <c r="AI8" s="3"/>
      <c r="AJ8" s="10"/>
    </row>
    <row r="9" spans="1:36" x14ac:dyDescent="0.55000000000000004">
      <c r="B9" s="4" t="s">
        <v>43</v>
      </c>
      <c r="C9" s="5" t="s">
        <v>39</v>
      </c>
      <c r="D9" s="5">
        <v>8.48</v>
      </c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 t="s">
        <v>16</v>
      </c>
      <c r="W9" s="5">
        <f>C11*C13</f>
        <v>4.0563180000000028</v>
      </c>
      <c r="X9" s="5">
        <f t="shared" ref="X9" si="4">D11*D13</f>
        <v>15.138706800000003</v>
      </c>
      <c r="Y9" s="5">
        <f t="shared" ref="Y9" si="5">E11*E13</f>
        <v>31.458833000000009</v>
      </c>
      <c r="Z9" s="5">
        <f t="shared" ref="Z9" si="6">F11*F13</f>
        <v>55.975953600000004</v>
      </c>
      <c r="AA9" s="5">
        <f t="shared" ref="AA9" si="7">G11*G13</f>
        <v>86.277622200000025</v>
      </c>
      <c r="AB9" s="5">
        <f t="shared" ref="AB9" si="8">H11*H13</f>
        <v>123.62064960000004</v>
      </c>
      <c r="AC9" s="5">
        <f t="shared" ref="AC9" si="9">I11*I13</f>
        <v>167.32848300000006</v>
      </c>
      <c r="AD9" s="5">
        <f t="shared" ref="AD9" si="10">J11*J13</f>
        <v>168.32646600000007</v>
      </c>
      <c r="AE9" s="5">
        <f t="shared" ref="AE9" si="11">K11*K13</f>
        <v>123.33711600000004</v>
      </c>
      <c r="AF9" s="5">
        <f t="shared" ref="AF9" si="12">L11*L13</f>
        <v>87.703698600000024</v>
      </c>
      <c r="AG9" s="5">
        <f t="shared" ref="AG9" si="13">M11*M13</f>
        <v>57.499108800000009</v>
      </c>
      <c r="AH9" s="5">
        <f t="shared" ref="AH9" si="14">N11*N13</f>
        <v>32.587401000000007</v>
      </c>
      <c r="AI9" s="5">
        <f t="shared" ref="AI9" si="15">O11*O13</f>
        <v>15.713594400000009</v>
      </c>
      <c r="AJ9" s="6">
        <f t="shared" ref="AJ9" si="16">P11*P13</f>
        <v>4.5570980000000008</v>
      </c>
    </row>
    <row r="10" spans="1:36" ht="14.7" thickBot="1" x14ac:dyDescent="0.6">
      <c r="B10" s="7" t="s">
        <v>20</v>
      </c>
      <c r="C10">
        <v>7.67</v>
      </c>
      <c r="D10">
        <v>6.9</v>
      </c>
      <c r="E10">
        <v>6.25</v>
      </c>
      <c r="F10">
        <v>5.54</v>
      </c>
      <c r="G10">
        <v>4.8499999999999996</v>
      </c>
      <c r="H10">
        <v>4.12</v>
      </c>
      <c r="I10">
        <v>3.45</v>
      </c>
      <c r="J10">
        <v>3.42</v>
      </c>
      <c r="K10">
        <v>4.13</v>
      </c>
      <c r="L10">
        <v>4.79</v>
      </c>
      <c r="M10">
        <v>5.46</v>
      </c>
      <c r="N10">
        <v>6.17</v>
      </c>
      <c r="O10">
        <v>6.84</v>
      </c>
      <c r="P10">
        <v>7.57</v>
      </c>
      <c r="R10" t="s">
        <v>11</v>
      </c>
      <c r="S10" t="s">
        <v>12</v>
      </c>
      <c r="V10" t="s">
        <v>17</v>
      </c>
      <c r="W10">
        <f>C11*C11</f>
        <v>0.65610000000000079</v>
      </c>
      <c r="X10">
        <f t="shared" ref="X10" si="17">D11*D11</f>
        <v>2.4964000000000004</v>
      </c>
      <c r="Y10">
        <f t="shared" ref="Y10" si="18">E11*E11</f>
        <v>4.9729000000000019</v>
      </c>
      <c r="Z10">
        <f t="shared" ref="Z10" si="19">F11*F11</f>
        <v>8.6436000000000028</v>
      </c>
      <c r="AA10">
        <f t="shared" ref="AA10" si="20">G11*G11</f>
        <v>13.176900000000005</v>
      </c>
      <c r="AB10">
        <f t="shared" ref="AB10" si="21">H11*H11</f>
        <v>19.009600000000002</v>
      </c>
      <c r="AC10">
        <f t="shared" ref="AC10" si="22">I11*I11</f>
        <v>25.300900000000002</v>
      </c>
      <c r="AD10">
        <f t="shared" ref="AD10" si="23">J11*J11</f>
        <v>25.603600000000004</v>
      </c>
      <c r="AE10">
        <f t="shared" ref="AE10" si="24">K11*K11</f>
        <v>18.922500000000003</v>
      </c>
      <c r="AF10">
        <f t="shared" ref="AF10" si="25">L11*L11</f>
        <v>13.616100000000003</v>
      </c>
      <c r="AG10">
        <f t="shared" ref="AG10" si="26">M11*M11</f>
        <v>9.1204000000000036</v>
      </c>
      <c r="AH10">
        <f t="shared" ref="AH10" si="27">N11*N11</f>
        <v>5.3361000000000027</v>
      </c>
      <c r="AI10">
        <f t="shared" ref="AI10" si="28">O11*O11</f>
        <v>2.6896000000000018</v>
      </c>
      <c r="AJ10" s="8">
        <f t="shared" ref="AJ10" si="29">P11*P11</f>
        <v>0.82810000000000028</v>
      </c>
    </row>
    <row r="11" spans="1:36" ht="14.7" thickBot="1" x14ac:dyDescent="0.6">
      <c r="B11" s="7" t="s">
        <v>40</v>
      </c>
      <c r="C11" s="11">
        <f>$D9-C10</f>
        <v>0.8100000000000005</v>
      </c>
      <c r="D11" s="12">
        <f t="shared" ref="D11" si="30">$D9-D10</f>
        <v>1.58</v>
      </c>
      <c r="E11" s="12">
        <f t="shared" ref="E11" si="31">$D9-E10</f>
        <v>2.2300000000000004</v>
      </c>
      <c r="F11" s="12">
        <f t="shared" ref="F11" si="32">$D9-F10</f>
        <v>2.9400000000000004</v>
      </c>
      <c r="G11" s="12">
        <f t="shared" ref="G11" si="33">$D9-G10</f>
        <v>3.6300000000000008</v>
      </c>
      <c r="H11" s="12">
        <f t="shared" ref="H11" si="34">$D9-H10</f>
        <v>4.3600000000000003</v>
      </c>
      <c r="I11" s="12">
        <f t="shared" ref="I11" si="35">$D9-I10</f>
        <v>5.03</v>
      </c>
      <c r="J11" s="12">
        <f t="shared" ref="J11" si="36">$D9-J10</f>
        <v>5.0600000000000005</v>
      </c>
      <c r="K11" s="12">
        <f t="shared" ref="K11" si="37">$D9-K10</f>
        <v>4.3500000000000005</v>
      </c>
      <c r="L11" s="12">
        <f t="shared" ref="L11" si="38">$D9-L10</f>
        <v>3.6900000000000004</v>
      </c>
      <c r="M11" s="12">
        <f t="shared" ref="M11" si="39">$D9-M10</f>
        <v>3.0200000000000005</v>
      </c>
      <c r="N11" s="12">
        <f t="shared" ref="N11" si="40">$D9-N10</f>
        <v>2.3100000000000005</v>
      </c>
      <c r="O11" s="12">
        <f t="shared" ref="O11" si="41">$D9-O10</f>
        <v>1.6400000000000006</v>
      </c>
      <c r="P11" s="13">
        <f t="shared" ref="P11" si="42">$D9-P10</f>
        <v>0.91000000000000014</v>
      </c>
      <c r="Q11" t="s">
        <v>19</v>
      </c>
      <c r="R11">
        <f>AVERAGE(C11:P11)</f>
        <v>2.9685714285714289</v>
      </c>
      <c r="S11">
        <f>AVERAGE(C13:P13)</f>
        <v>19.017600000000005</v>
      </c>
      <c r="V11" t="s">
        <v>18</v>
      </c>
      <c r="W11">
        <f>C13*C13</f>
        <v>25.078060840000006</v>
      </c>
      <c r="X11">
        <f t="shared" ref="X11" si="43">D13*D13</f>
        <v>91.804375731600032</v>
      </c>
      <c r="Y11">
        <f t="shared" ref="Y11" si="44">E13*E13</f>
        <v>199.01027041000003</v>
      </c>
      <c r="Z11">
        <f t="shared" ref="Z11" si="45">F13*F13</f>
        <v>362.50027551359995</v>
      </c>
      <c r="AA11">
        <f t="shared" ref="AA11" si="46">G13*G13</f>
        <v>564.91497184360014</v>
      </c>
      <c r="AB11">
        <f t="shared" ref="AB11" si="47">H13*H13</f>
        <v>803.91302328960035</v>
      </c>
      <c r="AC11">
        <f t="shared" ref="AC11" si="48">I13*I13</f>
        <v>1106.6334092100005</v>
      </c>
      <c r="AD11">
        <f t="shared" ref="AD11" si="49">J13*J13</f>
        <v>1106.6334092100005</v>
      </c>
      <c r="AE11">
        <f t="shared" ref="AE11" si="50">K13*K13</f>
        <v>803.91302328960035</v>
      </c>
      <c r="AF11">
        <f t="shared" ref="AF11" si="51">L13*L13</f>
        <v>564.91497184360014</v>
      </c>
      <c r="AG11">
        <f t="shared" ref="AG11" si="52">M13*M13</f>
        <v>362.50027551359995</v>
      </c>
      <c r="AH11">
        <f t="shared" ref="AH11" si="53">N13*N13</f>
        <v>199.01027041000003</v>
      </c>
      <c r="AI11">
        <f t="shared" ref="AI11" si="54">O13*O13</f>
        <v>91.804375731600032</v>
      </c>
      <c r="AJ11" s="8">
        <f t="shared" ref="AJ11" si="55">P13*P13</f>
        <v>25.078060840000006</v>
      </c>
    </row>
    <row r="12" spans="1:36" ht="14.7" thickBot="1" x14ac:dyDescent="0.6">
      <c r="B12" s="7" t="s">
        <v>1</v>
      </c>
      <c r="C12">
        <v>511</v>
      </c>
      <c r="D12">
        <v>466.7</v>
      </c>
      <c r="E12">
        <v>461.8</v>
      </c>
      <c r="F12">
        <v>503.3</v>
      </c>
      <c r="G12">
        <v>482.5</v>
      </c>
      <c r="H12">
        <v>467.9</v>
      </c>
      <c r="I12">
        <v>501.3</v>
      </c>
      <c r="J12">
        <v>501.3</v>
      </c>
      <c r="K12">
        <v>467.9</v>
      </c>
      <c r="L12">
        <v>482.5</v>
      </c>
      <c r="M12">
        <v>503.3</v>
      </c>
      <c r="N12">
        <v>461.8</v>
      </c>
      <c r="O12">
        <v>466.7</v>
      </c>
      <c r="P12">
        <v>511</v>
      </c>
      <c r="AJ12" s="8"/>
    </row>
    <row r="13" spans="1:36" ht="14.7" thickBot="1" x14ac:dyDescent="0.6">
      <c r="B13" s="7" t="s">
        <v>41</v>
      </c>
      <c r="C13" s="11">
        <f>SUM($C12:C12)/1000 * $C$1</f>
        <v>5.0078000000000005</v>
      </c>
      <c r="D13" s="12">
        <f>SUM($C12:D12)/1000 * $C$1</f>
        <v>9.5814600000000016</v>
      </c>
      <c r="E13" s="12">
        <f>SUM($C12:E12)/1000 * $C$1</f>
        <v>14.107100000000001</v>
      </c>
      <c r="F13" s="12">
        <f>SUM($C12:F12)/1000 * $C$1</f>
        <v>19.039439999999999</v>
      </c>
      <c r="G13" s="12">
        <f>SUM($C12:G12)/1000 * $C$1</f>
        <v>23.767940000000003</v>
      </c>
      <c r="H13" s="12">
        <f>SUM($C12:H12)/1000 * $C$1</f>
        <v>28.353360000000006</v>
      </c>
      <c r="I13" s="12">
        <f>SUM($C12:I12)/1000 * $C$1</f>
        <v>33.266100000000009</v>
      </c>
      <c r="J13" s="12">
        <f>I13</f>
        <v>33.266100000000009</v>
      </c>
      <c r="K13" s="12">
        <f>H13</f>
        <v>28.353360000000006</v>
      </c>
      <c r="L13" s="12">
        <f>G13</f>
        <v>23.767940000000003</v>
      </c>
      <c r="M13" s="12">
        <f>F13</f>
        <v>19.039439999999999</v>
      </c>
      <c r="N13" s="12">
        <f>E13</f>
        <v>14.107100000000001</v>
      </c>
      <c r="O13" s="12">
        <f>D13</f>
        <v>9.5814600000000016</v>
      </c>
      <c r="P13" s="13">
        <f>C13</f>
        <v>5.0078000000000005</v>
      </c>
      <c r="Q13" t="s">
        <v>20</v>
      </c>
      <c r="R13" t="s">
        <v>13</v>
      </c>
      <c r="S13" t="s">
        <v>14</v>
      </c>
      <c r="T13" t="s">
        <v>15</v>
      </c>
      <c r="V13" t="s">
        <v>22</v>
      </c>
      <c r="W13" t="s">
        <v>21</v>
      </c>
      <c r="X13" t="s">
        <v>25</v>
      </c>
      <c r="Z13" t="s">
        <v>46</v>
      </c>
      <c r="AA13" t="s">
        <v>19</v>
      </c>
      <c r="AB13">
        <v>0</v>
      </c>
      <c r="AC13">
        <v>6</v>
      </c>
      <c r="AJ13" s="8"/>
    </row>
    <row r="14" spans="1:36" ht="14.7" thickBot="1" x14ac:dyDescent="0.6">
      <c r="B14" s="9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>
        <f>AVERAGE(W9:AJ9)</f>
        <v>69.541503500000019</v>
      </c>
      <c r="S14" s="3">
        <f>AVERAGE(W10:AJ10)</f>
        <v>10.740914285714288</v>
      </c>
      <c r="T14" s="3">
        <f>AVERAGE(W11:AJ11)</f>
        <v>450.55062669120019</v>
      </c>
      <c r="U14" s="3"/>
      <c r="V14" s="3">
        <f>S11-W14*R11</f>
        <v>-1.1265289961310678</v>
      </c>
      <c r="W14" s="3">
        <f>(R14 - R11*S11)/(S14-R11*R11)</f>
        <v>6.785798988109601</v>
      </c>
      <c r="X14" s="3">
        <f>1/SQRT(14)*SQRT((T14-S11*S11)/(S14-R11*R11) - W14*W14)</f>
        <v>5.4379832780955907E-2</v>
      </c>
      <c r="Y14" s="3"/>
      <c r="Z14" s="3"/>
      <c r="AA14" s="3" t="s">
        <v>20</v>
      </c>
      <c r="AB14" s="3">
        <f>V14</f>
        <v>-1.1265289961310678</v>
      </c>
      <c r="AC14" s="3">
        <f>W14*AC13</f>
        <v>40.714793928657606</v>
      </c>
      <c r="AD14" s="3"/>
      <c r="AE14" s="3"/>
      <c r="AF14" s="3"/>
      <c r="AG14" s="3"/>
      <c r="AH14" s="3"/>
      <c r="AI14" s="3"/>
      <c r="AJ14" s="10"/>
    </row>
    <row r="15" spans="1:36" x14ac:dyDescent="0.55000000000000004">
      <c r="M15" s="7" t="s">
        <v>45</v>
      </c>
      <c r="N15" s="8" t="s">
        <v>28</v>
      </c>
    </row>
    <row r="16" spans="1:36" x14ac:dyDescent="0.55000000000000004">
      <c r="B16" t="s">
        <v>44</v>
      </c>
      <c r="C16">
        <v>20.2</v>
      </c>
      <c r="D16">
        <v>20.100000000000001</v>
      </c>
      <c r="E16">
        <v>20.2</v>
      </c>
      <c r="F16">
        <v>20.100000000000001</v>
      </c>
      <c r="G16">
        <v>19.7</v>
      </c>
      <c r="H16">
        <v>20</v>
      </c>
      <c r="I16">
        <v>20</v>
      </c>
      <c r="J16">
        <v>20</v>
      </c>
      <c r="K16">
        <v>19.8</v>
      </c>
      <c r="L16">
        <v>19.899999999999999</v>
      </c>
      <c r="M16" s="7">
        <f>AVERAGE(C16:L16)</f>
        <v>20.000000000000004</v>
      </c>
      <c r="N16" s="8">
        <v>0.1</v>
      </c>
    </row>
    <row r="17" spans="2:36" ht="14.7" thickBot="1" x14ac:dyDescent="0.6">
      <c r="B17" t="s">
        <v>22</v>
      </c>
      <c r="C17">
        <v>10.199999999999999</v>
      </c>
      <c r="D17">
        <v>10.199999999999999</v>
      </c>
      <c r="E17">
        <v>10.199999999999999</v>
      </c>
      <c r="F17">
        <v>10</v>
      </c>
      <c r="G17">
        <v>9.9</v>
      </c>
      <c r="H17">
        <v>9.8000000000000007</v>
      </c>
      <c r="I17">
        <v>9.8000000000000007</v>
      </c>
      <c r="J17">
        <v>9.9</v>
      </c>
      <c r="K17">
        <v>10</v>
      </c>
      <c r="L17">
        <v>10.1</v>
      </c>
      <c r="M17" s="9">
        <f>AVERAGE(C17:L17)</f>
        <v>10.01</v>
      </c>
      <c r="N17" s="10">
        <v>0.1</v>
      </c>
    </row>
    <row r="20" spans="2:36" x14ac:dyDescent="0.55000000000000004">
      <c r="B20" t="s">
        <v>34</v>
      </c>
      <c r="C20">
        <f>AVERAGE(W8,W14)</f>
        <v>6.8028473370601379</v>
      </c>
      <c r="D20" t="s">
        <v>50</v>
      </c>
    </row>
    <row r="21" spans="2:36" x14ac:dyDescent="0.55000000000000004">
      <c r="B21" t="s">
        <v>49</v>
      </c>
      <c r="C21">
        <f>AVERAGE(X8,X14)</f>
        <v>5.1859519825819662E-2</v>
      </c>
      <c r="D21" t="s">
        <v>50</v>
      </c>
    </row>
    <row r="22" spans="2:36" ht="14.7" thickBot="1" x14ac:dyDescent="0.6"/>
    <row r="23" spans="2:36" x14ac:dyDescent="0.55000000000000004">
      <c r="B23" s="4" t="s">
        <v>47</v>
      </c>
      <c r="C23" s="5">
        <f xml:space="preserve"> C20*1000*$C$2^3/4/M16/M17^3*1000*1000^3 / 10^9</f>
        <v>10.597624287822509</v>
      </c>
      <c r="D23" s="6" t="s">
        <v>36</v>
      </c>
    </row>
    <row r="24" spans="2:36" ht="14.7" thickBot="1" x14ac:dyDescent="0.6">
      <c r="B24" s="9" t="s">
        <v>51</v>
      </c>
      <c r="C24" s="3">
        <f xml:space="preserve"> C23 * SQRT((C21/C20)^2 + (3*$D$2/$C$2)^2 + (N16/M16)^2 + (3*N17/M17)^2)</f>
        <v>0.3380153750889659</v>
      </c>
      <c r="D24" s="10" t="s">
        <v>36</v>
      </c>
    </row>
    <row r="28" spans="2:36" ht="14.7" thickBot="1" x14ac:dyDescent="0.6"/>
    <row r="29" spans="2:36" x14ac:dyDescent="0.55000000000000004">
      <c r="B29" s="4" t="s">
        <v>52</v>
      </c>
      <c r="C29" s="5" t="s">
        <v>39</v>
      </c>
      <c r="D29" s="5">
        <v>10.71</v>
      </c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 t="s">
        <v>16</v>
      </c>
      <c r="W29" s="5">
        <f>C31*C33</f>
        <v>3.5054600000000056</v>
      </c>
      <c r="X29" s="5">
        <f t="shared" ref="X29" si="56">D31*D33</f>
        <v>12.647527200000004</v>
      </c>
      <c r="Y29" s="5">
        <f t="shared" ref="Y29" si="57">E31*E33</f>
        <v>27.649916000000015</v>
      </c>
      <c r="Z29" s="5">
        <f t="shared" ref="Z29" si="58">F31*F33</f>
        <v>50.26412160000001</v>
      </c>
      <c r="AA29" s="5">
        <f t="shared" ref="AA29" si="59">G31*G33</f>
        <v>78.196522600000037</v>
      </c>
      <c r="AB29" s="5">
        <f t="shared" ref="AB29" si="60">H31*H33</f>
        <v>110.29457040000004</v>
      </c>
      <c r="AC29" s="5">
        <f t="shared" ref="AC29" si="61">I31*I33</f>
        <v>153.68938200000008</v>
      </c>
      <c r="AD29" s="5">
        <f t="shared" ref="AD29" si="62">J31*J33</f>
        <v>154.68736500000009</v>
      </c>
      <c r="AE29" s="5">
        <f t="shared" ref="AE29" si="63">K31*K33</f>
        <v>113.12990640000005</v>
      </c>
      <c r="AF29" s="5">
        <f t="shared" ref="AF29" si="64">L31*L33</f>
        <v>78.434202000000028</v>
      </c>
      <c r="AG29" s="5">
        <f t="shared" ref="AG29" si="65">M31*M33</f>
        <v>50.26412160000001</v>
      </c>
      <c r="AH29" s="5">
        <f t="shared" ref="AH29" si="66">N31*N33</f>
        <v>27.649916000000015</v>
      </c>
      <c r="AI29" s="5">
        <f t="shared" ref="AI29" si="67">O31*O33</f>
        <v>12.839156400000018</v>
      </c>
      <c r="AJ29" s="6">
        <f t="shared" ref="AJ29" si="68">P31*P33</f>
        <v>3.6056160000000035</v>
      </c>
    </row>
    <row r="30" spans="2:36" ht="14.7" thickBot="1" x14ac:dyDescent="0.6">
      <c r="B30" s="7" t="s">
        <v>20</v>
      </c>
      <c r="C30">
        <v>10.01</v>
      </c>
      <c r="D30">
        <v>9.39</v>
      </c>
      <c r="E30">
        <v>8.75</v>
      </c>
      <c r="F30">
        <v>8.07</v>
      </c>
      <c r="G30">
        <v>7.42</v>
      </c>
      <c r="H30">
        <v>6.82</v>
      </c>
      <c r="I30">
        <v>6.09</v>
      </c>
      <c r="J30">
        <v>6.06</v>
      </c>
      <c r="K30">
        <v>6.72</v>
      </c>
      <c r="L30">
        <v>7.41</v>
      </c>
      <c r="M30">
        <v>8.07</v>
      </c>
      <c r="N30">
        <v>8.75</v>
      </c>
      <c r="O30">
        <v>9.3699999999999992</v>
      </c>
      <c r="P30">
        <v>9.99</v>
      </c>
      <c r="R30" t="s">
        <v>11</v>
      </c>
      <c r="S30" t="s">
        <v>12</v>
      </c>
      <c r="V30" t="s">
        <v>17</v>
      </c>
      <c r="W30">
        <f>C31*C31</f>
        <v>0.49000000000000149</v>
      </c>
      <c r="X30">
        <f t="shared" ref="X30" si="69">D31*D31</f>
        <v>1.7424000000000008</v>
      </c>
      <c r="Y30">
        <f t="shared" ref="Y30" si="70">E31*E31</f>
        <v>3.8416000000000032</v>
      </c>
      <c r="Z30">
        <f t="shared" ref="Z30" si="71">F31*F31</f>
        <v>6.9696000000000033</v>
      </c>
      <c r="AA30">
        <f t="shared" ref="AA30" si="72">G31*G31</f>
        <v>10.824100000000007</v>
      </c>
      <c r="AB30">
        <f t="shared" ref="AB30" si="73">H31*H31</f>
        <v>15.132100000000005</v>
      </c>
      <c r="AC30">
        <f t="shared" ref="AC30" si="74">I31*I31</f>
        <v>21.344400000000011</v>
      </c>
      <c r="AD30">
        <f t="shared" ref="AD30" si="75">J31*J31</f>
        <v>21.622500000000013</v>
      </c>
      <c r="AE30">
        <f t="shared" ref="AE30" si="76">K31*K31</f>
        <v>15.920100000000009</v>
      </c>
      <c r="AF30">
        <f t="shared" ref="AF30" si="77">L31*L31</f>
        <v>10.890000000000004</v>
      </c>
      <c r="AG30">
        <f t="shared" ref="AG30" si="78">M31*M31</f>
        <v>6.9696000000000033</v>
      </c>
      <c r="AH30">
        <f t="shared" ref="AH30" si="79">N31*N31</f>
        <v>3.8416000000000032</v>
      </c>
      <c r="AI30">
        <f t="shared" ref="AI30" si="80">O31*O31</f>
        <v>1.7956000000000043</v>
      </c>
      <c r="AJ30" s="8">
        <f t="shared" ref="AJ30" si="81">P31*P31</f>
        <v>0.51840000000000097</v>
      </c>
    </row>
    <row r="31" spans="2:36" ht="14.7" thickBot="1" x14ac:dyDescent="0.6">
      <c r="B31" s="7" t="s">
        <v>40</v>
      </c>
      <c r="C31" s="11">
        <f>$D29-C30</f>
        <v>0.70000000000000107</v>
      </c>
      <c r="D31" s="12">
        <f t="shared" ref="D31" si="82">$D29-D30</f>
        <v>1.3200000000000003</v>
      </c>
      <c r="E31" s="12">
        <f t="shared" ref="E31" si="83">$D29-E30</f>
        <v>1.9600000000000009</v>
      </c>
      <c r="F31" s="12">
        <f t="shared" ref="F31" si="84">$D29-F30</f>
        <v>2.6400000000000006</v>
      </c>
      <c r="G31" s="12">
        <f t="shared" ref="G31" si="85">$D29-G30</f>
        <v>3.2900000000000009</v>
      </c>
      <c r="H31" s="12">
        <f t="shared" ref="H31:P31" si="86">$D29-H30</f>
        <v>3.8900000000000006</v>
      </c>
      <c r="I31" s="12">
        <f t="shared" si="86"/>
        <v>4.620000000000001</v>
      </c>
      <c r="J31" s="12">
        <f t="shared" si="86"/>
        <v>4.6500000000000012</v>
      </c>
      <c r="K31" s="12">
        <f t="shared" si="86"/>
        <v>3.9900000000000011</v>
      </c>
      <c r="L31" s="12">
        <f t="shared" si="86"/>
        <v>3.3000000000000007</v>
      </c>
      <c r="M31" s="12">
        <f t="shared" si="86"/>
        <v>2.6400000000000006</v>
      </c>
      <c r="N31" s="12">
        <f t="shared" si="86"/>
        <v>1.9600000000000009</v>
      </c>
      <c r="O31" s="12">
        <f t="shared" si="86"/>
        <v>1.3400000000000016</v>
      </c>
      <c r="P31" s="13">
        <f t="shared" si="86"/>
        <v>0.72000000000000064</v>
      </c>
      <c r="Q31" t="s">
        <v>19</v>
      </c>
      <c r="R31">
        <f>AVERAGE(C31:P31)</f>
        <v>2.6442857142857155</v>
      </c>
      <c r="S31">
        <f>AVERAGE(C33:P33)</f>
        <v>19.017600000000005</v>
      </c>
      <c r="V31" t="s">
        <v>18</v>
      </c>
      <c r="W31">
        <f>C33*C33</f>
        <v>25.078060840000006</v>
      </c>
      <c r="X31">
        <f t="shared" ref="X31" si="87">D33*D33</f>
        <v>91.804375731600032</v>
      </c>
      <c r="Y31">
        <f t="shared" ref="Y31" si="88">E33*E33</f>
        <v>199.01027041000003</v>
      </c>
      <c r="Z31">
        <f t="shared" ref="Z31" si="89">F33*F33</f>
        <v>362.50027551359995</v>
      </c>
      <c r="AA31">
        <f t="shared" ref="AA31" si="90">G33*G33</f>
        <v>564.91497184360014</v>
      </c>
      <c r="AB31">
        <f t="shared" ref="AB31" si="91">H33*H33</f>
        <v>803.91302328960035</v>
      </c>
      <c r="AC31">
        <f t="shared" ref="AC31" si="92">I33*I33</f>
        <v>1106.6334092100005</v>
      </c>
      <c r="AD31">
        <f t="shared" ref="AD31" si="93">J33*J33</f>
        <v>1106.6334092100005</v>
      </c>
      <c r="AE31">
        <f t="shared" ref="AE31" si="94">K33*K33</f>
        <v>803.91302328960035</v>
      </c>
      <c r="AF31">
        <f t="shared" ref="AF31" si="95">L33*L33</f>
        <v>564.91497184360014</v>
      </c>
      <c r="AG31">
        <f t="shared" ref="AG31" si="96">M33*M33</f>
        <v>362.50027551359995</v>
      </c>
      <c r="AH31">
        <f t="shared" ref="AH31" si="97">N33*N33</f>
        <v>199.01027041000003</v>
      </c>
      <c r="AI31">
        <f t="shared" ref="AI31" si="98">O33*O33</f>
        <v>91.804375731600032</v>
      </c>
      <c r="AJ31" s="8">
        <f t="shared" ref="AJ31" si="99">P33*P33</f>
        <v>25.078060840000006</v>
      </c>
    </row>
    <row r="32" spans="2:36" ht="14.7" thickBot="1" x14ac:dyDescent="0.6">
      <c r="B32" s="7" t="s">
        <v>1</v>
      </c>
      <c r="C32">
        <v>511</v>
      </c>
      <c r="D32">
        <v>466.7</v>
      </c>
      <c r="E32">
        <v>461.8</v>
      </c>
      <c r="F32">
        <v>503.3</v>
      </c>
      <c r="G32">
        <v>482.5</v>
      </c>
      <c r="H32">
        <v>467.9</v>
      </c>
      <c r="I32">
        <v>501.3</v>
      </c>
      <c r="J32">
        <v>501.3</v>
      </c>
      <c r="K32">
        <v>467.9</v>
      </c>
      <c r="L32">
        <v>482.5</v>
      </c>
      <c r="M32">
        <v>503.3</v>
      </c>
      <c r="N32">
        <v>461.8</v>
      </c>
      <c r="O32">
        <v>466.7</v>
      </c>
      <c r="P32">
        <v>511</v>
      </c>
      <c r="AJ32" s="8"/>
    </row>
    <row r="33" spans="2:36" ht="14.7" thickBot="1" x14ac:dyDescent="0.6">
      <c r="B33" s="7" t="s">
        <v>41</v>
      </c>
      <c r="C33" s="11">
        <f>SUM($C32:C32)/1000 * $C$1</f>
        <v>5.0078000000000005</v>
      </c>
      <c r="D33" s="12">
        <f>SUM($C32:D32)/1000 * $C$1</f>
        <v>9.5814600000000016</v>
      </c>
      <c r="E33" s="12">
        <f>SUM($C32:E32)/1000 * $C$1</f>
        <v>14.107100000000001</v>
      </c>
      <c r="F33" s="12">
        <f>SUM($C32:F32)/1000 * $C$1</f>
        <v>19.039439999999999</v>
      </c>
      <c r="G33" s="12">
        <f>SUM($C32:G32)/1000 * $C$1</f>
        <v>23.767940000000003</v>
      </c>
      <c r="H33" s="12">
        <f>SUM($C32:H32)/1000 * $C$1</f>
        <v>28.353360000000006</v>
      </c>
      <c r="I33" s="12">
        <f>SUM($C32:I32)/1000 * $C$1</f>
        <v>33.266100000000009</v>
      </c>
      <c r="J33" s="12">
        <f>I33</f>
        <v>33.266100000000009</v>
      </c>
      <c r="K33" s="12">
        <f>H33</f>
        <v>28.353360000000006</v>
      </c>
      <c r="L33" s="12">
        <f>G33</f>
        <v>23.767940000000003</v>
      </c>
      <c r="M33" s="12">
        <f>F33</f>
        <v>19.039439999999999</v>
      </c>
      <c r="N33" s="12">
        <f>E33</f>
        <v>14.107100000000001</v>
      </c>
      <c r="O33" s="12">
        <f>D33</f>
        <v>9.5814600000000016</v>
      </c>
      <c r="P33" s="13">
        <f>C33</f>
        <v>5.0078000000000005</v>
      </c>
      <c r="Q33" t="s">
        <v>20</v>
      </c>
      <c r="R33" t="s">
        <v>13</v>
      </c>
      <c r="S33" t="s">
        <v>14</v>
      </c>
      <c r="T33" t="s">
        <v>15</v>
      </c>
      <c r="V33" t="s">
        <v>22</v>
      </c>
      <c r="W33" t="s">
        <v>21</v>
      </c>
      <c r="X33" t="s">
        <v>25</v>
      </c>
      <c r="Z33" t="s">
        <v>46</v>
      </c>
      <c r="AA33" t="s">
        <v>19</v>
      </c>
      <c r="AB33">
        <v>0</v>
      </c>
      <c r="AC33">
        <v>5</v>
      </c>
      <c r="AJ33" s="8"/>
    </row>
    <row r="34" spans="2:36" ht="14.7" thickBot="1" x14ac:dyDescent="0.6">
      <c r="B34" s="9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>
        <f>AVERAGE(W29:AJ29)</f>
        <v>62.632698800000021</v>
      </c>
      <c r="S34" s="3">
        <f>AVERAGE(W30:AJ30)</f>
        <v>8.7072857142857192</v>
      </c>
      <c r="T34" s="3">
        <f>AVERAGE(W31:AJ31)</f>
        <v>450.55062669120019</v>
      </c>
      <c r="U34" s="3"/>
      <c r="V34" s="3">
        <f>S31-W34*R31</f>
        <v>-1.5786164363511546E-2</v>
      </c>
      <c r="W34" s="3">
        <f>(R34 - R31*S31)/(S34-R31*R31)</f>
        <v>7.1979310183978686</v>
      </c>
      <c r="X34" s="3">
        <f>1/SQRT(14)*SQRT((T34-S31*S31)/(S34-R31*R31) - W34*W34)</f>
        <v>3.2265317073125896E-2</v>
      </c>
      <c r="Y34" s="3"/>
      <c r="Z34" s="3"/>
      <c r="AA34" s="3" t="s">
        <v>20</v>
      </c>
      <c r="AB34" s="3">
        <f>V34</f>
        <v>-1.5786164363511546E-2</v>
      </c>
      <c r="AC34" s="3">
        <f>W34*AC33</f>
        <v>35.989655091989341</v>
      </c>
      <c r="AD34" s="3"/>
      <c r="AE34" s="3"/>
      <c r="AF34" s="3"/>
      <c r="AG34" s="3"/>
      <c r="AH34" s="3"/>
      <c r="AI34" s="3"/>
      <c r="AJ34" s="10"/>
    </row>
    <row r="35" spans="2:36" x14ac:dyDescent="0.55000000000000004">
      <c r="B35" s="4" t="s">
        <v>53</v>
      </c>
      <c r="C35" s="5" t="s">
        <v>39</v>
      </c>
      <c r="D35" s="5">
        <v>11.21</v>
      </c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 t="s">
        <v>16</v>
      </c>
      <c r="W35" s="5">
        <f>C37*C39</f>
        <v>3.5555380000000048</v>
      </c>
      <c r="X35" s="5">
        <f t="shared" ref="X35" si="100">D37*D39</f>
        <v>12.551712600000007</v>
      </c>
      <c r="Y35" s="5">
        <f t="shared" ref="Y35" si="101">E37*E39</f>
        <v>27.367774000000018</v>
      </c>
      <c r="Z35" s="5">
        <f t="shared" ref="Z35" si="102">F37*F39</f>
        <v>50.26412160000001</v>
      </c>
      <c r="AA35" s="5">
        <f t="shared" ref="AA35" si="103">G37*G39</f>
        <v>78.671881400000018</v>
      </c>
      <c r="AB35" s="5">
        <f t="shared" ref="AB35" si="104">H37*H39</f>
        <v>111.99577200000006</v>
      </c>
      <c r="AC35" s="5">
        <f t="shared" ref="AC35" si="105">I37*I39</f>
        <v>155.35268700000006</v>
      </c>
      <c r="AD35" s="5">
        <f t="shared" ref="AD35" si="106">J37*J39</f>
        <v>156.35067000000006</v>
      </c>
      <c r="AE35" s="5">
        <f t="shared" ref="AE35" si="107">K37*K39</f>
        <v>113.41344000000005</v>
      </c>
      <c r="AF35" s="5">
        <f t="shared" ref="AF35" si="108">L37*L39</f>
        <v>80.097957800000032</v>
      </c>
      <c r="AG35" s="5">
        <f t="shared" ref="AG35" si="109">M37*M39</f>
        <v>51.787276800000008</v>
      </c>
      <c r="AH35" s="5">
        <f t="shared" ref="AH35" si="110">N37*N39</f>
        <v>29.483839000000025</v>
      </c>
      <c r="AI35" s="5">
        <f t="shared" ref="AI35" si="111">O37*O39</f>
        <v>13.509858600000003</v>
      </c>
      <c r="AJ35" s="6">
        <f t="shared" ref="AJ35" si="112">P37*P39</f>
        <v>3.9060840000000061</v>
      </c>
    </row>
    <row r="36" spans="2:36" ht="14.7" thickBot="1" x14ac:dyDescent="0.6">
      <c r="B36" s="7" t="s">
        <v>20</v>
      </c>
      <c r="C36">
        <v>10.5</v>
      </c>
      <c r="D36">
        <v>9.9</v>
      </c>
      <c r="E36">
        <v>9.27</v>
      </c>
      <c r="F36">
        <v>8.57</v>
      </c>
      <c r="G36">
        <v>7.9</v>
      </c>
      <c r="H36">
        <v>7.26</v>
      </c>
      <c r="I36">
        <v>6.54</v>
      </c>
      <c r="J36">
        <v>6.51</v>
      </c>
      <c r="K36">
        <v>7.21</v>
      </c>
      <c r="L36">
        <v>7.84</v>
      </c>
      <c r="M36">
        <v>8.49</v>
      </c>
      <c r="N36">
        <v>9.1199999999999992</v>
      </c>
      <c r="O36">
        <v>9.8000000000000007</v>
      </c>
      <c r="P36">
        <v>10.43</v>
      </c>
      <c r="R36" t="s">
        <v>11</v>
      </c>
      <c r="S36" t="s">
        <v>12</v>
      </c>
      <c r="V36" t="s">
        <v>17</v>
      </c>
      <c r="W36">
        <f>C37*C37</f>
        <v>0.50410000000000121</v>
      </c>
      <c r="X36">
        <f t="shared" ref="X36" si="113">D37*D37</f>
        <v>1.7161000000000013</v>
      </c>
      <c r="Y36">
        <f t="shared" ref="Y36" si="114">E37*E37</f>
        <v>3.7636000000000052</v>
      </c>
      <c r="Z36">
        <f t="shared" ref="Z36" si="115">F37*F37</f>
        <v>6.9696000000000033</v>
      </c>
      <c r="AA36">
        <f t="shared" ref="AA36" si="116">G37*G37</f>
        <v>10.956100000000003</v>
      </c>
      <c r="AB36">
        <f t="shared" ref="AB36" si="117">H37*H37</f>
        <v>15.602500000000008</v>
      </c>
      <c r="AC36">
        <f t="shared" ref="AC36" si="118">I37*I37</f>
        <v>21.808900000000008</v>
      </c>
      <c r="AD36">
        <f t="shared" ref="AD36" si="119">J37*J37</f>
        <v>22.090000000000011</v>
      </c>
      <c r="AE36">
        <f t="shared" ref="AE36" si="120">K37*K37</f>
        <v>16.000000000000007</v>
      </c>
      <c r="AF36">
        <f t="shared" ref="AF36" si="121">L37*L37</f>
        <v>11.356900000000007</v>
      </c>
      <c r="AG36">
        <f t="shared" ref="AG36" si="122">M37*M37</f>
        <v>7.3984000000000032</v>
      </c>
      <c r="AH36">
        <f t="shared" ref="AH36" si="123">N37*N37</f>
        <v>4.3681000000000072</v>
      </c>
      <c r="AI36">
        <f t="shared" ref="AI36" si="124">O37*O37</f>
        <v>1.9881000000000004</v>
      </c>
      <c r="AJ36" s="8">
        <f t="shared" ref="AJ36" si="125">P37*P37</f>
        <v>0.60840000000000183</v>
      </c>
    </row>
    <row r="37" spans="2:36" ht="14.7" thickBot="1" x14ac:dyDescent="0.6">
      <c r="B37" s="7" t="s">
        <v>40</v>
      </c>
      <c r="C37" s="11">
        <f>$D35-C36</f>
        <v>0.71000000000000085</v>
      </c>
      <c r="D37" s="12">
        <f t="shared" ref="D37" si="126">$D35-D36</f>
        <v>1.3100000000000005</v>
      </c>
      <c r="E37" s="12">
        <f t="shared" ref="E37" si="127">$D35-E36</f>
        <v>1.9400000000000013</v>
      </c>
      <c r="F37" s="12">
        <f t="shared" ref="F37" si="128">$D35-F36</f>
        <v>2.6400000000000006</v>
      </c>
      <c r="G37" s="12">
        <f t="shared" ref="G37" si="129">$D35-G36</f>
        <v>3.3100000000000005</v>
      </c>
      <c r="H37" s="12">
        <f t="shared" ref="H37" si="130">$D35-H36</f>
        <v>3.9500000000000011</v>
      </c>
      <c r="I37" s="12">
        <f t="shared" ref="I37" si="131">$D35-I36</f>
        <v>4.6700000000000008</v>
      </c>
      <c r="J37" s="12">
        <f t="shared" ref="J37" si="132">$D35-J36</f>
        <v>4.7000000000000011</v>
      </c>
      <c r="K37" s="12">
        <f t="shared" ref="K37" si="133">$D35-K36</f>
        <v>4.0000000000000009</v>
      </c>
      <c r="L37" s="12">
        <f t="shared" ref="L37" si="134">$D35-L36</f>
        <v>3.370000000000001</v>
      </c>
      <c r="M37" s="12">
        <f t="shared" ref="M37" si="135">$D35-M36</f>
        <v>2.7200000000000006</v>
      </c>
      <c r="N37" s="12">
        <f t="shared" ref="N37" si="136">$D35-N36</f>
        <v>2.0900000000000016</v>
      </c>
      <c r="O37" s="12">
        <f t="shared" ref="O37" si="137">$D35-O36</f>
        <v>1.4100000000000001</v>
      </c>
      <c r="P37" s="13">
        <f t="shared" ref="P37" si="138">$D35-P36</f>
        <v>0.78000000000000114</v>
      </c>
      <c r="Q37" t="s">
        <v>19</v>
      </c>
      <c r="R37">
        <f>AVERAGE(C37:P37)</f>
        <v>2.6857142857142864</v>
      </c>
      <c r="S37">
        <f>AVERAGE(C39:P39)</f>
        <v>19.017600000000005</v>
      </c>
      <c r="V37" t="s">
        <v>18</v>
      </c>
      <c r="W37">
        <f>C39*C39</f>
        <v>25.078060840000006</v>
      </c>
      <c r="X37">
        <f t="shared" ref="X37" si="139">D39*D39</f>
        <v>91.804375731600032</v>
      </c>
      <c r="Y37">
        <f t="shared" ref="Y37" si="140">E39*E39</f>
        <v>199.01027041000003</v>
      </c>
      <c r="Z37">
        <f t="shared" ref="Z37" si="141">F39*F39</f>
        <v>362.50027551359995</v>
      </c>
      <c r="AA37">
        <f t="shared" ref="AA37" si="142">G39*G39</f>
        <v>564.91497184360014</v>
      </c>
      <c r="AB37">
        <f t="shared" ref="AB37" si="143">H39*H39</f>
        <v>803.91302328960035</v>
      </c>
      <c r="AC37">
        <f t="shared" ref="AC37" si="144">I39*I39</f>
        <v>1106.6334092100005</v>
      </c>
      <c r="AD37">
        <f t="shared" ref="AD37" si="145">J39*J39</f>
        <v>1106.6334092100005</v>
      </c>
      <c r="AE37">
        <f t="shared" ref="AE37" si="146">K39*K39</f>
        <v>803.91302328960035</v>
      </c>
      <c r="AF37">
        <f t="shared" ref="AF37" si="147">L39*L39</f>
        <v>564.91497184360014</v>
      </c>
      <c r="AG37">
        <f t="shared" ref="AG37" si="148">M39*M39</f>
        <v>362.50027551359995</v>
      </c>
      <c r="AH37">
        <f t="shared" ref="AH37" si="149">N39*N39</f>
        <v>199.01027041000003</v>
      </c>
      <c r="AI37">
        <f t="shared" ref="AI37" si="150">O39*O39</f>
        <v>91.804375731600032</v>
      </c>
      <c r="AJ37" s="8">
        <f t="shared" ref="AJ37" si="151">P39*P39</f>
        <v>25.078060840000006</v>
      </c>
    </row>
    <row r="38" spans="2:36" ht="14.7" thickBot="1" x14ac:dyDescent="0.6">
      <c r="B38" s="7" t="s">
        <v>1</v>
      </c>
      <c r="C38">
        <v>511</v>
      </c>
      <c r="D38">
        <v>466.7</v>
      </c>
      <c r="E38">
        <v>461.8</v>
      </c>
      <c r="F38">
        <v>503.3</v>
      </c>
      <c r="G38">
        <v>482.5</v>
      </c>
      <c r="H38">
        <v>467.9</v>
      </c>
      <c r="I38">
        <v>501.3</v>
      </c>
      <c r="J38">
        <v>501.3</v>
      </c>
      <c r="K38">
        <v>467.9</v>
      </c>
      <c r="L38">
        <v>482.5</v>
      </c>
      <c r="M38">
        <v>503.3</v>
      </c>
      <c r="N38">
        <v>461.8</v>
      </c>
      <c r="O38">
        <v>466.7</v>
      </c>
      <c r="P38">
        <v>511</v>
      </c>
      <c r="AJ38" s="8"/>
    </row>
    <row r="39" spans="2:36" ht="14.7" thickBot="1" x14ac:dyDescent="0.6">
      <c r="B39" s="7" t="s">
        <v>41</v>
      </c>
      <c r="C39" s="11">
        <f>SUM($C38:C38)/1000 * $C$1</f>
        <v>5.0078000000000005</v>
      </c>
      <c r="D39" s="12">
        <f>SUM($C38:D38)/1000 * $C$1</f>
        <v>9.5814600000000016</v>
      </c>
      <c r="E39" s="12">
        <f>SUM($C38:E38)/1000 * $C$1</f>
        <v>14.107100000000001</v>
      </c>
      <c r="F39" s="12">
        <f>SUM($C38:F38)/1000 * $C$1</f>
        <v>19.039439999999999</v>
      </c>
      <c r="G39" s="12">
        <f>SUM($C38:G38)/1000 * $C$1</f>
        <v>23.767940000000003</v>
      </c>
      <c r="H39" s="12">
        <f>SUM($C38:H38)/1000 * $C$1</f>
        <v>28.353360000000006</v>
      </c>
      <c r="I39" s="12">
        <f>SUM($C38:I38)/1000 * $C$1</f>
        <v>33.266100000000009</v>
      </c>
      <c r="J39" s="12">
        <f>I39</f>
        <v>33.266100000000009</v>
      </c>
      <c r="K39" s="12">
        <f>H39</f>
        <v>28.353360000000006</v>
      </c>
      <c r="L39" s="12">
        <f>G39</f>
        <v>23.767940000000003</v>
      </c>
      <c r="M39" s="12">
        <f>F39</f>
        <v>19.039439999999999</v>
      </c>
      <c r="N39" s="12">
        <f>E39</f>
        <v>14.107100000000001</v>
      </c>
      <c r="O39" s="12">
        <f>D39</f>
        <v>9.5814600000000016</v>
      </c>
      <c r="P39" s="13">
        <f>C39</f>
        <v>5.0078000000000005</v>
      </c>
      <c r="Q39" t="s">
        <v>20</v>
      </c>
      <c r="R39" t="s">
        <v>13</v>
      </c>
      <c r="S39" t="s">
        <v>14</v>
      </c>
      <c r="T39" t="s">
        <v>15</v>
      </c>
      <c r="V39" t="s">
        <v>22</v>
      </c>
      <c r="W39" t="s">
        <v>21</v>
      </c>
      <c r="X39" t="s">
        <v>25</v>
      </c>
      <c r="Z39" t="s">
        <v>46</v>
      </c>
      <c r="AA39" t="s">
        <v>19</v>
      </c>
      <c r="AB39">
        <v>0</v>
      </c>
      <c r="AC39">
        <v>5</v>
      </c>
      <c r="AJ39" s="8"/>
    </row>
    <row r="40" spans="2:36" ht="14.7" thickBot="1" x14ac:dyDescent="0.6">
      <c r="B40" s="9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>
        <f>AVERAGE(W35:AJ35)</f>
        <v>63.450615200000016</v>
      </c>
      <c r="S40" s="3">
        <f>AVERAGE(W36:AJ36)</f>
        <v>8.9379142857142924</v>
      </c>
      <c r="T40" s="3">
        <f>AVERAGE(W37:AJ37)</f>
        <v>450.55062669120019</v>
      </c>
      <c r="U40" s="3"/>
      <c r="V40" s="3">
        <f>S37-W40*R37</f>
        <v>-0.25077206268970187</v>
      </c>
      <c r="W40" s="3">
        <f>(R40 - R37*S37)/(S40-R37*R37)</f>
        <v>7.1743938531291445</v>
      </c>
      <c r="X40" s="3">
        <f>1/SQRT(14)*SQRT((T40-S37*S37)/(S40-R37*R37) - W40*W40)</f>
        <v>6.4353553031536587E-2</v>
      </c>
      <c r="Y40" s="3"/>
      <c r="Z40" s="3"/>
      <c r="AA40" s="3" t="s">
        <v>20</v>
      </c>
      <c r="AB40" s="3">
        <f>V40</f>
        <v>-0.25077206268970187</v>
      </c>
      <c r="AC40" s="3">
        <f>W40*AC39</f>
        <v>35.871969265645724</v>
      </c>
      <c r="AD40" s="3"/>
      <c r="AE40" s="3"/>
      <c r="AF40" s="3"/>
      <c r="AG40" s="3"/>
      <c r="AH40" s="3"/>
      <c r="AI40" s="3"/>
      <c r="AJ40" s="10"/>
    </row>
    <row r="41" spans="2:36" x14ac:dyDescent="0.55000000000000004">
      <c r="M41" s="7" t="s">
        <v>45</v>
      </c>
      <c r="N41" s="8" t="s">
        <v>28</v>
      </c>
    </row>
    <row r="42" spans="2:36" x14ac:dyDescent="0.55000000000000004">
      <c r="B42" t="s">
        <v>44</v>
      </c>
      <c r="C42">
        <v>21.2</v>
      </c>
      <c r="D42">
        <v>21.3</v>
      </c>
      <c r="E42">
        <v>21.3</v>
      </c>
      <c r="F42">
        <v>21.3</v>
      </c>
      <c r="G42">
        <v>21.2</v>
      </c>
      <c r="H42">
        <v>21.1</v>
      </c>
      <c r="I42">
        <v>20.9</v>
      </c>
      <c r="J42">
        <v>20.9</v>
      </c>
      <c r="K42">
        <v>21</v>
      </c>
      <c r="L42">
        <v>20.9</v>
      </c>
      <c r="M42" s="7">
        <f>AVERAGE(C42:L42)</f>
        <v>21.110000000000003</v>
      </c>
      <c r="N42" s="8">
        <v>0.1</v>
      </c>
    </row>
    <row r="43" spans="2:36" ht="14.7" thickBot="1" x14ac:dyDescent="0.6">
      <c r="B43" t="s">
        <v>22</v>
      </c>
      <c r="C43">
        <v>3.82</v>
      </c>
      <c r="D43">
        <v>3.81</v>
      </c>
      <c r="E43">
        <v>3.79</v>
      </c>
      <c r="F43">
        <v>3.79</v>
      </c>
      <c r="G43">
        <v>3.78</v>
      </c>
      <c r="H43">
        <v>3.71</v>
      </c>
      <c r="I43">
        <v>3.73</v>
      </c>
      <c r="J43">
        <v>3.71</v>
      </c>
      <c r="K43">
        <v>3.73</v>
      </c>
      <c r="L43">
        <v>3.79</v>
      </c>
      <c r="M43" s="9">
        <f>AVERAGE(C43:L43)</f>
        <v>3.7660000000000005</v>
      </c>
      <c r="N43" s="10">
        <v>0.01</v>
      </c>
    </row>
    <row r="46" spans="2:36" x14ac:dyDescent="0.55000000000000004">
      <c r="B46" t="s">
        <v>34</v>
      </c>
      <c r="C46">
        <f>AVERAGE(W34,W40)</f>
        <v>7.1861624357635066</v>
      </c>
      <c r="D46" t="s">
        <v>50</v>
      </c>
    </row>
    <row r="47" spans="2:36" x14ac:dyDescent="0.55000000000000004">
      <c r="B47" t="s">
        <v>49</v>
      </c>
      <c r="C47">
        <f>AVERAGE(X34,X40)</f>
        <v>4.8309435052331241E-2</v>
      </c>
      <c r="D47" t="s">
        <v>50</v>
      </c>
    </row>
    <row r="48" spans="2:36" ht="14.7" thickBot="1" x14ac:dyDescent="0.6"/>
    <row r="49" spans="2:36" x14ac:dyDescent="0.55000000000000004">
      <c r="B49" s="4" t="s">
        <v>47</v>
      </c>
      <c r="C49" s="5">
        <f xml:space="preserve"> C46*1000*$C$2^3/4/M42/M43^3*1000*1000^3 / 10^9</f>
        <v>199.16722440852018</v>
      </c>
      <c r="D49" s="6" t="s">
        <v>36</v>
      </c>
    </row>
    <row r="50" spans="2:36" ht="14.7" thickBot="1" x14ac:dyDescent="0.6">
      <c r="B50" s="9" t="s">
        <v>51</v>
      </c>
      <c r="C50" s="3">
        <f xml:space="preserve"> C49 * SQRT((C47/C46)^2 + (3*$D$2/$C$2)^2 + (N42/M42)^2 + (3*N43/M43)^2)</f>
        <v>2.5745030655826504</v>
      </c>
      <c r="D50" s="10" t="s">
        <v>36</v>
      </c>
    </row>
    <row r="54" spans="2:36" ht="14.7" thickBot="1" x14ac:dyDescent="0.6"/>
    <row r="55" spans="2:36" x14ac:dyDescent="0.55000000000000004">
      <c r="B55" s="4" t="s">
        <v>52</v>
      </c>
      <c r="C55" s="5" t="s">
        <v>39</v>
      </c>
      <c r="D55" s="5">
        <v>10.82</v>
      </c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 t="s">
        <v>16</v>
      </c>
      <c r="W55" s="5">
        <f>C57*C59</f>
        <v>6.2096720000000021</v>
      </c>
      <c r="X55" s="5">
        <f t="shared" ref="X55" si="152">D57*D59</f>
        <v>22.612245599999998</v>
      </c>
      <c r="Y55" s="5">
        <f t="shared" ref="Y55" si="153">E57*E59</f>
        <v>49.092708000000009</v>
      </c>
      <c r="Z55" s="5">
        <f t="shared" ref="Z55" si="154">F57*F59</f>
        <v>89.866156800000013</v>
      </c>
      <c r="AA55" s="5">
        <f t="shared" ref="AA55" si="155">G57*G59</f>
        <v>140.46852540000003</v>
      </c>
      <c r="AB55" s="5">
        <f t="shared" ref="AB55" si="156">H57*H59</f>
        <v>200.74178880000005</v>
      </c>
      <c r="AC55" s="5">
        <f t="shared" ref="AC55" si="157">I57*I59</f>
        <v>276.10863000000012</v>
      </c>
      <c r="AD55" s="5">
        <f t="shared" ref="AD55" si="158">J57*J59</f>
        <v>275.77596900000009</v>
      </c>
      <c r="AE55" s="5">
        <f t="shared" ref="AE55" si="159">K57*K59</f>
        <v>200.17472160000005</v>
      </c>
      <c r="AF55" s="5">
        <f t="shared" ref="AF55" si="160">L57*L59</f>
        <v>140.46852540000003</v>
      </c>
      <c r="AG55" s="5">
        <f t="shared" ref="AG55" si="161">M57*M59</f>
        <v>90.246945600000004</v>
      </c>
      <c r="AH55" s="5">
        <f t="shared" ref="AH55" si="162">N57*N59</f>
        <v>49.233779000000006</v>
      </c>
      <c r="AI55" s="5">
        <f t="shared" ref="AI55" si="163">O57*O59</f>
        <v>22.708060200000013</v>
      </c>
      <c r="AJ55" s="6">
        <f t="shared" ref="AJ55" si="164">P57*P59</f>
        <v>6.2096720000000021</v>
      </c>
    </row>
    <row r="56" spans="2:36" ht="14.7" thickBot="1" x14ac:dyDescent="0.6">
      <c r="B56" s="7" t="s">
        <v>20</v>
      </c>
      <c r="C56">
        <v>9.58</v>
      </c>
      <c r="D56">
        <v>8.4600000000000009</v>
      </c>
      <c r="E56">
        <v>7.34</v>
      </c>
      <c r="F56">
        <v>6.1</v>
      </c>
      <c r="G56">
        <v>4.91</v>
      </c>
      <c r="H56">
        <v>3.74</v>
      </c>
      <c r="I56">
        <v>2.52</v>
      </c>
      <c r="J56">
        <v>2.5299999999999998</v>
      </c>
      <c r="K56">
        <v>3.76</v>
      </c>
      <c r="L56">
        <v>4.91</v>
      </c>
      <c r="M56">
        <v>6.08</v>
      </c>
      <c r="N56">
        <v>7.33</v>
      </c>
      <c r="O56">
        <v>8.4499999999999993</v>
      </c>
      <c r="P56">
        <v>9.58</v>
      </c>
      <c r="R56" t="s">
        <v>11</v>
      </c>
      <c r="S56" t="s">
        <v>12</v>
      </c>
      <c r="V56" t="s">
        <v>17</v>
      </c>
      <c r="W56">
        <f>C57*C57</f>
        <v>1.5376000000000005</v>
      </c>
      <c r="X56">
        <f t="shared" ref="X56" si="165">D57*D57</f>
        <v>5.5695999999999977</v>
      </c>
      <c r="Y56">
        <f t="shared" ref="Y56" si="166">E57*E57</f>
        <v>12.110400000000004</v>
      </c>
      <c r="Z56">
        <f t="shared" ref="Z56" si="167">F57*F57</f>
        <v>22.278400000000005</v>
      </c>
      <c r="AA56">
        <f t="shared" ref="AA56" si="168">G57*G57</f>
        <v>34.928100000000001</v>
      </c>
      <c r="AB56">
        <f t="shared" ref="AB56" si="169">H57*H57</f>
        <v>50.126400000000004</v>
      </c>
      <c r="AC56">
        <f t="shared" ref="AC56" si="170">I57*I57</f>
        <v>68.890000000000015</v>
      </c>
      <c r="AD56">
        <f t="shared" ref="AD56" si="171">J57*J57</f>
        <v>68.724100000000021</v>
      </c>
      <c r="AE56">
        <f t="shared" ref="AE56" si="172">K57*K57</f>
        <v>49.843600000000009</v>
      </c>
      <c r="AF56">
        <f t="shared" ref="AF56" si="173">L57*L57</f>
        <v>34.928100000000001</v>
      </c>
      <c r="AG56">
        <f t="shared" ref="AG56" si="174">M57*M57</f>
        <v>22.467600000000001</v>
      </c>
      <c r="AH56">
        <f t="shared" ref="AH56" si="175">N57*N57</f>
        <v>12.180100000000001</v>
      </c>
      <c r="AI56">
        <f t="shared" ref="AI56" si="176">O57*O57</f>
        <v>5.6169000000000047</v>
      </c>
      <c r="AJ56" s="8">
        <f t="shared" ref="AJ56" si="177">P57*P57</f>
        <v>1.5376000000000005</v>
      </c>
    </row>
    <row r="57" spans="2:36" ht="14.7" thickBot="1" x14ac:dyDescent="0.6">
      <c r="B57" s="7" t="s">
        <v>40</v>
      </c>
      <c r="C57" s="11">
        <f>$D55-C56</f>
        <v>1.2400000000000002</v>
      </c>
      <c r="D57" s="12">
        <f t="shared" ref="D57" si="178">$D55-D56</f>
        <v>2.3599999999999994</v>
      </c>
      <c r="E57" s="12">
        <f t="shared" ref="E57" si="179">$D55-E56</f>
        <v>3.4800000000000004</v>
      </c>
      <c r="F57" s="12">
        <f t="shared" ref="F57" si="180">$D55-F56</f>
        <v>4.7200000000000006</v>
      </c>
      <c r="G57" s="12">
        <f t="shared" ref="G57" si="181">$D55-G56</f>
        <v>5.91</v>
      </c>
      <c r="H57" s="12">
        <f t="shared" ref="H57:P57" si="182">$D55-H56</f>
        <v>7.08</v>
      </c>
      <c r="I57" s="12">
        <f t="shared" si="182"/>
        <v>8.3000000000000007</v>
      </c>
      <c r="J57" s="12">
        <f t="shared" si="182"/>
        <v>8.2900000000000009</v>
      </c>
      <c r="K57" s="12">
        <f t="shared" si="182"/>
        <v>7.0600000000000005</v>
      </c>
      <c r="L57" s="12">
        <f t="shared" si="182"/>
        <v>5.91</v>
      </c>
      <c r="M57" s="12">
        <f t="shared" si="182"/>
        <v>4.74</v>
      </c>
      <c r="N57" s="12">
        <f t="shared" si="182"/>
        <v>3.49</v>
      </c>
      <c r="O57" s="12">
        <f t="shared" si="182"/>
        <v>2.370000000000001</v>
      </c>
      <c r="P57" s="13">
        <f t="shared" si="182"/>
        <v>1.2400000000000002</v>
      </c>
      <c r="Q57" t="s">
        <v>19</v>
      </c>
      <c r="R57">
        <f>AVERAGE(C57:P57)</f>
        <v>4.7278571428571441</v>
      </c>
      <c r="S57">
        <f>AVERAGE(C59:P59)</f>
        <v>19.017600000000005</v>
      </c>
      <c r="V57" t="s">
        <v>18</v>
      </c>
      <c r="W57">
        <f>C59*C59</f>
        <v>25.078060840000006</v>
      </c>
      <c r="X57">
        <f t="shared" ref="X57" si="183">D59*D59</f>
        <v>91.804375731600032</v>
      </c>
      <c r="Y57">
        <f t="shared" ref="Y57" si="184">E59*E59</f>
        <v>199.01027041000003</v>
      </c>
      <c r="Z57">
        <f t="shared" ref="Z57" si="185">F59*F59</f>
        <v>362.50027551359995</v>
      </c>
      <c r="AA57">
        <f t="shared" ref="AA57" si="186">G59*G59</f>
        <v>564.91497184360014</v>
      </c>
      <c r="AB57">
        <f t="shared" ref="AB57" si="187">H59*H59</f>
        <v>803.91302328960035</v>
      </c>
      <c r="AC57">
        <f t="shared" ref="AC57" si="188">I59*I59</f>
        <v>1106.6334092100005</v>
      </c>
      <c r="AD57">
        <f t="shared" ref="AD57" si="189">J59*J59</f>
        <v>1106.6334092100005</v>
      </c>
      <c r="AE57">
        <f t="shared" ref="AE57" si="190">K59*K59</f>
        <v>803.91302328960035</v>
      </c>
      <c r="AF57">
        <f t="shared" ref="AF57" si="191">L59*L59</f>
        <v>564.91497184360014</v>
      </c>
      <c r="AG57">
        <f t="shared" ref="AG57" si="192">M59*M59</f>
        <v>362.50027551359995</v>
      </c>
      <c r="AH57">
        <f t="shared" ref="AH57" si="193">N59*N59</f>
        <v>199.01027041000003</v>
      </c>
      <c r="AI57">
        <f t="shared" ref="AI57" si="194">O59*O59</f>
        <v>91.804375731600032</v>
      </c>
      <c r="AJ57" s="8">
        <f t="shared" ref="AJ57" si="195">P59*P59</f>
        <v>25.078060840000006</v>
      </c>
    </row>
    <row r="58" spans="2:36" ht="14.7" thickBot="1" x14ac:dyDescent="0.6">
      <c r="B58" s="7" t="s">
        <v>1</v>
      </c>
      <c r="C58">
        <v>511</v>
      </c>
      <c r="D58">
        <v>466.7</v>
      </c>
      <c r="E58">
        <v>461.8</v>
      </c>
      <c r="F58">
        <v>503.3</v>
      </c>
      <c r="G58">
        <v>482.5</v>
      </c>
      <c r="H58">
        <v>467.9</v>
      </c>
      <c r="I58">
        <v>501.3</v>
      </c>
      <c r="J58">
        <v>501.3</v>
      </c>
      <c r="K58">
        <v>467.9</v>
      </c>
      <c r="L58">
        <v>482.5</v>
      </c>
      <c r="M58">
        <v>503.3</v>
      </c>
      <c r="N58">
        <v>461.8</v>
      </c>
      <c r="O58">
        <v>466.7</v>
      </c>
      <c r="P58">
        <v>511</v>
      </c>
      <c r="AJ58" s="8"/>
    </row>
    <row r="59" spans="2:36" ht="14.7" thickBot="1" x14ac:dyDescent="0.6">
      <c r="B59" s="7" t="s">
        <v>41</v>
      </c>
      <c r="C59" s="11">
        <f>SUM($C58:C58)/1000 * $C$1</f>
        <v>5.0078000000000005</v>
      </c>
      <c r="D59" s="12">
        <f>SUM($C58:D58)/1000 * $C$1</f>
        <v>9.5814600000000016</v>
      </c>
      <c r="E59" s="12">
        <f>SUM($C58:E58)/1000 * $C$1</f>
        <v>14.107100000000001</v>
      </c>
      <c r="F59" s="12">
        <f>SUM($C58:F58)/1000 * $C$1</f>
        <v>19.039439999999999</v>
      </c>
      <c r="G59" s="12">
        <f>SUM($C58:G58)/1000 * $C$1</f>
        <v>23.767940000000003</v>
      </c>
      <c r="H59" s="12">
        <f>SUM($C58:H58)/1000 * $C$1</f>
        <v>28.353360000000006</v>
      </c>
      <c r="I59" s="12">
        <f>SUM($C58:I58)/1000 * $C$1</f>
        <v>33.266100000000009</v>
      </c>
      <c r="J59" s="12">
        <f>I59</f>
        <v>33.266100000000009</v>
      </c>
      <c r="K59" s="12">
        <f>H59</f>
        <v>28.353360000000006</v>
      </c>
      <c r="L59" s="12">
        <f>G59</f>
        <v>23.767940000000003</v>
      </c>
      <c r="M59" s="12">
        <f>F59</f>
        <v>19.039439999999999</v>
      </c>
      <c r="N59" s="12">
        <f>E59</f>
        <v>14.107100000000001</v>
      </c>
      <c r="O59" s="12">
        <f>D59</f>
        <v>9.5814600000000016</v>
      </c>
      <c r="P59" s="13">
        <f>C59</f>
        <v>5.0078000000000005</v>
      </c>
      <c r="Q59" t="s">
        <v>20</v>
      </c>
      <c r="R59" t="s">
        <v>13</v>
      </c>
      <c r="S59" t="s">
        <v>14</v>
      </c>
      <c r="T59" t="s">
        <v>15</v>
      </c>
      <c r="V59" t="s">
        <v>22</v>
      </c>
      <c r="W59" t="s">
        <v>21</v>
      </c>
      <c r="X59" t="s">
        <v>25</v>
      </c>
      <c r="Z59" t="s">
        <v>46</v>
      </c>
      <c r="AA59" t="s">
        <v>19</v>
      </c>
      <c r="AB59">
        <v>0</v>
      </c>
      <c r="AC59">
        <v>9</v>
      </c>
      <c r="AJ59" s="8"/>
    </row>
    <row r="60" spans="2:36" ht="14.7" thickBot="1" x14ac:dyDescent="0.6">
      <c r="B60" s="9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>
        <f>AVERAGE(W55:AJ55)</f>
        <v>112.13695710000003</v>
      </c>
      <c r="S60" s="3">
        <f>AVERAGE(W56:AJ56)</f>
        <v>27.909892857142861</v>
      </c>
      <c r="T60" s="3">
        <f>AVERAGE(W57:AJ57)</f>
        <v>450.55062669120019</v>
      </c>
      <c r="U60" s="3"/>
      <c r="V60" s="3">
        <f>S57-W60*R57</f>
        <v>0.11006590121635185</v>
      </c>
      <c r="W60" s="3">
        <f>(R60 - R57*S57)/(S60-R57*R57)</f>
        <v>3.999176271082808</v>
      </c>
      <c r="X60" s="3">
        <f>1/SQRT(14)*SQRT((T60-S57*S57)/(S60-R57*R57) - W60*W60)</f>
        <v>5.0440487224175231E-3</v>
      </c>
      <c r="Y60" s="3"/>
      <c r="Z60" s="3"/>
      <c r="AA60" s="3" t="s">
        <v>20</v>
      </c>
      <c r="AB60" s="3">
        <f>V60</f>
        <v>0.11006590121635185</v>
      </c>
      <c r="AC60" s="3">
        <f>W60*AC59</f>
        <v>35.992586439745274</v>
      </c>
      <c r="AD60" s="3"/>
      <c r="AE60" s="3"/>
      <c r="AF60" s="3"/>
      <c r="AG60" s="3"/>
      <c r="AH60" s="3"/>
      <c r="AI60" s="3"/>
      <c r="AJ60" s="10"/>
    </row>
    <row r="61" spans="2:36" x14ac:dyDescent="0.55000000000000004">
      <c r="B61" s="4" t="s">
        <v>53</v>
      </c>
      <c r="C61" s="5" t="s">
        <v>39</v>
      </c>
      <c r="D61" s="5">
        <v>10.33</v>
      </c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 t="s">
        <v>16</v>
      </c>
      <c r="W61" s="5">
        <f>C63*C65</f>
        <v>6.2096720000000021</v>
      </c>
      <c r="X61" s="5">
        <f t="shared" ref="X61" si="196">D63*D65</f>
        <v>22.803874800000003</v>
      </c>
      <c r="Y61" s="5">
        <f t="shared" ref="Y61" si="197">E63*E65</f>
        <v>49.798063000000006</v>
      </c>
      <c r="Z61" s="5">
        <f t="shared" ref="Z61" si="198">F63*F65</f>
        <v>90.246945600000004</v>
      </c>
      <c r="AA61" s="5">
        <f t="shared" ref="AA61" si="199">G63*G65</f>
        <v>140.94388420000001</v>
      </c>
      <c r="AB61" s="5">
        <f t="shared" ref="AB61" si="200">H63*H65</f>
        <v>200.45825520000005</v>
      </c>
      <c r="AC61" s="5">
        <f t="shared" ref="AC61" si="201">I63*I65</f>
        <v>275.77596900000003</v>
      </c>
      <c r="AD61" s="5">
        <f t="shared" ref="AD61" si="202">J63*J65</f>
        <v>276.10863000000012</v>
      </c>
      <c r="AE61" s="5">
        <f t="shared" ref="AE61" si="203">K63*K65</f>
        <v>199.89118800000006</v>
      </c>
      <c r="AF61" s="5">
        <f t="shared" ref="AF61" si="204">L63*L65</f>
        <v>140.46852540000003</v>
      </c>
      <c r="AG61" s="5">
        <f t="shared" ref="AG61" si="205">M63*M65</f>
        <v>90.056551200000001</v>
      </c>
      <c r="AH61" s="5">
        <f t="shared" ref="AH61" si="206">N63*N65</f>
        <v>49.65699200000001</v>
      </c>
      <c r="AI61" s="5">
        <f t="shared" ref="AI61" si="207">O63*O65</f>
        <v>22.708060200000006</v>
      </c>
      <c r="AJ61" s="6">
        <f t="shared" ref="AJ61" si="208">P63*P65</f>
        <v>6.1595940000000029</v>
      </c>
    </row>
    <row r="62" spans="2:36" ht="14.7" thickBot="1" x14ac:dyDescent="0.6">
      <c r="B62" s="7" t="s">
        <v>20</v>
      </c>
      <c r="C62">
        <v>9.09</v>
      </c>
      <c r="D62">
        <v>7.95</v>
      </c>
      <c r="E62">
        <v>6.8</v>
      </c>
      <c r="F62">
        <v>5.59</v>
      </c>
      <c r="G62">
        <v>4.4000000000000004</v>
      </c>
      <c r="H62">
        <v>3.26</v>
      </c>
      <c r="I62">
        <v>2.04</v>
      </c>
      <c r="J62">
        <v>2.0299999999999998</v>
      </c>
      <c r="K62">
        <v>3.28</v>
      </c>
      <c r="L62">
        <v>4.42</v>
      </c>
      <c r="M62">
        <v>5.6</v>
      </c>
      <c r="N62">
        <v>6.81</v>
      </c>
      <c r="O62">
        <v>7.96</v>
      </c>
      <c r="P62">
        <v>9.1</v>
      </c>
      <c r="R62" t="s">
        <v>11</v>
      </c>
      <c r="S62" t="s">
        <v>12</v>
      </c>
      <c r="V62" t="s">
        <v>17</v>
      </c>
      <c r="W62">
        <f>C63*C63</f>
        <v>1.5376000000000005</v>
      </c>
      <c r="X62">
        <f t="shared" ref="X62" si="209">D63*D63</f>
        <v>5.6643999999999997</v>
      </c>
      <c r="Y62">
        <f t="shared" ref="Y62" si="210">E63*E63</f>
        <v>12.460900000000002</v>
      </c>
      <c r="Z62">
        <f t="shared" ref="Z62" si="211">F63*F63</f>
        <v>22.467600000000001</v>
      </c>
      <c r="AA62">
        <f t="shared" ref="AA62" si="212">G63*G63</f>
        <v>35.164899999999996</v>
      </c>
      <c r="AB62">
        <f t="shared" ref="AB62" si="213">H63*H63</f>
        <v>49.984900000000003</v>
      </c>
      <c r="AC62">
        <f t="shared" ref="AC62" si="214">I63*I63</f>
        <v>68.724099999999993</v>
      </c>
      <c r="AD62">
        <f t="shared" ref="AD62" si="215">J63*J63</f>
        <v>68.890000000000015</v>
      </c>
      <c r="AE62">
        <f t="shared" ref="AE62" si="216">K63*K63</f>
        <v>49.702500000000008</v>
      </c>
      <c r="AF62">
        <f t="shared" ref="AF62" si="217">L63*L63</f>
        <v>34.928100000000001</v>
      </c>
      <c r="AG62">
        <f t="shared" ref="AG62" si="218">M63*M63</f>
        <v>22.372900000000005</v>
      </c>
      <c r="AH62">
        <f t="shared" ref="AH62" si="219">N63*N63</f>
        <v>12.390400000000003</v>
      </c>
      <c r="AI62">
        <f t="shared" ref="AI62" si="220">O63*O63</f>
        <v>5.6169000000000002</v>
      </c>
      <c r="AJ62" s="8">
        <f t="shared" ref="AJ62" si="221">P63*P63</f>
        <v>1.512900000000001</v>
      </c>
    </row>
    <row r="63" spans="2:36" ht="14.7" thickBot="1" x14ac:dyDescent="0.6">
      <c r="B63" s="7" t="s">
        <v>40</v>
      </c>
      <c r="C63" s="11">
        <f>$D61-C62</f>
        <v>1.2400000000000002</v>
      </c>
      <c r="D63" s="12">
        <f t="shared" ref="D63" si="222">$D61-D62</f>
        <v>2.38</v>
      </c>
      <c r="E63" s="12">
        <f t="shared" ref="E63" si="223">$D61-E62</f>
        <v>3.5300000000000002</v>
      </c>
      <c r="F63" s="12">
        <f t="shared" ref="F63" si="224">$D61-F62</f>
        <v>4.74</v>
      </c>
      <c r="G63" s="12">
        <f t="shared" ref="G63" si="225">$D61-G62</f>
        <v>5.93</v>
      </c>
      <c r="H63" s="12">
        <f t="shared" ref="H63" si="226">$D61-H62</f>
        <v>7.07</v>
      </c>
      <c r="I63" s="12">
        <f t="shared" ref="I63" si="227">$D61-I62</f>
        <v>8.2899999999999991</v>
      </c>
      <c r="J63" s="12">
        <f t="shared" ref="J63" si="228">$D61-J62</f>
        <v>8.3000000000000007</v>
      </c>
      <c r="K63" s="12">
        <f t="shared" ref="K63" si="229">$D61-K62</f>
        <v>7.0500000000000007</v>
      </c>
      <c r="L63" s="12">
        <f t="shared" ref="L63" si="230">$D61-L62</f>
        <v>5.91</v>
      </c>
      <c r="M63" s="12">
        <f t="shared" ref="M63" si="231">$D61-M62</f>
        <v>4.7300000000000004</v>
      </c>
      <c r="N63" s="12">
        <f t="shared" ref="N63" si="232">$D61-N62</f>
        <v>3.5200000000000005</v>
      </c>
      <c r="O63" s="12">
        <f t="shared" ref="O63" si="233">$D61-O62</f>
        <v>2.37</v>
      </c>
      <c r="P63" s="13">
        <f t="shared" ref="P63" si="234">$D61-P62</f>
        <v>1.2300000000000004</v>
      </c>
      <c r="Q63" t="s">
        <v>19</v>
      </c>
      <c r="R63">
        <f>AVERAGE(C63:P63)</f>
        <v>4.7350000000000003</v>
      </c>
      <c r="S63">
        <f>AVERAGE(C65:P65)</f>
        <v>19.017600000000005</v>
      </c>
      <c r="V63" t="s">
        <v>18</v>
      </c>
      <c r="W63">
        <f>C65*C65</f>
        <v>25.078060840000006</v>
      </c>
      <c r="X63">
        <f t="shared" ref="X63" si="235">D65*D65</f>
        <v>91.804375731600032</v>
      </c>
      <c r="Y63">
        <f t="shared" ref="Y63" si="236">E65*E65</f>
        <v>199.01027041000003</v>
      </c>
      <c r="Z63">
        <f t="shared" ref="Z63" si="237">F65*F65</f>
        <v>362.50027551359995</v>
      </c>
      <c r="AA63">
        <f t="shared" ref="AA63" si="238">G65*G65</f>
        <v>564.91497184360014</v>
      </c>
      <c r="AB63">
        <f t="shared" ref="AB63" si="239">H65*H65</f>
        <v>803.91302328960035</v>
      </c>
      <c r="AC63">
        <f t="shared" ref="AC63" si="240">I65*I65</f>
        <v>1106.6334092100005</v>
      </c>
      <c r="AD63">
        <f t="shared" ref="AD63" si="241">J65*J65</f>
        <v>1106.6334092100005</v>
      </c>
      <c r="AE63">
        <f t="shared" ref="AE63" si="242">K65*K65</f>
        <v>803.91302328960035</v>
      </c>
      <c r="AF63">
        <f t="shared" ref="AF63" si="243">L65*L65</f>
        <v>564.91497184360014</v>
      </c>
      <c r="AG63">
        <f t="shared" ref="AG63" si="244">M65*M65</f>
        <v>362.50027551359995</v>
      </c>
      <c r="AH63">
        <f t="shared" ref="AH63" si="245">N65*N65</f>
        <v>199.01027041000003</v>
      </c>
      <c r="AI63">
        <f t="shared" ref="AI63" si="246">O65*O65</f>
        <v>91.804375731600032</v>
      </c>
      <c r="AJ63" s="8">
        <f t="shared" ref="AJ63" si="247">P65*P65</f>
        <v>25.078060840000006</v>
      </c>
    </row>
    <row r="64" spans="2:36" ht="14.7" thickBot="1" x14ac:dyDescent="0.6">
      <c r="B64" s="7" t="s">
        <v>1</v>
      </c>
      <c r="C64">
        <v>511</v>
      </c>
      <c r="D64">
        <v>466.7</v>
      </c>
      <c r="E64">
        <v>461.8</v>
      </c>
      <c r="F64">
        <v>503.3</v>
      </c>
      <c r="G64">
        <v>482.5</v>
      </c>
      <c r="H64">
        <v>467.9</v>
      </c>
      <c r="I64">
        <v>501.3</v>
      </c>
      <c r="J64">
        <v>501.3</v>
      </c>
      <c r="K64">
        <v>467.9</v>
      </c>
      <c r="L64">
        <v>482.5</v>
      </c>
      <c r="M64">
        <v>503.3</v>
      </c>
      <c r="N64">
        <v>461.8</v>
      </c>
      <c r="O64">
        <v>466.7</v>
      </c>
      <c r="P64">
        <v>511</v>
      </c>
      <c r="AJ64" s="8"/>
    </row>
    <row r="65" spans="2:36" ht="14.7" thickBot="1" x14ac:dyDescent="0.6">
      <c r="B65" s="7" t="s">
        <v>41</v>
      </c>
      <c r="C65" s="11">
        <f>SUM($C64:C64)/1000 * $C$1</f>
        <v>5.0078000000000005</v>
      </c>
      <c r="D65" s="12">
        <f>SUM($C64:D64)/1000 * $C$1</f>
        <v>9.5814600000000016</v>
      </c>
      <c r="E65" s="12">
        <f>SUM($C64:E64)/1000 * $C$1</f>
        <v>14.107100000000001</v>
      </c>
      <c r="F65" s="12">
        <f>SUM($C64:F64)/1000 * $C$1</f>
        <v>19.039439999999999</v>
      </c>
      <c r="G65" s="12">
        <f>SUM($C64:G64)/1000 * $C$1</f>
        <v>23.767940000000003</v>
      </c>
      <c r="H65" s="12">
        <f>SUM($C64:H64)/1000 * $C$1</f>
        <v>28.353360000000006</v>
      </c>
      <c r="I65" s="12">
        <f>SUM($C64:I64)/1000 * $C$1</f>
        <v>33.266100000000009</v>
      </c>
      <c r="J65" s="12">
        <f>I65</f>
        <v>33.266100000000009</v>
      </c>
      <c r="K65" s="12">
        <f>H65</f>
        <v>28.353360000000006</v>
      </c>
      <c r="L65" s="12">
        <f>G65</f>
        <v>23.767940000000003</v>
      </c>
      <c r="M65" s="12">
        <f>F65</f>
        <v>19.039439999999999</v>
      </c>
      <c r="N65" s="12">
        <f>E65</f>
        <v>14.107100000000001</v>
      </c>
      <c r="O65" s="12">
        <f>D65</f>
        <v>9.5814600000000016</v>
      </c>
      <c r="P65" s="13">
        <f>C65</f>
        <v>5.0078000000000005</v>
      </c>
      <c r="Q65" t="s">
        <v>20</v>
      </c>
      <c r="R65" t="s">
        <v>13</v>
      </c>
      <c r="S65" t="s">
        <v>14</v>
      </c>
      <c r="T65" t="s">
        <v>15</v>
      </c>
      <c r="V65" t="s">
        <v>22</v>
      </c>
      <c r="W65" t="s">
        <v>21</v>
      </c>
      <c r="X65" t="s">
        <v>25</v>
      </c>
      <c r="Z65" t="s">
        <v>46</v>
      </c>
      <c r="AA65" t="s">
        <v>19</v>
      </c>
      <c r="AB65">
        <v>0</v>
      </c>
      <c r="AC65">
        <v>9</v>
      </c>
      <c r="AJ65" s="8"/>
    </row>
    <row r="66" spans="2:36" ht="14.7" thickBot="1" x14ac:dyDescent="0.6">
      <c r="B66" s="9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>
        <f>AVERAGE(W61:AJ61)</f>
        <v>112.23472890000004</v>
      </c>
      <c r="S66" s="3">
        <f>AVERAGE(W62:AJ62)</f>
        <v>27.958435714285713</v>
      </c>
      <c r="T66" s="3">
        <f>AVERAGE(W63:AJ63)</f>
        <v>450.55062669120019</v>
      </c>
      <c r="U66" s="3"/>
      <c r="V66" s="3">
        <f>S63-W66*R63</f>
        <v>4.8915744177296716E-2</v>
      </c>
      <c r="W66" s="3">
        <f>(R66 - R63*S63)/(S66-R63*R63)</f>
        <v>4.0060579209762848</v>
      </c>
      <c r="X66" s="3">
        <f>1/SQRT(14)*SQRT((T66-S63*S63)/(S66-R63*R63) - W66*W66)</f>
        <v>4.4594534916909201E-3</v>
      </c>
      <c r="Y66" s="3"/>
      <c r="Z66" s="3"/>
      <c r="AA66" s="3" t="s">
        <v>20</v>
      </c>
      <c r="AB66" s="3">
        <f>V66</f>
        <v>4.8915744177296716E-2</v>
      </c>
      <c r="AC66" s="3">
        <f>W66*AC65</f>
        <v>36.05452128878656</v>
      </c>
      <c r="AD66" s="3"/>
      <c r="AE66" s="3"/>
      <c r="AF66" s="3"/>
      <c r="AG66" s="3"/>
      <c r="AH66" s="3"/>
      <c r="AI66" s="3"/>
      <c r="AJ66" s="10"/>
    </row>
    <row r="67" spans="2:36" x14ac:dyDescent="0.55000000000000004">
      <c r="M67" s="7" t="s">
        <v>45</v>
      </c>
      <c r="N67" s="8" t="s">
        <v>28</v>
      </c>
    </row>
    <row r="68" spans="2:36" x14ac:dyDescent="0.55000000000000004">
      <c r="B68" t="s">
        <v>44</v>
      </c>
      <c r="C68">
        <v>21.5</v>
      </c>
      <c r="D68">
        <v>21.4</v>
      </c>
      <c r="E68">
        <v>21.3</v>
      </c>
      <c r="F68">
        <v>21.4</v>
      </c>
      <c r="G68">
        <v>21.5</v>
      </c>
      <c r="H68">
        <v>21.6</v>
      </c>
      <c r="I68">
        <v>21.5</v>
      </c>
      <c r="J68">
        <v>21.4</v>
      </c>
      <c r="K68">
        <v>21.4</v>
      </c>
      <c r="L68">
        <v>21.5</v>
      </c>
      <c r="M68" s="7">
        <f>AVERAGE(C68:L68)</f>
        <v>21.45</v>
      </c>
      <c r="N68" s="8">
        <v>0.1</v>
      </c>
    </row>
    <row r="69" spans="2:36" ht="14.7" thickBot="1" x14ac:dyDescent="0.6">
      <c r="B69" t="s">
        <v>22</v>
      </c>
      <c r="C69">
        <v>3.92</v>
      </c>
      <c r="D69">
        <v>3.93</v>
      </c>
      <c r="E69">
        <v>3.92</v>
      </c>
      <c r="F69">
        <v>3.93</v>
      </c>
      <c r="G69">
        <v>3.91</v>
      </c>
      <c r="H69">
        <v>3.91</v>
      </c>
      <c r="I69">
        <v>3.92</v>
      </c>
      <c r="J69">
        <v>3.91</v>
      </c>
      <c r="K69">
        <v>3.91</v>
      </c>
      <c r="L69">
        <v>3.91</v>
      </c>
      <c r="M69" s="9">
        <f>AVERAGE(C69:L69)</f>
        <v>3.9170000000000003</v>
      </c>
      <c r="N69" s="10">
        <v>0.01</v>
      </c>
    </row>
    <row r="72" spans="2:36" x14ac:dyDescent="0.55000000000000004">
      <c r="B72" t="s">
        <v>34</v>
      </c>
      <c r="C72">
        <f>AVERAGE(W60,W66)</f>
        <v>4.002617096029546</v>
      </c>
      <c r="D72" t="s">
        <v>50</v>
      </c>
    </row>
    <row r="73" spans="2:36" x14ac:dyDescent="0.55000000000000004">
      <c r="B73" t="s">
        <v>49</v>
      </c>
      <c r="C73">
        <f>AVERAGE(X60,X66)</f>
        <v>4.7517511070542216E-3</v>
      </c>
      <c r="D73" t="s">
        <v>50</v>
      </c>
    </row>
    <row r="74" spans="2:36" ht="14.7" thickBot="1" x14ac:dyDescent="0.6"/>
    <row r="75" spans="2:36" x14ac:dyDescent="0.55000000000000004">
      <c r="B75" s="4" t="s">
        <v>47</v>
      </c>
      <c r="C75" s="5">
        <f xml:space="preserve"> C72*1000*$C$2^3/4/M68/M69^3*1000*1000^3 / 10^9</f>
        <v>97.030005616638263</v>
      </c>
      <c r="D75" s="6" t="s">
        <v>36</v>
      </c>
    </row>
    <row r="76" spans="2:36" ht="14.7" thickBot="1" x14ac:dyDescent="0.6">
      <c r="B76" s="9" t="s">
        <v>51</v>
      </c>
      <c r="C76" s="3">
        <f xml:space="preserve"> C75 * SQRT((C73/C72)^2 + (3*$D$2/$C$2)^2 + (N68/M68)^2 + (3*N69/M69)^2)</f>
        <v>1.0531342644902359</v>
      </c>
      <c r="D76" s="10" t="s">
        <v>36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Лист2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Aleksander Rozhkov</dc:creator>
  <cp:lastModifiedBy>Aleksander Rozhkov</cp:lastModifiedBy>
  <dcterms:created xsi:type="dcterms:W3CDTF">2023-10-30T20:48:28Z</dcterms:created>
  <dcterms:modified xsi:type="dcterms:W3CDTF">2023-10-31T08:42:19Z</dcterms:modified>
</cp:coreProperties>
</file>