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ocuments\МФТИ\Лабы\2.2.6\"/>
    </mc:Choice>
  </mc:AlternateContent>
  <xr:revisionPtr revIDLastSave="0" documentId="13_ncr:1_{5BDAD1D7-858C-46CE-8D0C-0F0BEB216006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Рассчёты" sheetId="1" r:id="rId1"/>
    <sheet name="График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C2" i="2"/>
  <c r="B2" i="2"/>
  <c r="P10" i="1"/>
  <c r="P11" i="1"/>
  <c r="E11" i="2" s="1"/>
  <c r="P12" i="1"/>
  <c r="P13" i="1"/>
  <c r="P15" i="1"/>
  <c r="P16" i="1"/>
  <c r="E16" i="2" s="1"/>
  <c r="P17" i="1"/>
  <c r="E17" i="2" s="1"/>
  <c r="P18" i="1"/>
  <c r="P19" i="1"/>
  <c r="E19" i="2" s="1"/>
  <c r="P20" i="1"/>
  <c r="P21" i="1"/>
  <c r="P22" i="1"/>
  <c r="P23" i="1"/>
  <c r="P24" i="1"/>
  <c r="E24" i="2" s="1"/>
  <c r="P25" i="1"/>
  <c r="E25" i="2" s="1"/>
  <c r="C35" i="1"/>
  <c r="C36" i="1"/>
  <c r="G3" i="1"/>
  <c r="I3" i="1" s="1"/>
  <c r="G6" i="1"/>
  <c r="I6" i="1" s="1"/>
  <c r="G7" i="1"/>
  <c r="I7" i="1" s="1"/>
  <c r="G10" i="1"/>
  <c r="I10" i="1" s="1"/>
  <c r="G4" i="1"/>
  <c r="I4" i="1" s="1"/>
  <c r="G5" i="1"/>
  <c r="I5" i="1" s="1"/>
  <c r="G8" i="1"/>
  <c r="I8" i="1" s="1"/>
  <c r="G9" i="1"/>
  <c r="I9" i="1" s="1"/>
  <c r="G11" i="1"/>
  <c r="I11" i="1" s="1"/>
  <c r="G12" i="1"/>
  <c r="I12" i="1" s="1"/>
  <c r="G14" i="1"/>
  <c r="I14" i="1" s="1"/>
  <c r="G15" i="1"/>
  <c r="I15" i="1" s="1"/>
  <c r="G18" i="1"/>
  <c r="I18" i="1" s="1"/>
  <c r="G19" i="1"/>
  <c r="I19" i="1" s="1"/>
  <c r="G13" i="1"/>
  <c r="I13" i="1" s="1"/>
  <c r="G16" i="1"/>
  <c r="I16" i="1" s="1"/>
  <c r="G17" i="1"/>
  <c r="I17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" i="1"/>
  <c r="I2" i="1" s="1"/>
  <c r="D14" i="1"/>
  <c r="P14" i="1" s="1"/>
  <c r="D9" i="1"/>
  <c r="P9" i="1" s="1"/>
  <c r="D8" i="1"/>
  <c r="P8" i="1" s="1"/>
  <c r="E8" i="2" s="1"/>
  <c r="D7" i="1"/>
  <c r="P7" i="1" s="1"/>
  <c r="D6" i="1"/>
  <c r="P6" i="1" s="1"/>
  <c r="D5" i="1"/>
  <c r="P5" i="1" s="1"/>
  <c r="E5" i="2" s="1"/>
  <c r="D4" i="1"/>
  <c r="P4" i="1" s="1"/>
  <c r="E4" i="2" s="1"/>
  <c r="D3" i="1"/>
  <c r="P3" i="1" s="1"/>
  <c r="E3" i="2" s="1"/>
  <c r="D2" i="1"/>
  <c r="P2" i="1" s="1"/>
  <c r="C11" i="1"/>
  <c r="C9" i="1"/>
  <c r="C8" i="1"/>
  <c r="C5" i="1"/>
  <c r="C4" i="1"/>
  <c r="C6" i="1"/>
  <c r="C10" i="1"/>
  <c r="C7" i="1"/>
  <c r="C2" i="1"/>
  <c r="C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E22" i="2" l="1"/>
  <c r="E12" i="2"/>
  <c r="E14" i="2"/>
  <c r="E20" i="2"/>
  <c r="E18" i="2"/>
  <c r="E6" i="2"/>
  <c r="E10" i="2"/>
  <c r="E7" i="2"/>
  <c r="E23" i="2"/>
  <c r="E15" i="2"/>
  <c r="E13" i="2"/>
  <c r="E9" i="2"/>
  <c r="E21" i="2"/>
  <c r="C38" i="1"/>
  <c r="E2" i="2"/>
  <c r="C26" i="2"/>
  <c r="C39" i="1"/>
  <c r="J11" i="1" s="1"/>
  <c r="K11" i="1" s="1"/>
  <c r="O11" i="1" s="1"/>
  <c r="J4" i="1"/>
  <c r="K4" i="1" s="1"/>
  <c r="O4" i="1" s="1"/>
  <c r="J12" i="1"/>
  <c r="K12" i="1" s="1"/>
  <c r="O12" i="1" s="1"/>
  <c r="J6" i="1"/>
  <c r="K6" i="1" s="1"/>
  <c r="O6" i="1" s="1"/>
  <c r="J14" i="1"/>
  <c r="K14" i="1" s="1"/>
  <c r="E26" i="2" l="1"/>
  <c r="L14" i="1"/>
  <c r="O14" i="1"/>
  <c r="J18" i="1"/>
  <c r="K18" i="1" s="1"/>
  <c r="O18" i="1" s="1"/>
  <c r="J22" i="1"/>
  <c r="K22" i="1" s="1"/>
  <c r="O22" i="1" s="1"/>
  <c r="F4" i="2"/>
  <c r="L4" i="1"/>
  <c r="J8" i="1"/>
  <c r="K8" i="1" s="1"/>
  <c r="J10" i="1"/>
  <c r="K10" i="1" s="1"/>
  <c r="O10" i="1" s="1"/>
  <c r="J3" i="1"/>
  <c r="K3" i="1" s="1"/>
  <c r="J15" i="1"/>
  <c r="K15" i="1" s="1"/>
  <c r="O15" i="1" s="1"/>
  <c r="J25" i="1"/>
  <c r="K25" i="1" s="1"/>
  <c r="J24" i="1"/>
  <c r="K24" i="1" s="1"/>
  <c r="J7" i="1"/>
  <c r="K7" i="1" s="1"/>
  <c r="J13" i="1"/>
  <c r="K13" i="1" s="1"/>
  <c r="O13" i="1" s="1"/>
  <c r="J17" i="1"/>
  <c r="K17" i="1" s="1"/>
  <c r="J16" i="1"/>
  <c r="K16" i="1" s="1"/>
  <c r="O16" i="1" s="1"/>
  <c r="J5" i="1"/>
  <c r="K5" i="1" s="1"/>
  <c r="J9" i="1"/>
  <c r="K9" i="1" s="1"/>
  <c r="O9" i="1" s="1"/>
  <c r="J23" i="1"/>
  <c r="K23" i="1" s="1"/>
  <c r="J20" i="1"/>
  <c r="K20" i="1" s="1"/>
  <c r="L11" i="1"/>
  <c r="M11" i="1"/>
  <c r="N11" i="1" s="1"/>
  <c r="L13" i="1"/>
  <c r="L16" i="1"/>
  <c r="M23" i="1"/>
  <c r="N23" i="1" s="1"/>
  <c r="M12" i="1"/>
  <c r="N12" i="1" s="1"/>
  <c r="M6" i="1"/>
  <c r="N6" i="1" s="1"/>
  <c r="M15" i="1"/>
  <c r="N15" i="1" s="1"/>
  <c r="M10" i="1"/>
  <c r="N10" i="1" s="1"/>
  <c r="L6" i="1"/>
  <c r="M18" i="1"/>
  <c r="N18" i="1" s="1"/>
  <c r="M24" i="1"/>
  <c r="N24" i="1" s="1"/>
  <c r="J19" i="1"/>
  <c r="K19" i="1" s="1"/>
  <c r="O19" i="1" s="1"/>
  <c r="L12" i="1"/>
  <c r="L18" i="1"/>
  <c r="M22" i="1"/>
  <c r="N22" i="1" s="1"/>
  <c r="M14" i="1"/>
  <c r="N14" i="1" s="1"/>
  <c r="M4" i="1"/>
  <c r="N4" i="1" s="1"/>
  <c r="J2" i="1"/>
  <c r="K2" i="1" s="1"/>
  <c r="O2" i="1" s="1"/>
  <c r="J21" i="1"/>
  <c r="K21" i="1" s="1"/>
  <c r="O21" i="1" s="1"/>
  <c r="L20" i="1"/>
  <c r="L15" i="1"/>
  <c r="O3" i="1" l="1"/>
  <c r="L17" i="1"/>
  <c r="O17" i="1"/>
  <c r="F17" i="2" s="1"/>
  <c r="M8" i="1"/>
  <c r="N8" i="1" s="1"/>
  <c r="O8" i="1"/>
  <c r="L8" i="1"/>
  <c r="M5" i="1"/>
  <c r="N5" i="1" s="1"/>
  <c r="O5" i="1"/>
  <c r="O25" i="1"/>
  <c r="O7" i="1"/>
  <c r="O20" i="1"/>
  <c r="F24" i="2"/>
  <c r="O24" i="1"/>
  <c r="M13" i="1"/>
  <c r="N13" i="1" s="1"/>
  <c r="L23" i="1"/>
  <c r="O23" i="1"/>
  <c r="L22" i="1"/>
  <c r="M25" i="1"/>
  <c r="N25" i="1" s="1"/>
  <c r="M16" i="1"/>
  <c r="N16" i="1" s="1"/>
  <c r="D23" i="2"/>
  <c r="L25" i="1"/>
  <c r="L3" i="1"/>
  <c r="M3" i="1"/>
  <c r="N3" i="1" s="1"/>
  <c r="L24" i="1"/>
  <c r="M20" i="1"/>
  <c r="N20" i="1" s="1"/>
  <c r="L5" i="1"/>
  <c r="M17" i="1"/>
  <c r="N17" i="1" s="1"/>
  <c r="M7" i="1"/>
  <c r="N7" i="1" s="1"/>
  <c r="M9" i="1"/>
  <c r="N9" i="1" s="1"/>
  <c r="L9" i="1"/>
  <c r="D4" i="2"/>
  <c r="L7" i="1"/>
  <c r="L10" i="1"/>
  <c r="F6" i="2"/>
  <c r="D6" i="2"/>
  <c r="F11" i="2"/>
  <c r="D11" i="2"/>
  <c r="F13" i="2"/>
  <c r="D13" i="2"/>
  <c r="M21" i="1"/>
  <c r="N21" i="1" s="1"/>
  <c r="L21" i="1"/>
  <c r="F22" i="2"/>
  <c r="D22" i="2"/>
  <c r="F15" i="2"/>
  <c r="D15" i="2"/>
  <c r="M2" i="1"/>
  <c r="N2" i="1" s="1"/>
  <c r="L2" i="1"/>
  <c r="F18" i="2"/>
  <c r="D18" i="2"/>
  <c r="F14" i="2"/>
  <c r="D14" i="2"/>
  <c r="F16" i="2"/>
  <c r="D16" i="2"/>
  <c r="F12" i="2"/>
  <c r="D12" i="2"/>
  <c r="M19" i="1"/>
  <c r="N19" i="1" s="1"/>
  <c r="L19" i="1"/>
  <c r="F8" i="2"/>
  <c r="D8" i="2"/>
  <c r="F5" i="2"/>
  <c r="D5" i="2"/>
  <c r="D20" i="2" l="1"/>
  <c r="F20" i="2"/>
  <c r="F7" i="2"/>
  <c r="D7" i="2"/>
  <c r="F25" i="2"/>
  <c r="D25" i="2"/>
  <c r="F3" i="2"/>
  <c r="D3" i="2"/>
  <c r="D24" i="2"/>
  <c r="D17" i="2"/>
  <c r="F23" i="2"/>
  <c r="D10" i="2"/>
  <c r="F10" i="2"/>
  <c r="D9" i="2"/>
  <c r="F9" i="2"/>
  <c r="F21" i="2"/>
  <c r="D21" i="2"/>
  <c r="F19" i="2"/>
  <c r="D19" i="2"/>
  <c r="B26" i="2"/>
  <c r="F2" i="2"/>
  <c r="D2" i="2"/>
  <c r="F26" i="2" l="1"/>
  <c r="D26" i="2"/>
  <c r="B30" i="2" l="1"/>
  <c r="G31" i="2" s="1"/>
  <c r="B33" i="2" l="1"/>
  <c r="G30" i="2"/>
</calcChain>
</file>

<file path=xl/sharedStrings.xml><?xml version="1.0" encoding="utf-8"?>
<sst xmlns="http://schemas.openxmlformats.org/spreadsheetml/2006/main" count="60" uniqueCount="35">
  <si>
    <t>материал</t>
  </si>
  <si>
    <t>шарик №</t>
  </si>
  <si>
    <t>Стекло</t>
  </si>
  <si>
    <t>Сталь</t>
  </si>
  <si>
    <t>время прохода 1, с</t>
  </si>
  <si>
    <t>вреям прохода 2, с</t>
  </si>
  <si>
    <t>T, K</t>
  </si>
  <si>
    <t>время прохода среднее, с</t>
  </si>
  <si>
    <t>расстояние, мм</t>
  </si>
  <si>
    <t>v уст, мм/c</t>
  </si>
  <si>
    <t>диаметр, мм</t>
  </si>
  <si>
    <t>rho стекло</t>
  </si>
  <si>
    <t>rho сталь</t>
  </si>
  <si>
    <t>rho глиц</t>
  </si>
  <si>
    <t>темп глиц K</t>
  </si>
  <si>
    <t xml:space="preserve">k = </t>
  </si>
  <si>
    <t xml:space="preserve">b = </t>
  </si>
  <si>
    <t>g, м/с2</t>
  </si>
  <si>
    <t>г/см3</t>
  </si>
  <si>
    <t>Re</t>
  </si>
  <si>
    <t>eta, мПа</t>
  </si>
  <si>
    <t>Rho г/см3</t>
  </si>
  <si>
    <t>tau, мс</t>
  </si>
  <si>
    <t>S, мкм</t>
  </si>
  <si>
    <t>ln(\eta)</t>
  </si>
  <si>
    <t>1/T</t>
  </si>
  <si>
    <t>x</t>
  </si>
  <si>
    <t>y</t>
  </si>
  <si>
    <t>&lt;&gt;</t>
  </si>
  <si>
    <t>x*x</t>
  </si>
  <si>
    <t>y*y</t>
  </si>
  <si>
    <t>x*y</t>
  </si>
  <si>
    <t>k</t>
  </si>
  <si>
    <t>b</t>
  </si>
  <si>
    <t>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</si>
</sst>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4" xfId="0" applyBorder="1" applyAlignment="1"/>
    <xf numFmtId="0" fontId="0" fillId="0" borderId="11" xfId="0" applyBorder="1" applyAlignment="1"/>
    <xf numFmtId="0" fontId="0" fillId="0" borderId="5" xfId="0" applyBorder="1" applyAlignment="1"/>
    <xf numFmtId="0" fontId="0" fillId="0" borderId="1" xfId="0" applyBorder="1" applyAlignment="1"/>
    <xf numFmtId="0" fontId="0" fillId="0" borderId="6" xfId="0" applyFill="1" applyBorder="1"/>
    <xf numFmtId="0" fontId="0" fillId="0" borderId="0" xfId="0" applyAlignment="1">
      <alignment horizontal="right"/>
    </xf>
    <xf numFmtId="2" fontId="0" fillId="0" borderId="0" xfId="0" applyNumberFormat="1"/>
    <xf numFmtId="169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ln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η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en-US" baseline="0"/>
              <a:t>1/T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График!$B$2:$B$25</c:f>
              <c:numCache>
                <c:formatCode>General</c:formatCode>
                <c:ptCount val="24"/>
                <c:pt idx="0">
                  <c:v>3.3557046979865771E-3</c:v>
                </c:pt>
                <c:pt idx="1">
                  <c:v>3.3557046979865771E-3</c:v>
                </c:pt>
                <c:pt idx="2">
                  <c:v>3.3557046979865771E-3</c:v>
                </c:pt>
                <c:pt idx="3">
                  <c:v>3.3557046979865771E-3</c:v>
                </c:pt>
                <c:pt idx="4">
                  <c:v>3.3003300330033004E-3</c:v>
                </c:pt>
                <c:pt idx="5">
                  <c:v>3.3003300330033004E-3</c:v>
                </c:pt>
                <c:pt idx="6">
                  <c:v>3.3003300330033004E-3</c:v>
                </c:pt>
                <c:pt idx="7">
                  <c:v>3.3003300330033004E-3</c:v>
                </c:pt>
                <c:pt idx="8">
                  <c:v>3.246753246753247E-3</c:v>
                </c:pt>
                <c:pt idx="9">
                  <c:v>3.246753246753247E-3</c:v>
                </c:pt>
                <c:pt idx="10">
                  <c:v>3.246753246753247E-3</c:v>
                </c:pt>
                <c:pt idx="11">
                  <c:v>3.246753246753247E-3</c:v>
                </c:pt>
                <c:pt idx="12">
                  <c:v>3.1948881789137379E-3</c:v>
                </c:pt>
                <c:pt idx="13">
                  <c:v>3.1948881789137379E-3</c:v>
                </c:pt>
                <c:pt idx="14">
                  <c:v>3.1948881789137379E-3</c:v>
                </c:pt>
                <c:pt idx="15">
                  <c:v>3.1948881789137379E-3</c:v>
                </c:pt>
                <c:pt idx="16">
                  <c:v>3.1446540880503146E-3</c:v>
                </c:pt>
                <c:pt idx="17">
                  <c:v>3.1446540880503146E-3</c:v>
                </c:pt>
                <c:pt idx="18">
                  <c:v>3.1446540880503146E-3</c:v>
                </c:pt>
                <c:pt idx="19">
                  <c:v>3.1446540880503146E-3</c:v>
                </c:pt>
                <c:pt idx="20">
                  <c:v>3.0959752321981426E-3</c:v>
                </c:pt>
                <c:pt idx="21">
                  <c:v>3.0959752321981426E-3</c:v>
                </c:pt>
                <c:pt idx="22">
                  <c:v>3.0959752321981426E-3</c:v>
                </c:pt>
                <c:pt idx="23">
                  <c:v>3.0959752321981426E-3</c:v>
                </c:pt>
              </c:numCache>
            </c:numRef>
          </c:xVal>
          <c:yVal>
            <c:numRef>
              <c:f>График!$C$2:$C$25</c:f>
              <c:numCache>
                <c:formatCode>General</c:formatCode>
                <c:ptCount val="24"/>
                <c:pt idx="0">
                  <c:v>13.602080334482116</c:v>
                </c:pt>
                <c:pt idx="1">
                  <c:v>13.585733980264227</c:v>
                </c:pt>
                <c:pt idx="2">
                  <c:v>13.524264227801991</c:v>
                </c:pt>
                <c:pt idx="3">
                  <c:v>13.451138511634316</c:v>
                </c:pt>
                <c:pt idx="4">
                  <c:v>13.249070519742725</c:v>
                </c:pt>
                <c:pt idx="5">
                  <c:v>13.228882597504809</c:v>
                </c:pt>
                <c:pt idx="6">
                  <c:v>13.144641285135238</c:v>
                </c:pt>
                <c:pt idx="7">
                  <c:v>13.105622192100759</c:v>
                </c:pt>
                <c:pt idx="8">
                  <c:v>12.836784003945562</c:v>
                </c:pt>
                <c:pt idx="9">
                  <c:v>12.68056829364183</c:v>
                </c:pt>
                <c:pt idx="10">
                  <c:v>12.822574062336853</c:v>
                </c:pt>
                <c:pt idx="11">
                  <c:v>12.84098371861753</c:v>
                </c:pt>
                <c:pt idx="12">
                  <c:v>12.448949893188749</c:v>
                </c:pt>
                <c:pt idx="13">
                  <c:v>12.454477964732828</c:v>
                </c:pt>
                <c:pt idx="14">
                  <c:v>12.373486470367972</c:v>
                </c:pt>
                <c:pt idx="15">
                  <c:v>12.411086153432283</c:v>
                </c:pt>
                <c:pt idx="16">
                  <c:v>12.179412576447172</c:v>
                </c:pt>
                <c:pt idx="17">
                  <c:v>12.192519858890863</c:v>
                </c:pt>
                <c:pt idx="18">
                  <c:v>12.201190575596812</c:v>
                </c:pt>
                <c:pt idx="19">
                  <c:v>12.224885722962137</c:v>
                </c:pt>
                <c:pt idx="20">
                  <c:v>11.900646888280336</c:v>
                </c:pt>
                <c:pt idx="21">
                  <c:v>11.923355838520427</c:v>
                </c:pt>
                <c:pt idx="22">
                  <c:v>11.70010053030205</c:v>
                </c:pt>
                <c:pt idx="23">
                  <c:v>11.753099182433234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5-481A-8B32-0CD97E4B56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График!$F$30:$F$31</c:f>
              <c:numCache>
                <c:formatCode>General</c:formatCode>
                <c:ptCount val="2"/>
                <c:pt idx="0">
                  <c:v>3.0500000000000002E-3</c:v>
                </c:pt>
                <c:pt idx="1">
                  <c:v>3.3999999999999998E-3</c:v>
                </c:pt>
              </c:numCache>
            </c:numRef>
          </c:xVal>
          <c:yVal>
            <c:numRef>
              <c:f>График!$G$30:$G$31</c:f>
              <c:numCache>
                <c:formatCode>General</c:formatCode>
                <c:ptCount val="2"/>
                <c:pt idx="0">
                  <c:v>11.52359049905311</c:v>
                </c:pt>
                <c:pt idx="1">
                  <c:v>13.821633898628484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5-481A-8B32-0CD97E4B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528392"/>
        <c:axId val="630523352"/>
      </c:scatterChart>
      <c:valAx>
        <c:axId val="63052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1</a:t>
                </a:r>
                <a:r>
                  <a:rPr lang="en-US"/>
                  <a:t>/T,</a:t>
                </a:r>
                <a:r>
                  <a:rPr lang="en-US" baseline="0"/>
                  <a:t> K</a:t>
                </a:r>
                <a:r>
                  <a:rPr lang="en-US" baseline="30000"/>
                  <a:t>-1</a:t>
                </a:r>
                <a:endParaRPr lang="ru-RU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0523352"/>
        <c:crosses val="autoZero"/>
        <c:crossBetween val="midCat"/>
      </c:valAx>
      <c:valAx>
        <c:axId val="630523352"/>
        <c:scaling>
          <c:orientation val="minMax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η</a:t>
                </a:r>
                <a:r>
                  <a:rPr lang="en-US"/>
                  <a:t>,</a:t>
                </a:r>
                <a:r>
                  <a:rPr lang="en-US" baseline="0"/>
                  <a:t> ln(</a:t>
                </a:r>
                <a:r>
                  <a:rPr lang="ru-RU" baseline="0"/>
                  <a:t>Па)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052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2</xdr:row>
      <xdr:rowOff>0</xdr:rowOff>
    </xdr:from>
    <xdr:to>
      <xdr:col>21</xdr:col>
      <xdr:colOff>255270</xdr:colOff>
      <xdr:row>27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FD04B5-6B7B-492F-8538-264E89436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workbookViewId="0">
      <selection activeCell="O2" sqref="O2"/>
    </sheetView>
  </sheetViews>
  <sheetFormatPr defaultRowHeight="14.4" x14ac:dyDescent="0.55000000000000004"/>
  <cols>
    <col min="3" max="3" width="11.89453125" bestFit="1" customWidth="1"/>
    <col min="4" max="4" width="7.15625" customWidth="1"/>
    <col min="5" max="6" width="17.20703125" bestFit="1" customWidth="1"/>
    <col min="7" max="7" width="23.47265625" bestFit="1" customWidth="1"/>
    <col min="8" max="8" width="14.20703125" bestFit="1" customWidth="1"/>
    <col min="9" max="9" width="10.05078125" bestFit="1" customWidth="1"/>
  </cols>
  <sheetData>
    <row r="1" spans="1:16" x14ac:dyDescent="0.55000000000000004">
      <c r="A1" s="1" t="s">
        <v>1</v>
      </c>
      <c r="B1" s="5" t="s">
        <v>0</v>
      </c>
      <c r="C1" s="1" t="s">
        <v>10</v>
      </c>
      <c r="D1" s="1" t="s">
        <v>6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21" t="s">
        <v>21</v>
      </c>
      <c r="K1" s="21" t="s">
        <v>20</v>
      </c>
      <c r="L1" s="21" t="s">
        <v>19</v>
      </c>
      <c r="M1" s="21" t="s">
        <v>22</v>
      </c>
      <c r="N1" s="21" t="s">
        <v>23</v>
      </c>
      <c r="O1" s="21" t="s">
        <v>24</v>
      </c>
      <c r="P1" s="21" t="s">
        <v>25</v>
      </c>
    </row>
    <row r="2" spans="1:16" x14ac:dyDescent="0.55000000000000004">
      <c r="A2" s="2">
        <v>1</v>
      </c>
      <c r="B2" s="17" t="s">
        <v>2</v>
      </c>
      <c r="C2" s="3">
        <f>(2.08+2.06)/2</f>
        <v>2.0700000000000003</v>
      </c>
      <c r="D2" s="1">
        <f>273 + 25</f>
        <v>298</v>
      </c>
      <c r="E2" s="1">
        <v>27.9</v>
      </c>
      <c r="F2" s="1">
        <v>27.85</v>
      </c>
      <c r="G2" s="1">
        <f>(E2+F2)/2</f>
        <v>27.875</v>
      </c>
      <c r="H2" s="8">
        <v>100</v>
      </c>
      <c r="I2" s="1">
        <f>H2/G2</f>
        <v>3.5874439461883409</v>
      </c>
      <c r="J2" s="24">
        <f>$C$38*D2 + $C$39</f>
        <v>1.2577777777777779</v>
      </c>
      <c r="K2" s="25">
        <f>2/9*$A$29*(C2)^2/4*(IF(B2 = "Стекло",$B$31,$B$32)-J2)/I2 * 1000</f>
        <v>807.80852425000012</v>
      </c>
      <c r="L2" s="24">
        <f>C2/2*I2/K2*1000*J2 / 1000</f>
        <v>5.7812394756342938E-3</v>
      </c>
      <c r="M2" s="23">
        <f>2/9*C2*C2/4/K2*IF(B2 = "Стекло",$B$31,$B$32)*1000</f>
        <v>0.73671542467633233</v>
      </c>
      <c r="N2" s="23">
        <f>M2/1000*I2*1000</f>
        <v>2.6429252903186811</v>
      </c>
      <c r="O2">
        <f>LN(K2*1000)</f>
        <v>13.602080334482116</v>
      </c>
      <c r="P2">
        <f>1/D2</f>
        <v>3.3557046979865771E-3</v>
      </c>
    </row>
    <row r="3" spans="1:16" x14ac:dyDescent="0.55000000000000004">
      <c r="A3" s="2">
        <f>A2+1</f>
        <v>2</v>
      </c>
      <c r="B3" s="17" t="s">
        <v>2</v>
      </c>
      <c r="C3" s="4">
        <f>(2.1+2.06)/2</f>
        <v>2.08</v>
      </c>
      <c r="D3" s="1">
        <f>273 + 25</f>
        <v>298</v>
      </c>
      <c r="E3" s="1">
        <v>27.26</v>
      </c>
      <c r="F3" s="1">
        <v>27.06</v>
      </c>
      <c r="G3" s="1">
        <f>(E3+F3)/2</f>
        <v>27.16</v>
      </c>
      <c r="H3" s="8">
        <v>100</v>
      </c>
      <c r="I3" s="1">
        <f>H3/G3</f>
        <v>3.6818851251840941</v>
      </c>
      <c r="J3" s="24">
        <f t="shared" ref="J3:J25" si="0">$C$38*D3 + $C$39</f>
        <v>1.2577777777777779</v>
      </c>
      <c r="K3" s="25">
        <f>2/9*$A$29*(C3)^2/4*(IF(B3 = "Стекло",$B$31,$B$32)-J3)/I3 * 1000</f>
        <v>794.71113886024705</v>
      </c>
      <c r="L3" s="24">
        <f>C3/2*I3/K3*1000*J3 / 1000</f>
        <v>6.0603567597226566E-3</v>
      </c>
      <c r="M3" s="23">
        <f>2/9*C3*C3/4/K3*IF(B3 = "Стекло",$B$31,$B$32)*1000</f>
        <v>0.75610981085613982</v>
      </c>
      <c r="N3" s="23">
        <f>M3/1000*I3*1000</f>
        <v>2.78390946559698</v>
      </c>
      <c r="O3">
        <f t="shared" ref="O3:O25" si="1">LN(K3*1000)</f>
        <v>13.585733980264227</v>
      </c>
      <c r="P3">
        <f t="shared" ref="P3:P25" si="2">1/D3</f>
        <v>3.3557046979865771E-3</v>
      </c>
    </row>
    <row r="4" spans="1:16" x14ac:dyDescent="0.55000000000000004">
      <c r="A4" s="2">
        <f>A3+1</f>
        <v>3</v>
      </c>
      <c r="B4" s="17" t="s">
        <v>3</v>
      </c>
      <c r="C4" s="4">
        <f>(0.84+0.86)/2</f>
        <v>0.85</v>
      </c>
      <c r="D4" s="1">
        <f>273+25</f>
        <v>298</v>
      </c>
      <c r="E4" s="1">
        <v>29.08</v>
      </c>
      <c r="F4" s="1">
        <v>29</v>
      </c>
      <c r="G4" s="1">
        <f>(E4+F4)/2</f>
        <v>29.04</v>
      </c>
      <c r="H4" s="8">
        <v>100</v>
      </c>
      <c r="I4" s="1">
        <f>H4/G4</f>
        <v>3.443526170798898</v>
      </c>
      <c r="J4" s="24">
        <f t="shared" si="0"/>
        <v>1.2577777777777779</v>
      </c>
      <c r="K4" s="25">
        <f>2/9*$A$29*(C4)^2/4*(IF(B4 = "Стекло",$B$31,$B$32)-J4)/I4 * 1000</f>
        <v>747.33156503703697</v>
      </c>
      <c r="L4" s="24">
        <f>C4/2*I4/K4*1000*J4 / 1000</f>
        <v>2.4631049074051547E-3</v>
      </c>
      <c r="M4" s="23">
        <f>2/9*C4*C4/4/K4*IF(B4 = "Стекло",$B$31,$B$32)*1000</f>
        <v>0.41893497877052366</v>
      </c>
      <c r="N4" s="23">
        <f>M4/1000*I4*1000</f>
        <v>1.4426135632593788</v>
      </c>
      <c r="O4">
        <f t="shared" si="1"/>
        <v>13.524264227801991</v>
      </c>
      <c r="P4">
        <f t="shared" si="2"/>
        <v>3.3557046979865771E-3</v>
      </c>
    </row>
    <row r="5" spans="1:16" x14ac:dyDescent="0.55000000000000004">
      <c r="A5" s="2">
        <f>A4+1</f>
        <v>4</v>
      </c>
      <c r="B5" s="17" t="s">
        <v>3</v>
      </c>
      <c r="C5" s="4">
        <f>(0.72+0.78)/2</f>
        <v>0.75</v>
      </c>
      <c r="D5" s="1">
        <f>273+25</f>
        <v>298</v>
      </c>
      <c r="E5" s="1">
        <v>34.83</v>
      </c>
      <c r="F5" s="1">
        <v>34.51</v>
      </c>
      <c r="G5" s="1">
        <f>(E5+F5)/2</f>
        <v>34.67</v>
      </c>
      <c r="H5" s="8">
        <v>100</v>
      </c>
      <c r="I5" s="1">
        <f>H5/G5</f>
        <v>2.8843380444188056</v>
      </c>
      <c r="J5" s="24">
        <f t="shared" si="0"/>
        <v>1.2577777777777779</v>
      </c>
      <c r="K5" s="25">
        <f>2/9*$A$29*(C5)^2/4*(IF(B5 = "Стекло",$B$31,$B$32)-J5)/I5 * 1000</f>
        <v>694.63271111111123</v>
      </c>
      <c r="L5" s="24">
        <f>C5/2*I5/K5*1000*J5 / 1000</f>
        <v>1.9585114394839627E-3</v>
      </c>
      <c r="M5" s="23">
        <f>2/9*C5*C5/4/K5*IF(B5 = "Стекло",$B$31,$B$32)*1000</f>
        <v>0.35090486828658796</v>
      </c>
      <c r="N5" s="23">
        <f>M5/1000*I5*1000</f>
        <v>1.0121282615707756</v>
      </c>
      <c r="O5">
        <f t="shared" si="1"/>
        <v>13.451138511634316</v>
      </c>
      <c r="P5">
        <f t="shared" si="2"/>
        <v>3.3557046979865771E-3</v>
      </c>
    </row>
    <row r="6" spans="1:16" ht="14.7" thickBot="1" x14ac:dyDescent="0.6">
      <c r="A6" s="9">
        <f>A5+1</f>
        <v>5</v>
      </c>
      <c r="B6" s="17" t="s">
        <v>2</v>
      </c>
      <c r="C6" s="10">
        <f>(2.08+2.14)/2</f>
        <v>2.1100000000000003</v>
      </c>
      <c r="D6" s="11">
        <f>273+30</f>
        <v>303</v>
      </c>
      <c r="E6" s="11">
        <v>18.760000000000002</v>
      </c>
      <c r="F6" s="11">
        <v>18.87</v>
      </c>
      <c r="G6" s="1">
        <f>(E6+F6)/2</f>
        <v>18.815000000000001</v>
      </c>
      <c r="H6" s="12">
        <v>100</v>
      </c>
      <c r="I6" s="1">
        <f>H6/G6</f>
        <v>5.3149083178315166</v>
      </c>
      <c r="J6" s="24">
        <f t="shared" si="0"/>
        <v>1.2555555555555558</v>
      </c>
      <c r="K6" s="25">
        <f>2/9*$A$29*(C6)^2/4*(IF(B6 = "Стекло",$B$31,$B$32)-J6)/I6 * 1000</f>
        <v>567.54227544691378</v>
      </c>
      <c r="L6" s="24">
        <f>C6/2*I6/K6*1000*J6 / 1000</f>
        <v>1.2404691098636953E-2</v>
      </c>
      <c r="M6" s="23">
        <f>2/9*C6*C6/4/K6*IF(B6 = "Стекло",$B$31,$B$32)*1000</f>
        <v>1.0895174667566427</v>
      </c>
      <c r="N6" s="23">
        <f>M6/1000*I6*1000</f>
        <v>5.7906854464876041</v>
      </c>
      <c r="O6">
        <f t="shared" si="1"/>
        <v>13.249070519742725</v>
      </c>
      <c r="P6">
        <f t="shared" si="2"/>
        <v>3.3003300330033004E-3</v>
      </c>
    </row>
    <row r="7" spans="1:16" ht="14.7" thickBot="1" x14ac:dyDescent="0.6">
      <c r="A7" s="13">
        <f>A6+1</f>
        <v>6</v>
      </c>
      <c r="B7" s="18" t="s">
        <v>2</v>
      </c>
      <c r="C7" s="14">
        <f>(2.08+2.12)/2</f>
        <v>2.1</v>
      </c>
      <c r="D7" s="15">
        <f>273+30</f>
        <v>303</v>
      </c>
      <c r="E7" s="15">
        <v>18.559999999999999</v>
      </c>
      <c r="F7" s="15">
        <v>18.670000000000002</v>
      </c>
      <c r="G7" s="1">
        <f>(E7+F7)/2</f>
        <v>18.615000000000002</v>
      </c>
      <c r="H7" s="16">
        <v>100</v>
      </c>
      <c r="I7" s="1">
        <f>H7/G7</f>
        <v>5.3720118184260004</v>
      </c>
      <c r="J7" s="24">
        <f t="shared" si="0"/>
        <v>1.2555555555555558</v>
      </c>
      <c r="K7" s="25">
        <f>2/9*$A$29*(C7)^2/4*(IF(B7 = "Стекло",$B$31,$B$32)-J7)/I7 * 1000</f>
        <v>556.19965333333334</v>
      </c>
      <c r="L7" s="24">
        <f>C7/2*I7/K7*1000*J7 / 1000</f>
        <v>1.2733021685375399E-2</v>
      </c>
      <c r="M7" s="23">
        <f>2/9*C7*C7/4/K7*IF(B7 = "Стекло",$B$31,$B$32)*1000</f>
        <v>1.1012232681722396</v>
      </c>
      <c r="N7" s="23">
        <f>M7/1000*I7*1000</f>
        <v>5.9157844113469755</v>
      </c>
      <c r="O7">
        <f t="shared" si="1"/>
        <v>13.228882597504809</v>
      </c>
      <c r="P7">
        <f t="shared" si="2"/>
        <v>3.3003300330033004E-3</v>
      </c>
    </row>
    <row r="8" spans="1:16" ht="14.7" thickBot="1" x14ac:dyDescent="0.6">
      <c r="A8" s="2">
        <f>A7+1</f>
        <v>7</v>
      </c>
      <c r="B8" s="18" t="s">
        <v>3</v>
      </c>
      <c r="C8" s="4">
        <f>(0.82+0.8)/2</f>
        <v>0.81</v>
      </c>
      <c r="D8" s="1">
        <f>273+30</f>
        <v>303</v>
      </c>
      <c r="E8" s="1">
        <v>21.89</v>
      </c>
      <c r="F8" s="1">
        <v>21.85</v>
      </c>
      <c r="G8" s="1">
        <f>(E8+F8)/2</f>
        <v>21.87</v>
      </c>
      <c r="H8" s="8">
        <v>100</v>
      </c>
      <c r="I8" s="1">
        <f>H8/G8</f>
        <v>4.5724737082761768</v>
      </c>
      <c r="J8" s="24">
        <f t="shared" si="0"/>
        <v>1.2555555555555558</v>
      </c>
      <c r="K8" s="25">
        <f>2/9*$A$29*(C8)^2/4*(IF(B8 = "Стекло",$B$31,$B$32)-J8)/I8 * 1000</f>
        <v>511.26395670000022</v>
      </c>
      <c r="L8" s="24">
        <f>C8/2*I8/K8*1000*J8 / 1000</f>
        <v>4.5477543452623267E-3</v>
      </c>
      <c r="M8" s="23">
        <f>2/9*C8*C8/4/K8*IF(B8 = "Стекло",$B$31,$B$32)*1000</f>
        <v>0.55609239860189796</v>
      </c>
      <c r="N8" s="23">
        <f>M8/1000*I8*1000</f>
        <v>2.5427178719794146</v>
      </c>
      <c r="O8">
        <f t="shared" si="1"/>
        <v>13.144641285135238</v>
      </c>
      <c r="P8">
        <f t="shared" si="2"/>
        <v>3.3003300330033004E-3</v>
      </c>
    </row>
    <row r="9" spans="1:16" ht="14.7" thickBot="1" x14ac:dyDescent="0.6">
      <c r="A9" s="2">
        <f>A8+1</f>
        <v>8</v>
      </c>
      <c r="B9" s="18" t="s">
        <v>3</v>
      </c>
      <c r="C9" s="4">
        <f>(0.74+0.7)/2</f>
        <v>0.72</v>
      </c>
      <c r="D9" s="1">
        <f>273+30</f>
        <v>303</v>
      </c>
      <c r="E9" s="1">
        <v>26.6</v>
      </c>
      <c r="F9" s="1">
        <v>26.64</v>
      </c>
      <c r="G9" s="1">
        <f>(E9+F9)/2</f>
        <v>26.62</v>
      </c>
      <c r="H9" s="8">
        <v>100</v>
      </c>
      <c r="I9" s="1">
        <f>H9/G9</f>
        <v>3.7565740045078888</v>
      </c>
      <c r="J9" s="24">
        <f t="shared" si="0"/>
        <v>1.2555555555555558</v>
      </c>
      <c r="K9" s="25">
        <f>2/9*$A$29*(C9)^2/4*(IF(B9 = "Стекло",$B$31,$B$32)-J9)/I9 * 1000</f>
        <v>491.69908479999998</v>
      </c>
      <c r="L9" s="24">
        <f>C9/2*I9/K9*1000*J9 / 1000</f>
        <v>3.4532735620775479E-3</v>
      </c>
      <c r="M9" s="23">
        <f>2/9*C9*C9/4/K9*IF(B9 = "Стекло",$B$31,$B$32)*1000</f>
        <v>0.4568647917890124</v>
      </c>
      <c r="N9" s="23">
        <f>M9/1000*I9*1000</f>
        <v>1.716246400409513</v>
      </c>
      <c r="O9">
        <f t="shared" si="1"/>
        <v>13.105622192100759</v>
      </c>
      <c r="P9">
        <f t="shared" si="2"/>
        <v>3.3003300330033004E-3</v>
      </c>
    </row>
    <row r="10" spans="1:16" ht="14.7" thickBot="1" x14ac:dyDescent="0.6">
      <c r="A10" s="2">
        <f>A9+1</f>
        <v>9</v>
      </c>
      <c r="B10" s="18" t="s">
        <v>2</v>
      </c>
      <c r="C10" s="4">
        <f>(2.06+2.12)/2</f>
        <v>2.09</v>
      </c>
      <c r="D10" s="1">
        <v>308</v>
      </c>
      <c r="E10" s="1">
        <v>12.64</v>
      </c>
      <c r="F10" s="1">
        <v>12.71</v>
      </c>
      <c r="G10" s="1">
        <f>(E10+F10)/2</f>
        <v>12.675000000000001</v>
      </c>
      <c r="H10" s="8">
        <v>100</v>
      </c>
      <c r="I10" s="1">
        <f>H10/G10</f>
        <v>7.8895463510848121</v>
      </c>
      <c r="J10" s="24">
        <f t="shared" si="0"/>
        <v>1.2533333333333334</v>
      </c>
      <c r="K10" s="25">
        <f>2/9*$A$29*(C10)^2/4*(IF(B10 = "Стекло",$B$31,$B$32)-J10)/I10 * 1000</f>
        <v>375.78934170555556</v>
      </c>
      <c r="L10" s="24">
        <f>C10/2*I10/K10*1000*J10 / 1000</f>
        <v>2.7497325480270226E-2</v>
      </c>
      <c r="M10" s="23">
        <f>2/9*C10*C10/4/K10*IF(B10 = "Стекло",$B$31,$B$32)*1000</f>
        <v>1.614416611184549</v>
      </c>
      <c r="N10" s="23">
        <f>M10/1000*I10*1000</f>
        <v>12.737014683901766</v>
      </c>
      <c r="O10">
        <f t="shared" si="1"/>
        <v>12.836784003945562</v>
      </c>
      <c r="P10">
        <f t="shared" si="2"/>
        <v>3.246753246753247E-3</v>
      </c>
    </row>
    <row r="11" spans="1:16" ht="14.7" thickBot="1" x14ac:dyDescent="0.6">
      <c r="A11" s="9">
        <f>A10+1</f>
        <v>10</v>
      </c>
      <c r="B11" s="18" t="s">
        <v>3</v>
      </c>
      <c r="C11" s="10">
        <f>(0.72+0.7)/2</f>
        <v>0.71</v>
      </c>
      <c r="D11" s="11">
        <v>308</v>
      </c>
      <c r="E11" s="11">
        <v>17.64</v>
      </c>
      <c r="F11" s="11">
        <v>18.14</v>
      </c>
      <c r="G11" s="1">
        <f>(E11+F11)/2</f>
        <v>17.89</v>
      </c>
      <c r="H11" s="12">
        <v>100</v>
      </c>
      <c r="I11" s="1">
        <f>H11/G11</f>
        <v>5.589714924538848</v>
      </c>
      <c r="J11" s="24">
        <f t="shared" si="0"/>
        <v>1.2533333333333334</v>
      </c>
      <c r="K11" s="25">
        <f>2/9*$A$29*(C11)^2/4*(IF(B11 = "Стекло",$B$31,$B$32)-J11)/I11 * 1000</f>
        <v>321.4406793940741</v>
      </c>
      <c r="L11" s="24">
        <f>C11/2*I11/K11*1000*J11 / 1000</f>
        <v>7.7371989707286613E-3</v>
      </c>
      <c r="M11" s="23">
        <f>2/9*C11*C11/4/K11*IF(B11 = "Стекло",$B$31,$B$32)*1000</f>
        <v>0.67957588238397804</v>
      </c>
      <c r="N11" s="23">
        <f>M11/1000*I11*1000</f>
        <v>3.7986354521183787</v>
      </c>
      <c r="O11">
        <f t="shared" si="1"/>
        <v>12.68056829364183</v>
      </c>
      <c r="P11">
        <f t="shared" si="2"/>
        <v>3.246753246753247E-3</v>
      </c>
    </row>
    <row r="12" spans="1:16" ht="14.7" thickBot="1" x14ac:dyDescent="0.6">
      <c r="A12" s="15">
        <f>A11+1</f>
        <v>11</v>
      </c>
      <c r="B12" s="18" t="s">
        <v>2</v>
      </c>
      <c r="C12" s="15">
        <v>2.12</v>
      </c>
      <c r="D12" s="15">
        <v>308</v>
      </c>
      <c r="E12" s="15">
        <v>12.21</v>
      </c>
      <c r="F12" s="15">
        <v>12.08</v>
      </c>
      <c r="G12" s="1">
        <f>(E12+F12)/2</f>
        <v>12.145</v>
      </c>
      <c r="H12" s="16">
        <v>100</v>
      </c>
      <c r="I12" s="1">
        <f>H12/G12</f>
        <v>8.2338410868670238</v>
      </c>
      <c r="J12" s="24">
        <f t="shared" si="0"/>
        <v>1.2533333333333334</v>
      </c>
      <c r="K12" s="25">
        <f>2/9*$A$29*(C12)^2/4*(IF(B12 = "Стекло",$B$31,$B$32)-J12)/I12 * 1000</f>
        <v>370.48715818074083</v>
      </c>
      <c r="L12" s="24">
        <f>C12/2*I12/K12*1000*J12 / 1000</f>
        <v>2.9525807045478979E-2</v>
      </c>
      <c r="M12" s="23">
        <f>2/9*C12*C12/4/K12*IF(B12 = "Стекло",$B$31,$B$32)*1000</f>
        <v>1.6848687152543562</v>
      </c>
      <c r="N12" s="23">
        <f>M12/1000*I12*1000</f>
        <v>13.872941253638174</v>
      </c>
      <c r="O12">
        <f t="shared" si="1"/>
        <v>12.822574062336853</v>
      </c>
      <c r="P12">
        <f t="shared" si="2"/>
        <v>3.246753246753247E-3</v>
      </c>
    </row>
    <row r="13" spans="1:16" ht="14.7" thickBot="1" x14ac:dyDescent="0.6">
      <c r="A13" s="1">
        <f>A12+1</f>
        <v>12</v>
      </c>
      <c r="B13" s="18" t="s">
        <v>3</v>
      </c>
      <c r="C13" s="1">
        <v>0.84</v>
      </c>
      <c r="D13" s="1">
        <v>308</v>
      </c>
      <c r="E13" s="1">
        <v>14.82</v>
      </c>
      <c r="F13" s="1">
        <v>15.19</v>
      </c>
      <c r="G13" s="1">
        <f>(E13+F13)/2</f>
        <v>15.004999999999999</v>
      </c>
      <c r="H13" s="8">
        <v>100</v>
      </c>
      <c r="I13" s="1">
        <f>H13/G13</f>
        <v>6.6644451849383541</v>
      </c>
      <c r="J13" s="24">
        <f t="shared" si="0"/>
        <v>1.2533333333333334</v>
      </c>
      <c r="K13" s="25">
        <f>2/9*$A$29*(C13)^2/4*(IF(B13 = "Стекло",$B$31,$B$32)-J13)/I13 * 1000</f>
        <v>377.37086837333334</v>
      </c>
      <c r="L13" s="24">
        <f>C13/2*I13/K13*1000*J13 / 1000</f>
        <v>9.2963295245167676E-3</v>
      </c>
      <c r="M13" s="23">
        <f>2/9*C13*C13/4/K13*IF(B13 = "Стекло",$B$31,$B$32)*1000</f>
        <v>0.81023742324887482</v>
      </c>
      <c r="N13" s="23">
        <f>M13/1000*I13*1000</f>
        <v>5.3997828940278234</v>
      </c>
      <c r="O13">
        <f t="shared" si="1"/>
        <v>12.84098371861753</v>
      </c>
      <c r="P13">
        <f t="shared" si="2"/>
        <v>3.246753246753247E-3</v>
      </c>
    </row>
    <row r="14" spans="1:16" ht="14.7" thickBot="1" x14ac:dyDescent="0.6">
      <c r="A14" s="1">
        <f>A13+1</f>
        <v>13</v>
      </c>
      <c r="B14" s="18" t="s">
        <v>2</v>
      </c>
      <c r="C14" s="1">
        <v>2.09</v>
      </c>
      <c r="D14" s="1">
        <f>40+273</f>
        <v>313</v>
      </c>
      <c r="E14" s="1">
        <v>8.64</v>
      </c>
      <c r="F14" s="1">
        <v>8.5299999999999994</v>
      </c>
      <c r="G14" s="1">
        <f>(E14+F14)/2</f>
        <v>8.5850000000000009</v>
      </c>
      <c r="H14" s="8">
        <v>100</v>
      </c>
      <c r="I14" s="1">
        <f>H14/G14</f>
        <v>11.648223645893999</v>
      </c>
      <c r="J14" s="24">
        <f t="shared" si="0"/>
        <v>1.2511111111111113</v>
      </c>
      <c r="K14" s="25">
        <f>2/9*$A$29*(C14)^2/4*(IF(B14 = "Стекло",$B$31,$B$32)-J14)/I14 * 1000</f>
        <v>254.98242321308641</v>
      </c>
      <c r="L14" s="24">
        <f>C14/2*I14/K14*1000*J14 / 1000</f>
        <v>5.9725752181052291E-2</v>
      </c>
      <c r="M14" s="23">
        <f>2/9*C14*C14/4/K14*IF(B14 = "Стекло",$B$31,$B$32)*1000</f>
        <v>2.379303435549196</v>
      </c>
      <c r="N14" s="23">
        <f>M14/1000*I14*1000</f>
        <v>27.714658538720975</v>
      </c>
      <c r="O14">
        <f t="shared" si="1"/>
        <v>12.448949893188749</v>
      </c>
      <c r="P14">
        <f t="shared" si="2"/>
        <v>3.1948881789137379E-3</v>
      </c>
    </row>
    <row r="15" spans="1:16" ht="14.7" thickBot="1" x14ac:dyDescent="0.6">
      <c r="A15" s="1">
        <f>A14+1</f>
        <v>14</v>
      </c>
      <c r="B15" s="18" t="s">
        <v>2</v>
      </c>
      <c r="C15" s="1">
        <v>2.12</v>
      </c>
      <c r="D15" s="1">
        <v>313</v>
      </c>
      <c r="E15" s="1">
        <v>8.4</v>
      </c>
      <c r="F15" s="1">
        <v>8.3800000000000008</v>
      </c>
      <c r="G15" s="1">
        <f>(E15+F15)/2</f>
        <v>8.39</v>
      </c>
      <c r="H15" s="8">
        <v>100</v>
      </c>
      <c r="I15" s="1">
        <f>H15/G15</f>
        <v>11.918951132300357</v>
      </c>
      <c r="J15" s="24">
        <f t="shared" si="0"/>
        <v>1.2511111111111113</v>
      </c>
      <c r="K15" s="25">
        <f>2/9*$A$29*(C15)^2/4*(IF(B15 = "Стекло",$B$31,$B$32)-J15)/I15 * 1000</f>
        <v>256.3958875575309</v>
      </c>
      <c r="L15" s="24">
        <f>C15/2*I15/K15*1000*J15 / 1000</f>
        <v>6.1649382432193936E-2</v>
      </c>
      <c r="M15" s="23">
        <f>2/9*C15*C15/4/K15*IF(B15 = "Стекло",$B$31,$B$32)*1000</f>
        <v>2.4346030982347848</v>
      </c>
      <c r="N15" s="23">
        <f>M15/1000*I15*1000</f>
        <v>29.017915354407446</v>
      </c>
      <c r="O15">
        <f t="shared" si="1"/>
        <v>12.454477964732828</v>
      </c>
      <c r="P15">
        <f t="shared" si="2"/>
        <v>3.1948881789137379E-3</v>
      </c>
    </row>
    <row r="16" spans="1:16" x14ac:dyDescent="0.55000000000000004">
      <c r="A16" s="1">
        <f>A15+1</f>
        <v>15</v>
      </c>
      <c r="B16" s="18" t="s">
        <v>3</v>
      </c>
      <c r="C16" s="1">
        <v>0.78</v>
      </c>
      <c r="D16" s="1">
        <v>313</v>
      </c>
      <c r="E16" s="1">
        <v>10.83</v>
      </c>
      <c r="F16" s="1">
        <v>10.97</v>
      </c>
      <c r="G16" s="1">
        <f>(E16+F16)/2</f>
        <v>10.9</v>
      </c>
      <c r="H16" s="8">
        <v>100</v>
      </c>
      <c r="I16" s="1">
        <f>H16/G16</f>
        <v>9.1743119266055047</v>
      </c>
      <c r="J16" s="24">
        <f t="shared" si="0"/>
        <v>1.2511111111111113</v>
      </c>
      <c r="K16" s="25">
        <f>2/9*$A$29*(C16)^2/4*(IF(B16 = "Стекло",$B$31,$B$32)-J16)/I16 * 1000</f>
        <v>236.44868115555559</v>
      </c>
      <c r="L16" s="24">
        <f>C16/2*I16/K16*1000*J16 / 1000</f>
        <v>1.8932026084947363E-2</v>
      </c>
      <c r="M16" s="23">
        <f>2/9*C16*C16/4/K16*IF(B16 = "Стекло",$B$31,$B$32)*1000</f>
        <v>1.1149988179741874</v>
      </c>
      <c r="N16" s="23">
        <f>M16/1000*I16*1000</f>
        <v>10.229346953891627</v>
      </c>
      <c r="O16">
        <f t="shared" si="1"/>
        <v>12.373486470367972</v>
      </c>
      <c r="P16">
        <f t="shared" si="2"/>
        <v>3.1948881789137379E-3</v>
      </c>
    </row>
    <row r="17" spans="1:16" x14ac:dyDescent="0.55000000000000004">
      <c r="A17" s="1">
        <f>A16+1</f>
        <v>16</v>
      </c>
      <c r="B17" s="17" t="s">
        <v>3</v>
      </c>
      <c r="C17" s="1">
        <v>0.91</v>
      </c>
      <c r="D17" s="1">
        <v>313</v>
      </c>
      <c r="E17" s="1">
        <v>8.4</v>
      </c>
      <c r="F17" s="1">
        <v>8.23</v>
      </c>
      <c r="G17" s="1">
        <f>(E17+F17)/2</f>
        <v>8.3150000000000013</v>
      </c>
      <c r="H17" s="8">
        <v>100</v>
      </c>
      <c r="I17" s="1">
        <f>H17/G17</f>
        <v>12.026458208057726</v>
      </c>
      <c r="J17" s="24">
        <f t="shared" si="0"/>
        <v>1.2511111111111113</v>
      </c>
      <c r="K17" s="25">
        <f>2/9*$A$29*(C17)^2/4*(IF(B17 = "Стекло",$B$31,$B$32)-J17)/I17 * 1000</f>
        <v>245.50832927271611</v>
      </c>
      <c r="L17" s="24">
        <f>C17/2*I17/K17*1000*J17 / 1000</f>
        <v>2.7885522942843795E-2</v>
      </c>
      <c r="M17" s="23">
        <f>2/9*C17*C17/4/K17*IF(B17 = "Стекло",$B$31,$B$32)*1000</f>
        <v>1.4616340488176358</v>
      </c>
      <c r="N17" s="23">
        <f>M17/1000*I17*1000</f>
        <v>17.578280803579503</v>
      </c>
      <c r="O17">
        <f t="shared" si="1"/>
        <v>12.411086153432283</v>
      </c>
      <c r="P17">
        <f t="shared" si="2"/>
        <v>3.1948881789137379E-3</v>
      </c>
    </row>
    <row r="18" spans="1:16" x14ac:dyDescent="0.55000000000000004">
      <c r="A18" s="1">
        <f>A17+1</f>
        <v>17</v>
      </c>
      <c r="B18" s="17" t="s">
        <v>2</v>
      </c>
      <c r="C18" s="1">
        <v>2.09</v>
      </c>
      <c r="D18" s="1">
        <v>318</v>
      </c>
      <c r="E18" s="1">
        <v>6.67</v>
      </c>
      <c r="F18" s="1">
        <v>6.42</v>
      </c>
      <c r="G18" s="1">
        <f>(E18+F18)/2</f>
        <v>6.5449999999999999</v>
      </c>
      <c r="H18" s="8">
        <v>100</v>
      </c>
      <c r="I18" s="1">
        <f>H18/G18</f>
        <v>15.278838808250573</v>
      </c>
      <c r="J18" s="24">
        <f t="shared" si="0"/>
        <v>1.2488888888888889</v>
      </c>
      <c r="K18" s="25">
        <f>2/9*$A$29*(C18)^2/4*(IF(B18 = "Стекло",$B$31,$B$32)-J18)/I18 * 1000</f>
        <v>194.73843466950615</v>
      </c>
      <c r="L18" s="24">
        <f>C18/2*I18/K18*1000*J18 / 1000</f>
        <v>0.10239500382969131</v>
      </c>
      <c r="M18" s="23">
        <f>2/9*C18*C18/4/K18*IF(B18 = "Стекло",$B$31,$B$32)*1000</f>
        <v>3.1153611591115187</v>
      </c>
      <c r="N18" s="23">
        <f>M18/1000*I18*1000</f>
        <v>47.599100979549561</v>
      </c>
      <c r="O18">
        <f t="shared" si="1"/>
        <v>12.179412576447172</v>
      </c>
      <c r="P18">
        <f t="shared" si="2"/>
        <v>3.1446540880503146E-3</v>
      </c>
    </row>
    <row r="19" spans="1:16" x14ac:dyDescent="0.55000000000000004">
      <c r="A19" s="1">
        <f>A18+1</f>
        <v>18</v>
      </c>
      <c r="B19" s="17" t="s">
        <v>2</v>
      </c>
      <c r="C19" s="1">
        <v>2.12</v>
      </c>
      <c r="D19" s="1">
        <v>318</v>
      </c>
      <c r="E19" s="1">
        <v>6.4</v>
      </c>
      <c r="F19" s="1">
        <v>6.49</v>
      </c>
      <c r="G19" s="1">
        <f>(E19+F19)/2</f>
        <v>6.4450000000000003</v>
      </c>
      <c r="H19" s="8">
        <v>100</v>
      </c>
      <c r="I19" s="1">
        <f>H19/G19</f>
        <v>15.51590380139643</v>
      </c>
      <c r="J19" s="24">
        <f t="shared" si="0"/>
        <v>1.2488888888888889</v>
      </c>
      <c r="K19" s="25">
        <f>2/9*$A$29*(C19)^2/4*(IF(B19 = "Стекло",$B$31,$B$32)-J19)/I19 * 1000</f>
        <v>197.30772777679022</v>
      </c>
      <c r="L19" s="24">
        <f>C19/2*I19/K19*1000*J19 / 1000</f>
        <v>0.10410285740752956</v>
      </c>
      <c r="M19" s="23">
        <f>2/9*C19*C19/4/K19*IF(B19 = "Стекло",$B$31,$B$32)*1000</f>
        <v>3.163698803162899</v>
      </c>
      <c r="N19" s="23">
        <f>M19/1000*I19*1000</f>
        <v>49.087646286468562</v>
      </c>
      <c r="O19">
        <f t="shared" si="1"/>
        <v>12.192519858890863</v>
      </c>
      <c r="P19">
        <f t="shared" si="2"/>
        <v>3.1446540880503146E-3</v>
      </c>
    </row>
    <row r="20" spans="1:16" x14ac:dyDescent="0.55000000000000004">
      <c r="A20" s="1">
        <f>A19+1</f>
        <v>19</v>
      </c>
      <c r="B20" s="17" t="s">
        <v>3</v>
      </c>
      <c r="C20" s="1">
        <v>0.83</v>
      </c>
      <c r="D20" s="1">
        <v>318</v>
      </c>
      <c r="E20" s="1">
        <v>8.07</v>
      </c>
      <c r="F20" s="1">
        <v>8.1300000000000008</v>
      </c>
      <c r="G20" s="1">
        <f>(E20+F20)/2</f>
        <v>8.1000000000000014</v>
      </c>
      <c r="H20" s="8">
        <v>100</v>
      </c>
      <c r="I20" s="1">
        <f>H20/G20</f>
        <v>12.345679012345677</v>
      </c>
      <c r="J20" s="24">
        <f t="shared" si="0"/>
        <v>1.2488888888888889</v>
      </c>
      <c r="K20" s="25">
        <f>2/9*$A$29*(C20)^2/4*(IF(B20 = "Стекло",$B$31,$B$32)-J20)/I20 * 1000</f>
        <v>199.02596560000003</v>
      </c>
      <c r="L20" s="24">
        <f>C20/2*I20/K20*1000*J20 / 1000</f>
        <v>3.214971593579604E-2</v>
      </c>
      <c r="M20" s="23">
        <f>2/9*C20*C20/4/K20*IF(B20 = "Стекло",$B$31,$B$32)*1000</f>
        <v>1.4999215425654657</v>
      </c>
      <c r="N20" s="23">
        <f>M20/1000*I20*1000</f>
        <v>18.517549908215621</v>
      </c>
      <c r="O20">
        <f t="shared" si="1"/>
        <v>12.201190575596812</v>
      </c>
      <c r="P20">
        <f t="shared" si="2"/>
        <v>3.1446540880503146E-3</v>
      </c>
    </row>
    <row r="21" spans="1:16" ht="14.7" thickBot="1" x14ac:dyDescent="0.6">
      <c r="A21" s="11">
        <f>A20+1</f>
        <v>20</v>
      </c>
      <c r="B21" s="17" t="s">
        <v>3</v>
      </c>
      <c r="C21" s="11">
        <v>0.91</v>
      </c>
      <c r="D21" s="11">
        <v>318</v>
      </c>
      <c r="E21" s="11">
        <v>7.03</v>
      </c>
      <c r="F21" s="11">
        <v>6.77</v>
      </c>
      <c r="G21" s="1">
        <f>(E21+F21)/2</f>
        <v>6.9</v>
      </c>
      <c r="H21" s="12">
        <v>100</v>
      </c>
      <c r="I21" s="1">
        <f>H21/G21</f>
        <v>14.492753623188404</v>
      </c>
      <c r="J21" s="24">
        <f t="shared" si="0"/>
        <v>1.2488888888888889</v>
      </c>
      <c r="K21" s="25">
        <f>2/9*$A$29*(C21)^2/4*(IF(B21 = "Стекло",$B$31,$B$32)-J21)/I21 * 1000</f>
        <v>203.79823167407412</v>
      </c>
      <c r="L21" s="24">
        <f>C21/2*I21/K21*1000*J21 / 1000</f>
        <v>4.0409706519188418E-2</v>
      </c>
      <c r="M21" s="23">
        <f>2/9*C21*C21/4/K21*IF(B21 = "Стекло",$B$31,$B$32)*1000</f>
        <v>1.7607774630116335</v>
      </c>
      <c r="N21" s="23">
        <f>M21/1000*I21*1000</f>
        <v>25.518513956690338</v>
      </c>
      <c r="O21">
        <f t="shared" si="1"/>
        <v>12.224885722962137</v>
      </c>
      <c r="P21">
        <f t="shared" si="2"/>
        <v>3.1446540880503146E-3</v>
      </c>
    </row>
    <row r="22" spans="1:16" x14ac:dyDescent="0.55000000000000004">
      <c r="A22" s="6">
        <v>21</v>
      </c>
      <c r="B22" s="19" t="s">
        <v>2</v>
      </c>
      <c r="C22" s="6">
        <v>2.12</v>
      </c>
      <c r="D22" s="6">
        <v>323</v>
      </c>
      <c r="E22" s="6">
        <v>4.8</v>
      </c>
      <c r="F22" s="6">
        <v>4.8099999999999996</v>
      </c>
      <c r="G22" s="1">
        <f>(E22+F22)/2</f>
        <v>4.8049999999999997</v>
      </c>
      <c r="H22" s="7">
        <v>100</v>
      </c>
      <c r="I22" s="1">
        <f>H22/G22</f>
        <v>20.811654526534859</v>
      </c>
      <c r="J22" s="24">
        <f t="shared" si="0"/>
        <v>1.2466666666666668</v>
      </c>
      <c r="K22" s="25">
        <f>2/9*$A$29*(C22)^2/4*(IF(B22 = "Стекло",$B$31,$B$32)-J22)/I22 * 1000</f>
        <v>147.36192111407408</v>
      </c>
      <c r="L22" s="24">
        <f>C22/2*I22/K22*1000*J22 / 1000</f>
        <v>0.18662831976592387</v>
      </c>
      <c r="M22" s="23">
        <f>2/9*C22*C22/4/K22*IF(B22 = "Стекло",$B$31,$B$32)*1000</f>
        <v>4.2359804860239754</v>
      </c>
      <c r="N22" s="23">
        <f>M22/1000*I22*1000</f>
        <v>88.157762456274213</v>
      </c>
      <c r="O22">
        <f t="shared" si="1"/>
        <v>11.900646888280336</v>
      </c>
      <c r="P22">
        <f t="shared" si="2"/>
        <v>3.0959752321981426E-3</v>
      </c>
    </row>
    <row r="23" spans="1:16" x14ac:dyDescent="0.55000000000000004">
      <c r="A23" s="1">
        <v>22</v>
      </c>
      <c r="B23" s="19" t="s">
        <v>2</v>
      </c>
      <c r="C23" s="1">
        <v>2.16</v>
      </c>
      <c r="D23" s="1">
        <v>323</v>
      </c>
      <c r="E23" s="1">
        <v>4.8600000000000003</v>
      </c>
      <c r="F23" s="1">
        <v>4.6100000000000003</v>
      </c>
      <c r="G23" s="1">
        <f>(E23+F23)/2</f>
        <v>4.7350000000000003</v>
      </c>
      <c r="H23" s="8">
        <v>100</v>
      </c>
      <c r="I23" s="1">
        <f>H23/G23</f>
        <v>21.119324181626187</v>
      </c>
      <c r="J23" s="24">
        <f t="shared" si="0"/>
        <v>1.2466666666666668</v>
      </c>
      <c r="K23" s="25">
        <f>2/9*$A$29*(C23)^2/4*(IF(B23 = "Стекло",$B$31,$B$32)-J23)/I23 * 1000</f>
        <v>150.74664192000003</v>
      </c>
      <c r="L23" s="24">
        <f>C23/2*I23/K23*1000*J23 / 1000</f>
        <v>0.18862813602993389</v>
      </c>
      <c r="M23" s="23">
        <f>2/9*C23*C23/4/K23*IF(B23 = "Стекло",$B$31,$B$32)*1000</f>
        <v>4.2986032176019426</v>
      </c>
      <c r="N23" s="23">
        <f>M23/1000*I23*1000</f>
        <v>90.783594880716834</v>
      </c>
      <c r="O23">
        <f t="shared" si="1"/>
        <v>11.923355838520427</v>
      </c>
      <c r="P23">
        <f t="shared" si="2"/>
        <v>3.0959752321981426E-3</v>
      </c>
    </row>
    <row r="24" spans="1:16" x14ac:dyDescent="0.55000000000000004">
      <c r="A24" s="1">
        <v>23</v>
      </c>
      <c r="B24" s="20" t="s">
        <v>3</v>
      </c>
      <c r="C24" s="1">
        <v>0.78</v>
      </c>
      <c r="D24" s="1">
        <v>323</v>
      </c>
      <c r="E24" s="1">
        <v>5.53</v>
      </c>
      <c r="F24" s="1">
        <v>5.58</v>
      </c>
      <c r="G24" s="1">
        <f>(E24+F24)/2</f>
        <v>5.5549999999999997</v>
      </c>
      <c r="H24" s="8">
        <v>100</v>
      </c>
      <c r="I24" s="1">
        <f>H24/G24</f>
        <v>18.001800180018002</v>
      </c>
      <c r="J24" s="24">
        <f t="shared" si="0"/>
        <v>1.2466666666666668</v>
      </c>
      <c r="K24" s="25">
        <f>2/9*$A$29*(C24)^2/4*(IF(B24 = "Стекло",$B$31,$B$32)-J24)/I24 * 1000</f>
        <v>120.5838367066667</v>
      </c>
      <c r="L24" s="24">
        <f>C24/2*I24/K24*1000*J24 / 1000</f>
        <v>7.2584149638695777E-2</v>
      </c>
      <c r="M24" s="23">
        <f>2/9*C24*C24/4/K24*IF(B24 = "Стекло",$B$31,$B$32)*1000</f>
        <v>2.1863626767933502</v>
      </c>
      <c r="N24" s="23">
        <f>M24/1000*I24*1000</f>
        <v>39.35846402868318</v>
      </c>
      <c r="O24">
        <f t="shared" si="1"/>
        <v>11.70010053030205</v>
      </c>
      <c r="P24">
        <f t="shared" si="2"/>
        <v>3.0959752321981426E-3</v>
      </c>
    </row>
    <row r="25" spans="1:16" x14ac:dyDescent="0.55000000000000004">
      <c r="A25" s="1">
        <v>24</v>
      </c>
      <c r="B25" s="20" t="s">
        <v>3</v>
      </c>
      <c r="C25" s="1">
        <v>0.79</v>
      </c>
      <c r="D25" s="1">
        <v>323</v>
      </c>
      <c r="E25" s="1">
        <v>5.67</v>
      </c>
      <c r="F25" s="1">
        <v>5.75</v>
      </c>
      <c r="G25" s="1">
        <f>(E25+F25)/2</f>
        <v>5.71</v>
      </c>
      <c r="H25" s="8">
        <v>100</v>
      </c>
      <c r="I25" s="1">
        <f>H25/G25</f>
        <v>17.513134851138354</v>
      </c>
      <c r="J25" s="24">
        <f t="shared" si="0"/>
        <v>1.2466666666666668</v>
      </c>
      <c r="K25" s="25">
        <f>2/9*$A$29*(C25)^2/4*(IF(B25 = "Стекло",$B$31,$B$32)-J25)/I25 * 1000</f>
        <v>127.14700076814816</v>
      </c>
      <c r="L25" s="24">
        <f>C25/2*I25/K25*1000*J25 / 1000</f>
        <v>6.7827407015192923E-2</v>
      </c>
      <c r="M25" s="23">
        <f>2/9*C25*C25/4/K25*IF(B25 = "Стекло",$B$31,$B$32)*1000</f>
        <v>2.1270130769854747</v>
      </c>
      <c r="N25" s="23">
        <f>M25/1000*I25*1000</f>
        <v>37.250666847381339</v>
      </c>
      <c r="O25">
        <f t="shared" si="1"/>
        <v>11.753099182433234</v>
      </c>
      <c r="P25">
        <f t="shared" si="2"/>
        <v>3.0959752321981426E-3</v>
      </c>
    </row>
    <row r="28" spans="1:16" x14ac:dyDescent="0.55000000000000004">
      <c r="A28" t="s">
        <v>17</v>
      </c>
    </row>
    <row r="29" spans="1:16" x14ac:dyDescent="0.55000000000000004">
      <c r="A29">
        <v>9.8000000000000007</v>
      </c>
    </row>
    <row r="31" spans="1:16" x14ac:dyDescent="0.55000000000000004">
      <c r="A31" t="s">
        <v>11</v>
      </c>
      <c r="B31">
        <v>2.5</v>
      </c>
      <c r="C31" t="s">
        <v>18</v>
      </c>
    </row>
    <row r="32" spans="1:16" x14ac:dyDescent="0.55000000000000004">
      <c r="A32" t="s">
        <v>12</v>
      </c>
      <c r="B32">
        <v>7.8</v>
      </c>
      <c r="C32" t="s">
        <v>18</v>
      </c>
    </row>
    <row r="34" spans="2:3" x14ac:dyDescent="0.55000000000000004">
      <c r="B34" t="s">
        <v>13</v>
      </c>
      <c r="C34" t="s">
        <v>14</v>
      </c>
    </row>
    <row r="35" spans="2:3" x14ac:dyDescent="0.55000000000000004">
      <c r="B35">
        <v>1.26</v>
      </c>
      <c r="C35">
        <f>20+273</f>
        <v>293</v>
      </c>
    </row>
    <row r="36" spans="2:3" x14ac:dyDescent="0.55000000000000004">
      <c r="B36">
        <v>1.25</v>
      </c>
      <c r="C36">
        <f>42.5+273</f>
        <v>315.5</v>
      </c>
    </row>
    <row r="38" spans="2:3" x14ac:dyDescent="0.55000000000000004">
      <c r="B38" s="22" t="s">
        <v>15</v>
      </c>
      <c r="C38">
        <f>(B35-B36)/(C35-C36)</f>
        <v>-4.4444444444444485E-4</v>
      </c>
    </row>
    <row r="39" spans="2:3" x14ac:dyDescent="0.55000000000000004">
      <c r="B39" s="22" t="s">
        <v>16</v>
      </c>
      <c r="C39">
        <f>B35-C38*C35</f>
        <v>1.3902222222222225</v>
      </c>
    </row>
  </sheetData>
  <sortState xmlns:xlrd2="http://schemas.microsoft.com/office/spreadsheetml/2017/richdata2" ref="A2:I25">
    <sortCondition ref="D2:D25"/>
  </sortState>
  <conditionalFormatting sqref="B2:B25">
    <cfRule type="cellIs" dxfId="0" priority="1" operator="equal">
      <formula>"Стекло"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2286-4DEF-40AB-AE7A-3C1229171D55}">
  <dimension ref="A1:G33"/>
  <sheetViews>
    <sheetView tabSelected="1" topLeftCell="A10" workbookViewId="0">
      <selection activeCell="H32" sqref="H32"/>
    </sheetView>
  </sheetViews>
  <sheetFormatPr defaultRowHeight="14.4" x14ac:dyDescent="0.55000000000000004"/>
  <cols>
    <col min="2" max="2" width="8.83984375" customWidth="1"/>
  </cols>
  <sheetData>
    <row r="1" spans="2:6" x14ac:dyDescent="0.55000000000000004">
      <c r="B1" t="s">
        <v>26</v>
      </c>
      <c r="C1" t="s">
        <v>27</v>
      </c>
      <c r="D1" t="s">
        <v>29</v>
      </c>
      <c r="E1" t="s">
        <v>30</v>
      </c>
      <c r="F1" t="s">
        <v>31</v>
      </c>
    </row>
    <row r="2" spans="2:6" x14ac:dyDescent="0.55000000000000004">
      <c r="B2">
        <f>Рассчёты!P2</f>
        <v>3.3557046979865771E-3</v>
      </c>
      <c r="C2">
        <f>Рассчёты!O2</f>
        <v>13.602080334482116</v>
      </c>
      <c r="D2">
        <f>B2*B2</f>
        <v>1.1260754020089185E-5</v>
      </c>
      <c r="E2">
        <f>C2*C2</f>
        <v>185.01658942570509</v>
      </c>
      <c r="F2">
        <f>B2*C2</f>
        <v>4.564456488081247E-2</v>
      </c>
    </row>
    <row r="3" spans="2:6" x14ac:dyDescent="0.55000000000000004">
      <c r="B3">
        <f>Рассчёты!P3</f>
        <v>3.3557046979865771E-3</v>
      </c>
      <c r="C3">
        <f>Рассчёты!O3</f>
        <v>13.585733980264227</v>
      </c>
      <c r="D3">
        <f t="shared" ref="D3:E25" si="0">B3*B3</f>
        <v>1.1260754020089185E-5</v>
      </c>
      <c r="E3">
        <f t="shared" si="0"/>
        <v>184.57216778250606</v>
      </c>
      <c r="F3">
        <f t="shared" ref="F3:F25" si="1">B3*C3</f>
        <v>4.5589711343168547E-2</v>
      </c>
    </row>
    <row r="4" spans="2:6" x14ac:dyDescent="0.55000000000000004">
      <c r="B4">
        <f>Рассчёты!P4</f>
        <v>3.3557046979865771E-3</v>
      </c>
      <c r="C4">
        <f>Рассчёты!O4</f>
        <v>13.524264227801991</v>
      </c>
      <c r="D4">
        <f t="shared" si="0"/>
        <v>1.1260754020089185E-5</v>
      </c>
      <c r="E4">
        <f t="shared" si="0"/>
        <v>182.90572290340458</v>
      </c>
      <c r="F4">
        <f t="shared" si="1"/>
        <v>4.5383437006046946E-2</v>
      </c>
    </row>
    <row r="5" spans="2:6" x14ac:dyDescent="0.55000000000000004">
      <c r="B5">
        <f>Рассчёты!P5</f>
        <v>3.3557046979865771E-3</v>
      </c>
      <c r="C5">
        <f>Рассчёты!O5</f>
        <v>13.451138511634316</v>
      </c>
      <c r="D5">
        <f t="shared" si="0"/>
        <v>1.1260754020089185E-5</v>
      </c>
      <c r="E5">
        <f t="shared" si="0"/>
        <v>180.93312725917184</v>
      </c>
      <c r="F5">
        <f t="shared" si="1"/>
        <v>4.5138048696759449E-2</v>
      </c>
    </row>
    <row r="6" spans="2:6" x14ac:dyDescent="0.55000000000000004">
      <c r="B6">
        <f>Рассчёты!P6</f>
        <v>3.3003300330033004E-3</v>
      </c>
      <c r="C6">
        <f>Рассчёты!O6</f>
        <v>13.249070519742725</v>
      </c>
      <c r="D6">
        <f t="shared" si="0"/>
        <v>1.0892178326743566E-5</v>
      </c>
      <c r="E6">
        <f t="shared" si="0"/>
        <v>175.53786963711576</v>
      </c>
      <c r="F6">
        <f t="shared" si="1"/>
        <v>4.3726305345685564E-2</v>
      </c>
    </row>
    <row r="7" spans="2:6" x14ac:dyDescent="0.55000000000000004">
      <c r="B7">
        <f>Рассчёты!P7</f>
        <v>3.3003300330033004E-3</v>
      </c>
      <c r="C7">
        <f>Рассчёты!O7</f>
        <v>13.228882597504809</v>
      </c>
      <c r="D7">
        <f t="shared" si="0"/>
        <v>1.0892178326743566E-5</v>
      </c>
      <c r="E7">
        <f t="shared" si="0"/>
        <v>175.00333477856557</v>
      </c>
      <c r="F7">
        <f t="shared" si="1"/>
        <v>4.3659678539619828E-2</v>
      </c>
    </row>
    <row r="8" spans="2:6" x14ac:dyDescent="0.55000000000000004">
      <c r="B8">
        <f>Рассчёты!P8</f>
        <v>3.3003300330033004E-3</v>
      </c>
      <c r="C8">
        <f>Рассчёты!O8</f>
        <v>13.144641285135238</v>
      </c>
      <c r="D8">
        <f t="shared" si="0"/>
        <v>1.0892178326743566E-5</v>
      </c>
      <c r="E8">
        <f t="shared" si="0"/>
        <v>172.78159451488176</v>
      </c>
      <c r="F8">
        <f t="shared" si="1"/>
        <v>4.3381654406386923E-2</v>
      </c>
    </row>
    <row r="9" spans="2:6" x14ac:dyDescent="0.55000000000000004">
      <c r="B9">
        <f>Рассчёты!P9</f>
        <v>3.3003300330033004E-3</v>
      </c>
      <c r="C9">
        <f>Рассчёты!O9</f>
        <v>13.105622192100759</v>
      </c>
      <c r="D9">
        <f t="shared" si="0"/>
        <v>1.0892178326743566E-5</v>
      </c>
      <c r="E9">
        <f t="shared" si="0"/>
        <v>171.7573330420839</v>
      </c>
      <c r="F9">
        <f t="shared" si="1"/>
        <v>4.325287852178468E-2</v>
      </c>
    </row>
    <row r="10" spans="2:6" x14ac:dyDescent="0.55000000000000004">
      <c r="B10">
        <f>Рассчёты!P10</f>
        <v>3.246753246753247E-3</v>
      </c>
      <c r="C10">
        <f>Рассчёты!O10</f>
        <v>12.836784003945562</v>
      </c>
      <c r="D10">
        <f t="shared" si="0"/>
        <v>1.0541406645302751E-5</v>
      </c>
      <c r="E10">
        <f t="shared" si="0"/>
        <v>164.78302356395264</v>
      </c>
      <c r="F10">
        <f t="shared" si="1"/>
        <v>4.1677870142680401E-2</v>
      </c>
    </row>
    <row r="11" spans="2:6" x14ac:dyDescent="0.55000000000000004">
      <c r="B11">
        <f>Рассчёты!P11</f>
        <v>3.246753246753247E-3</v>
      </c>
      <c r="C11">
        <f>Рассчёты!O11</f>
        <v>12.68056829364183</v>
      </c>
      <c r="D11">
        <f t="shared" si="0"/>
        <v>1.0541406645302751E-5</v>
      </c>
      <c r="E11">
        <f t="shared" si="0"/>
        <v>160.79681224971446</v>
      </c>
      <c r="F11">
        <f t="shared" si="1"/>
        <v>4.1170676278057892E-2</v>
      </c>
    </row>
    <row r="12" spans="2:6" x14ac:dyDescent="0.55000000000000004">
      <c r="B12">
        <f>Рассчёты!P12</f>
        <v>3.246753246753247E-3</v>
      </c>
      <c r="C12">
        <f>Рассчёты!O12</f>
        <v>12.822574062336853</v>
      </c>
      <c r="D12">
        <f t="shared" si="0"/>
        <v>1.0541406645302751E-5</v>
      </c>
      <c r="E12">
        <f t="shared" si="0"/>
        <v>164.41840558411383</v>
      </c>
      <c r="F12">
        <f t="shared" si="1"/>
        <v>4.1631733968626149E-2</v>
      </c>
    </row>
    <row r="13" spans="2:6" x14ac:dyDescent="0.55000000000000004">
      <c r="B13">
        <f>Рассчёты!P13</f>
        <v>3.246753246753247E-3</v>
      </c>
      <c r="C13">
        <f>Рассчёты!O13</f>
        <v>12.84098371861753</v>
      </c>
      <c r="D13">
        <f t="shared" si="0"/>
        <v>1.0541406645302751E-5</v>
      </c>
      <c r="E13">
        <f t="shared" si="0"/>
        <v>164.89086286180049</v>
      </c>
      <c r="F13">
        <f t="shared" si="1"/>
        <v>4.1691505579927048E-2</v>
      </c>
    </row>
    <row r="14" spans="2:6" x14ac:dyDescent="0.55000000000000004">
      <c r="B14">
        <f>Рассчёты!P14</f>
        <v>3.1948881789137379E-3</v>
      </c>
      <c r="C14">
        <f>Рассчёты!O14</f>
        <v>12.448949893188749</v>
      </c>
      <c r="D14">
        <f t="shared" si="0"/>
        <v>1.020731047576274E-5</v>
      </c>
      <c r="E14">
        <f t="shared" si="0"/>
        <v>154.97635344312417</v>
      </c>
      <c r="F14">
        <f t="shared" si="1"/>
        <v>3.9773002853638176E-2</v>
      </c>
    </row>
    <row r="15" spans="2:6" x14ac:dyDescent="0.55000000000000004">
      <c r="B15">
        <f>Рассчёты!P15</f>
        <v>3.1948881789137379E-3</v>
      </c>
      <c r="C15">
        <f>Рассчёты!O15</f>
        <v>12.454477964732828</v>
      </c>
      <c r="D15">
        <f t="shared" si="0"/>
        <v>1.020731047576274E-5</v>
      </c>
      <c r="E15">
        <f t="shared" si="0"/>
        <v>155.11402137401555</v>
      </c>
      <c r="F15">
        <f t="shared" si="1"/>
        <v>3.9790664424066542E-2</v>
      </c>
    </row>
    <row r="16" spans="2:6" x14ac:dyDescent="0.55000000000000004">
      <c r="B16">
        <f>Рассчёты!P16</f>
        <v>3.1948881789137379E-3</v>
      </c>
      <c r="C16">
        <f>Рассчёты!O16</f>
        <v>12.373486470367972</v>
      </c>
      <c r="D16">
        <f t="shared" si="0"/>
        <v>1.020731047576274E-5</v>
      </c>
      <c r="E16">
        <f t="shared" si="0"/>
        <v>153.10316743237925</v>
      </c>
      <c r="F16">
        <f t="shared" si="1"/>
        <v>3.9531905656127707E-2</v>
      </c>
    </row>
    <row r="17" spans="1:7" x14ac:dyDescent="0.55000000000000004">
      <c r="B17">
        <f>Рассчёты!P17</f>
        <v>3.1948881789137379E-3</v>
      </c>
      <c r="C17">
        <f>Рассчёты!O17</f>
        <v>12.411086153432283</v>
      </c>
      <c r="D17">
        <f t="shared" si="0"/>
        <v>1.020731047576274E-5</v>
      </c>
      <c r="E17">
        <f t="shared" si="0"/>
        <v>154.03505950791853</v>
      </c>
      <c r="F17">
        <f t="shared" si="1"/>
        <v>3.9652032439080775E-2</v>
      </c>
    </row>
    <row r="18" spans="1:7" x14ac:dyDescent="0.55000000000000004">
      <c r="B18">
        <f>Рассчёты!P18</f>
        <v>3.1446540880503146E-3</v>
      </c>
      <c r="C18">
        <f>Рассчёты!O18</f>
        <v>12.179412576447172</v>
      </c>
      <c r="D18">
        <f t="shared" si="0"/>
        <v>9.8888493334915555E-6</v>
      </c>
      <c r="E18">
        <f t="shared" si="0"/>
        <v>148.33809070731954</v>
      </c>
      <c r="F18">
        <f t="shared" si="1"/>
        <v>3.8300039548576012E-2</v>
      </c>
    </row>
    <row r="19" spans="1:7" x14ac:dyDescent="0.55000000000000004">
      <c r="B19">
        <f>Рассчёты!P19</f>
        <v>3.1446540880503146E-3</v>
      </c>
      <c r="C19">
        <f>Рассчёты!O19</f>
        <v>12.192519858890863</v>
      </c>
      <c r="D19">
        <f t="shared" si="0"/>
        <v>9.8888493334915555E-6</v>
      </c>
      <c r="E19">
        <f t="shared" si="0"/>
        <v>148.65754050944807</v>
      </c>
      <c r="F19">
        <f t="shared" si="1"/>
        <v>3.8341257417895798E-2</v>
      </c>
    </row>
    <row r="20" spans="1:7" x14ac:dyDescent="0.55000000000000004">
      <c r="B20">
        <f>Рассчёты!P20</f>
        <v>3.1446540880503146E-3</v>
      </c>
      <c r="C20">
        <f>Рассчёты!O20</f>
        <v>12.201190575596812</v>
      </c>
      <c r="D20">
        <f t="shared" si="0"/>
        <v>9.8888493334915555E-6</v>
      </c>
      <c r="E20">
        <f t="shared" si="0"/>
        <v>148.86905146203244</v>
      </c>
      <c r="F20">
        <f t="shared" si="1"/>
        <v>3.8368523822631485E-2</v>
      </c>
    </row>
    <row r="21" spans="1:7" x14ac:dyDescent="0.55000000000000004">
      <c r="B21">
        <f>Рассчёты!P21</f>
        <v>3.1446540880503146E-3</v>
      </c>
      <c r="C21">
        <f>Рассчёты!O21</f>
        <v>12.224885722962137</v>
      </c>
      <c r="D21">
        <f t="shared" si="0"/>
        <v>9.8888493334915555E-6</v>
      </c>
      <c r="E21">
        <f t="shared" si="0"/>
        <v>149.44783093948348</v>
      </c>
      <c r="F21">
        <f t="shared" si="1"/>
        <v>3.8443036864660808E-2</v>
      </c>
    </row>
    <row r="22" spans="1:7" x14ac:dyDescent="0.55000000000000004">
      <c r="B22">
        <f>Рассчёты!P22</f>
        <v>3.0959752321981426E-3</v>
      </c>
      <c r="C22">
        <f>Рассчёты!O22</f>
        <v>11.900646888280336</v>
      </c>
      <c r="D22">
        <f t="shared" si="0"/>
        <v>9.585062638384343E-6</v>
      </c>
      <c r="E22">
        <f t="shared" si="0"/>
        <v>141.62539635953647</v>
      </c>
      <c r="F22">
        <f t="shared" si="1"/>
        <v>3.6844108013251817E-2</v>
      </c>
    </row>
    <row r="23" spans="1:7" x14ac:dyDescent="0.55000000000000004">
      <c r="B23">
        <f>Рассчёты!P23</f>
        <v>3.0959752321981426E-3</v>
      </c>
      <c r="C23">
        <f>Рассчёты!O23</f>
        <v>11.923355838520427</v>
      </c>
      <c r="D23">
        <f t="shared" si="0"/>
        <v>9.585062638384343E-6</v>
      </c>
      <c r="E23">
        <f t="shared" si="0"/>
        <v>142.16641445197916</v>
      </c>
      <c r="F23">
        <f t="shared" si="1"/>
        <v>3.6914414360744358E-2</v>
      </c>
    </row>
    <row r="24" spans="1:7" x14ac:dyDescent="0.55000000000000004">
      <c r="B24">
        <f>Рассчёты!P24</f>
        <v>3.0959752321981426E-3</v>
      </c>
      <c r="C24">
        <f>Рассчёты!O24</f>
        <v>11.70010053030205</v>
      </c>
      <c r="D24">
        <f t="shared" si="0"/>
        <v>9.585062638384343E-6</v>
      </c>
      <c r="E24">
        <f t="shared" si="0"/>
        <v>136.89235241917433</v>
      </c>
      <c r="F24">
        <f t="shared" si="1"/>
        <v>3.6223221456043501E-2</v>
      </c>
    </row>
    <row r="25" spans="1:7" x14ac:dyDescent="0.55000000000000004">
      <c r="B25">
        <f>Рассчёты!P25</f>
        <v>3.0959752321981426E-3</v>
      </c>
      <c r="C25">
        <f>Рассчёты!O25</f>
        <v>11.753099182433234</v>
      </c>
      <c r="D25">
        <f t="shared" si="0"/>
        <v>9.585062638384343E-6</v>
      </c>
      <c r="E25">
        <f t="shared" si="0"/>
        <v>138.13534039211274</v>
      </c>
      <c r="F25">
        <f t="shared" si="1"/>
        <v>3.6387303970381528E-2</v>
      </c>
    </row>
    <row r="26" spans="1:7" x14ac:dyDescent="0.55000000000000004">
      <c r="A26" s="22" t="s">
        <v>28</v>
      </c>
      <c r="B26">
        <f>AVERAGE(B2:B25)</f>
        <v>3.2230509128175523E-3</v>
      </c>
      <c r="C26">
        <f>AVERAGE(C2:C25)</f>
        <v>12.659814807598451</v>
      </c>
      <c r="D26">
        <f t="shared" ref="D26:F26" si="2">AVERAGE(D2:D25)</f>
        <v>1.0395926906629024E-5</v>
      </c>
      <c r="E26">
        <f t="shared" si="2"/>
        <v>160.61489427506416</v>
      </c>
      <c r="F26">
        <f t="shared" si="2"/>
        <v>4.0854898980693929E-2</v>
      </c>
    </row>
    <row r="29" spans="1:7" x14ac:dyDescent="0.55000000000000004">
      <c r="B29" t="s">
        <v>32</v>
      </c>
      <c r="C29" t="s">
        <v>33</v>
      </c>
      <c r="F29" t="s">
        <v>26</v>
      </c>
      <c r="G29" t="s">
        <v>27</v>
      </c>
    </row>
    <row r="30" spans="1:7" x14ac:dyDescent="0.55000000000000004">
      <c r="B30">
        <f>(F26-B26*C26)/(D26-B26*B26)</f>
        <v>6565.8382845010774</v>
      </c>
      <c r="C30">
        <f>C26-B30*B26</f>
        <v>-8.502216268675177</v>
      </c>
      <c r="F30">
        <v>3.0500000000000002E-3</v>
      </c>
      <c r="G30">
        <f>F30*$B$30+$C$30</f>
        <v>11.52359049905311</v>
      </c>
    </row>
    <row r="31" spans="1:7" x14ac:dyDescent="0.55000000000000004">
      <c r="F31">
        <v>3.3999999999999998E-3</v>
      </c>
      <c r="G31">
        <f>F31*$B$30+$C$30</f>
        <v>13.821633898628484</v>
      </c>
    </row>
    <row r="32" spans="1:7" x14ac:dyDescent="0.55000000000000004">
      <c r="B32" t="s">
        <v>34</v>
      </c>
    </row>
    <row r="33" spans="2:2" x14ac:dyDescent="0.55000000000000004">
      <c r="B33">
        <f>1/SQRT(24)*SQRT((E26-C26*C26)/(D26-B26*B26) - B30*B30)</f>
        <v>158.04726204125768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Рассчёты</vt:lpstr>
      <vt:lpstr>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Aleksander Rozhkov</cp:lastModifiedBy>
  <dcterms:created xsi:type="dcterms:W3CDTF">2015-06-05T18:19:34Z</dcterms:created>
  <dcterms:modified xsi:type="dcterms:W3CDTF">2024-02-18T22:03:45Z</dcterms:modified>
</cp:coreProperties>
</file>