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ciones 2021\Planilla\Renta de quinta\"/>
    </mc:Choice>
  </mc:AlternateContent>
  <xr:revisionPtr revIDLastSave="0" documentId="13_ncr:1_{FF38F6EF-0C0E-45AE-AC39-A4797516B92A}" xr6:coauthVersionLast="47" xr6:coauthVersionMax="47" xr10:uidLastSave="{00000000-0000-0000-0000-000000000000}"/>
  <bookViews>
    <workbookView xWindow="-120" yWindow="-120" windowWidth="20730" windowHeight="11160" tabRatio="882" xr2:uid="{CB3AEA10-E37E-43E6-B13C-9EF3343F8AC8}"/>
  </bookViews>
  <sheets>
    <sheet name="Sunat" sheetId="19" r:id="rId1"/>
    <sheet name="KATHY" sheetId="1" r:id="rId2"/>
    <sheet name="MILAGROS" sheetId="20" r:id="rId3"/>
    <sheet name="PAOLA" sheetId="21" r:id="rId4"/>
    <sheet name="BETTY" sheetId="22" r:id="rId5"/>
    <sheet name="MAGALY" sheetId="23" r:id="rId6"/>
    <sheet name="ANDREA" sheetId="33" r:id="rId7"/>
    <sheet name="JOSE T." sheetId="24" r:id="rId8"/>
    <sheet name="J.DEL ALCAZAR" sheetId="25" r:id="rId9"/>
    <sheet name="B.CAMPOS" sheetId="26" r:id="rId10"/>
    <sheet name="J.HIDALGO" sheetId="27" r:id="rId11"/>
    <sheet name="J.GUTIERREZ" sheetId="28" r:id="rId12"/>
    <sheet name="M.VALVERDE" sheetId="29" r:id="rId13"/>
    <sheet name="V.REITERER" sheetId="30" r:id="rId14"/>
    <sheet name="J.FAJARDO" sheetId="31" r:id="rId15"/>
    <sheet name="LIBR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3" l="1"/>
  <c r="E28" i="1"/>
  <c r="E27" i="1"/>
  <c r="E21" i="1"/>
  <c r="E20" i="1"/>
  <c r="E17" i="1"/>
  <c r="E16" i="1"/>
  <c r="E9" i="1"/>
  <c r="E9" i="25"/>
  <c r="F23" i="25"/>
  <c r="E36" i="31"/>
  <c r="E43" i="31" s="1"/>
  <c r="E33" i="31"/>
  <c r="F23" i="31"/>
  <c r="F20" i="31"/>
  <c r="E13" i="31"/>
  <c r="F23" i="28"/>
  <c r="F20" i="28"/>
  <c r="E11" i="22"/>
  <c r="E10" i="22"/>
  <c r="H23" i="25"/>
  <c r="F23" i="24"/>
  <c r="J23" i="33"/>
  <c r="F23" i="30"/>
  <c r="E13" i="30"/>
  <c r="F20" i="29"/>
  <c r="F23" i="29"/>
  <c r="G29" i="29"/>
  <c r="E29" i="29"/>
  <c r="E15" i="29"/>
  <c r="H23" i="29"/>
  <c r="E13" i="29"/>
  <c r="E64" i="28"/>
  <c r="E65" i="28" s="1"/>
  <c r="H23" i="28"/>
  <c r="E13" i="28"/>
  <c r="F23" i="27"/>
  <c r="E13" i="27"/>
  <c r="F23" i="26"/>
  <c r="E13" i="26"/>
  <c r="H20" i="25"/>
  <c r="E13" i="33"/>
  <c r="E13" i="25"/>
  <c r="E31" i="24"/>
  <c r="G29" i="24"/>
  <c r="E29" i="24"/>
  <c r="E32" i="24"/>
  <c r="E15" i="24"/>
  <c r="E12" i="24"/>
  <c r="E13" i="24"/>
  <c r="E15" i="33"/>
  <c r="E44" i="23"/>
  <c r="E43" i="23"/>
  <c r="F40" i="23"/>
  <c r="E49" i="23"/>
  <c r="E38" i="23"/>
  <c r="E33" i="33"/>
  <c r="E32" i="33"/>
  <c r="E31" i="33"/>
  <c r="F20" i="33"/>
  <c r="F23" i="23"/>
  <c r="E32" i="23"/>
  <c r="E29" i="23"/>
  <c r="E31" i="23" s="1"/>
  <c r="F20" i="23"/>
  <c r="E13" i="23"/>
  <c r="E33" i="24" l="1"/>
  <c r="E37" i="24"/>
  <c r="E36" i="24"/>
  <c r="E36" i="33"/>
  <c r="E43" i="33" s="1"/>
  <c r="E40" i="33"/>
  <c r="E37" i="33" l="1"/>
  <c r="E44" i="33" l="1"/>
  <c r="E38" i="33"/>
  <c r="E45" i="33" s="1"/>
  <c r="E39" i="33" l="1"/>
  <c r="E46" i="33" s="1"/>
  <c r="F40" i="33" l="1"/>
  <c r="E22" i="21" l="1"/>
  <c r="E21" i="21"/>
  <c r="E18" i="21"/>
  <c r="E16" i="21"/>
  <c r="E12" i="21"/>
  <c r="E13" i="21"/>
  <c r="E13" i="1"/>
  <c r="E12" i="1"/>
  <c r="E43" i="20" l="1"/>
  <c r="E42" i="20"/>
  <c r="E46" i="20" s="1"/>
  <c r="E41" i="20"/>
  <c r="E40" i="20"/>
  <c r="E56" i="33"/>
  <c r="E55" i="33"/>
  <c r="G29" i="33"/>
  <c r="E29" i="33"/>
  <c r="E6" i="33"/>
  <c r="E62" i="32"/>
  <c r="E30" i="32"/>
  <c r="G27" i="32"/>
  <c r="E27" i="32"/>
  <c r="F18" i="32"/>
  <c r="E10" i="32"/>
  <c r="E11" i="32" s="1"/>
  <c r="E9" i="32"/>
  <c r="E6" i="32"/>
  <c r="E64" i="31"/>
  <c r="E29" i="31"/>
  <c r="E32" i="31"/>
  <c r="G29" i="31"/>
  <c r="E6" i="31"/>
  <c r="E9" i="31" s="1"/>
  <c r="E29" i="30"/>
  <c r="F20" i="30"/>
  <c r="E64" i="30"/>
  <c r="E32" i="30"/>
  <c r="G29" i="30"/>
  <c r="E6" i="30"/>
  <c r="E9" i="30" s="1"/>
  <c r="E64" i="29"/>
  <c r="E32" i="29"/>
  <c r="E6" i="29"/>
  <c r="E9" i="29" s="1"/>
  <c r="E15" i="22"/>
  <c r="E15" i="20"/>
  <c r="E32" i="28"/>
  <c r="G29" i="28"/>
  <c r="E29" i="28"/>
  <c r="E6" i="28"/>
  <c r="E9" i="28" s="1"/>
  <c r="F20" i="27"/>
  <c r="E64" i="27"/>
  <c r="E32" i="27"/>
  <c r="G29" i="27"/>
  <c r="E29" i="27"/>
  <c r="E6" i="27"/>
  <c r="E64" i="26"/>
  <c r="E32" i="26"/>
  <c r="G29" i="26"/>
  <c r="E29" i="26"/>
  <c r="F20" i="26"/>
  <c r="E6" i="26"/>
  <c r="E9" i="26" s="1"/>
  <c r="E64" i="25"/>
  <c r="E32" i="25"/>
  <c r="G29" i="25"/>
  <c r="E29" i="25"/>
  <c r="F20" i="25"/>
  <c r="E6" i="25"/>
  <c r="E64" i="24"/>
  <c r="F20" i="24"/>
  <c r="E6" i="24"/>
  <c r="E9" i="24" s="1"/>
  <c r="E64" i="23"/>
  <c r="G29" i="23"/>
  <c r="E6" i="23"/>
  <c r="E9" i="23" s="1"/>
  <c r="E18" i="22"/>
  <c r="E25" i="22" s="1"/>
  <c r="E46" i="22"/>
  <c r="E14" i="22"/>
  <c r="E9" i="22"/>
  <c r="E6" i="22"/>
  <c r="E49" i="21"/>
  <c r="E17" i="21"/>
  <c r="E6" i="21"/>
  <c r="E9" i="21" s="1"/>
  <c r="E19" i="20"/>
  <c r="E26" i="20" s="1"/>
  <c r="E18" i="20"/>
  <c r="E14" i="20"/>
  <c r="E13" i="20"/>
  <c r="E11" i="20"/>
  <c r="E10" i="20"/>
  <c r="E9" i="20"/>
  <c r="E6" i="20"/>
  <c r="E8" i="19"/>
  <c r="E9" i="19"/>
  <c r="E10" i="19"/>
  <c r="E11" i="19"/>
  <c r="E12" i="19"/>
  <c r="E13" i="19"/>
  <c r="E14" i="19"/>
  <c r="E7" i="19"/>
  <c r="E48" i="1"/>
  <c r="E9" i="33" l="1"/>
  <c r="E47" i="33" s="1"/>
  <c r="E15" i="23"/>
  <c r="E33" i="23" s="1"/>
  <c r="E64" i="33"/>
  <c r="E13" i="32"/>
  <c r="E29" i="32" s="1"/>
  <c r="E31" i="32" s="1"/>
  <c r="E15" i="30"/>
  <c r="E31" i="30" s="1"/>
  <c r="E33" i="30" s="1"/>
  <c r="E25" i="20"/>
  <c r="E9" i="27"/>
  <c r="E15" i="27" s="1"/>
  <c r="E31" i="27" s="1"/>
  <c r="E33" i="27" s="1"/>
  <c r="E15" i="25"/>
  <c r="E13" i="22"/>
  <c r="E15" i="31" l="1"/>
  <c r="E31" i="31" s="1"/>
  <c r="E15" i="28"/>
  <c r="E31" i="28" s="1"/>
  <c r="E33" i="28" s="1"/>
  <c r="E36" i="28" s="1"/>
  <c r="E43" i="28" s="1"/>
  <c r="E15" i="26"/>
  <c r="E31" i="25"/>
  <c r="E33" i="25" s="1"/>
  <c r="E39" i="23"/>
  <c r="E45" i="23"/>
  <c r="E36" i="32"/>
  <c r="E43" i="32" s="1"/>
  <c r="E37" i="32"/>
  <c r="E44" i="32" s="1"/>
  <c r="E38" i="32"/>
  <c r="E45" i="32" s="1"/>
  <c r="E34" i="32"/>
  <c r="E41" i="32" s="1"/>
  <c r="E40" i="30"/>
  <c r="E47" i="30" s="1"/>
  <c r="E36" i="30"/>
  <c r="E43" i="30" s="1"/>
  <c r="E39" i="30"/>
  <c r="E46" i="30" s="1"/>
  <c r="E38" i="30"/>
  <c r="E45" i="30" s="1"/>
  <c r="E31" i="29"/>
  <c r="E33" i="29" s="1"/>
  <c r="E38" i="27"/>
  <c r="E45" i="27" s="1"/>
  <c r="E40" i="27"/>
  <c r="E47" i="27" s="1"/>
  <c r="E36" i="27"/>
  <c r="E43" i="27" s="1"/>
  <c r="E39" i="27"/>
  <c r="E46" i="27" s="1"/>
  <c r="E38" i="24"/>
  <c r="E45" i="24" s="1"/>
  <c r="E40" i="24"/>
  <c r="E47" i="24" s="1"/>
  <c r="E43" i="24"/>
  <c r="E39" i="24"/>
  <c r="E46" i="24" s="1"/>
  <c r="E40" i="23"/>
  <c r="E47" i="23" s="1"/>
  <c r="E36" i="23"/>
  <c r="E20" i="22"/>
  <c r="E27" i="22" s="1"/>
  <c r="E21" i="22"/>
  <c r="E28" i="22" s="1"/>
  <c r="E19" i="22"/>
  <c r="E26" i="22" s="1"/>
  <c r="E22" i="22"/>
  <c r="E29" i="22" s="1"/>
  <c r="E36" i="25" l="1"/>
  <c r="E43" i="25" s="1"/>
  <c r="E38" i="28"/>
  <c r="E45" i="28" s="1"/>
  <c r="E40" i="28"/>
  <c r="E47" i="28" s="1"/>
  <c r="E39" i="28"/>
  <c r="E46" i="28" s="1"/>
  <c r="E31" i="26"/>
  <c r="E33" i="26" s="1"/>
  <c r="E38" i="25"/>
  <c r="E45" i="25" s="1"/>
  <c r="E40" i="25"/>
  <c r="E47" i="25" s="1"/>
  <c r="E39" i="25"/>
  <c r="E46" i="25" s="1"/>
  <c r="E46" i="23"/>
  <c r="E35" i="32"/>
  <c r="E42" i="32" s="1"/>
  <c r="E47" i="32" s="1"/>
  <c r="E38" i="31"/>
  <c r="E45" i="31" s="1"/>
  <c r="E40" i="31"/>
  <c r="E47" i="31" s="1"/>
  <c r="E39" i="31"/>
  <c r="E46" i="31" s="1"/>
  <c r="E37" i="31"/>
  <c r="E44" i="31" s="1"/>
  <c r="E37" i="30"/>
  <c r="E44" i="30" s="1"/>
  <c r="E49" i="30" s="1"/>
  <c r="E39" i="29"/>
  <c r="E46" i="29" s="1"/>
  <c r="E40" i="29"/>
  <c r="E47" i="29" s="1"/>
  <c r="E36" i="29"/>
  <c r="E43" i="29" s="1"/>
  <c r="E38" i="29"/>
  <c r="E45" i="29" s="1"/>
  <c r="E37" i="28"/>
  <c r="E44" i="28" s="1"/>
  <c r="E49" i="28" s="1"/>
  <c r="E37" i="27"/>
  <c r="E44" i="24"/>
  <c r="E49" i="24" s="1"/>
  <c r="H49" i="24" s="1"/>
  <c r="E37" i="23"/>
  <c r="F22" i="22"/>
  <c r="E31" i="22"/>
  <c r="H31" i="22" s="1"/>
  <c r="E24" i="21"/>
  <c r="E31" i="21" s="1"/>
  <c r="E23" i="21"/>
  <c r="E30" i="21" s="1"/>
  <c r="E25" i="21"/>
  <c r="E32" i="21" s="1"/>
  <c r="E22" i="20"/>
  <c r="E29" i="20" s="1"/>
  <c r="E21" i="20"/>
  <c r="E28" i="20" s="1"/>
  <c r="E20" i="20"/>
  <c r="E37" i="25" l="1"/>
  <c r="E44" i="25" s="1"/>
  <c r="E49" i="25" s="1"/>
  <c r="E49" i="31"/>
  <c r="E65" i="31" s="1"/>
  <c r="E39" i="26"/>
  <c r="E46" i="26" s="1"/>
  <c r="E38" i="26"/>
  <c r="E45" i="26" s="1"/>
  <c r="E36" i="26"/>
  <c r="E43" i="26" s="1"/>
  <c r="E40" i="26"/>
  <c r="E47" i="26" s="1"/>
  <c r="E65" i="23"/>
  <c r="E49" i="33"/>
  <c r="E63" i="32"/>
  <c r="H47" i="32"/>
  <c r="F38" i="32"/>
  <c r="F40" i="31"/>
  <c r="F40" i="30"/>
  <c r="E65" i="30"/>
  <c r="H49" i="30"/>
  <c r="E37" i="29"/>
  <c r="E44" i="29" s="1"/>
  <c r="E49" i="29" s="1"/>
  <c r="E27" i="20"/>
  <c r="E31" i="20" s="1"/>
  <c r="H31" i="20" s="1"/>
  <c r="F22" i="20"/>
  <c r="F40" i="28"/>
  <c r="H49" i="28"/>
  <c r="E44" i="27"/>
  <c r="E49" i="27" s="1"/>
  <c r="F40" i="27"/>
  <c r="F40" i="24"/>
  <c r="E65" i="24"/>
  <c r="E47" i="22"/>
  <c r="E28" i="21"/>
  <c r="E29" i="21"/>
  <c r="E65" i="25" l="1"/>
  <c r="H49" i="25"/>
  <c r="F40" i="25"/>
  <c r="H49" i="31"/>
  <c r="F40" i="29"/>
  <c r="E37" i="26"/>
  <c r="E44" i="26" s="1"/>
  <c r="E49" i="26" s="1"/>
  <c r="E34" i="21"/>
  <c r="H34" i="21" s="1"/>
  <c r="H49" i="33"/>
  <c r="E65" i="33"/>
  <c r="H49" i="29"/>
  <c r="E65" i="29"/>
  <c r="E65" i="27"/>
  <c r="H49" i="27"/>
  <c r="H49" i="23"/>
  <c r="F25" i="21"/>
  <c r="E47" i="20"/>
  <c r="F47" i="20" s="1"/>
  <c r="H49" i="26" l="1"/>
  <c r="E65" i="26"/>
  <c r="F40" i="26"/>
  <c r="E50" i="21"/>
  <c r="E6" i="1"/>
  <c r="E15" i="1" l="1"/>
  <c r="E23" i="1" l="1"/>
  <c r="E30" i="1" s="1"/>
  <c r="E24" i="1"/>
  <c r="E31" i="1" s="1"/>
  <c r="E22" i="1"/>
  <c r="E29" i="1" s="1"/>
  <c r="F24" i="1" l="1"/>
  <c r="E33" i="1"/>
  <c r="F36" i="1" s="1"/>
  <c r="G36" i="1" s="1"/>
  <c r="E49" i="1" l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Jonatan</author>
  </authors>
  <commentList>
    <comment ref="B4" authorId="0" shapeId="0" xr:uid="{061D73F5-B631-4FB6-8CE8-D6111AFD2955}">
      <text>
        <r>
          <rPr>
            <b/>
            <sz val="9"/>
            <color indexed="81"/>
            <rFont val="Tahoma"/>
            <family val="2"/>
          </rPr>
          <t>Milagros:</t>
        </r>
        <r>
          <rPr>
            <sz val="9"/>
            <color indexed="81"/>
            <rFont val="Tahoma"/>
            <family val="2"/>
          </rPr>
          <t xml:space="preserve">
VALOR PARA EL 2021</t>
        </r>
      </text>
    </comment>
  </commentList>
</comments>
</file>

<file path=xl/sharedStrings.xml><?xml version="1.0" encoding="utf-8"?>
<sst xmlns="http://schemas.openxmlformats.org/spreadsheetml/2006/main" count="816" uniqueCount="77">
  <si>
    <t>SUELDO</t>
  </si>
  <si>
    <t>ASIG</t>
  </si>
  <si>
    <t>TOTAL</t>
  </si>
  <si>
    <t>PROY.SUEL</t>
  </si>
  <si>
    <t>GRATI</t>
  </si>
  <si>
    <t>BONIF</t>
  </si>
  <si>
    <t>SUEL FEB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</si>
  <si>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</si>
  <si>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</si>
  <si>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</si>
  <si>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</si>
  <si>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</si>
  <si>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</si>
  <si>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</si>
  <si>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</si>
  <si>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</si>
  <si>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</si>
  <si>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</si>
  <si>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</si>
  <si>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KATTY  VEGA</t>
  </si>
  <si>
    <t>PAOLA GANOZA</t>
  </si>
  <si>
    <t>BETTY QUIÑONES</t>
  </si>
  <si>
    <t xml:space="preserve">RENTA </t>
  </si>
  <si>
    <t xml:space="preserve">NOV </t>
  </si>
  <si>
    <t>ANDREA OLCESE</t>
  </si>
  <si>
    <t>JOSE TAFUR</t>
  </si>
  <si>
    <t>JOSE DEL ALCAZAR</t>
  </si>
  <si>
    <t>BEATRIZ CAMPOS</t>
  </si>
  <si>
    <t>JOSE HIDALGO</t>
  </si>
  <si>
    <t>JORGE GUTIERREZ</t>
  </si>
  <si>
    <t>MARIA VALVERDE</t>
  </si>
  <si>
    <t>VALERIA REITERER</t>
  </si>
  <si>
    <t>MILAGROS CHILLITUPA</t>
  </si>
  <si>
    <t xml:space="preserve">Valor UIT </t>
  </si>
  <si>
    <t>RENTA IMPONIBLE DE TRABAJO</t>
  </si>
  <si>
    <t>TASA</t>
  </si>
  <si>
    <t>Hasta</t>
  </si>
  <si>
    <t>UIT</t>
  </si>
  <si>
    <t>ó</t>
  </si>
  <si>
    <t>Por el Exceso de</t>
  </si>
  <si>
    <t>y hasta</t>
  </si>
  <si>
    <t>*</t>
  </si>
  <si>
    <t>ESTOS DATOS DEPENDERAN DE SUNAT</t>
  </si>
  <si>
    <t>Hasta 5 UIT ó s/.22000</t>
  </si>
  <si>
    <t>Por el Exceso de 5 UIT ó s/.22000y hasta 20 UIT ó s/.88000</t>
  </si>
  <si>
    <t>Por el Exceso de 20 UIT ó s/.88000y hasta 35 UIT ó s/.154000</t>
  </si>
  <si>
    <t>Por el Exceso de 35 UIT ó s/.154000y hasta 45 UIT ó s/.198000</t>
  </si>
  <si>
    <t>Por el Exceso de 45 UIT ó s/.198000</t>
  </si>
  <si>
    <t>Conceptos remunerativos</t>
  </si>
  <si>
    <t>Proyeccion de Ingresos</t>
  </si>
  <si>
    <t>Calculo renta a pagar</t>
  </si>
  <si>
    <t>RENTA A PAGAR 2021</t>
  </si>
  <si>
    <t>Renta mensual propuesta (variable)</t>
  </si>
  <si>
    <t>Calculo IR anual proyectado - Tramos</t>
  </si>
  <si>
    <t>Deduccion UIT</t>
  </si>
  <si>
    <t>Suspension perfecta</t>
  </si>
  <si>
    <t>Otros Ingresos</t>
  </si>
  <si>
    <t>Comisiones y Bonif</t>
  </si>
  <si>
    <t>Horas Extras</t>
  </si>
  <si>
    <t>Total Remuneracion basica</t>
  </si>
  <si>
    <t>Total Ingreso Anual Proyectado</t>
  </si>
  <si>
    <t>Total Remuneracion proyectada</t>
  </si>
  <si>
    <t>MAGALY RAMIREZ</t>
  </si>
  <si>
    <t>JHENIFFER FAJARDO</t>
  </si>
  <si>
    <t>REVISAR EN JULIO</t>
  </si>
  <si>
    <t>Comisiones</t>
  </si>
  <si>
    <t>Bonif. Anual</t>
  </si>
  <si>
    <t>Pago Bono:</t>
  </si>
  <si>
    <t>aplica en Jun</t>
  </si>
  <si>
    <t>GRATI JUL</t>
  </si>
  <si>
    <t>GRATI DIC</t>
  </si>
  <si>
    <t>BONIF JUL</t>
  </si>
  <si>
    <t>BONIF DIC</t>
  </si>
  <si>
    <t>Bono Jul</t>
  </si>
  <si>
    <t>BONIF META</t>
  </si>
  <si>
    <t>BONF JUL</t>
  </si>
  <si>
    <t>BOIF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</si>
</sst>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 style="thin">
        <color rgb="FF0000CC"/>
      </right>
      <top/>
      <bottom style="thin">
        <color rgb="FF0000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2" fillId="0" borderId="0" xfId="0" applyFont="1"/>
    <xf numFmtId="4" fontId="0" fillId="0" borderId="0" xfId="0" applyNumberFormat="1"/>
    <xf numFmtId="4" fontId="0" fillId="0" borderId="0" xfId="1" applyNumberFormat="1" applyFont="1"/>
    <xf numFmtId="4" fontId="0" fillId="0" borderId="1" xfId="0" applyNumberFormat="1" applyBorder="1"/>
    <xf numFmtId="0" fontId="0" fillId="0" borderId="0" xfId="0" applyFont="1" applyAlignment="1">
      <alignment horizontal="left"/>
    </xf>
    <xf numFmtId="43" fontId="1" fillId="0" borderId="0" xfId="1" applyFont="1"/>
    <xf numFmtId="43" fontId="1" fillId="2" borderId="0" xfId="1" applyFont="1" applyFill="1"/>
    <xf numFmtId="43" fontId="1" fillId="2" borderId="1" xfId="1" applyFont="1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0" fontId="0" fillId="0" borderId="0" xfId="0" applyFont="1"/>
    <xf numFmtId="0" fontId="6" fillId="0" borderId="0" xfId="0" applyFont="1" applyBorder="1"/>
    <xf numFmtId="9" fontId="6" fillId="0" borderId="0" xfId="0" applyNumberFormat="1" applyFont="1" applyBorder="1"/>
    <xf numFmtId="0" fontId="6" fillId="0" borderId="0" xfId="0" applyFont="1"/>
    <xf numFmtId="4" fontId="0" fillId="0" borderId="0" xfId="0" applyNumberFormat="1" applyFont="1"/>
    <xf numFmtId="4" fontId="0" fillId="0" borderId="1" xfId="0" applyNumberFormat="1" applyFont="1" applyBorder="1"/>
    <xf numFmtId="4" fontId="6" fillId="0" borderId="0" xfId="1" applyNumberFormat="1" applyFont="1" applyBorder="1"/>
    <xf numFmtId="4" fontId="0" fillId="6" borderId="0" xfId="0" applyNumberFormat="1" applyFont="1" applyFill="1"/>
    <xf numFmtId="4" fontId="3" fillId="3" borderId="0" xfId="1" applyNumberFormat="1" applyFont="1" applyFill="1"/>
    <xf numFmtId="4" fontId="2" fillId="0" borderId="0" xfId="1" applyNumberFormat="1" applyFont="1"/>
    <xf numFmtId="4" fontId="2" fillId="0" borderId="0" xfId="0" applyNumberFormat="1" applyFont="1"/>
    <xf numFmtId="165" fontId="0" fillId="0" borderId="0" xfId="1" applyNumberFormat="1" applyFont="1"/>
    <xf numFmtId="0" fontId="7" fillId="0" borderId="0" xfId="0" applyFont="1"/>
    <xf numFmtId="43" fontId="1" fillId="0" borderId="0" xfId="1" applyFont="1" applyFill="1" applyBorder="1"/>
    <xf numFmtId="4" fontId="0" fillId="2" borderId="0" xfId="0" applyNumberFormat="1" applyFont="1" applyFill="1"/>
    <xf numFmtId="4" fontId="0" fillId="2" borderId="1" xfId="0" applyNumberFormat="1" applyFont="1" applyFill="1" applyBorder="1"/>
    <xf numFmtId="0" fontId="8" fillId="0" borderId="0" xfId="0" applyFont="1"/>
    <xf numFmtId="43" fontId="2" fillId="0" borderId="0" xfId="1" applyFont="1" applyFill="1" applyBorder="1"/>
    <xf numFmtId="4" fontId="0" fillId="5" borderId="0" xfId="0" applyNumberFormat="1" applyFont="1" applyFill="1"/>
    <xf numFmtId="0" fontId="0" fillId="7" borderId="0" xfId="0" applyFill="1"/>
    <xf numFmtId="0" fontId="2" fillId="7" borderId="2" xfId="0" applyFont="1" applyFill="1" applyBorder="1" applyAlignment="1">
      <alignment horizontal="center" vertical="center"/>
    </xf>
    <xf numFmtId="0" fontId="0" fillId="8" borderId="0" xfId="0" applyFill="1"/>
    <xf numFmtId="0" fontId="0" fillId="8" borderId="2" xfId="0" applyFill="1" applyBorder="1" applyAlignment="1">
      <alignment horizontal="center" vertical="center"/>
    </xf>
    <xf numFmtId="9" fontId="0" fillId="8" borderId="2" xfId="0" applyNumberFormat="1" applyFill="1" applyBorder="1" applyAlignment="1">
      <alignment horizontal="center" vertical="center"/>
    </xf>
    <xf numFmtId="0" fontId="2" fillId="5" borderId="0" xfId="0" applyFont="1" applyFill="1"/>
    <xf numFmtId="4" fontId="2" fillId="9" borderId="0" xfId="0" applyNumberFormat="1" applyFont="1" applyFill="1"/>
    <xf numFmtId="43" fontId="1" fillId="0" borderId="0" xfId="1" applyFont="1" applyFill="1"/>
    <xf numFmtId="0" fontId="0" fillId="0" borderId="0" xfId="0" applyFill="1"/>
    <xf numFmtId="0" fontId="0" fillId="9" borderId="0" xfId="0" applyFill="1"/>
    <xf numFmtId="4" fontId="0" fillId="9" borderId="0" xfId="0" applyNumberFormat="1" applyFont="1" applyFill="1"/>
    <xf numFmtId="4" fontId="0" fillId="9" borderId="0" xfId="0" applyNumberFormat="1" applyFill="1"/>
    <xf numFmtId="0" fontId="2" fillId="7" borderId="2" xfId="0" applyFont="1" applyFill="1" applyBorder="1" applyAlignment="1">
      <alignment horizontal="center" vertical="center"/>
    </xf>
    <xf numFmtId="9" fontId="0" fillId="8" borderId="3" xfId="0" applyNumberFormat="1" applyFill="1" applyBorder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D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4131-90D1-484C-A17B-CC2982A11A67}">
  <sheetPr>
    <tabColor theme="5" tint="0.39997558519241921"/>
  </sheetPr>
  <dimension ref="A4:F17"/>
  <sheetViews>
    <sheetView tabSelected="1" workbookViewId="0">
      <selection activeCell="I10" sqref="I10"/>
    </sheetView>
  </sheetViews>
  <sheetFormatPr baseColWidth="10" defaultRowHeight="15" x14ac:dyDescent="0.25"/>
  <cols>
    <col min="1" max="1" width="15.28515625" bestFit="1" customWidth="1"/>
    <col min="5" max="5" width="13.85546875" bestFit="1" customWidth="1"/>
  </cols>
  <sheetData>
    <row r="4" spans="1:6" x14ac:dyDescent="0.25">
      <c r="A4" s="36" t="s">
        <v>33</v>
      </c>
      <c r="B4" s="38">
        <v>4400</v>
      </c>
    </row>
    <row r="6" spans="1:6" x14ac:dyDescent="0.25">
      <c r="A6" s="48" t="s">
        <v>34</v>
      </c>
      <c r="B6" s="48"/>
      <c r="C6" s="48"/>
      <c r="D6" s="48"/>
      <c r="E6" s="48"/>
      <c r="F6" s="37" t="s">
        <v>35</v>
      </c>
    </row>
    <row r="7" spans="1:6" x14ac:dyDescent="0.25">
      <c r="A7" s="14" t="s">
        <v>36</v>
      </c>
      <c r="B7" s="39">
        <v>5</v>
      </c>
      <c r="C7" s="15" t="s">
        <v>37</v>
      </c>
      <c r="D7" s="15" t="s">
        <v>38</v>
      </c>
      <c r="E7" s="16">
        <f>+B7*$B$4</f>
        <v>22000</v>
      </c>
      <c r="F7" s="40">
        <v>0.08</v>
      </c>
    </row>
    <row r="8" spans="1:6" x14ac:dyDescent="0.25">
      <c r="A8" s="14" t="s">
        <v>39</v>
      </c>
      <c r="B8" s="39">
        <v>5</v>
      </c>
      <c r="C8" s="15" t="s">
        <v>37</v>
      </c>
      <c r="D8" s="15" t="s">
        <v>38</v>
      </c>
      <c r="E8" s="16">
        <f t="shared" ref="E8:E14" si="0">+B8*$B$4</f>
        <v>22000</v>
      </c>
      <c r="F8" s="49">
        <v>0.14000000000000001</v>
      </c>
    </row>
    <row r="9" spans="1:6" x14ac:dyDescent="0.25">
      <c r="A9" s="14" t="s">
        <v>40</v>
      </c>
      <c r="B9" s="39">
        <v>20</v>
      </c>
      <c r="C9" s="15" t="s">
        <v>37</v>
      </c>
      <c r="D9" s="15" t="s">
        <v>38</v>
      </c>
      <c r="E9" s="16">
        <f t="shared" si="0"/>
        <v>88000</v>
      </c>
      <c r="F9" s="50"/>
    </row>
    <row r="10" spans="1:6" x14ac:dyDescent="0.25">
      <c r="A10" s="14" t="s">
        <v>39</v>
      </c>
      <c r="B10" s="39">
        <v>20</v>
      </c>
      <c r="C10" s="15" t="s">
        <v>37</v>
      </c>
      <c r="D10" s="15" t="s">
        <v>38</v>
      </c>
      <c r="E10" s="16">
        <f t="shared" si="0"/>
        <v>88000</v>
      </c>
      <c r="F10" s="49">
        <v>0.17</v>
      </c>
    </row>
    <row r="11" spans="1:6" x14ac:dyDescent="0.25">
      <c r="A11" s="14" t="s">
        <v>40</v>
      </c>
      <c r="B11" s="39">
        <v>35</v>
      </c>
      <c r="C11" s="15" t="s">
        <v>37</v>
      </c>
      <c r="D11" s="15" t="s">
        <v>38</v>
      </c>
      <c r="E11" s="16">
        <f t="shared" si="0"/>
        <v>154000</v>
      </c>
      <c r="F11" s="50"/>
    </row>
    <row r="12" spans="1:6" x14ac:dyDescent="0.25">
      <c r="A12" s="14" t="s">
        <v>39</v>
      </c>
      <c r="B12" s="39">
        <v>35</v>
      </c>
      <c r="C12" s="15" t="s">
        <v>37</v>
      </c>
      <c r="D12" s="15" t="s">
        <v>38</v>
      </c>
      <c r="E12" s="16">
        <f t="shared" si="0"/>
        <v>154000</v>
      </c>
      <c r="F12" s="49">
        <v>0.2</v>
      </c>
    </row>
    <row r="13" spans="1:6" x14ac:dyDescent="0.25">
      <c r="A13" s="14" t="s">
        <v>40</v>
      </c>
      <c r="B13" s="39">
        <v>45</v>
      </c>
      <c r="C13" s="15" t="s">
        <v>37</v>
      </c>
      <c r="D13" s="15" t="s">
        <v>38</v>
      </c>
      <c r="E13" s="16">
        <f t="shared" si="0"/>
        <v>198000</v>
      </c>
      <c r="F13" s="50"/>
    </row>
    <row r="14" spans="1:6" x14ac:dyDescent="0.25">
      <c r="A14" s="14" t="s">
        <v>39</v>
      </c>
      <c r="B14" s="39">
        <v>45</v>
      </c>
      <c r="C14" s="15" t="s">
        <v>37</v>
      </c>
      <c r="D14" s="15" t="s">
        <v>38</v>
      </c>
      <c r="E14" s="16">
        <f t="shared" si="0"/>
        <v>198000</v>
      </c>
      <c r="F14" s="40">
        <v>0.3</v>
      </c>
    </row>
    <row r="17" spans="1:4" x14ac:dyDescent="0.25">
      <c r="A17" s="36" t="s">
        <v>41</v>
      </c>
      <c r="B17" s="36" t="s">
        <v>42</v>
      </c>
      <c r="C17" s="36"/>
      <c r="D17" s="36"/>
    </row>
  </sheetData>
  <mergeCells count="4">
    <mergeCell ref="A6:E6"/>
    <mergeCell ref="F8:F9"/>
    <mergeCell ref="F10:F11"/>
    <mergeCell ref="F12:F1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0345-C885-4F42-8E7D-4D1A21DEF311}">
  <dimension ref="A1:I65"/>
  <sheetViews>
    <sheetView workbookViewId="0">
      <selection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27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>
        <v>2200</v>
      </c>
    </row>
    <row r="5" spans="1:9" x14ac:dyDescent="0.25">
      <c r="A5" s="33"/>
      <c r="D5" s="17" t="s">
        <v>1</v>
      </c>
      <c r="E5" s="3">
        <v>93</v>
      </c>
    </row>
    <row r="6" spans="1:9" x14ac:dyDescent="0.25">
      <c r="A6" s="33"/>
      <c r="B6" s="4" t="s">
        <v>59</v>
      </c>
      <c r="E6" s="27">
        <f>+E4+E5</f>
        <v>2293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25223</v>
      </c>
    </row>
    <row r="10" spans="1:9" x14ac:dyDescent="0.25">
      <c r="A10" s="33"/>
      <c r="D10" s="17" t="s">
        <v>69</v>
      </c>
      <c r="E10" s="21">
        <v>4000.64</v>
      </c>
    </row>
    <row r="11" spans="1:9" x14ac:dyDescent="0.25">
      <c r="A11" s="33"/>
      <c r="D11" s="17" t="s">
        <v>70</v>
      </c>
      <c r="E11" s="21">
        <v>2293</v>
      </c>
    </row>
    <row r="12" spans="1:9" x14ac:dyDescent="0.25">
      <c r="A12" s="33"/>
      <c r="D12" s="17" t="s">
        <v>71</v>
      </c>
      <c r="E12" s="21">
        <v>360.06</v>
      </c>
    </row>
    <row r="13" spans="1:9" x14ac:dyDescent="0.25">
      <c r="A13" s="33"/>
      <c r="D13" s="17" t="s">
        <v>72</v>
      </c>
      <c r="E13" s="21">
        <f>+E11*9%</f>
        <v>206.37</v>
      </c>
    </row>
    <row r="14" spans="1:9" x14ac:dyDescent="0.25">
      <c r="A14" s="20" t="s">
        <v>55</v>
      </c>
      <c r="D14" s="17" t="s">
        <v>6</v>
      </c>
      <c r="E14" s="3">
        <v>409.67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32492.739999999998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2672.22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129.53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3266.86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3240.85</v>
      </c>
      <c r="F20" s="2">
        <f>AVERAGE(E17,E19,E20)</f>
        <v>3059.9766666666669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2834.3</v>
      </c>
      <c r="G21" s="12">
        <v>0</v>
      </c>
      <c r="I21" s="17"/>
    </row>
    <row r="22" spans="1:9" s="21" customFormat="1" x14ac:dyDescent="0.25">
      <c r="A22" s="33"/>
      <c r="B22" s="17"/>
      <c r="D22" s="8" t="s">
        <v>12</v>
      </c>
      <c r="E22" s="43">
        <v>2902.87</v>
      </c>
      <c r="G22" s="12">
        <v>152.87</v>
      </c>
      <c r="I22" s="17"/>
    </row>
    <row r="23" spans="1:9" s="21" customFormat="1" x14ac:dyDescent="0.25">
      <c r="A23" s="33"/>
      <c r="B23" s="17"/>
      <c r="D23" s="8" t="s">
        <v>13</v>
      </c>
      <c r="E23" s="43">
        <v>3438.84</v>
      </c>
      <c r="F23" s="21">
        <f>AVERAGE(E21:E23)</f>
        <v>3058.67</v>
      </c>
      <c r="G23" s="12">
        <v>305.73</v>
      </c>
      <c r="I23" s="17"/>
    </row>
    <row r="24" spans="1:9" s="21" customFormat="1" x14ac:dyDescent="0.25">
      <c r="A24" s="33"/>
      <c r="B24" s="17"/>
      <c r="D24" s="8" t="s">
        <v>14</v>
      </c>
      <c r="E24" s="10">
        <v>3059</v>
      </c>
      <c r="G24" s="12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3059</v>
      </c>
      <c r="G25" s="12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3059</v>
      </c>
      <c r="G26" s="12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3059</v>
      </c>
      <c r="G27" s="12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3059</v>
      </c>
      <c r="G28" s="13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33780.47</v>
      </c>
      <c r="G29" s="27">
        <f>SUM(G17:G28)</f>
        <v>458.6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66731.81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35931.81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13931.809999999998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1950.4533999999999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E49" s="25">
        <f>SUM(E43:E48)</f>
        <v>3710.4533999999999</v>
      </c>
      <c r="H49" s="21">
        <f>+E49/12</f>
        <v>309.20445000000001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-288</v>
      </c>
    </row>
    <row r="52" spans="1:9" x14ac:dyDescent="0.25">
      <c r="D52" s="17" t="s">
        <v>8</v>
      </c>
      <c r="E52">
        <v>-288</v>
      </c>
      <c r="G52" s="26"/>
      <c r="H52" s="27"/>
    </row>
    <row r="53" spans="1:9" x14ac:dyDescent="0.25">
      <c r="D53" s="17" t="s">
        <v>9</v>
      </c>
      <c r="E53">
        <v>-288</v>
      </c>
    </row>
    <row r="54" spans="1:9" x14ac:dyDescent="0.25">
      <c r="D54" s="17" t="s">
        <v>10</v>
      </c>
      <c r="E54">
        <v>-280</v>
      </c>
    </row>
    <row r="55" spans="1:9" x14ac:dyDescent="0.25">
      <c r="D55" s="17" t="s">
        <v>11</v>
      </c>
      <c r="E55">
        <v>-280</v>
      </c>
    </row>
    <row r="56" spans="1:9" x14ac:dyDescent="0.25">
      <c r="D56" s="17" t="s">
        <v>12</v>
      </c>
      <c r="E56">
        <v>-280</v>
      </c>
    </row>
    <row r="57" spans="1:9" x14ac:dyDescent="0.25">
      <c r="D57" s="17" t="s">
        <v>13</v>
      </c>
      <c r="E57" s="45">
        <v>-363.2</v>
      </c>
    </row>
    <row r="58" spans="1:9" x14ac:dyDescent="0.25">
      <c r="D58" s="17" t="s">
        <v>14</v>
      </c>
      <c r="E58">
        <v>-320</v>
      </c>
    </row>
    <row r="59" spans="1:9" x14ac:dyDescent="0.25">
      <c r="D59" s="17" t="s">
        <v>15</v>
      </c>
      <c r="E59">
        <v>-320</v>
      </c>
    </row>
    <row r="60" spans="1:9" x14ac:dyDescent="0.25">
      <c r="D60" s="17" t="s">
        <v>16</v>
      </c>
      <c r="E60">
        <v>-320</v>
      </c>
    </row>
    <row r="61" spans="1:9" x14ac:dyDescent="0.25">
      <c r="D61" s="17" t="s">
        <v>17</v>
      </c>
      <c r="E61">
        <v>-320</v>
      </c>
    </row>
    <row r="62" spans="1:9" x14ac:dyDescent="0.25">
      <c r="D62" s="17" t="s">
        <v>18</v>
      </c>
      <c r="E62">
        <v>-363.25</v>
      </c>
    </row>
    <row r="63" spans="1:9" x14ac:dyDescent="0.25">
      <c r="E63" s="22"/>
    </row>
    <row r="64" spans="1:9" x14ac:dyDescent="0.25">
      <c r="E64" s="21">
        <f>SUM(E51:E63)</f>
        <v>-3710.45</v>
      </c>
    </row>
    <row r="65" spans="5:5" x14ac:dyDescent="0.25">
      <c r="E65" s="21">
        <f>+E49+E64</f>
        <v>3.4000000000560249E-3</v>
      </c>
    </row>
  </sheetData>
  <mergeCells count="1">
    <mergeCell ref="A49:C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F9DE-81F2-4E77-A466-76FD3B3DCA02}">
  <dimension ref="A1:I65"/>
  <sheetViews>
    <sheetView workbookViewId="0">
      <selection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28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2000</v>
      </c>
    </row>
    <row r="5" spans="1:9" x14ac:dyDescent="0.25">
      <c r="A5" s="33"/>
      <c r="D5" s="17" t="s">
        <v>1</v>
      </c>
      <c r="E5" s="7">
        <v>93</v>
      </c>
    </row>
    <row r="6" spans="1:9" x14ac:dyDescent="0.25">
      <c r="A6" s="33"/>
      <c r="B6" s="4" t="s">
        <v>59</v>
      </c>
      <c r="E6" s="27">
        <f>+E4+E5</f>
        <v>2093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23023</v>
      </c>
    </row>
    <row r="10" spans="1:9" x14ac:dyDescent="0.25">
      <c r="A10" s="33"/>
      <c r="D10" s="17" t="s">
        <v>69</v>
      </c>
      <c r="E10" s="21">
        <v>4024.22</v>
      </c>
    </row>
    <row r="11" spans="1:9" x14ac:dyDescent="0.25">
      <c r="A11" s="33"/>
      <c r="D11" s="17" t="s">
        <v>70</v>
      </c>
      <c r="E11" s="21">
        <v>2093</v>
      </c>
    </row>
    <row r="12" spans="1:9" x14ac:dyDescent="0.25">
      <c r="A12" s="33"/>
      <c r="D12" s="17" t="s">
        <v>71</v>
      </c>
      <c r="E12" s="21">
        <v>362.18</v>
      </c>
    </row>
    <row r="13" spans="1:9" x14ac:dyDescent="0.25">
      <c r="A13" s="33"/>
      <c r="D13" s="17" t="s">
        <v>72</v>
      </c>
      <c r="E13" s="21">
        <f>+E11*9%</f>
        <v>188.37</v>
      </c>
    </row>
    <row r="14" spans="1:9" x14ac:dyDescent="0.25">
      <c r="A14" s="20" t="s">
        <v>55</v>
      </c>
      <c r="D14" s="17" t="s">
        <v>6</v>
      </c>
      <c r="E14" s="7">
        <v>365.5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30056.27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3210.13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295.94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3286.79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3288.18</v>
      </c>
      <c r="F20" s="2">
        <f>AVERAGE(E17,E19,E20)</f>
        <v>3261.7000000000003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2991.3</v>
      </c>
      <c r="G21" s="12">
        <v>139.53</v>
      </c>
      <c r="I21" s="17"/>
    </row>
    <row r="22" spans="1:9" s="21" customFormat="1" x14ac:dyDescent="0.25">
      <c r="A22" s="33"/>
      <c r="B22" s="17"/>
      <c r="D22" s="8" t="s">
        <v>12</v>
      </c>
      <c r="E22" s="43">
        <v>3344.04</v>
      </c>
      <c r="G22" s="12">
        <v>139.53</v>
      </c>
      <c r="I22" s="17"/>
    </row>
    <row r="23" spans="1:9" s="21" customFormat="1" x14ac:dyDescent="0.25">
      <c r="A23" s="33"/>
      <c r="B23" s="17"/>
      <c r="D23" s="8" t="s">
        <v>13</v>
      </c>
      <c r="E23" s="43">
        <v>3131.89</v>
      </c>
      <c r="F23" s="21">
        <f>AVERAGE(E21:E23)</f>
        <v>3155.7433333333333</v>
      </c>
      <c r="G23" s="12">
        <v>0</v>
      </c>
      <c r="I23" s="17"/>
    </row>
    <row r="24" spans="1:9" s="21" customFormat="1" x14ac:dyDescent="0.25">
      <c r="A24" s="33"/>
      <c r="B24" s="17"/>
      <c r="D24" s="8" t="s">
        <v>14</v>
      </c>
      <c r="E24" s="10">
        <v>3156</v>
      </c>
      <c r="G24" s="12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3156</v>
      </c>
      <c r="G25" s="12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3156</v>
      </c>
      <c r="G26" s="12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3156</v>
      </c>
      <c r="G27" s="12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3156</v>
      </c>
      <c r="G28" s="13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35328.270000000004</v>
      </c>
      <c r="G29" s="27">
        <f>SUM(G17:G28)</f>
        <v>279.06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65663.600000000006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34863.600000000006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12863.600000000006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1800.9040000000009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D49" s="52"/>
      <c r="E49" s="25">
        <f>SUM(E43:E48)</f>
        <v>3560.9040000000009</v>
      </c>
      <c r="H49" s="21">
        <f>+E49/12</f>
        <v>296.74200000000008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-330</v>
      </c>
    </row>
    <row r="52" spans="1:9" x14ac:dyDescent="0.25">
      <c r="D52" s="17" t="s">
        <v>8</v>
      </c>
      <c r="E52">
        <v>-330</v>
      </c>
      <c r="G52" s="26"/>
      <c r="H52" s="27"/>
    </row>
    <row r="53" spans="1:9" x14ac:dyDescent="0.25">
      <c r="D53" s="17" t="s">
        <v>9</v>
      </c>
      <c r="E53">
        <v>-330</v>
      </c>
    </row>
    <row r="54" spans="1:9" x14ac:dyDescent="0.25">
      <c r="D54" s="17" t="s">
        <v>10</v>
      </c>
      <c r="E54">
        <v>-261</v>
      </c>
    </row>
    <row r="55" spans="1:9" x14ac:dyDescent="0.25">
      <c r="D55" s="17" t="s">
        <v>11</v>
      </c>
      <c r="E55">
        <v>-261</v>
      </c>
    </row>
    <row r="56" spans="1:9" x14ac:dyDescent="0.25">
      <c r="D56" s="17" t="s">
        <v>12</v>
      </c>
      <c r="E56">
        <v>-261</v>
      </c>
    </row>
    <row r="57" spans="1:9" x14ac:dyDescent="0.25">
      <c r="D57" s="17" t="s">
        <v>13</v>
      </c>
      <c r="E57" s="45">
        <v>-320</v>
      </c>
    </row>
    <row r="58" spans="1:9" x14ac:dyDescent="0.25">
      <c r="D58" s="17" t="s">
        <v>14</v>
      </c>
      <c r="E58">
        <v>-286.98</v>
      </c>
    </row>
    <row r="59" spans="1:9" x14ac:dyDescent="0.25">
      <c r="D59" s="17" t="s">
        <v>15</v>
      </c>
      <c r="E59">
        <v>-286.98</v>
      </c>
    </row>
    <row r="60" spans="1:9" x14ac:dyDescent="0.25">
      <c r="D60" s="17" t="s">
        <v>16</v>
      </c>
      <c r="E60">
        <v>-286.98</v>
      </c>
    </row>
    <row r="61" spans="1:9" x14ac:dyDescent="0.25">
      <c r="D61" s="17" t="s">
        <v>17</v>
      </c>
      <c r="E61">
        <v>-286.95999999999998</v>
      </c>
    </row>
    <row r="62" spans="1:9" x14ac:dyDescent="0.25">
      <c r="D62" s="17" t="s">
        <v>18</v>
      </c>
      <c r="E62">
        <v>-320</v>
      </c>
    </row>
    <row r="63" spans="1:9" x14ac:dyDescent="0.25">
      <c r="E63" s="22"/>
    </row>
    <row r="64" spans="1:9" x14ac:dyDescent="0.25">
      <c r="E64" s="21">
        <f>SUM(E51:E63)</f>
        <v>-3560.9</v>
      </c>
    </row>
    <row r="65" spans="5:5" x14ac:dyDescent="0.25">
      <c r="E65" s="21">
        <f>+E49+E64</f>
        <v>4.0000000008149073E-3</v>
      </c>
    </row>
  </sheetData>
  <mergeCells count="1">
    <mergeCell ref="A49:D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D2B5-F92A-433F-9A8B-F21026EF6AAD}">
  <dimension ref="A1:I65"/>
  <sheetViews>
    <sheetView workbookViewId="0">
      <pane ySplit="1" topLeftCell="A29" activePane="bottomLeft" state="frozen"/>
      <selection pane="bottomLeft" activeCell="K53" sqref="K53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29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2000</v>
      </c>
    </row>
    <row r="5" spans="1:9" x14ac:dyDescent="0.25">
      <c r="A5" s="33"/>
      <c r="D5" s="17" t="s">
        <v>1</v>
      </c>
      <c r="E5" s="7">
        <v>93</v>
      </c>
    </row>
    <row r="6" spans="1:9" x14ac:dyDescent="0.25">
      <c r="A6" s="33"/>
      <c r="B6" s="4" t="s">
        <v>59</v>
      </c>
      <c r="E6" s="27">
        <f>+E4+E5</f>
        <v>2093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23023</v>
      </c>
    </row>
    <row r="10" spans="1:9" x14ac:dyDescent="0.25">
      <c r="A10" s="33"/>
      <c r="D10" s="17" t="s">
        <v>69</v>
      </c>
      <c r="E10" s="21">
        <v>3889.37</v>
      </c>
    </row>
    <row r="11" spans="1:9" x14ac:dyDescent="0.25">
      <c r="A11" s="33"/>
      <c r="D11" s="17" t="s">
        <v>70</v>
      </c>
      <c r="E11" s="21">
        <v>2093</v>
      </c>
    </row>
    <row r="12" spans="1:9" x14ac:dyDescent="0.25">
      <c r="A12" s="33"/>
      <c r="D12" s="17" t="s">
        <v>71</v>
      </c>
      <c r="E12" s="21">
        <v>350.04</v>
      </c>
    </row>
    <row r="13" spans="1:9" x14ac:dyDescent="0.25">
      <c r="A13" s="33"/>
      <c r="D13" s="17" t="s">
        <v>72</v>
      </c>
      <c r="E13" s="21">
        <f>+E11*9%</f>
        <v>188.37</v>
      </c>
    </row>
    <row r="14" spans="1:9" x14ac:dyDescent="0.25">
      <c r="A14" s="20" t="s">
        <v>55</v>
      </c>
      <c r="D14" s="17" t="s">
        <v>6</v>
      </c>
      <c r="E14" s="7">
        <v>373.83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29917.61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2816.26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301.91000000000003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3241.2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2983.49</v>
      </c>
      <c r="F20" s="2">
        <f>AVERAGE(E17,E19,E20)</f>
        <v>3013.65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3028.7</v>
      </c>
      <c r="G21" s="44">
        <v>139.53</v>
      </c>
      <c r="I21" s="17"/>
    </row>
    <row r="22" spans="1:9" s="21" customFormat="1" x14ac:dyDescent="0.25">
      <c r="A22" s="33"/>
      <c r="B22" s="17"/>
      <c r="D22" s="8" t="s">
        <v>12</v>
      </c>
      <c r="E22" s="43">
        <v>3073.93</v>
      </c>
      <c r="G22" s="44">
        <v>139.53</v>
      </c>
      <c r="I22" s="17"/>
    </row>
    <row r="23" spans="1:9" s="21" customFormat="1" x14ac:dyDescent="0.25">
      <c r="A23" s="33"/>
      <c r="B23" s="17"/>
      <c r="D23" s="8" t="s">
        <v>13</v>
      </c>
      <c r="E23" s="43">
        <v>3626.02</v>
      </c>
      <c r="F23" s="21">
        <f>AVERAGE(E21:E23)</f>
        <v>3242.8833333333332</v>
      </c>
      <c r="G23" s="44">
        <v>279.07</v>
      </c>
      <c r="H23" s="21">
        <f>AVERAGE(G21:G23)</f>
        <v>186.04333333333332</v>
      </c>
      <c r="I23" s="17"/>
    </row>
    <row r="24" spans="1:9" s="21" customFormat="1" x14ac:dyDescent="0.25">
      <c r="A24" s="33"/>
      <c r="B24" s="17"/>
      <c r="D24" s="8" t="s">
        <v>14</v>
      </c>
      <c r="E24" s="10">
        <v>3243</v>
      </c>
      <c r="G24" s="12">
        <v>186</v>
      </c>
      <c r="I24" s="17"/>
    </row>
    <row r="25" spans="1:9" s="21" customFormat="1" x14ac:dyDescent="0.25">
      <c r="A25" s="33"/>
      <c r="B25" s="17"/>
      <c r="D25" s="8" t="s">
        <v>15</v>
      </c>
      <c r="E25" s="10">
        <v>3243</v>
      </c>
      <c r="G25" s="12">
        <v>186</v>
      </c>
      <c r="I25" s="17"/>
    </row>
    <row r="26" spans="1:9" s="21" customFormat="1" x14ac:dyDescent="0.25">
      <c r="A26" s="33"/>
      <c r="B26" s="17"/>
      <c r="D26" s="8" t="s">
        <v>16</v>
      </c>
      <c r="E26" s="10">
        <v>3243</v>
      </c>
      <c r="G26" s="12">
        <v>186</v>
      </c>
      <c r="I26" s="17"/>
    </row>
    <row r="27" spans="1:9" s="21" customFormat="1" x14ac:dyDescent="0.25">
      <c r="A27" s="33"/>
      <c r="B27" s="17"/>
      <c r="D27" s="8" t="s">
        <v>23</v>
      </c>
      <c r="E27" s="10">
        <v>3243</v>
      </c>
      <c r="G27" s="12">
        <v>186</v>
      </c>
      <c r="I27" s="17"/>
    </row>
    <row r="28" spans="1:9" s="21" customFormat="1" x14ac:dyDescent="0.25">
      <c r="A28" s="33"/>
      <c r="B28" s="17"/>
      <c r="D28" s="8" t="s">
        <v>18</v>
      </c>
      <c r="E28" s="11">
        <v>3243</v>
      </c>
      <c r="G28" s="13">
        <v>186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35286.51</v>
      </c>
      <c r="G29" s="27">
        <f>SUM(G17:G28)</f>
        <v>1488.13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66692.25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35892.25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13892.25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1944.9150000000002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D49" s="52"/>
      <c r="E49" s="25">
        <f>SUM(E43:E48)</f>
        <v>3704.915</v>
      </c>
      <c r="H49" s="21">
        <f>+E49/12</f>
        <v>308.74291666666664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-275</v>
      </c>
    </row>
    <row r="52" spans="1:9" x14ac:dyDescent="0.25">
      <c r="D52" s="17" t="s">
        <v>8</v>
      </c>
      <c r="E52">
        <v>-275</v>
      </c>
      <c r="G52" s="26"/>
      <c r="H52" s="27"/>
    </row>
    <row r="53" spans="1:9" x14ac:dyDescent="0.25">
      <c r="D53" s="17" t="s">
        <v>9</v>
      </c>
      <c r="E53">
        <v>-275</v>
      </c>
    </row>
    <row r="54" spans="1:9" x14ac:dyDescent="0.25">
      <c r="D54" s="17" t="s">
        <v>10</v>
      </c>
      <c r="E54">
        <v>-237</v>
      </c>
    </row>
    <row r="55" spans="1:9" x14ac:dyDescent="0.25">
      <c r="D55" s="17" t="s">
        <v>11</v>
      </c>
      <c r="E55">
        <v>-237</v>
      </c>
    </row>
    <row r="56" spans="1:9" x14ac:dyDescent="0.25">
      <c r="D56" s="17" t="s">
        <v>12</v>
      </c>
      <c r="E56">
        <v>-237</v>
      </c>
    </row>
    <row r="57" spans="1:9" x14ac:dyDescent="0.25">
      <c r="D57" s="17" t="s">
        <v>13</v>
      </c>
      <c r="E57" s="45">
        <v>-424.4</v>
      </c>
    </row>
    <row r="58" spans="1:9" x14ac:dyDescent="0.25">
      <c r="D58" s="17" t="s">
        <v>14</v>
      </c>
      <c r="E58">
        <v>-330</v>
      </c>
    </row>
    <row r="59" spans="1:9" x14ac:dyDescent="0.25">
      <c r="D59" s="17" t="s">
        <v>15</v>
      </c>
      <c r="E59">
        <v>-330</v>
      </c>
    </row>
    <row r="60" spans="1:9" x14ac:dyDescent="0.25">
      <c r="D60" s="17" t="s">
        <v>16</v>
      </c>
      <c r="E60">
        <v>-330</v>
      </c>
    </row>
    <row r="61" spans="1:9" x14ac:dyDescent="0.25">
      <c r="D61" s="17" t="s">
        <v>17</v>
      </c>
      <c r="E61">
        <v>-330</v>
      </c>
    </row>
    <row r="62" spans="1:9" x14ac:dyDescent="0.25">
      <c r="D62" s="17" t="s">
        <v>18</v>
      </c>
      <c r="E62">
        <v>-424.52</v>
      </c>
    </row>
    <row r="63" spans="1:9" x14ac:dyDescent="0.25">
      <c r="E63" s="22"/>
    </row>
    <row r="64" spans="1:9" x14ac:dyDescent="0.25">
      <c r="E64" s="21">
        <f>SUM(E51:E63)</f>
        <v>-3704.92</v>
      </c>
    </row>
    <row r="65" spans="5:5" x14ac:dyDescent="0.25">
      <c r="E65" s="21">
        <f>+E49+E64</f>
        <v>-5.0000000001091394E-3</v>
      </c>
    </row>
  </sheetData>
  <mergeCells count="1">
    <mergeCell ref="A49:D4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64BB-76F3-47AB-A954-72B6903CE92E}">
  <dimension ref="A1:I65"/>
  <sheetViews>
    <sheetView topLeftCell="A22" workbookViewId="0">
      <selection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30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1800</v>
      </c>
    </row>
    <row r="5" spans="1:9" x14ac:dyDescent="0.25">
      <c r="A5" s="33"/>
      <c r="D5" s="17" t="s">
        <v>1</v>
      </c>
      <c r="E5" s="7">
        <v>0</v>
      </c>
    </row>
    <row r="6" spans="1:9" x14ac:dyDescent="0.25">
      <c r="A6" s="33"/>
      <c r="B6" s="4" t="s">
        <v>59</v>
      </c>
      <c r="E6" s="27">
        <f>+E4+E5</f>
        <v>1800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19800</v>
      </c>
    </row>
    <row r="10" spans="1:9" x14ac:dyDescent="0.25">
      <c r="A10" s="33"/>
      <c r="D10" s="17" t="s">
        <v>69</v>
      </c>
      <c r="E10" s="21">
        <v>3936.96</v>
      </c>
    </row>
    <row r="11" spans="1:9" x14ac:dyDescent="0.25">
      <c r="A11" s="33"/>
      <c r="D11" s="17" t="s">
        <v>70</v>
      </c>
      <c r="E11" s="21">
        <v>1800</v>
      </c>
    </row>
    <row r="12" spans="1:9" x14ac:dyDescent="0.25">
      <c r="A12" s="33"/>
      <c r="D12" s="17" t="s">
        <v>71</v>
      </c>
      <c r="E12" s="21">
        <v>354.33</v>
      </c>
    </row>
    <row r="13" spans="1:9" x14ac:dyDescent="0.25">
      <c r="A13" s="33"/>
      <c r="D13" s="17" t="s">
        <v>72</v>
      </c>
      <c r="E13" s="21">
        <f>+E11*9%</f>
        <v>162</v>
      </c>
    </row>
    <row r="14" spans="1:9" x14ac:dyDescent="0.25">
      <c r="A14" s="20" t="s">
        <v>55</v>
      </c>
      <c r="D14" s="17" t="s">
        <v>6</v>
      </c>
      <c r="E14" s="7">
        <v>615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26668.29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3649.86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673.52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3634.41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3192.3</v>
      </c>
      <c r="F20" s="2">
        <f>AVERAGE(E17,E19,E20)</f>
        <v>3492.19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3217.7</v>
      </c>
      <c r="G21" s="44">
        <v>120</v>
      </c>
      <c r="I21" s="17"/>
    </row>
    <row r="22" spans="1:9" s="21" customFormat="1" x14ac:dyDescent="0.25">
      <c r="A22" s="33"/>
      <c r="B22" s="17"/>
      <c r="D22" s="8" t="s">
        <v>12</v>
      </c>
      <c r="E22" s="43">
        <v>3178.31</v>
      </c>
      <c r="G22" s="44">
        <v>120</v>
      </c>
      <c r="I22" s="17"/>
    </row>
    <row r="23" spans="1:9" s="21" customFormat="1" x14ac:dyDescent="0.25">
      <c r="A23" s="33"/>
      <c r="B23" s="17"/>
      <c r="D23" s="8" t="s">
        <v>13</v>
      </c>
      <c r="E23" s="43">
        <v>2518.9699999999998</v>
      </c>
      <c r="F23" s="21">
        <f>AVERAGE(E21:E23)</f>
        <v>2971.66</v>
      </c>
      <c r="G23" s="44">
        <v>120</v>
      </c>
      <c r="H23" s="21">
        <f>AVERAGE(G21:G23)</f>
        <v>120</v>
      </c>
      <c r="I23" s="17"/>
    </row>
    <row r="24" spans="1:9" s="21" customFormat="1" x14ac:dyDescent="0.25">
      <c r="A24" s="33"/>
      <c r="B24" s="17"/>
      <c r="D24" s="8" t="s">
        <v>14</v>
      </c>
      <c r="E24" s="10">
        <v>2972</v>
      </c>
      <c r="G24" s="12">
        <v>120</v>
      </c>
      <c r="I24" s="17"/>
    </row>
    <row r="25" spans="1:9" s="21" customFormat="1" x14ac:dyDescent="0.25">
      <c r="A25" s="33"/>
      <c r="B25" s="17"/>
      <c r="D25" s="8" t="s">
        <v>15</v>
      </c>
      <c r="E25" s="10">
        <v>2972</v>
      </c>
      <c r="G25" s="12">
        <v>120</v>
      </c>
      <c r="I25" s="17"/>
    </row>
    <row r="26" spans="1:9" s="21" customFormat="1" x14ac:dyDescent="0.25">
      <c r="A26" s="33"/>
      <c r="B26" s="17"/>
      <c r="D26" s="8" t="s">
        <v>16</v>
      </c>
      <c r="E26" s="10">
        <v>2972</v>
      </c>
      <c r="G26" s="12">
        <v>120</v>
      </c>
      <c r="I26" s="17"/>
    </row>
    <row r="27" spans="1:9" s="21" customFormat="1" x14ac:dyDescent="0.25">
      <c r="A27" s="33"/>
      <c r="B27" s="17"/>
      <c r="D27" s="8" t="s">
        <v>23</v>
      </c>
      <c r="E27" s="10">
        <v>2972</v>
      </c>
      <c r="G27" s="12">
        <v>120</v>
      </c>
      <c r="I27" s="17"/>
    </row>
    <row r="28" spans="1:9" s="21" customFormat="1" x14ac:dyDescent="0.25">
      <c r="A28" s="33"/>
      <c r="B28" s="17"/>
      <c r="D28" s="8" t="s">
        <v>18</v>
      </c>
      <c r="E28" s="11">
        <v>2972</v>
      </c>
      <c r="G28" s="13">
        <v>120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34925.070000000007</v>
      </c>
      <c r="G29" s="27">
        <f>SUM(G17:G28)</f>
        <v>960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62553.360000000008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31753.360000000008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9753.3600000000079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1365.4704000000013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D49" s="52"/>
      <c r="E49" s="25">
        <f>SUM(E43:E48)</f>
        <v>3125.4704000000011</v>
      </c>
      <c r="H49" s="21">
        <f>+E49/12</f>
        <v>260.45586666666674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-336</v>
      </c>
    </row>
    <row r="52" spans="1:9" x14ac:dyDescent="0.25">
      <c r="D52" s="17" t="s">
        <v>8</v>
      </c>
      <c r="E52">
        <v>-336</v>
      </c>
      <c r="G52" s="26"/>
      <c r="H52" s="27"/>
    </row>
    <row r="53" spans="1:9" x14ac:dyDescent="0.25">
      <c r="D53" s="17" t="s">
        <v>9</v>
      </c>
      <c r="E53">
        <v>-336</v>
      </c>
    </row>
    <row r="54" spans="1:9" x14ac:dyDescent="0.25">
      <c r="D54" s="17" t="s">
        <v>10</v>
      </c>
      <c r="E54">
        <v>-248</v>
      </c>
    </row>
    <row r="55" spans="1:9" x14ac:dyDescent="0.25">
      <c r="D55" s="17" t="s">
        <v>11</v>
      </c>
      <c r="E55">
        <v>-248</v>
      </c>
    </row>
    <row r="56" spans="1:9" x14ac:dyDescent="0.25">
      <c r="D56" s="17" t="s">
        <v>12</v>
      </c>
      <c r="E56">
        <v>-248</v>
      </c>
    </row>
    <row r="57" spans="1:9" x14ac:dyDescent="0.25">
      <c r="D57" s="17" t="s">
        <v>13</v>
      </c>
      <c r="E57" s="45">
        <v>-250</v>
      </c>
    </row>
    <row r="58" spans="1:9" x14ac:dyDescent="0.25">
      <c r="D58" s="17" t="s">
        <v>14</v>
      </c>
      <c r="E58">
        <v>-218.37</v>
      </c>
    </row>
    <row r="59" spans="1:9" x14ac:dyDescent="0.25">
      <c r="D59" s="17" t="s">
        <v>15</v>
      </c>
      <c r="E59">
        <v>-218.37</v>
      </c>
    </row>
    <row r="60" spans="1:9" x14ac:dyDescent="0.25">
      <c r="D60" s="17" t="s">
        <v>16</v>
      </c>
      <c r="E60">
        <v>-218.37</v>
      </c>
    </row>
    <row r="61" spans="1:9" x14ac:dyDescent="0.25">
      <c r="D61" s="17" t="s">
        <v>17</v>
      </c>
      <c r="E61">
        <v>-218.37</v>
      </c>
    </row>
    <row r="62" spans="1:9" x14ac:dyDescent="0.25">
      <c r="D62" s="17" t="s">
        <v>18</v>
      </c>
      <c r="E62">
        <v>-250</v>
      </c>
    </row>
    <row r="63" spans="1:9" x14ac:dyDescent="0.25">
      <c r="E63" s="22"/>
    </row>
    <row r="64" spans="1:9" x14ac:dyDescent="0.25">
      <c r="E64" s="21">
        <f>SUM(E51:E63)</f>
        <v>-3125.4799999999996</v>
      </c>
    </row>
    <row r="65" spans="5:5" x14ac:dyDescent="0.25">
      <c r="E65" s="21">
        <f>+E49+E64</f>
        <v>-9.5999999984996975E-3</v>
      </c>
    </row>
  </sheetData>
  <mergeCells count="1">
    <mergeCell ref="A49:D4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F505-A67B-482A-8207-C4303C79D7A1}">
  <dimension ref="A1:I65"/>
  <sheetViews>
    <sheetView workbookViewId="0">
      <selection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31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3500</v>
      </c>
    </row>
    <row r="5" spans="1:9" x14ac:dyDescent="0.25">
      <c r="A5" s="33"/>
      <c r="D5" s="17" t="s">
        <v>1</v>
      </c>
      <c r="E5" s="7">
        <v>93</v>
      </c>
    </row>
    <row r="6" spans="1:9" x14ac:dyDescent="0.25">
      <c r="A6" s="33"/>
      <c r="B6" s="4" t="s">
        <v>59</v>
      </c>
      <c r="E6" s="27">
        <f>+E4+E5</f>
        <v>3593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39523</v>
      </c>
    </row>
    <row r="10" spans="1:9" x14ac:dyDescent="0.25">
      <c r="A10" s="33"/>
      <c r="D10" s="17" t="s">
        <v>69</v>
      </c>
      <c r="E10" s="21">
        <v>4646.9399999999996</v>
      </c>
    </row>
    <row r="11" spans="1:9" x14ac:dyDescent="0.25">
      <c r="A11" s="33"/>
      <c r="D11" s="17" t="s">
        <v>70</v>
      </c>
      <c r="E11" s="21">
        <v>3593</v>
      </c>
    </row>
    <row r="12" spans="1:9" x14ac:dyDescent="0.25">
      <c r="A12" s="33"/>
      <c r="D12" s="17" t="s">
        <v>71</v>
      </c>
      <c r="E12" s="21">
        <v>313.67</v>
      </c>
    </row>
    <row r="13" spans="1:9" x14ac:dyDescent="0.25">
      <c r="A13" s="33"/>
      <c r="D13" s="17" t="s">
        <v>72</v>
      </c>
      <c r="E13" s="21">
        <f>+E11*9%</f>
        <v>323.37</v>
      </c>
    </row>
    <row r="14" spans="1:9" x14ac:dyDescent="0.25">
      <c r="A14" s="20" t="s">
        <v>55</v>
      </c>
      <c r="D14" s="17" t="s">
        <v>6</v>
      </c>
      <c r="E14" s="7">
        <v>0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48399.98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0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2360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2640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2000</v>
      </c>
      <c r="F20" s="2">
        <f>AVERAGE(E18,E19,E20)</f>
        <v>2333.3333333333335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1440</v>
      </c>
      <c r="G21" s="12">
        <v>0</v>
      </c>
      <c r="I21" s="17"/>
    </row>
    <row r="22" spans="1:9" s="21" customFormat="1" x14ac:dyDescent="0.25">
      <c r="A22" s="33"/>
      <c r="B22" s="17"/>
      <c r="D22" s="8" t="s">
        <v>12</v>
      </c>
      <c r="E22" s="43">
        <v>3460</v>
      </c>
      <c r="G22" s="12">
        <v>0</v>
      </c>
      <c r="I22" s="17"/>
    </row>
    <row r="23" spans="1:9" s="21" customFormat="1" x14ac:dyDescent="0.25">
      <c r="A23" s="33"/>
      <c r="B23" s="17"/>
      <c r="D23" s="8" t="s">
        <v>13</v>
      </c>
      <c r="E23" s="43">
        <v>1980</v>
      </c>
      <c r="F23" s="2">
        <f>AVERAGE(E21:E23)</f>
        <v>2293.3333333333335</v>
      </c>
      <c r="G23" s="12">
        <v>0</v>
      </c>
      <c r="I23" s="17"/>
    </row>
    <row r="24" spans="1:9" s="21" customFormat="1" x14ac:dyDescent="0.25">
      <c r="A24" s="33"/>
      <c r="B24" s="17"/>
      <c r="D24" s="8" t="s">
        <v>14</v>
      </c>
      <c r="E24" s="10">
        <v>2294</v>
      </c>
      <c r="G24" s="12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2294</v>
      </c>
      <c r="G25" s="12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2294</v>
      </c>
      <c r="G26" s="12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2294</v>
      </c>
      <c r="G27" s="12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2294</v>
      </c>
      <c r="G28" s="13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25350</v>
      </c>
      <c r="G29" s="27">
        <f>SUM(G17:G28)</f>
        <v>0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73749.98000000001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42949.98000000001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20949.98000000001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2932.9972000000016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D49" s="52"/>
      <c r="E49" s="25">
        <f>SUM(E43:E48)</f>
        <v>4692.9972000000016</v>
      </c>
      <c r="H49" s="21">
        <f>+E49/12</f>
        <v>391.08310000000012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 s="1">
        <v>0</v>
      </c>
    </row>
    <row r="52" spans="1:9" x14ac:dyDescent="0.25">
      <c r="D52" s="17" t="s">
        <v>8</v>
      </c>
      <c r="E52">
        <v>-378</v>
      </c>
      <c r="G52" s="26"/>
      <c r="H52" s="27"/>
    </row>
    <row r="53" spans="1:9" x14ac:dyDescent="0.25">
      <c r="D53" s="17" t="s">
        <v>9</v>
      </c>
      <c r="E53">
        <v>-378</v>
      </c>
    </row>
    <row r="54" spans="1:9" x14ac:dyDescent="0.25">
      <c r="D54" s="17" t="s">
        <v>10</v>
      </c>
      <c r="E54">
        <v>-426</v>
      </c>
    </row>
    <row r="55" spans="1:9" x14ac:dyDescent="0.25">
      <c r="D55" s="17" t="s">
        <v>11</v>
      </c>
      <c r="E55">
        <v>-426</v>
      </c>
    </row>
    <row r="56" spans="1:9" x14ac:dyDescent="0.25">
      <c r="D56" s="17" t="s">
        <v>12</v>
      </c>
      <c r="E56">
        <v>-426</v>
      </c>
    </row>
    <row r="57" spans="1:9" x14ac:dyDescent="0.25">
      <c r="D57" s="17" t="s">
        <v>13</v>
      </c>
      <c r="E57" s="45">
        <v>-450</v>
      </c>
    </row>
    <row r="58" spans="1:9" x14ac:dyDescent="0.25">
      <c r="D58" s="17" t="s">
        <v>14</v>
      </c>
      <c r="E58">
        <v>-440</v>
      </c>
    </row>
    <row r="59" spans="1:9" x14ac:dyDescent="0.25">
      <c r="D59" s="17" t="s">
        <v>15</v>
      </c>
      <c r="E59">
        <v>-440</v>
      </c>
    </row>
    <row r="60" spans="1:9" x14ac:dyDescent="0.25">
      <c r="D60" s="17" t="s">
        <v>16</v>
      </c>
      <c r="E60">
        <v>-440</v>
      </c>
    </row>
    <row r="61" spans="1:9" x14ac:dyDescent="0.25">
      <c r="D61" s="17" t="s">
        <v>17</v>
      </c>
      <c r="E61">
        <v>-440</v>
      </c>
    </row>
    <row r="62" spans="1:9" x14ac:dyDescent="0.25">
      <c r="D62" s="17" t="s">
        <v>18</v>
      </c>
      <c r="E62">
        <v>-449</v>
      </c>
    </row>
    <row r="63" spans="1:9" x14ac:dyDescent="0.25">
      <c r="E63" s="22"/>
    </row>
    <row r="64" spans="1:9" x14ac:dyDescent="0.25">
      <c r="E64" s="21">
        <f>SUM(E51:E63)</f>
        <v>-4693</v>
      </c>
    </row>
    <row r="65" spans="5:5" x14ac:dyDescent="0.25">
      <c r="E65" s="21">
        <f>+E49+E64</f>
        <v>-2.7999999983876478E-3</v>
      </c>
    </row>
  </sheetData>
  <mergeCells count="1">
    <mergeCell ref="A49:D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0B00-9C9C-43CB-9364-C8073958E80E}">
  <dimension ref="A1:I65"/>
  <sheetViews>
    <sheetView topLeftCell="A55" workbookViewId="0">
      <selection activeCell="E36" sqref="E36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63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1610</v>
      </c>
    </row>
    <row r="5" spans="1:9" x14ac:dyDescent="0.25">
      <c r="A5" s="33"/>
      <c r="D5" s="17" t="s">
        <v>1</v>
      </c>
      <c r="E5" s="7">
        <v>0</v>
      </c>
    </row>
    <row r="6" spans="1:9" x14ac:dyDescent="0.25">
      <c r="A6" s="33"/>
      <c r="B6" s="4" t="s">
        <v>59</v>
      </c>
      <c r="E6" s="27">
        <f>+E4+E5</f>
        <v>1610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+E6*12</f>
        <v>19320</v>
      </c>
    </row>
    <row r="10" spans="1:9" x14ac:dyDescent="0.25">
      <c r="A10" s="33"/>
      <c r="D10" s="17" t="s">
        <v>69</v>
      </c>
      <c r="E10" s="21">
        <v>2222</v>
      </c>
    </row>
    <row r="11" spans="1:9" x14ac:dyDescent="0.25">
      <c r="A11" s="33"/>
      <c r="D11" s="17" t="s">
        <v>70</v>
      </c>
      <c r="E11" s="21">
        <v>1610</v>
      </c>
    </row>
    <row r="12" spans="1:9" x14ac:dyDescent="0.25">
      <c r="A12" s="33"/>
      <c r="D12" s="17" t="s">
        <v>71</v>
      </c>
      <c r="E12" s="21">
        <v>199.98</v>
      </c>
    </row>
    <row r="13" spans="1:9" x14ac:dyDescent="0.25">
      <c r="A13" s="33"/>
      <c r="D13" s="17" t="s">
        <v>72</v>
      </c>
      <c r="E13" s="21">
        <f>+E11*9%</f>
        <v>144.9</v>
      </c>
    </row>
    <row r="14" spans="1:9" x14ac:dyDescent="0.25">
      <c r="A14" s="20" t="s">
        <v>55</v>
      </c>
      <c r="D14" s="17" t="s">
        <v>6</v>
      </c>
      <c r="E14" s="7">
        <v>0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23496.880000000001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302</v>
      </c>
      <c r="G17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824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801</v>
      </c>
      <c r="G19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520</v>
      </c>
      <c r="F20" s="2">
        <f>AVERAGE(E18,E19,E20)</f>
        <v>715</v>
      </c>
      <c r="G20">
        <v>0</v>
      </c>
      <c r="H20" s="2"/>
      <c r="I20" s="17"/>
    </row>
    <row r="21" spans="1:9" s="21" customFormat="1" x14ac:dyDescent="0.25">
      <c r="A21" s="33"/>
      <c r="B21" s="17"/>
      <c r="D21" s="8" t="s">
        <v>11</v>
      </c>
      <c r="E21" s="43">
        <v>360</v>
      </c>
      <c r="G21" s="12">
        <v>0</v>
      </c>
      <c r="I21" s="17"/>
    </row>
    <row r="22" spans="1:9" s="21" customFormat="1" x14ac:dyDescent="0.25">
      <c r="A22" s="33"/>
      <c r="B22" s="17"/>
      <c r="D22" s="8" t="s">
        <v>12</v>
      </c>
      <c r="E22" s="43">
        <v>865</v>
      </c>
      <c r="G22" s="12">
        <v>0</v>
      </c>
      <c r="I22" s="17"/>
    </row>
    <row r="23" spans="1:9" s="21" customFormat="1" x14ac:dyDescent="0.25">
      <c r="A23" s="33"/>
      <c r="B23" s="17"/>
      <c r="D23" s="8" t="s">
        <v>13</v>
      </c>
      <c r="E23" s="43">
        <v>580</v>
      </c>
      <c r="F23" s="21">
        <f>AVERAGE(E21:E23)</f>
        <v>601.66666666666663</v>
      </c>
      <c r="G23" s="12">
        <v>0</v>
      </c>
      <c r="I23" s="17"/>
    </row>
    <row r="24" spans="1:9" s="21" customFormat="1" x14ac:dyDescent="0.25">
      <c r="A24" s="33"/>
      <c r="B24" s="17"/>
      <c r="D24" s="8" t="s">
        <v>14</v>
      </c>
      <c r="E24" s="10">
        <v>602</v>
      </c>
      <c r="G24" s="12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602</v>
      </c>
      <c r="G25" s="12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602</v>
      </c>
      <c r="G26" s="12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602</v>
      </c>
      <c r="G27" s="12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602</v>
      </c>
      <c r="G28" s="13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7262</v>
      </c>
      <c r="G29" s="27">
        <f>SUM(G17:G28)</f>
        <v>0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30758.880000000001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SUM(E31:E32)</f>
        <v>-41.119999999998981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-41.119999999998981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0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-3.2895999999999184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0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D49" s="52"/>
      <c r="E49" s="25">
        <f>SUM(E43:E48)</f>
        <v>-3.2895999999999184</v>
      </c>
      <c r="H49" s="21">
        <f>+E49/12</f>
        <v>-0.27413333333332651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 s="1">
        <v>0</v>
      </c>
    </row>
    <row r="52" spans="1:9" x14ac:dyDescent="0.25">
      <c r="D52" s="17" t="s">
        <v>8</v>
      </c>
      <c r="E52" s="1">
        <v>0</v>
      </c>
      <c r="G52" s="26"/>
      <c r="H52" s="27"/>
    </row>
    <row r="53" spans="1:9" x14ac:dyDescent="0.25">
      <c r="D53" s="17" t="s">
        <v>9</v>
      </c>
      <c r="E53" s="1">
        <v>0</v>
      </c>
    </row>
    <row r="54" spans="1:9" x14ac:dyDescent="0.25">
      <c r="D54" s="17" t="s">
        <v>10</v>
      </c>
      <c r="E54" s="1">
        <v>0</v>
      </c>
    </row>
    <row r="55" spans="1:9" x14ac:dyDescent="0.25">
      <c r="D55" s="17" t="s">
        <v>11</v>
      </c>
      <c r="E55"/>
    </row>
    <row r="56" spans="1:9" x14ac:dyDescent="0.25">
      <c r="D56" s="17" t="s">
        <v>12</v>
      </c>
      <c r="E56"/>
    </row>
    <row r="57" spans="1:9" x14ac:dyDescent="0.25">
      <c r="D57" s="17" t="s">
        <v>13</v>
      </c>
      <c r="E57"/>
    </row>
    <row r="58" spans="1:9" x14ac:dyDescent="0.25">
      <c r="D58" s="17" t="s">
        <v>14</v>
      </c>
      <c r="E58"/>
    </row>
    <row r="59" spans="1:9" x14ac:dyDescent="0.25">
      <c r="D59" s="17" t="s">
        <v>15</v>
      </c>
      <c r="E59"/>
    </row>
    <row r="60" spans="1:9" x14ac:dyDescent="0.25">
      <c r="D60" s="17" t="s">
        <v>16</v>
      </c>
      <c r="E60"/>
    </row>
    <row r="61" spans="1:9" x14ac:dyDescent="0.25">
      <c r="D61" s="17" t="s">
        <v>17</v>
      </c>
      <c r="E61"/>
    </row>
    <row r="62" spans="1:9" x14ac:dyDescent="0.25">
      <c r="D62" s="17" t="s">
        <v>18</v>
      </c>
      <c r="E62"/>
    </row>
    <row r="63" spans="1:9" x14ac:dyDescent="0.25">
      <c r="E63" s="22"/>
    </row>
    <row r="64" spans="1:9" x14ac:dyDescent="0.25">
      <c r="E64" s="21">
        <f>SUM(E51:E63)</f>
        <v>0</v>
      </c>
    </row>
    <row r="65" spans="5:8" x14ac:dyDescent="0.25">
      <c r="E65" s="21">
        <f>+E49+E64</f>
        <v>-3.2895999999999184</v>
      </c>
      <c r="G65" s="35" t="s">
        <v>64</v>
      </c>
      <c r="H65" s="35"/>
    </row>
  </sheetData>
  <mergeCells count="1">
    <mergeCell ref="A49:D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D01-CA13-4F82-8EEA-3F20F3B42B35}">
  <sheetPr>
    <tabColor theme="7" tint="-0.249977111117893"/>
  </sheetPr>
  <dimension ref="A1:I63"/>
  <sheetViews>
    <sheetView workbookViewId="0">
      <selection activeCell="O33" sqref="O33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31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 s="5">
        <v>3500</v>
      </c>
    </row>
    <row r="5" spans="1:9" x14ac:dyDescent="0.25">
      <c r="A5" s="33"/>
      <c r="D5" s="17" t="s">
        <v>1</v>
      </c>
      <c r="E5" s="7">
        <v>93</v>
      </c>
    </row>
    <row r="6" spans="1:9" x14ac:dyDescent="0.25">
      <c r="A6" s="33"/>
      <c r="B6" s="4" t="s">
        <v>59</v>
      </c>
      <c r="E6" s="27">
        <f>+E4+E5</f>
        <v>3593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39523</v>
      </c>
    </row>
    <row r="10" spans="1:9" x14ac:dyDescent="0.25">
      <c r="A10" s="33"/>
      <c r="D10" s="17" t="s">
        <v>4</v>
      </c>
      <c r="E10" s="21">
        <f>+E6*2</f>
        <v>7186</v>
      </c>
    </row>
    <row r="11" spans="1:9" x14ac:dyDescent="0.25">
      <c r="A11" s="33"/>
      <c r="D11" s="17" t="s">
        <v>5</v>
      </c>
      <c r="E11" s="21">
        <f>+E10*9%</f>
        <v>646.74</v>
      </c>
    </row>
    <row r="12" spans="1:9" x14ac:dyDescent="0.25">
      <c r="A12" s="20" t="s">
        <v>55</v>
      </c>
      <c r="D12" s="17" t="s">
        <v>6</v>
      </c>
      <c r="E12" s="7">
        <v>0</v>
      </c>
    </row>
    <row r="13" spans="1:9" s="21" customFormat="1" x14ac:dyDescent="0.25">
      <c r="A13" s="29"/>
      <c r="B13" s="4" t="s">
        <v>61</v>
      </c>
      <c r="C13" s="17"/>
      <c r="D13" s="17"/>
      <c r="E13" s="26">
        <f>SUM(E9:E12)</f>
        <v>47355.74</v>
      </c>
      <c r="I13" s="17"/>
    </row>
    <row r="14" spans="1:9" s="21" customFormat="1" x14ac:dyDescent="0.25">
      <c r="A14" s="17" t="s">
        <v>56</v>
      </c>
      <c r="B14" s="17"/>
      <c r="C14" s="17" t="s">
        <v>57</v>
      </c>
      <c r="D14" s="17"/>
      <c r="E14" s="6"/>
      <c r="G14" s="21" t="s">
        <v>58</v>
      </c>
      <c r="I14" s="17"/>
    </row>
    <row r="15" spans="1:9" s="21" customFormat="1" x14ac:dyDescent="0.25">
      <c r="A15" s="33"/>
      <c r="B15" s="17"/>
      <c r="D15" s="8" t="s">
        <v>7</v>
      </c>
      <c r="E15" s="9">
        <v>0</v>
      </c>
      <c r="G15">
        <v>0</v>
      </c>
      <c r="I15" s="17"/>
    </row>
    <row r="16" spans="1:9" s="21" customFormat="1" x14ac:dyDescent="0.25">
      <c r="A16" s="33"/>
      <c r="B16" s="17"/>
      <c r="D16" s="8" t="s">
        <v>8</v>
      </c>
      <c r="E16" s="9">
        <v>2360</v>
      </c>
      <c r="G16">
        <v>0</v>
      </c>
      <c r="I16" s="17"/>
    </row>
    <row r="17" spans="1:9" s="21" customFormat="1" x14ac:dyDescent="0.25">
      <c r="A17" s="33"/>
      <c r="B17" s="17"/>
      <c r="D17" s="8" t="s">
        <v>9</v>
      </c>
      <c r="E17" s="9">
        <v>2640</v>
      </c>
      <c r="G17">
        <v>0</v>
      </c>
      <c r="I17" s="17"/>
    </row>
    <row r="18" spans="1:9" s="21" customFormat="1" x14ac:dyDescent="0.25">
      <c r="A18" s="33"/>
      <c r="B18" s="17"/>
      <c r="D18" s="8" t="s">
        <v>10</v>
      </c>
      <c r="E18" s="9">
        <v>2000</v>
      </c>
      <c r="F18" s="2">
        <f>AVERAGE(E16,E17,E18)</f>
        <v>2333.3333333333335</v>
      </c>
      <c r="G18">
        <v>0</v>
      </c>
      <c r="H18" s="2"/>
      <c r="I18" s="17"/>
    </row>
    <row r="19" spans="1:9" s="21" customFormat="1" x14ac:dyDescent="0.25">
      <c r="A19" s="33"/>
      <c r="B19" s="17"/>
      <c r="D19" s="8" t="s">
        <v>11</v>
      </c>
      <c r="E19" s="10">
        <v>2333</v>
      </c>
      <c r="G19" s="12">
        <v>0</v>
      </c>
      <c r="I19" s="17"/>
    </row>
    <row r="20" spans="1:9" s="21" customFormat="1" x14ac:dyDescent="0.25">
      <c r="A20" s="33"/>
      <c r="B20" s="17"/>
      <c r="D20" s="8" t="s">
        <v>12</v>
      </c>
      <c r="E20" s="10">
        <v>2333</v>
      </c>
      <c r="G20" s="12">
        <v>0</v>
      </c>
      <c r="I20" s="17"/>
    </row>
    <row r="21" spans="1:9" s="21" customFormat="1" x14ac:dyDescent="0.25">
      <c r="A21" s="33"/>
      <c r="B21" s="17"/>
      <c r="D21" s="8" t="s">
        <v>13</v>
      </c>
      <c r="E21" s="10">
        <v>2333</v>
      </c>
      <c r="G21" s="12">
        <v>0</v>
      </c>
      <c r="I21" s="17"/>
    </row>
    <row r="22" spans="1:9" s="21" customFormat="1" x14ac:dyDescent="0.25">
      <c r="A22" s="33"/>
      <c r="B22" s="17"/>
      <c r="D22" s="8" t="s">
        <v>14</v>
      </c>
      <c r="E22" s="10">
        <v>2333</v>
      </c>
      <c r="G22" s="12">
        <v>0</v>
      </c>
      <c r="I22" s="17"/>
    </row>
    <row r="23" spans="1:9" s="21" customFormat="1" x14ac:dyDescent="0.25">
      <c r="A23" s="33"/>
      <c r="B23" s="17"/>
      <c r="D23" s="8" t="s">
        <v>15</v>
      </c>
      <c r="E23" s="10">
        <v>2333</v>
      </c>
      <c r="G23" s="12">
        <v>0</v>
      </c>
      <c r="I23" s="17"/>
    </row>
    <row r="24" spans="1:9" s="21" customFormat="1" x14ac:dyDescent="0.25">
      <c r="A24" s="33"/>
      <c r="B24" s="17"/>
      <c r="D24" s="8" t="s">
        <v>16</v>
      </c>
      <c r="E24" s="10">
        <v>2333</v>
      </c>
      <c r="G24" s="12">
        <v>0</v>
      </c>
      <c r="I24" s="17"/>
    </row>
    <row r="25" spans="1:9" s="21" customFormat="1" x14ac:dyDescent="0.25">
      <c r="A25" s="33"/>
      <c r="B25" s="17"/>
      <c r="D25" s="8" t="s">
        <v>23</v>
      </c>
      <c r="E25" s="10">
        <v>2333</v>
      </c>
      <c r="G25" s="12">
        <v>0</v>
      </c>
      <c r="I25" s="17"/>
    </row>
    <row r="26" spans="1:9" s="21" customFormat="1" x14ac:dyDescent="0.25">
      <c r="A26" s="33"/>
      <c r="B26" s="17"/>
      <c r="D26" s="8" t="s">
        <v>18</v>
      </c>
      <c r="E26" s="11">
        <v>2333</v>
      </c>
      <c r="G26" s="13">
        <v>0</v>
      </c>
      <c r="I26" s="17"/>
    </row>
    <row r="27" spans="1:9" s="21" customFormat="1" x14ac:dyDescent="0.25">
      <c r="A27" s="33"/>
      <c r="B27" s="17"/>
      <c r="C27" s="17"/>
      <c r="D27" s="8"/>
      <c r="E27" s="34">
        <f>SUM(E15:E26)</f>
        <v>25664</v>
      </c>
      <c r="G27" s="27">
        <f>SUM(G15:G26)</f>
        <v>0</v>
      </c>
      <c r="I27" s="17"/>
    </row>
    <row r="28" spans="1:9" s="21" customFormat="1" x14ac:dyDescent="0.25">
      <c r="A28" s="33"/>
      <c r="B28" s="17"/>
      <c r="C28" s="17"/>
      <c r="D28" s="8"/>
      <c r="E28" s="30"/>
      <c r="I28" s="17"/>
    </row>
    <row r="29" spans="1:9" s="21" customFormat="1" x14ac:dyDescent="0.25">
      <c r="A29" s="33"/>
      <c r="B29" s="4" t="s">
        <v>60</v>
      </c>
      <c r="C29" s="17"/>
      <c r="D29" s="17"/>
      <c r="E29" s="26">
        <f>+E13+E27+G27</f>
        <v>73019.739999999991</v>
      </c>
      <c r="I29" s="17"/>
    </row>
    <row r="30" spans="1:9" s="21" customFormat="1" x14ac:dyDescent="0.25">
      <c r="A30" s="33" t="s">
        <v>54</v>
      </c>
      <c r="B30" s="17"/>
      <c r="C30" s="17"/>
      <c r="D30" s="28">
        <v>-7</v>
      </c>
      <c r="E30" s="22">
        <f>D30*Sunat!B4</f>
        <v>-30800</v>
      </c>
      <c r="I30" s="17"/>
    </row>
    <row r="31" spans="1:9" s="21" customFormat="1" x14ac:dyDescent="0.25">
      <c r="A31" s="17"/>
      <c r="B31" s="17"/>
      <c r="C31" s="17"/>
      <c r="E31" s="25">
        <f>SUM(E29:E30)</f>
        <v>42219.739999999991</v>
      </c>
      <c r="I31" s="17"/>
    </row>
    <row r="32" spans="1:9" s="21" customFormat="1" x14ac:dyDescent="0.25">
      <c r="A32" s="17"/>
      <c r="B32" s="17"/>
      <c r="C32" s="17"/>
      <c r="D32" s="17"/>
      <c r="E32" s="17"/>
      <c r="I32" s="17"/>
    </row>
    <row r="33" spans="1:9" x14ac:dyDescent="0.25">
      <c r="A33" s="33" t="s">
        <v>53</v>
      </c>
      <c r="B33" s="18"/>
      <c r="C33" s="18"/>
      <c r="D33" s="18"/>
      <c r="E33" s="23"/>
    </row>
    <row r="34" spans="1:9" x14ac:dyDescent="0.25">
      <c r="A34" s="18" t="s">
        <v>43</v>
      </c>
      <c r="B34" s="18"/>
      <c r="C34" s="18"/>
      <c r="D34" s="19">
        <v>0.08</v>
      </c>
      <c r="E34" s="21">
        <f>IF($E$31&lt;Sunat!$E$7,$E$31,Sunat!$E$7)</f>
        <v>22000</v>
      </c>
    </row>
    <row r="35" spans="1:9" x14ac:dyDescent="0.25">
      <c r="A35" s="18" t="s">
        <v>44</v>
      </c>
      <c r="B35" s="18"/>
      <c r="C35" s="18"/>
      <c r="D35" s="19">
        <v>0.14000000000000001</v>
      </c>
      <c r="E35" s="21">
        <f>IF(E31&lt;=Sunat!$E$8,0,IF(AND(E31&gt;Sunat!$E$8,E31&lt;Sunat!$E$9)=TRUE,E31-(E34),Sunat!$E$9-(E34)))</f>
        <v>20219.739999999991</v>
      </c>
    </row>
    <row r="36" spans="1:9" x14ac:dyDescent="0.25">
      <c r="A36" s="18" t="s">
        <v>45</v>
      </c>
      <c r="B36" s="18"/>
      <c r="C36" s="18"/>
      <c r="D36" s="19">
        <v>0.17</v>
      </c>
      <c r="E36" s="21">
        <f>IF(E31&lt;=Sunat!$E$10,0,IF(AND(E31&gt;Sunat!$E$10,E31&lt;Sunat!$E$11)=TRUE,E31-(E34+E35),Sunat!$E$11-(E34+E35)))</f>
        <v>0</v>
      </c>
    </row>
    <row r="37" spans="1:9" x14ac:dyDescent="0.25">
      <c r="A37" s="18" t="s">
        <v>46</v>
      </c>
      <c r="B37" s="18"/>
      <c r="C37" s="18"/>
      <c r="D37" s="19">
        <v>0.2</v>
      </c>
      <c r="E37" s="21">
        <f>IF(E31&lt;=Sunat!$E$12,0,IF(AND(E31&gt;Sunat!$E$12,E31&lt;Sunat!$E$13)=TRUE,E31-(E34+E35+E36),Sunat!$E$13-(E34+E35+E36)))</f>
        <v>0</v>
      </c>
    </row>
    <row r="38" spans="1:9" x14ac:dyDescent="0.25">
      <c r="A38" s="18" t="s">
        <v>47</v>
      </c>
      <c r="B38" s="18"/>
      <c r="C38" s="18"/>
      <c r="D38" s="19">
        <v>0.3</v>
      </c>
      <c r="E38" s="21">
        <f>IF(E31&gt;Sunat!$E$14,E31-(E34+E35+E36+E37),0)</f>
        <v>0</v>
      </c>
      <c r="F38" s="24">
        <f>SUM(E34:E38)-E31</f>
        <v>0</v>
      </c>
    </row>
    <row r="39" spans="1:9" x14ac:dyDescent="0.25">
      <c r="E39" s="6"/>
    </row>
    <row r="40" spans="1:9" x14ac:dyDescent="0.25">
      <c r="A40" s="33" t="s">
        <v>50</v>
      </c>
      <c r="B40" s="18"/>
      <c r="E40" s="6"/>
    </row>
    <row r="41" spans="1:9" x14ac:dyDescent="0.25">
      <c r="A41" s="18" t="s">
        <v>43</v>
      </c>
      <c r="B41" s="18"/>
      <c r="D41" s="19">
        <v>0.08</v>
      </c>
      <c r="E41" s="6">
        <f>+E34*D41</f>
        <v>1760</v>
      </c>
    </row>
    <row r="42" spans="1:9" x14ac:dyDescent="0.25">
      <c r="A42" s="18" t="s">
        <v>44</v>
      </c>
      <c r="B42" s="18"/>
      <c r="D42" s="19">
        <v>0.14000000000000001</v>
      </c>
      <c r="E42" s="6">
        <f>+E35*D42</f>
        <v>2830.7635999999989</v>
      </c>
    </row>
    <row r="43" spans="1:9" x14ac:dyDescent="0.25">
      <c r="A43" s="18" t="s">
        <v>45</v>
      </c>
      <c r="B43" s="18"/>
      <c r="D43" s="19">
        <v>0.17</v>
      </c>
      <c r="E43" s="6">
        <f>+E36*D43</f>
        <v>0</v>
      </c>
    </row>
    <row r="44" spans="1:9" x14ac:dyDescent="0.25">
      <c r="A44" s="18" t="s">
        <v>46</v>
      </c>
      <c r="B44" s="18"/>
      <c r="D44" s="19">
        <v>0.2</v>
      </c>
      <c r="E44" s="6">
        <f>+E37*D44</f>
        <v>0</v>
      </c>
    </row>
    <row r="45" spans="1:9" x14ac:dyDescent="0.25">
      <c r="A45" s="18" t="s">
        <v>47</v>
      </c>
      <c r="B45" s="18"/>
      <c r="D45" s="19">
        <v>0.3</v>
      </c>
      <c r="E45" s="6">
        <f>+E38*D45</f>
        <v>0</v>
      </c>
    </row>
    <row r="46" spans="1:9" x14ac:dyDescent="0.25">
      <c r="E46" s="6"/>
    </row>
    <row r="47" spans="1:9" x14ac:dyDescent="0.25">
      <c r="A47" s="52" t="s">
        <v>51</v>
      </c>
      <c r="B47" s="52"/>
      <c r="C47" s="52"/>
      <c r="D47" s="52"/>
      <c r="E47" s="25">
        <f>SUM(E41:E46)</f>
        <v>4590.7635999999984</v>
      </c>
      <c r="H47" s="21">
        <f>+E47/12</f>
        <v>382.5636333333332</v>
      </c>
      <c r="I47" s="17" t="s">
        <v>52</v>
      </c>
    </row>
    <row r="48" spans="1:9" x14ac:dyDescent="0.25">
      <c r="E48" s="6"/>
    </row>
    <row r="49" spans="4:8" x14ac:dyDescent="0.25">
      <c r="D49" s="17" t="s">
        <v>7</v>
      </c>
      <c r="E49" s="1">
        <v>0</v>
      </c>
    </row>
    <row r="50" spans="4:8" x14ac:dyDescent="0.25">
      <c r="D50" s="17" t="s">
        <v>8</v>
      </c>
      <c r="E50">
        <v>-378</v>
      </c>
      <c r="G50" s="26"/>
      <c r="H50" s="27"/>
    </row>
    <row r="51" spans="4:8" x14ac:dyDescent="0.25">
      <c r="D51" s="17" t="s">
        <v>9</v>
      </c>
      <c r="E51">
        <v>-378</v>
      </c>
    </row>
    <row r="52" spans="4:8" x14ac:dyDescent="0.25">
      <c r="D52" s="17" t="s">
        <v>10</v>
      </c>
      <c r="E52">
        <v>-426</v>
      </c>
    </row>
    <row r="53" spans="4:8" x14ac:dyDescent="0.25">
      <c r="D53" s="17" t="s">
        <v>11</v>
      </c>
      <c r="E53">
        <v>-426</v>
      </c>
    </row>
    <row r="54" spans="4:8" x14ac:dyDescent="0.25">
      <c r="D54" s="17" t="s">
        <v>12</v>
      </c>
      <c r="E54">
        <v>-426</v>
      </c>
    </row>
    <row r="55" spans="4:8" x14ac:dyDescent="0.25">
      <c r="D55" s="17" t="s">
        <v>13</v>
      </c>
      <c r="E55">
        <v>-426.38</v>
      </c>
    </row>
    <row r="56" spans="4:8" x14ac:dyDescent="0.25">
      <c r="D56" s="17" t="s">
        <v>14</v>
      </c>
      <c r="E56">
        <v>-426</v>
      </c>
    </row>
    <row r="57" spans="4:8" x14ac:dyDescent="0.25">
      <c r="D57" s="17" t="s">
        <v>15</v>
      </c>
      <c r="E57">
        <v>-426</v>
      </c>
    </row>
    <row r="58" spans="4:8" x14ac:dyDescent="0.25">
      <c r="D58" s="17" t="s">
        <v>16</v>
      </c>
      <c r="E58">
        <v>-426</v>
      </c>
    </row>
    <row r="59" spans="4:8" x14ac:dyDescent="0.25">
      <c r="D59" s="17" t="s">
        <v>17</v>
      </c>
      <c r="E59">
        <v>-426</v>
      </c>
    </row>
    <row r="60" spans="4:8" x14ac:dyDescent="0.25">
      <c r="D60" s="17" t="s">
        <v>18</v>
      </c>
      <c r="E60">
        <v>-426.38</v>
      </c>
    </row>
    <row r="61" spans="4:8" x14ac:dyDescent="0.25">
      <c r="E61" s="22"/>
    </row>
    <row r="62" spans="4:8" x14ac:dyDescent="0.25">
      <c r="E62" s="21">
        <f>SUM(E49:E61)</f>
        <v>-4590.76</v>
      </c>
    </row>
    <row r="63" spans="4:8" x14ac:dyDescent="0.25">
      <c r="E63" s="21">
        <f>+E47+E62</f>
        <v>3.5999999981868314E-3</v>
      </c>
    </row>
  </sheetData>
  <mergeCells count="1">
    <mergeCell ref="A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2FB6-BDEE-48F5-9650-BC7CC6EC2B34}">
  <dimension ref="A1:I49"/>
  <sheetViews>
    <sheetView workbookViewId="0">
      <pane ySplit="1" topLeftCell="A20" activePane="bottomLeft" state="frozen"/>
      <selection pane="bottomLeft" activeCell="E44" sqref="E44"/>
    </sheetView>
  </sheetViews>
  <sheetFormatPr baseColWidth="10" defaultRowHeight="15" x14ac:dyDescent="0.25"/>
  <cols>
    <col min="1" max="1" width="22" style="17" customWidth="1"/>
    <col min="2" max="2" width="17" style="17" customWidth="1"/>
    <col min="3" max="4" width="11.42578125" style="17"/>
    <col min="5" max="8" width="11.42578125" style="21"/>
    <col min="9" max="16384" width="11.42578125" style="17"/>
  </cols>
  <sheetData>
    <row r="1" spans="1:5" x14ac:dyDescent="0.25">
      <c r="A1" s="4" t="s">
        <v>19</v>
      </c>
    </row>
    <row r="2" spans="1:5" x14ac:dyDescent="0.25">
      <c r="A2" s="4"/>
    </row>
    <row r="3" spans="1:5" x14ac:dyDescent="0.25">
      <c r="A3" s="29" t="s">
        <v>48</v>
      </c>
    </row>
    <row r="4" spans="1:5" x14ac:dyDescent="0.25">
      <c r="A4" s="29"/>
      <c r="D4" s="17" t="s">
        <v>0</v>
      </c>
      <c r="E4" s="21">
        <v>5000</v>
      </c>
    </row>
    <row r="5" spans="1:5" x14ac:dyDescent="0.25">
      <c r="A5" s="29"/>
      <c r="D5" s="17" t="s">
        <v>1</v>
      </c>
      <c r="E5" s="22">
        <v>93</v>
      </c>
    </row>
    <row r="6" spans="1:5" x14ac:dyDescent="0.25">
      <c r="A6" s="29"/>
      <c r="D6" s="17" t="s">
        <v>2</v>
      </c>
      <c r="E6" s="21">
        <f>+E4+E5</f>
        <v>5093</v>
      </c>
    </row>
    <row r="7" spans="1:5" x14ac:dyDescent="0.25">
      <c r="A7" s="29"/>
    </row>
    <row r="8" spans="1:5" x14ac:dyDescent="0.25">
      <c r="A8" s="29" t="s">
        <v>49</v>
      </c>
    </row>
    <row r="9" spans="1:5" x14ac:dyDescent="0.25">
      <c r="A9" s="29"/>
      <c r="D9" s="17" t="s">
        <v>3</v>
      </c>
      <c r="E9" s="21">
        <f>+E6*11</f>
        <v>56023</v>
      </c>
    </row>
    <row r="10" spans="1:5" x14ac:dyDescent="0.25">
      <c r="A10" s="29"/>
      <c r="D10" s="17" t="s">
        <v>69</v>
      </c>
      <c r="E10" s="21">
        <v>4244.17</v>
      </c>
    </row>
    <row r="11" spans="1:5" x14ac:dyDescent="0.25">
      <c r="A11" s="29"/>
      <c r="D11" s="17" t="s">
        <v>70</v>
      </c>
      <c r="E11" s="21">
        <v>5093</v>
      </c>
    </row>
    <row r="12" spans="1:5" x14ac:dyDescent="0.25">
      <c r="A12" s="29"/>
      <c r="D12" s="17" t="s">
        <v>71</v>
      </c>
      <c r="E12" s="21">
        <f>+E10*9%</f>
        <v>381.9753</v>
      </c>
    </row>
    <row r="13" spans="1:5" x14ac:dyDescent="0.25">
      <c r="A13" s="29"/>
      <c r="D13" s="17" t="s">
        <v>72</v>
      </c>
      <c r="E13" s="21">
        <f>+E11*9%</f>
        <v>458.37</v>
      </c>
    </row>
    <row r="14" spans="1:5" x14ac:dyDescent="0.25">
      <c r="A14" s="20" t="s">
        <v>55</v>
      </c>
      <c r="D14" s="17" t="s">
        <v>6</v>
      </c>
      <c r="E14" s="22">
        <v>679.07</v>
      </c>
    </row>
    <row r="15" spans="1:5" x14ac:dyDescent="0.25">
      <c r="A15" s="29"/>
      <c r="E15" s="6">
        <f>SUM(E9:E14)</f>
        <v>66879.585300000006</v>
      </c>
    </row>
    <row r="16" spans="1:5" x14ac:dyDescent="0.25">
      <c r="A16" s="29" t="s">
        <v>54</v>
      </c>
      <c r="D16" s="28">
        <v>-7</v>
      </c>
      <c r="E16" s="22">
        <f>D16*Sunat!B4</f>
        <v>-30800</v>
      </c>
    </row>
    <row r="17" spans="1:6" x14ac:dyDescent="0.25">
      <c r="D17" s="21"/>
      <c r="E17" s="25">
        <f>+E15+E16</f>
        <v>36079.585300000006</v>
      </c>
    </row>
    <row r="18" spans="1:6" x14ac:dyDescent="0.25">
      <c r="E18" s="17"/>
    </row>
    <row r="19" spans="1:6" x14ac:dyDescent="0.25">
      <c r="A19" s="29" t="s">
        <v>53</v>
      </c>
      <c r="B19" s="18"/>
      <c r="C19" s="18"/>
      <c r="D19" s="18"/>
      <c r="E19" s="23"/>
    </row>
    <row r="20" spans="1:6" x14ac:dyDescent="0.25">
      <c r="A20" s="18" t="s">
        <v>43</v>
      </c>
      <c r="B20" s="18"/>
      <c r="C20" s="18"/>
      <c r="D20" s="19">
        <v>0.08</v>
      </c>
      <c r="E20" s="21">
        <f>IF($E$17&lt;Sunat!$E$7,$E$17,Sunat!$E$7)</f>
        <v>22000</v>
      </c>
    </row>
    <row r="21" spans="1:6" x14ac:dyDescent="0.25">
      <c r="A21" s="18" t="s">
        <v>44</v>
      </c>
      <c r="B21" s="18"/>
      <c r="C21" s="18"/>
      <c r="D21" s="19">
        <v>0.14000000000000001</v>
      </c>
      <c r="E21" s="21">
        <f>IF(E17&lt;=Sunat!$E$8,0,IF(AND(E17&gt;Sunat!$E$8,E17&lt;Sunat!$E$9)=TRUE,E17-(E20),Sunat!$E$9-(E20)))</f>
        <v>14079.585300000006</v>
      </c>
    </row>
    <row r="22" spans="1:6" x14ac:dyDescent="0.25">
      <c r="A22" s="18" t="s">
        <v>45</v>
      </c>
      <c r="B22" s="18"/>
      <c r="C22" s="18"/>
      <c r="D22" s="19">
        <v>0.17</v>
      </c>
      <c r="E22" s="21">
        <f>IF(E17&lt;=Sunat!$E$10,0,IF(AND(E17&gt;Sunat!$E$10,E17&lt;Sunat!$E$11)=TRUE,E17-(E20+E21),Sunat!$E$11-(E20+E21)))</f>
        <v>0</v>
      </c>
    </row>
    <row r="23" spans="1:6" x14ac:dyDescent="0.25">
      <c r="A23" s="18" t="s">
        <v>46</v>
      </c>
      <c r="B23" s="18"/>
      <c r="C23" s="18"/>
      <c r="D23" s="19">
        <v>0.2</v>
      </c>
      <c r="E23" s="21">
        <f>IF(E17&lt;=Sunat!$E$12,0,IF(AND(E17&gt;Sunat!$E$12,E17&lt;Sunat!$E$13)=TRUE,E17-(E20+E21+E22),Sunat!$E$13-(E20+E21+E22)))</f>
        <v>0</v>
      </c>
    </row>
    <row r="24" spans="1:6" x14ac:dyDescent="0.25">
      <c r="A24" s="18" t="s">
        <v>47</v>
      </c>
      <c r="B24" s="18"/>
      <c r="C24" s="18"/>
      <c r="D24" s="19">
        <v>0.3</v>
      </c>
      <c r="E24" s="21">
        <f>IF(E17&gt;Sunat!$E$14,E17-(E20+E21+E22+E23),0)</f>
        <v>0</v>
      </c>
      <c r="F24" s="24">
        <f>SUM(E20:E24)-E17</f>
        <v>0</v>
      </c>
    </row>
    <row r="25" spans="1:6" x14ac:dyDescent="0.25">
      <c r="E25" s="6"/>
    </row>
    <row r="26" spans="1:6" x14ac:dyDescent="0.25">
      <c r="A26" s="29" t="s">
        <v>50</v>
      </c>
      <c r="B26" s="18"/>
      <c r="E26" s="6"/>
    </row>
    <row r="27" spans="1:6" x14ac:dyDescent="0.25">
      <c r="A27" s="18" t="s">
        <v>43</v>
      </c>
      <c r="B27" s="18"/>
      <c r="D27" s="19">
        <v>0.08</v>
      </c>
      <c r="E27" s="6">
        <f>+E20*D27</f>
        <v>1760</v>
      </c>
    </row>
    <row r="28" spans="1:6" x14ac:dyDescent="0.25">
      <c r="A28" s="18" t="s">
        <v>44</v>
      </c>
      <c r="B28" s="18"/>
      <c r="D28" s="19">
        <v>0.14000000000000001</v>
      </c>
      <c r="E28" s="6">
        <f>+E21*D28</f>
        <v>1971.1419420000011</v>
      </c>
    </row>
    <row r="29" spans="1:6" x14ac:dyDescent="0.25">
      <c r="A29" s="18" t="s">
        <v>45</v>
      </c>
      <c r="B29" s="18"/>
      <c r="D29" s="19">
        <v>0.17</v>
      </c>
      <c r="E29" s="6">
        <f>+E22*D29</f>
        <v>0</v>
      </c>
    </row>
    <row r="30" spans="1:6" x14ac:dyDescent="0.25">
      <c r="A30" s="18" t="s">
        <v>46</v>
      </c>
      <c r="B30" s="18"/>
      <c r="D30" s="19">
        <v>0.2</v>
      </c>
      <c r="E30" s="6">
        <f>+E23*D30</f>
        <v>0</v>
      </c>
    </row>
    <row r="31" spans="1:6" x14ac:dyDescent="0.25">
      <c r="A31" s="18" t="s">
        <v>47</v>
      </c>
      <c r="B31" s="18"/>
      <c r="D31" s="19">
        <v>0.3</v>
      </c>
      <c r="E31" s="6">
        <f>+E24*D31</f>
        <v>0</v>
      </c>
    </row>
    <row r="32" spans="1:6" x14ac:dyDescent="0.25">
      <c r="E32" s="6"/>
    </row>
    <row r="33" spans="1:9" x14ac:dyDescent="0.25">
      <c r="A33" s="51" t="s">
        <v>51</v>
      </c>
      <c r="B33" s="51"/>
      <c r="C33" s="51"/>
      <c r="E33" s="25">
        <f>SUM(E27:E32)</f>
        <v>3731.1419420000011</v>
      </c>
      <c r="H33" s="21">
        <f>+E33/12</f>
        <v>310.92849516666678</v>
      </c>
      <c r="I33" s="17" t="s">
        <v>52</v>
      </c>
    </row>
    <row r="34" spans="1:9" x14ac:dyDescent="0.25">
      <c r="E34" s="6"/>
    </row>
    <row r="35" spans="1:9" x14ac:dyDescent="0.25">
      <c r="D35" s="17" t="s">
        <v>7</v>
      </c>
      <c r="E35" s="21">
        <v>-363</v>
      </c>
    </row>
    <row r="36" spans="1:9" x14ac:dyDescent="0.25">
      <c r="D36" s="17" t="s">
        <v>8</v>
      </c>
      <c r="E36" s="21">
        <v>-363</v>
      </c>
      <c r="F36" s="21">
        <f>SUM(E33:E36)</f>
        <v>3005.1419420000011</v>
      </c>
      <c r="G36" s="26">
        <f>+F36/10</f>
        <v>300.51419420000013</v>
      </c>
      <c r="H36" s="27" t="s">
        <v>22</v>
      </c>
    </row>
    <row r="37" spans="1:9" x14ac:dyDescent="0.25">
      <c r="D37" s="17" t="s">
        <v>9</v>
      </c>
      <c r="E37" s="21">
        <v>-313.47000000000003</v>
      </c>
    </row>
    <row r="38" spans="1:9" x14ac:dyDescent="0.25">
      <c r="D38" s="17" t="s">
        <v>10</v>
      </c>
      <c r="E38" s="21">
        <v>-313.47000000000003</v>
      </c>
    </row>
    <row r="39" spans="1:9" x14ac:dyDescent="0.25">
      <c r="D39" s="17" t="s">
        <v>11</v>
      </c>
      <c r="E39" s="21">
        <v>-313.47000000000003</v>
      </c>
    </row>
    <row r="40" spans="1:9" x14ac:dyDescent="0.25">
      <c r="D40" s="17" t="s">
        <v>12</v>
      </c>
      <c r="E40" s="21">
        <v>-313.47000000000003</v>
      </c>
    </row>
    <row r="41" spans="1:9" x14ac:dyDescent="0.25">
      <c r="D41" s="17" t="s">
        <v>13</v>
      </c>
      <c r="E41" s="46">
        <v>-301.26</v>
      </c>
    </row>
    <row r="42" spans="1:9" x14ac:dyDescent="0.25">
      <c r="D42" s="17" t="s">
        <v>14</v>
      </c>
      <c r="E42" s="21">
        <v>-290</v>
      </c>
    </row>
    <row r="43" spans="1:9" x14ac:dyDescent="0.25">
      <c r="D43" s="17" t="s">
        <v>15</v>
      </c>
      <c r="E43" s="21">
        <v>-290</v>
      </c>
    </row>
    <row r="44" spans="1:9" x14ac:dyDescent="0.25">
      <c r="D44" s="17" t="s">
        <v>16</v>
      </c>
      <c r="E44" s="21">
        <v>-290</v>
      </c>
    </row>
    <row r="45" spans="1:9" x14ac:dyDescent="0.25">
      <c r="D45" s="17" t="s">
        <v>17</v>
      </c>
      <c r="E45" s="21">
        <v>-290</v>
      </c>
    </row>
    <row r="46" spans="1:9" x14ac:dyDescent="0.25">
      <c r="D46" s="17" t="s">
        <v>18</v>
      </c>
      <c r="E46" s="21">
        <v>-290</v>
      </c>
    </row>
    <row r="47" spans="1:9" x14ac:dyDescent="0.25">
      <c r="E47" s="22"/>
    </row>
    <row r="48" spans="1:9" x14ac:dyDescent="0.25">
      <c r="E48" s="21">
        <f>SUM(E35:E47)</f>
        <v>-3731.1400000000003</v>
      </c>
    </row>
    <row r="49" spans="5:5" x14ac:dyDescent="0.25">
      <c r="E49" s="21">
        <f>+E33+E48</f>
        <v>1.9420000007812632E-3</v>
      </c>
    </row>
  </sheetData>
  <mergeCells count="1">
    <mergeCell ref="A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28B-F0BB-43FC-AAEB-70B785D9BDE7}">
  <dimension ref="A1:I47"/>
  <sheetViews>
    <sheetView topLeftCell="A16" workbookViewId="0">
      <selection activeCell="E40" sqref="E40"/>
    </sheetView>
  </sheetViews>
  <sheetFormatPr baseColWidth="10" defaultRowHeight="15" x14ac:dyDescent="0.25"/>
  <cols>
    <col min="1" max="1" width="22" style="17" customWidth="1"/>
    <col min="2" max="2" width="17" style="17" customWidth="1"/>
    <col min="3" max="4" width="11.42578125" style="17"/>
    <col min="5" max="8" width="11.42578125" style="21"/>
    <col min="9" max="16384" width="11.42578125" style="17"/>
  </cols>
  <sheetData>
    <row r="1" spans="1:5" x14ac:dyDescent="0.25">
      <c r="A1" s="4" t="s">
        <v>32</v>
      </c>
    </row>
    <row r="2" spans="1:5" x14ac:dyDescent="0.25">
      <c r="A2" s="4"/>
    </row>
    <row r="3" spans="1:5" x14ac:dyDescent="0.25">
      <c r="A3" s="29" t="s">
        <v>48</v>
      </c>
    </row>
    <row r="4" spans="1:5" x14ac:dyDescent="0.25">
      <c r="A4" s="29"/>
      <c r="D4" s="17" t="s">
        <v>0</v>
      </c>
      <c r="E4" s="5">
        <v>6000</v>
      </c>
    </row>
    <row r="5" spans="1:5" x14ac:dyDescent="0.25">
      <c r="A5" s="29"/>
      <c r="D5" s="17" t="s">
        <v>1</v>
      </c>
      <c r="E5" s="7">
        <v>0</v>
      </c>
    </row>
    <row r="6" spans="1:5" x14ac:dyDescent="0.25">
      <c r="A6" s="29"/>
      <c r="D6" s="17" t="s">
        <v>2</v>
      </c>
      <c r="E6" s="21">
        <f>+E4+E5</f>
        <v>6000</v>
      </c>
    </row>
    <row r="7" spans="1:5" x14ac:dyDescent="0.25">
      <c r="A7" s="29"/>
    </row>
    <row r="8" spans="1:5" x14ac:dyDescent="0.25">
      <c r="A8" s="29" t="s">
        <v>49</v>
      </c>
    </row>
    <row r="9" spans="1:5" x14ac:dyDescent="0.25">
      <c r="A9" s="29"/>
      <c r="D9" s="17" t="s">
        <v>3</v>
      </c>
      <c r="E9" s="21">
        <f>+E6*12</f>
        <v>72000</v>
      </c>
    </row>
    <row r="10" spans="1:5" x14ac:dyDescent="0.25">
      <c r="A10" s="29"/>
      <c r="D10" s="17" t="s">
        <v>4</v>
      </c>
      <c r="E10" s="21">
        <f>+E6*2</f>
        <v>12000</v>
      </c>
    </row>
    <row r="11" spans="1:5" x14ac:dyDescent="0.25">
      <c r="A11" s="29"/>
      <c r="D11" s="17" t="s">
        <v>5</v>
      </c>
      <c r="E11" s="21">
        <f>+E10*9%</f>
        <v>1080</v>
      </c>
    </row>
    <row r="12" spans="1:5" x14ac:dyDescent="0.25">
      <c r="A12" s="20" t="s">
        <v>55</v>
      </c>
      <c r="D12" s="17" t="s">
        <v>6</v>
      </c>
      <c r="E12" s="22">
        <v>0</v>
      </c>
    </row>
    <row r="13" spans="1:5" x14ac:dyDescent="0.25">
      <c r="A13" s="29"/>
      <c r="E13" s="6">
        <f>SUM(E9:E12)</f>
        <v>85080</v>
      </c>
    </row>
    <row r="14" spans="1:5" x14ac:dyDescent="0.25">
      <c r="A14" s="29" t="s">
        <v>54</v>
      </c>
      <c r="D14" s="28">
        <v>-7</v>
      </c>
      <c r="E14" s="22">
        <f>D14*Sunat!B4</f>
        <v>-30800</v>
      </c>
    </row>
    <row r="15" spans="1:5" x14ac:dyDescent="0.25">
      <c r="D15" s="21"/>
      <c r="E15" s="25">
        <f>SUM(E13:E14)</f>
        <v>54280</v>
      </c>
    </row>
    <row r="16" spans="1:5" x14ac:dyDescent="0.25">
      <c r="E16" s="17"/>
    </row>
    <row r="17" spans="1:9" x14ac:dyDescent="0.25">
      <c r="A17" s="29" t="s">
        <v>53</v>
      </c>
      <c r="B17" s="18"/>
      <c r="C17" s="18"/>
      <c r="D17" s="18"/>
      <c r="E17" s="23"/>
    </row>
    <row r="18" spans="1:9" x14ac:dyDescent="0.25">
      <c r="A18" s="18" t="s">
        <v>43</v>
      </c>
      <c r="B18" s="18"/>
      <c r="C18" s="18"/>
      <c r="D18" s="19">
        <v>0.08</v>
      </c>
      <c r="E18" s="21">
        <f>IF($E$15&lt;Sunat!$E$7,$E$15,Sunat!$E$7)</f>
        <v>22000</v>
      </c>
    </row>
    <row r="19" spans="1:9" x14ac:dyDescent="0.25">
      <c r="A19" s="18" t="s">
        <v>44</v>
      </c>
      <c r="B19" s="18"/>
      <c r="C19" s="18"/>
      <c r="D19" s="19">
        <v>0.14000000000000001</v>
      </c>
      <c r="E19" s="21">
        <f>IF(E15&lt;=Sunat!$E$8,0,IF(AND(E15&gt;Sunat!$E$8,E15&lt;Sunat!$E$9)=TRUE,E15-(E18),Sunat!$E$9-(E18)))</f>
        <v>32280</v>
      </c>
    </row>
    <row r="20" spans="1:9" x14ac:dyDescent="0.25">
      <c r="A20" s="18" t="s">
        <v>45</v>
      </c>
      <c r="B20" s="18"/>
      <c r="C20" s="18"/>
      <c r="D20" s="19">
        <v>0.17</v>
      </c>
      <c r="E20" s="21">
        <f>IF(E15&lt;=Sunat!$E$10,0,IF(AND(E15&gt;Sunat!$E$10,E15&lt;Sunat!$E$11)=TRUE,E15-(E18+E19),Sunat!$E$11-(E18+E19)))</f>
        <v>0</v>
      </c>
    </row>
    <row r="21" spans="1:9" x14ac:dyDescent="0.25">
      <c r="A21" s="18" t="s">
        <v>46</v>
      </c>
      <c r="B21" s="18"/>
      <c r="C21" s="18"/>
      <c r="D21" s="19">
        <v>0.2</v>
      </c>
      <c r="E21" s="21">
        <f>IF(E15&lt;=Sunat!$E$12,0,IF(AND(E15&gt;Sunat!$E$12,E15&lt;Sunat!$E$13)=TRUE,E15-(E18+E19+E20),Sunat!$E$13-(E18+E19+E20)))</f>
        <v>0</v>
      </c>
    </row>
    <row r="22" spans="1:9" x14ac:dyDescent="0.25">
      <c r="A22" s="18" t="s">
        <v>47</v>
      </c>
      <c r="B22" s="18"/>
      <c r="C22" s="18"/>
      <c r="D22" s="19">
        <v>0.3</v>
      </c>
      <c r="E22" s="21">
        <f>IF(E15&gt;Sunat!$E$14,E15-(E18+E19+E20+E21),0)</f>
        <v>0</v>
      </c>
      <c r="F22" s="24">
        <f>SUM(E18:E22)-E15</f>
        <v>0</v>
      </c>
    </row>
    <row r="23" spans="1:9" x14ac:dyDescent="0.25">
      <c r="E23" s="6"/>
    </row>
    <row r="24" spans="1:9" x14ac:dyDescent="0.25">
      <c r="A24" s="29" t="s">
        <v>50</v>
      </c>
      <c r="B24" s="18"/>
      <c r="E24" s="6"/>
    </row>
    <row r="25" spans="1:9" x14ac:dyDescent="0.25">
      <c r="A25" s="18" t="s">
        <v>43</v>
      </c>
      <c r="B25" s="18"/>
      <c r="D25" s="19">
        <v>0.08</v>
      </c>
      <c r="E25" s="6">
        <f>+E18*D25</f>
        <v>1760</v>
      </c>
    </row>
    <row r="26" spans="1:9" x14ac:dyDescent="0.25">
      <c r="A26" s="18" t="s">
        <v>44</v>
      </c>
      <c r="B26" s="18"/>
      <c r="D26" s="19">
        <v>0.14000000000000001</v>
      </c>
      <c r="E26" s="6">
        <f>+E19*D26</f>
        <v>4519.2000000000007</v>
      </c>
    </row>
    <row r="27" spans="1:9" x14ac:dyDescent="0.25">
      <c r="A27" s="18" t="s">
        <v>45</v>
      </c>
      <c r="B27" s="18"/>
      <c r="D27" s="19">
        <v>0.17</v>
      </c>
      <c r="E27" s="6">
        <f>+E20*D27</f>
        <v>0</v>
      </c>
    </row>
    <row r="28" spans="1:9" x14ac:dyDescent="0.25">
      <c r="A28" s="18" t="s">
        <v>46</v>
      </c>
      <c r="B28" s="18"/>
      <c r="D28" s="19">
        <v>0.2</v>
      </c>
      <c r="E28" s="6">
        <f>+E21*D28</f>
        <v>0</v>
      </c>
    </row>
    <row r="29" spans="1:9" x14ac:dyDescent="0.25">
      <c r="A29" s="18" t="s">
        <v>47</v>
      </c>
      <c r="B29" s="18"/>
      <c r="D29" s="19">
        <v>0.3</v>
      </c>
      <c r="E29" s="6">
        <f>+E22*D29</f>
        <v>0</v>
      </c>
    </row>
    <row r="30" spans="1:9" x14ac:dyDescent="0.25">
      <c r="E30" s="6"/>
    </row>
    <row r="31" spans="1:9" x14ac:dyDescent="0.25">
      <c r="A31" s="51" t="s">
        <v>51</v>
      </c>
      <c r="B31" s="51"/>
      <c r="C31" s="51"/>
      <c r="E31" s="25">
        <f>SUM(E25:E30)</f>
        <v>6279.2000000000007</v>
      </c>
      <c r="H31" s="21">
        <f>+E31/12</f>
        <v>523.26666666666677</v>
      </c>
      <c r="I31" s="17" t="s">
        <v>52</v>
      </c>
    </row>
    <row r="32" spans="1:9" x14ac:dyDescent="0.25">
      <c r="E32" s="6"/>
    </row>
    <row r="33" spans="4:8" x14ac:dyDescent="0.25">
      <c r="D33" s="17" t="s">
        <v>7</v>
      </c>
      <c r="E33" s="21">
        <v>-511</v>
      </c>
    </row>
    <row r="34" spans="4:8" x14ac:dyDescent="0.25">
      <c r="D34" s="17" t="s">
        <v>8</v>
      </c>
      <c r="E34" s="21">
        <v>-511</v>
      </c>
      <c r="G34" s="26"/>
      <c r="H34" s="27"/>
    </row>
    <row r="35" spans="4:8" x14ac:dyDescent="0.25">
      <c r="D35" s="17" t="s">
        <v>9</v>
      </c>
      <c r="E35" s="21">
        <v>-511</v>
      </c>
    </row>
    <row r="36" spans="4:8" x14ac:dyDescent="0.25">
      <c r="D36" s="17" t="s">
        <v>10</v>
      </c>
      <c r="E36" s="21">
        <v>-511</v>
      </c>
    </row>
    <row r="37" spans="4:8" x14ac:dyDescent="0.25">
      <c r="D37" s="17" t="s">
        <v>11</v>
      </c>
      <c r="E37" s="21">
        <v>-511</v>
      </c>
    </row>
    <row r="38" spans="4:8" x14ac:dyDescent="0.25">
      <c r="D38" s="17" t="s">
        <v>12</v>
      </c>
      <c r="E38" s="21">
        <v>-511</v>
      </c>
    </row>
    <row r="39" spans="4:8" x14ac:dyDescent="0.25">
      <c r="D39" s="17" t="s">
        <v>13</v>
      </c>
      <c r="E39" s="46">
        <v>-550</v>
      </c>
    </row>
    <row r="40" spans="4:8" x14ac:dyDescent="0.25">
      <c r="D40" s="17" t="s">
        <v>14</v>
      </c>
      <c r="E40" s="21">
        <f>-511-17.3</f>
        <v>-528.29999999999995</v>
      </c>
    </row>
    <row r="41" spans="4:8" x14ac:dyDescent="0.25">
      <c r="D41" s="17" t="s">
        <v>15</v>
      </c>
      <c r="E41" s="21">
        <f>-511-17.3</f>
        <v>-528.29999999999995</v>
      </c>
    </row>
    <row r="42" spans="4:8" x14ac:dyDescent="0.25">
      <c r="D42" s="17" t="s">
        <v>16</v>
      </c>
      <c r="E42" s="21">
        <f>-511-17.3</f>
        <v>-528.29999999999995</v>
      </c>
    </row>
    <row r="43" spans="4:8" x14ac:dyDescent="0.25">
      <c r="D43" s="17" t="s">
        <v>17</v>
      </c>
      <c r="E43" s="21">
        <f>-511-17.3</f>
        <v>-528.29999999999995</v>
      </c>
    </row>
    <row r="44" spans="4:8" x14ac:dyDescent="0.25">
      <c r="D44" s="17" t="s">
        <v>18</v>
      </c>
      <c r="E44" s="21">
        <v>-550</v>
      </c>
    </row>
    <row r="45" spans="4:8" x14ac:dyDescent="0.25">
      <c r="E45" s="22"/>
    </row>
    <row r="46" spans="4:8" x14ac:dyDescent="0.25">
      <c r="E46" s="21">
        <f>SUM(E33:E45)</f>
        <v>-6279.2000000000007</v>
      </c>
    </row>
    <row r="47" spans="4:8" x14ac:dyDescent="0.25">
      <c r="E47" s="21">
        <f>+E31+E46</f>
        <v>0</v>
      </c>
      <c r="F47" s="21">
        <f>+E47/4</f>
        <v>0</v>
      </c>
    </row>
  </sheetData>
  <mergeCells count="1">
    <mergeCell ref="A31:C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8DB4-A252-478C-8E4F-1923D6461DEA}">
  <dimension ref="A1:I50"/>
  <sheetViews>
    <sheetView workbookViewId="0">
      <selection activeCell="E43" sqref="E43"/>
    </sheetView>
  </sheetViews>
  <sheetFormatPr baseColWidth="10" defaultRowHeight="15" x14ac:dyDescent="0.25"/>
  <cols>
    <col min="1" max="1" width="22" style="17" customWidth="1"/>
    <col min="2" max="2" width="17" style="17" customWidth="1"/>
    <col min="3" max="4" width="11.42578125" style="17"/>
    <col min="5" max="8" width="11.42578125" style="21"/>
    <col min="9" max="16384" width="11.42578125" style="17"/>
  </cols>
  <sheetData>
    <row r="1" spans="1:5" x14ac:dyDescent="0.25">
      <c r="A1" s="4" t="s">
        <v>20</v>
      </c>
    </row>
    <row r="2" spans="1:5" x14ac:dyDescent="0.25">
      <c r="A2" s="4"/>
    </row>
    <row r="3" spans="1:5" x14ac:dyDescent="0.25">
      <c r="A3" s="29" t="s">
        <v>48</v>
      </c>
    </row>
    <row r="4" spans="1:5" x14ac:dyDescent="0.25">
      <c r="A4" s="29"/>
      <c r="D4" s="17" t="s">
        <v>0</v>
      </c>
      <c r="E4">
        <v>6560</v>
      </c>
    </row>
    <row r="5" spans="1:5" x14ac:dyDescent="0.25">
      <c r="A5" s="29"/>
      <c r="D5" s="17" t="s">
        <v>1</v>
      </c>
      <c r="E5" s="3">
        <v>93</v>
      </c>
    </row>
    <row r="6" spans="1:5" x14ac:dyDescent="0.25">
      <c r="A6" s="29"/>
      <c r="D6" s="17" t="s">
        <v>2</v>
      </c>
      <c r="E6" s="21">
        <f>+E4+E5</f>
        <v>6653</v>
      </c>
    </row>
    <row r="7" spans="1:5" x14ac:dyDescent="0.25">
      <c r="A7" s="29"/>
    </row>
    <row r="8" spans="1:5" x14ac:dyDescent="0.25">
      <c r="A8" s="29" t="s">
        <v>49</v>
      </c>
    </row>
    <row r="9" spans="1:5" x14ac:dyDescent="0.25">
      <c r="A9" s="29"/>
      <c r="D9" s="17" t="s">
        <v>3</v>
      </c>
      <c r="E9" s="21">
        <f>+E6*11</f>
        <v>73183</v>
      </c>
    </row>
    <row r="10" spans="1:5" x14ac:dyDescent="0.25">
      <c r="A10" s="29"/>
      <c r="D10" s="17" t="s">
        <v>69</v>
      </c>
      <c r="E10" s="21">
        <v>5544.17</v>
      </c>
    </row>
    <row r="11" spans="1:5" x14ac:dyDescent="0.25">
      <c r="A11" s="29"/>
      <c r="D11" s="17" t="s">
        <v>70</v>
      </c>
      <c r="E11" s="21">
        <v>6653</v>
      </c>
    </row>
    <row r="12" spans="1:5" x14ac:dyDescent="0.25">
      <c r="A12" s="29"/>
      <c r="D12" s="17" t="s">
        <v>71</v>
      </c>
      <c r="E12" s="21">
        <f>+E10*9%</f>
        <v>498.9753</v>
      </c>
    </row>
    <row r="13" spans="1:5" x14ac:dyDescent="0.25">
      <c r="A13" s="29"/>
      <c r="D13" s="17" t="s">
        <v>72</v>
      </c>
      <c r="E13" s="21">
        <f>+E11*9%</f>
        <v>598.77</v>
      </c>
    </row>
    <row r="14" spans="1:5" x14ac:dyDescent="0.25">
      <c r="A14" s="17" t="s">
        <v>73</v>
      </c>
      <c r="D14" s="17" t="s">
        <v>74</v>
      </c>
      <c r="E14" s="21">
        <v>820</v>
      </c>
    </row>
    <row r="15" spans="1:5" x14ac:dyDescent="0.25">
      <c r="A15" s="20" t="s">
        <v>55</v>
      </c>
      <c r="D15" s="17" t="s">
        <v>6</v>
      </c>
      <c r="E15" s="22">
        <v>0</v>
      </c>
    </row>
    <row r="16" spans="1:5" x14ac:dyDescent="0.25">
      <c r="A16" s="29"/>
      <c r="E16" s="6">
        <f>SUM(E9:E15)</f>
        <v>87297.915300000008</v>
      </c>
    </row>
    <row r="17" spans="1:6" x14ac:dyDescent="0.25">
      <c r="A17" s="29" t="s">
        <v>54</v>
      </c>
      <c r="D17" s="28">
        <v>-7</v>
      </c>
      <c r="E17" s="22">
        <f>D17*Sunat!B4</f>
        <v>-30800</v>
      </c>
    </row>
    <row r="18" spans="1:6" x14ac:dyDescent="0.25">
      <c r="D18" s="21"/>
      <c r="E18" s="25">
        <f>+E16+E17</f>
        <v>56497.915300000008</v>
      </c>
    </row>
    <row r="19" spans="1:6" x14ac:dyDescent="0.25">
      <c r="E19" s="17"/>
    </row>
    <row r="20" spans="1:6" x14ac:dyDescent="0.25">
      <c r="A20" s="29" t="s">
        <v>53</v>
      </c>
      <c r="B20" s="18"/>
      <c r="C20" s="18"/>
      <c r="D20" s="18"/>
      <c r="E20" s="23"/>
    </row>
    <row r="21" spans="1:6" x14ac:dyDescent="0.25">
      <c r="A21" s="18" t="s">
        <v>43</v>
      </c>
      <c r="B21" s="18"/>
      <c r="C21" s="18"/>
      <c r="D21" s="19">
        <v>0.08</v>
      </c>
      <c r="E21" s="21">
        <f>IF($E$18&lt;Sunat!$E$7,$E$18,Sunat!$E$7)</f>
        <v>22000</v>
      </c>
    </row>
    <row r="22" spans="1:6" x14ac:dyDescent="0.25">
      <c r="A22" s="18" t="s">
        <v>44</v>
      </c>
      <c r="B22" s="18"/>
      <c r="C22" s="18"/>
      <c r="D22" s="19">
        <v>0.14000000000000001</v>
      </c>
      <c r="E22" s="21">
        <f>IF(E18&lt;=Sunat!$E$8,0,IF(AND(E18&gt;Sunat!$E$8,E18&lt;Sunat!$E$9)=TRUE,E18-(E21),Sunat!$E$9-(E21)))</f>
        <v>34497.915300000008</v>
      </c>
    </row>
    <row r="23" spans="1:6" x14ac:dyDescent="0.25">
      <c r="A23" s="18" t="s">
        <v>45</v>
      </c>
      <c r="B23" s="18"/>
      <c r="C23" s="18"/>
      <c r="D23" s="19">
        <v>0.17</v>
      </c>
      <c r="E23" s="21">
        <f>IF(E18&lt;=Sunat!$E$10,0,IF(AND(E18&gt;Sunat!$E$10,E18&lt;Sunat!$E$11)=TRUE,E18-(E21+E22),Sunat!$E$11-(E21+E22)))</f>
        <v>0</v>
      </c>
    </row>
    <row r="24" spans="1:6" x14ac:dyDescent="0.25">
      <c r="A24" s="18" t="s">
        <v>46</v>
      </c>
      <c r="B24" s="18"/>
      <c r="C24" s="18"/>
      <c r="D24" s="19">
        <v>0.2</v>
      </c>
      <c r="E24" s="21">
        <f>IF(E18&lt;=Sunat!$E$12,0,IF(AND(E18&gt;Sunat!$E$12,E18&lt;Sunat!$E$13)=TRUE,E18-(E21+E22+E23),Sunat!$E$13-(E21+E22+E23)))</f>
        <v>0</v>
      </c>
    </row>
    <row r="25" spans="1:6" x14ac:dyDescent="0.25">
      <c r="A25" s="18" t="s">
        <v>47</v>
      </c>
      <c r="B25" s="18"/>
      <c r="C25" s="18"/>
      <c r="D25" s="19">
        <v>0.3</v>
      </c>
      <c r="E25" s="21">
        <f>IF(E18&gt;Sunat!$E$14,E18-(E21+E22+E23+E24),0)</f>
        <v>0</v>
      </c>
      <c r="F25" s="24">
        <f>SUM(E21:E25)-E18</f>
        <v>0</v>
      </c>
    </row>
    <row r="26" spans="1:6" x14ac:dyDescent="0.25">
      <c r="E26" s="6"/>
    </row>
    <row r="27" spans="1:6" x14ac:dyDescent="0.25">
      <c r="A27" s="29" t="s">
        <v>50</v>
      </c>
      <c r="B27" s="18"/>
      <c r="E27" s="6"/>
    </row>
    <row r="28" spans="1:6" x14ac:dyDescent="0.25">
      <c r="A28" s="18" t="s">
        <v>43</v>
      </c>
      <c r="B28" s="18"/>
      <c r="D28" s="19">
        <v>0.08</v>
      </c>
      <c r="E28" s="6">
        <f>+E21*D28</f>
        <v>1760</v>
      </c>
    </row>
    <row r="29" spans="1:6" x14ac:dyDescent="0.25">
      <c r="A29" s="18" t="s">
        <v>44</v>
      </c>
      <c r="B29" s="18"/>
      <c r="D29" s="19">
        <v>0.14000000000000001</v>
      </c>
      <c r="E29" s="6">
        <f>+E22*D29</f>
        <v>4829.7081420000013</v>
      </c>
    </row>
    <row r="30" spans="1:6" x14ac:dyDescent="0.25">
      <c r="A30" s="18" t="s">
        <v>45</v>
      </c>
      <c r="B30" s="18"/>
      <c r="D30" s="19">
        <v>0.17</v>
      </c>
      <c r="E30" s="6">
        <f>+E23*D30</f>
        <v>0</v>
      </c>
    </row>
    <row r="31" spans="1:6" x14ac:dyDescent="0.25">
      <c r="A31" s="18" t="s">
        <v>46</v>
      </c>
      <c r="B31" s="18"/>
      <c r="D31" s="19">
        <v>0.2</v>
      </c>
      <c r="E31" s="6">
        <f>+E24*D31</f>
        <v>0</v>
      </c>
    </row>
    <row r="32" spans="1:6" x14ac:dyDescent="0.25">
      <c r="A32" s="18" t="s">
        <v>47</v>
      </c>
      <c r="B32" s="18"/>
      <c r="D32" s="19">
        <v>0.3</v>
      </c>
      <c r="E32" s="6">
        <f>+E25*D32</f>
        <v>0</v>
      </c>
    </row>
    <row r="33" spans="1:9" x14ac:dyDescent="0.25">
      <c r="E33" s="6"/>
    </row>
    <row r="34" spans="1:9" x14ac:dyDescent="0.25">
      <c r="A34" s="51" t="s">
        <v>51</v>
      </c>
      <c r="B34" s="51"/>
      <c r="C34" s="51"/>
      <c r="E34" s="25">
        <f>SUM(E28:E33)</f>
        <v>6589.7081420000013</v>
      </c>
      <c r="H34" s="21">
        <f>+E34/12</f>
        <v>549.14234516666681</v>
      </c>
      <c r="I34" s="17" t="s">
        <v>52</v>
      </c>
    </row>
    <row r="35" spans="1:9" x14ac:dyDescent="0.25">
      <c r="E35" s="6"/>
    </row>
    <row r="36" spans="1:9" x14ac:dyDescent="0.25">
      <c r="D36" s="17" t="s">
        <v>7</v>
      </c>
      <c r="E36" s="21">
        <v>-617</v>
      </c>
    </row>
    <row r="37" spans="1:9" x14ac:dyDescent="0.25">
      <c r="D37" s="17" t="s">
        <v>8</v>
      </c>
      <c r="E37" s="21">
        <v>0</v>
      </c>
      <c r="G37" s="26"/>
      <c r="H37" s="27"/>
    </row>
    <row r="38" spans="1:9" x14ac:dyDescent="0.25">
      <c r="D38" s="17" t="s">
        <v>9</v>
      </c>
      <c r="E38" s="21">
        <v>-591.04999999999995</v>
      </c>
    </row>
    <row r="39" spans="1:9" x14ac:dyDescent="0.25">
      <c r="D39" s="17" t="s">
        <v>10</v>
      </c>
      <c r="E39" s="21">
        <v>-599.42999999999995</v>
      </c>
    </row>
    <row r="40" spans="1:9" x14ac:dyDescent="0.25">
      <c r="D40" s="17" t="s">
        <v>11</v>
      </c>
      <c r="E40" s="21">
        <v>-599.44000000000005</v>
      </c>
    </row>
    <row r="41" spans="1:9" x14ac:dyDescent="0.25">
      <c r="D41" s="17" t="s">
        <v>12</v>
      </c>
      <c r="E41" s="21">
        <v>-599.44000000000005</v>
      </c>
    </row>
    <row r="42" spans="1:9" x14ac:dyDescent="0.25">
      <c r="D42" s="17" t="s">
        <v>13</v>
      </c>
      <c r="E42" s="46">
        <v>-620</v>
      </c>
    </row>
    <row r="43" spans="1:9" x14ac:dyDescent="0.25">
      <c r="D43" s="17" t="s">
        <v>14</v>
      </c>
      <c r="E43" s="21">
        <v>-585.84</v>
      </c>
    </row>
    <row r="44" spans="1:9" x14ac:dyDescent="0.25">
      <c r="D44" s="17" t="s">
        <v>15</v>
      </c>
      <c r="E44" s="21">
        <v>-585.84</v>
      </c>
    </row>
    <row r="45" spans="1:9" x14ac:dyDescent="0.25">
      <c r="D45" s="17" t="s">
        <v>16</v>
      </c>
      <c r="E45" s="21">
        <v>-585.84</v>
      </c>
    </row>
    <row r="46" spans="1:9" x14ac:dyDescent="0.25">
      <c r="D46" s="17" t="s">
        <v>17</v>
      </c>
      <c r="E46" s="21">
        <v>-585.83000000000004</v>
      </c>
    </row>
    <row r="47" spans="1:9" x14ac:dyDescent="0.25">
      <c r="D47" s="17" t="s">
        <v>18</v>
      </c>
      <c r="E47" s="21">
        <v>-620</v>
      </c>
    </row>
    <row r="48" spans="1:9" x14ac:dyDescent="0.25">
      <c r="E48" s="22"/>
    </row>
    <row r="49" spans="5:5" x14ac:dyDescent="0.25">
      <c r="E49" s="21">
        <f>SUM(E36:E48)</f>
        <v>-6589.71</v>
      </c>
    </row>
    <row r="50" spans="5:5" x14ac:dyDescent="0.25">
      <c r="E50" s="21">
        <f>+E34+E49</f>
        <v>-1.8579999987196061E-3</v>
      </c>
    </row>
  </sheetData>
  <mergeCells count="1">
    <mergeCell ref="A34:C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EE91-504E-4C59-B716-3803F095DA91}">
  <dimension ref="A1:I47"/>
  <sheetViews>
    <sheetView topLeftCell="A31" workbookViewId="0">
      <selection activeCell="E40" sqref="E40"/>
    </sheetView>
  </sheetViews>
  <sheetFormatPr baseColWidth="10" defaultRowHeight="15" x14ac:dyDescent="0.25"/>
  <cols>
    <col min="1" max="1" width="22" style="17" customWidth="1"/>
    <col min="2" max="2" width="17" style="17" customWidth="1"/>
    <col min="3" max="4" width="11.42578125" style="17"/>
    <col min="5" max="8" width="11.42578125" style="21"/>
    <col min="9" max="16384" width="11.42578125" style="17"/>
  </cols>
  <sheetData>
    <row r="1" spans="1:5" x14ac:dyDescent="0.25">
      <c r="A1" s="4" t="s">
        <v>21</v>
      </c>
    </row>
    <row r="2" spans="1:5" x14ac:dyDescent="0.25">
      <c r="A2" s="4"/>
    </row>
    <row r="3" spans="1:5" x14ac:dyDescent="0.25">
      <c r="A3" s="29" t="s">
        <v>48</v>
      </c>
    </row>
    <row r="4" spans="1:5" x14ac:dyDescent="0.25">
      <c r="A4" s="29"/>
      <c r="D4" s="17" t="s">
        <v>0</v>
      </c>
      <c r="E4">
        <v>3000</v>
      </c>
    </row>
    <row r="5" spans="1:5" x14ac:dyDescent="0.25">
      <c r="A5" s="29"/>
      <c r="D5" s="17" t="s">
        <v>1</v>
      </c>
      <c r="E5" s="3">
        <v>93</v>
      </c>
    </row>
    <row r="6" spans="1:5" x14ac:dyDescent="0.25">
      <c r="A6" s="29"/>
      <c r="D6" s="17" t="s">
        <v>2</v>
      </c>
      <c r="E6" s="21">
        <f>+E4+E5</f>
        <v>3093</v>
      </c>
    </row>
    <row r="7" spans="1:5" x14ac:dyDescent="0.25">
      <c r="A7" s="29"/>
    </row>
    <row r="8" spans="1:5" x14ac:dyDescent="0.25">
      <c r="A8" s="29" t="s">
        <v>49</v>
      </c>
    </row>
    <row r="9" spans="1:5" x14ac:dyDescent="0.25">
      <c r="A9" s="29"/>
      <c r="D9" s="17" t="s">
        <v>3</v>
      </c>
      <c r="E9" s="21">
        <f>+E6*12</f>
        <v>37116</v>
      </c>
    </row>
    <row r="10" spans="1:5" x14ac:dyDescent="0.25">
      <c r="A10" s="29"/>
      <c r="D10" s="17" t="s">
        <v>4</v>
      </c>
      <c r="E10" s="21">
        <f>+E6*2</f>
        <v>6186</v>
      </c>
    </row>
    <row r="11" spans="1:5" x14ac:dyDescent="0.25">
      <c r="A11" s="29"/>
      <c r="D11" s="17" t="s">
        <v>5</v>
      </c>
      <c r="E11" s="21">
        <f>+E10*9%</f>
        <v>556.74</v>
      </c>
    </row>
    <row r="12" spans="1:5" x14ac:dyDescent="0.25">
      <c r="A12" s="20" t="s">
        <v>55</v>
      </c>
      <c r="D12" s="17" t="s">
        <v>6</v>
      </c>
      <c r="E12" s="22">
        <v>0</v>
      </c>
    </row>
    <row r="13" spans="1:5" x14ac:dyDescent="0.25">
      <c r="A13" s="29"/>
      <c r="E13" s="6">
        <f>SUM(E9:E12)</f>
        <v>43858.74</v>
      </c>
    </row>
    <row r="14" spans="1:5" x14ac:dyDescent="0.25">
      <c r="A14" s="17" t="s">
        <v>54</v>
      </c>
      <c r="D14" s="28">
        <v>-7</v>
      </c>
      <c r="E14" s="22">
        <f>D14*Sunat!B4</f>
        <v>-30800</v>
      </c>
    </row>
    <row r="15" spans="1:5" x14ac:dyDescent="0.25">
      <c r="D15" s="21"/>
      <c r="E15" s="25">
        <f>SUM(E13:E14)</f>
        <v>13058.739999999998</v>
      </c>
    </row>
    <row r="16" spans="1:5" x14ac:dyDescent="0.25">
      <c r="E16" s="17"/>
    </row>
    <row r="17" spans="1:9" x14ac:dyDescent="0.25">
      <c r="A17" s="29" t="s">
        <v>53</v>
      </c>
      <c r="B17" s="18"/>
      <c r="C17" s="18"/>
      <c r="D17" s="18"/>
      <c r="E17" s="23"/>
    </row>
    <row r="18" spans="1:9" x14ac:dyDescent="0.25">
      <c r="A18" s="18" t="s">
        <v>43</v>
      </c>
      <c r="B18" s="18"/>
      <c r="C18" s="18"/>
      <c r="D18" s="19">
        <v>0.08</v>
      </c>
      <c r="E18" s="21">
        <f>IF($E$15&lt;Sunat!$E$7,$E$15,Sunat!$E$7)</f>
        <v>13058.739999999998</v>
      </c>
    </row>
    <row r="19" spans="1:9" x14ac:dyDescent="0.25">
      <c r="A19" s="18" t="s">
        <v>44</v>
      </c>
      <c r="B19" s="18"/>
      <c r="C19" s="18"/>
      <c r="D19" s="19">
        <v>0.14000000000000001</v>
      </c>
      <c r="E19" s="21">
        <f>IF(E15&lt;=Sunat!$E$8,0,IF(AND(E15&gt;Sunat!$E$8,E15&lt;Sunat!$E$9)=TRUE,E15-(E18),Sunat!$E$9-(E18)))</f>
        <v>0</v>
      </c>
    </row>
    <row r="20" spans="1:9" x14ac:dyDescent="0.25">
      <c r="A20" s="18" t="s">
        <v>45</v>
      </c>
      <c r="B20" s="18"/>
      <c r="C20" s="18"/>
      <c r="D20" s="19">
        <v>0.17</v>
      </c>
      <c r="E20" s="21">
        <f>IF(E15&lt;=Sunat!$E$10,0,IF(AND(E15&gt;Sunat!$E$10,E15&lt;Sunat!$E$11)=TRUE,E15-(E18+E19),Sunat!$E$11-(E18+E19)))</f>
        <v>0</v>
      </c>
    </row>
    <row r="21" spans="1:9" x14ac:dyDescent="0.25">
      <c r="A21" s="18" t="s">
        <v>46</v>
      </c>
      <c r="B21" s="18"/>
      <c r="C21" s="18"/>
      <c r="D21" s="19">
        <v>0.2</v>
      </c>
      <c r="E21" s="21">
        <f>IF(E15&lt;=Sunat!$E$12,0,IF(AND(E15&gt;Sunat!$E$12,E15&lt;Sunat!$E$13)=TRUE,E15-(E18+E19+E20),Sunat!$E$13-(E18+E19+E20)))</f>
        <v>0</v>
      </c>
    </row>
    <row r="22" spans="1:9" x14ac:dyDescent="0.25">
      <c r="A22" s="18" t="s">
        <v>47</v>
      </c>
      <c r="B22" s="18"/>
      <c r="C22" s="18"/>
      <c r="D22" s="19">
        <v>0.3</v>
      </c>
      <c r="E22" s="21">
        <f>IF(E15&gt;Sunat!$E$14,E15-(E18+E19+E20+E21),0)</f>
        <v>0</v>
      </c>
      <c r="F22" s="24">
        <f>SUM(E18:E22)-E15</f>
        <v>0</v>
      </c>
    </row>
    <row r="23" spans="1:9" x14ac:dyDescent="0.25">
      <c r="E23" s="6"/>
    </row>
    <row r="24" spans="1:9" x14ac:dyDescent="0.25">
      <c r="A24" s="29" t="s">
        <v>50</v>
      </c>
      <c r="B24" s="18"/>
      <c r="E24" s="6"/>
    </row>
    <row r="25" spans="1:9" x14ac:dyDescent="0.25">
      <c r="A25" s="18" t="s">
        <v>43</v>
      </c>
      <c r="B25" s="18"/>
      <c r="D25" s="19">
        <v>0.08</v>
      </c>
      <c r="E25" s="6">
        <f>+E18*D25</f>
        <v>1044.6991999999998</v>
      </c>
    </row>
    <row r="26" spans="1:9" x14ac:dyDescent="0.25">
      <c r="A26" s="18" t="s">
        <v>44</v>
      </c>
      <c r="B26" s="18"/>
      <c r="D26" s="19">
        <v>0.14000000000000001</v>
      </c>
      <c r="E26" s="6">
        <f>+E19*D26</f>
        <v>0</v>
      </c>
    </row>
    <row r="27" spans="1:9" x14ac:dyDescent="0.25">
      <c r="A27" s="18" t="s">
        <v>45</v>
      </c>
      <c r="B27" s="18"/>
      <c r="D27" s="19">
        <v>0.17</v>
      </c>
      <c r="E27" s="6">
        <f>+E20*D27</f>
        <v>0</v>
      </c>
    </row>
    <row r="28" spans="1:9" x14ac:dyDescent="0.25">
      <c r="A28" s="18" t="s">
        <v>46</v>
      </c>
      <c r="B28" s="18"/>
      <c r="D28" s="19">
        <v>0.2</v>
      </c>
      <c r="E28" s="6">
        <f>+E21*D28</f>
        <v>0</v>
      </c>
    </row>
    <row r="29" spans="1:9" x14ac:dyDescent="0.25">
      <c r="A29" s="18" t="s">
        <v>47</v>
      </c>
      <c r="B29" s="18"/>
      <c r="D29" s="19">
        <v>0.3</v>
      </c>
      <c r="E29" s="6">
        <f>+E22*D29</f>
        <v>0</v>
      </c>
    </row>
    <row r="30" spans="1:9" x14ac:dyDescent="0.25">
      <c r="E30" s="6"/>
    </row>
    <row r="31" spans="1:9" x14ac:dyDescent="0.25">
      <c r="A31" s="51" t="s">
        <v>51</v>
      </c>
      <c r="B31" s="51"/>
      <c r="C31" s="51"/>
      <c r="E31" s="25">
        <f>SUM(E25:E30)</f>
        <v>1044.6991999999998</v>
      </c>
      <c r="H31" s="21">
        <f>+E31/12</f>
        <v>87.058266666666654</v>
      </c>
      <c r="I31" s="17" t="s">
        <v>52</v>
      </c>
    </row>
    <row r="32" spans="1:9" x14ac:dyDescent="0.25">
      <c r="E32" s="6"/>
    </row>
    <row r="33" spans="4:8" x14ac:dyDescent="0.25">
      <c r="D33" s="17" t="s">
        <v>7</v>
      </c>
      <c r="E33">
        <v>-83</v>
      </c>
    </row>
    <row r="34" spans="4:8" x14ac:dyDescent="0.25">
      <c r="D34" s="17" t="s">
        <v>8</v>
      </c>
      <c r="E34">
        <v>-83</v>
      </c>
      <c r="G34" s="26"/>
      <c r="H34" s="27"/>
    </row>
    <row r="35" spans="4:8" x14ac:dyDescent="0.25">
      <c r="D35" s="17" t="s">
        <v>9</v>
      </c>
      <c r="E35">
        <v>-83</v>
      </c>
    </row>
    <row r="36" spans="4:8" x14ac:dyDescent="0.25">
      <c r="D36" s="17" t="s">
        <v>10</v>
      </c>
      <c r="E36">
        <v>-83</v>
      </c>
    </row>
    <row r="37" spans="4:8" x14ac:dyDescent="0.25">
      <c r="D37" s="17" t="s">
        <v>11</v>
      </c>
      <c r="E37">
        <v>-83</v>
      </c>
    </row>
    <row r="38" spans="4:8" x14ac:dyDescent="0.25">
      <c r="D38" s="17" t="s">
        <v>12</v>
      </c>
      <c r="E38">
        <v>-83</v>
      </c>
    </row>
    <row r="39" spans="4:8" x14ac:dyDescent="0.25">
      <c r="D39" s="17" t="s">
        <v>13</v>
      </c>
      <c r="E39" s="45">
        <v>-95.35</v>
      </c>
    </row>
    <row r="40" spans="4:8" x14ac:dyDescent="0.25">
      <c r="D40" s="17" t="s">
        <v>14</v>
      </c>
      <c r="E40">
        <v>-89</v>
      </c>
    </row>
    <row r="41" spans="4:8" x14ac:dyDescent="0.25">
      <c r="D41" s="17" t="s">
        <v>15</v>
      </c>
      <c r="E41">
        <v>-89</v>
      </c>
    </row>
    <row r="42" spans="4:8" x14ac:dyDescent="0.25">
      <c r="D42" s="17" t="s">
        <v>16</v>
      </c>
      <c r="E42">
        <v>-89</v>
      </c>
    </row>
    <row r="43" spans="4:8" x14ac:dyDescent="0.25">
      <c r="D43" s="17" t="s">
        <v>17</v>
      </c>
      <c r="E43">
        <v>-89</v>
      </c>
    </row>
    <row r="44" spans="4:8" x14ac:dyDescent="0.25">
      <c r="D44" s="17" t="s">
        <v>18</v>
      </c>
      <c r="E44">
        <v>-95.35</v>
      </c>
    </row>
    <row r="45" spans="4:8" x14ac:dyDescent="0.25">
      <c r="E45" s="22"/>
    </row>
    <row r="46" spans="4:8" x14ac:dyDescent="0.25">
      <c r="E46" s="21">
        <f>SUM(E33:E45)</f>
        <v>-1044.7</v>
      </c>
    </row>
    <row r="47" spans="4:8" x14ac:dyDescent="0.25">
      <c r="E47" s="21">
        <f>+E31+E46</f>
        <v>-8.0000000025393092E-4</v>
      </c>
    </row>
  </sheetData>
  <mergeCells count="1">
    <mergeCell ref="A31:C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46FD-D964-450C-9BE3-A417A0C97521}">
  <dimension ref="A1:I65"/>
  <sheetViews>
    <sheetView topLeftCell="A46" workbookViewId="0">
      <selection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62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>
        <v>3500</v>
      </c>
    </row>
    <row r="5" spans="1:9" x14ac:dyDescent="0.25">
      <c r="A5" s="33"/>
      <c r="D5" s="17" t="s">
        <v>1</v>
      </c>
      <c r="E5" s="3">
        <v>93</v>
      </c>
    </row>
    <row r="6" spans="1:9" x14ac:dyDescent="0.25">
      <c r="A6" s="33"/>
      <c r="B6" s="4" t="s">
        <v>59</v>
      </c>
      <c r="E6" s="27">
        <f>+E4+E5</f>
        <v>3593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39523</v>
      </c>
    </row>
    <row r="10" spans="1:9" x14ac:dyDescent="0.25">
      <c r="A10" s="33"/>
      <c r="D10" s="17" t="s">
        <v>69</v>
      </c>
      <c r="E10" s="21">
        <v>5790.14</v>
      </c>
    </row>
    <row r="11" spans="1:9" x14ac:dyDescent="0.25">
      <c r="A11" s="33"/>
      <c r="D11" s="17" t="s">
        <v>70</v>
      </c>
      <c r="E11" s="21">
        <v>3593</v>
      </c>
    </row>
    <row r="12" spans="1:9" x14ac:dyDescent="0.25">
      <c r="A12" s="33"/>
      <c r="D12" s="17" t="s">
        <v>71</v>
      </c>
      <c r="E12" s="21">
        <v>521.11</v>
      </c>
    </row>
    <row r="13" spans="1:9" x14ac:dyDescent="0.25">
      <c r="A13" s="33"/>
      <c r="D13" s="17" t="s">
        <v>72</v>
      </c>
      <c r="E13" s="21">
        <f>+E11*9%</f>
        <v>323.37</v>
      </c>
    </row>
    <row r="14" spans="1:9" x14ac:dyDescent="0.25">
      <c r="A14" s="20" t="s">
        <v>55</v>
      </c>
      <c r="D14" s="17" t="s">
        <v>6</v>
      </c>
      <c r="E14" s="22">
        <v>479.07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50229.69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3751</v>
      </c>
      <c r="G17" s="21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140</v>
      </c>
      <c r="G18" s="21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4200</v>
      </c>
      <c r="G19" s="21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3990</v>
      </c>
      <c r="F20" s="2">
        <f>AVERAGE(E17,E19,E20)</f>
        <v>3980.3333333333335</v>
      </c>
      <c r="G20" s="21">
        <v>0</v>
      </c>
      <c r="I20" s="17"/>
    </row>
    <row r="21" spans="1:9" s="21" customFormat="1" x14ac:dyDescent="0.25">
      <c r="A21" s="33"/>
      <c r="B21" s="17"/>
      <c r="D21" s="8" t="s">
        <v>11</v>
      </c>
      <c r="E21" s="43">
        <v>4095</v>
      </c>
      <c r="G21" s="31">
        <v>0</v>
      </c>
      <c r="I21" s="17"/>
    </row>
    <row r="22" spans="1:9" s="21" customFormat="1" x14ac:dyDescent="0.25">
      <c r="A22" s="33"/>
      <c r="B22" s="17"/>
      <c r="D22" s="8" t="s">
        <v>12</v>
      </c>
      <c r="E22" s="43">
        <v>4095</v>
      </c>
      <c r="G22" s="31">
        <v>0</v>
      </c>
      <c r="I22" s="17"/>
    </row>
    <row r="23" spans="1:9" s="21" customFormat="1" x14ac:dyDescent="0.25">
      <c r="A23" s="33"/>
      <c r="B23" s="17"/>
      <c r="D23" s="8" t="s">
        <v>13</v>
      </c>
      <c r="E23" s="43">
        <v>3920</v>
      </c>
      <c r="F23" s="21">
        <f>AVERAGE(E21:E23)</f>
        <v>4036.6666666666665</v>
      </c>
      <c r="G23" s="31">
        <v>0</v>
      </c>
      <c r="I23" s="17"/>
    </row>
    <row r="24" spans="1:9" s="21" customFormat="1" x14ac:dyDescent="0.25">
      <c r="A24" s="33"/>
      <c r="B24" s="17"/>
      <c r="D24" s="8" t="s">
        <v>14</v>
      </c>
      <c r="E24" s="10">
        <v>4036.67</v>
      </c>
      <c r="G24" s="31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4036.67</v>
      </c>
      <c r="G25" s="31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4036.67</v>
      </c>
      <c r="G26" s="31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4036.67</v>
      </c>
      <c r="G27" s="31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4036.67</v>
      </c>
      <c r="G28" s="32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44374.349999999991</v>
      </c>
      <c r="G29" s="27">
        <f>SUM(G17:G28)</f>
        <v>0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94604.04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+E31+E32</f>
        <v>63804.039999999994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41804.039999999994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5852.5655999999999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E49" s="25">
        <f>SUM(E43:E48)</f>
        <v>7612.5655999999999</v>
      </c>
      <c r="H49" s="21">
        <f>+E49/12</f>
        <v>634.38046666666662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-643</v>
      </c>
    </row>
    <row r="52" spans="1:9" x14ac:dyDescent="0.25">
      <c r="D52" s="17" t="s">
        <v>8</v>
      </c>
      <c r="E52">
        <v>-134</v>
      </c>
      <c r="G52" s="26"/>
      <c r="H52" s="27"/>
    </row>
    <row r="53" spans="1:9" x14ac:dyDescent="0.25">
      <c r="D53" s="17" t="s">
        <v>9</v>
      </c>
      <c r="E53">
        <v>-643</v>
      </c>
    </row>
    <row r="54" spans="1:9" x14ac:dyDescent="0.25">
      <c r="D54" s="17" t="s">
        <v>10</v>
      </c>
      <c r="E54">
        <v>-643</v>
      </c>
    </row>
    <row r="55" spans="1:9" x14ac:dyDescent="0.25">
      <c r="D55" s="17" t="s">
        <v>11</v>
      </c>
      <c r="E55">
        <v>-643</v>
      </c>
    </row>
    <row r="56" spans="1:9" x14ac:dyDescent="0.25">
      <c r="D56" s="17" t="s">
        <v>12</v>
      </c>
      <c r="E56">
        <v>-643</v>
      </c>
    </row>
    <row r="57" spans="1:9" x14ac:dyDescent="0.25">
      <c r="D57" s="17" t="s">
        <v>13</v>
      </c>
      <c r="E57" s="45">
        <v>-750</v>
      </c>
    </row>
    <row r="58" spans="1:9" x14ac:dyDescent="0.25">
      <c r="D58" s="17" t="s">
        <v>14</v>
      </c>
      <c r="E58">
        <v>-690.89</v>
      </c>
    </row>
    <row r="59" spans="1:9" x14ac:dyDescent="0.25">
      <c r="D59" s="17" t="s">
        <v>15</v>
      </c>
      <c r="E59">
        <v>-690.89</v>
      </c>
    </row>
    <row r="60" spans="1:9" x14ac:dyDescent="0.25">
      <c r="D60" s="17" t="s">
        <v>16</v>
      </c>
      <c r="E60">
        <v>-690.89</v>
      </c>
    </row>
    <row r="61" spans="1:9" x14ac:dyDescent="0.25">
      <c r="D61" s="17" t="s">
        <v>17</v>
      </c>
      <c r="E61">
        <v>-690.9</v>
      </c>
    </row>
    <row r="62" spans="1:9" x14ac:dyDescent="0.25">
      <c r="D62" s="17" t="s">
        <v>18</v>
      </c>
      <c r="E62">
        <v>-750</v>
      </c>
    </row>
    <row r="63" spans="1:9" x14ac:dyDescent="0.25">
      <c r="E63" s="22"/>
    </row>
    <row r="64" spans="1:9" x14ac:dyDescent="0.25">
      <c r="E64" s="21">
        <f>SUM(E51:E63)</f>
        <v>-7612.5700000000006</v>
      </c>
    </row>
    <row r="65" spans="5:5" x14ac:dyDescent="0.25">
      <c r="E65" s="21">
        <f>+E49+E64</f>
        <v>-4.400000000714499E-3</v>
      </c>
    </row>
  </sheetData>
  <mergeCells count="1">
    <mergeCell ref="A49:C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1A58-A5D0-48DA-86A4-A73C6079949E}">
  <dimension ref="A1:J65"/>
  <sheetViews>
    <sheetView topLeftCell="A46" workbookViewId="0">
      <selection activeCell="E62" sqref="E62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9" width="13" style="17" customWidth="1"/>
    <col min="10" max="16384" width="11.42578125" style="17"/>
  </cols>
  <sheetData>
    <row r="1" spans="1:10" x14ac:dyDescent="0.25">
      <c r="A1" s="4" t="s">
        <v>24</v>
      </c>
    </row>
    <row r="2" spans="1:10" x14ac:dyDescent="0.25">
      <c r="A2" s="4"/>
    </row>
    <row r="3" spans="1:10" x14ac:dyDescent="0.25">
      <c r="A3" s="33" t="s">
        <v>48</v>
      </c>
    </row>
    <row r="4" spans="1:10" x14ac:dyDescent="0.25">
      <c r="A4" s="33"/>
      <c r="D4" s="17" t="s">
        <v>0</v>
      </c>
      <c r="E4" s="5">
        <v>9800</v>
      </c>
    </row>
    <row r="5" spans="1:10" x14ac:dyDescent="0.25">
      <c r="A5" s="33"/>
      <c r="D5" s="17" t="s">
        <v>1</v>
      </c>
      <c r="E5" s="7">
        <v>93</v>
      </c>
    </row>
    <row r="6" spans="1:10" x14ac:dyDescent="0.25">
      <c r="A6" s="33"/>
      <c r="B6" s="4" t="s">
        <v>59</v>
      </c>
      <c r="E6" s="27">
        <f>+E4+E5</f>
        <v>9893</v>
      </c>
    </row>
    <row r="7" spans="1:10" x14ac:dyDescent="0.25">
      <c r="A7" s="33"/>
    </row>
    <row r="8" spans="1:10" x14ac:dyDescent="0.25">
      <c r="A8" s="33" t="s">
        <v>49</v>
      </c>
    </row>
    <row r="9" spans="1:10" x14ac:dyDescent="0.25">
      <c r="A9" s="33"/>
      <c r="D9" s="17" t="s">
        <v>3</v>
      </c>
      <c r="E9" s="21">
        <f>+E6*12</f>
        <v>118716</v>
      </c>
    </row>
    <row r="10" spans="1:10" x14ac:dyDescent="0.25">
      <c r="A10" s="33"/>
      <c r="D10" s="17" t="s">
        <v>69</v>
      </c>
      <c r="E10" s="21">
        <v>14251.5</v>
      </c>
    </row>
    <row r="11" spans="1:10" x14ac:dyDescent="0.25">
      <c r="A11" s="33"/>
      <c r="D11" s="17" t="s">
        <v>70</v>
      </c>
      <c r="E11" s="21">
        <v>9893</v>
      </c>
    </row>
    <row r="12" spans="1:10" x14ac:dyDescent="0.25">
      <c r="A12" s="33"/>
      <c r="D12" s="17" t="s">
        <v>71</v>
      </c>
      <c r="E12" s="21">
        <v>961.98</v>
      </c>
    </row>
    <row r="13" spans="1:10" x14ac:dyDescent="0.25">
      <c r="A13" s="33"/>
      <c r="D13" s="17" t="s">
        <v>72</v>
      </c>
      <c r="E13" s="21">
        <f>+E11*9%</f>
        <v>890.37</v>
      </c>
    </row>
    <row r="14" spans="1:10" x14ac:dyDescent="0.25">
      <c r="A14" s="20" t="s">
        <v>55</v>
      </c>
      <c r="D14" s="17" t="s">
        <v>6</v>
      </c>
      <c r="E14" s="3">
        <v>0</v>
      </c>
    </row>
    <row r="15" spans="1:10" s="21" customFormat="1" x14ac:dyDescent="0.25">
      <c r="A15" s="29"/>
      <c r="B15" s="4" t="s">
        <v>61</v>
      </c>
      <c r="C15" s="17"/>
      <c r="D15" s="17"/>
      <c r="E15" s="26">
        <f>SUM(E9:E14)</f>
        <v>144712.85</v>
      </c>
      <c r="I15" s="17"/>
    </row>
    <row r="16" spans="1:10" s="21" customFormat="1" x14ac:dyDescent="0.25">
      <c r="A16" s="17" t="s">
        <v>56</v>
      </c>
      <c r="B16" s="17"/>
      <c r="C16" s="17" t="s">
        <v>65</v>
      </c>
      <c r="D16" s="17"/>
      <c r="E16" s="6"/>
      <c r="G16" s="21" t="s">
        <v>66</v>
      </c>
      <c r="I16" s="17"/>
      <c r="J16" s="42" t="s">
        <v>67</v>
      </c>
    </row>
    <row r="17" spans="1:10" s="21" customFormat="1" x14ac:dyDescent="0.25">
      <c r="A17" s="33"/>
      <c r="B17" s="17"/>
      <c r="D17" s="8" t="s">
        <v>7</v>
      </c>
      <c r="E17" s="9">
        <v>3510</v>
      </c>
      <c r="G17">
        <v>0</v>
      </c>
      <c r="I17" s="17"/>
    </row>
    <row r="18" spans="1:10" s="21" customFormat="1" x14ac:dyDescent="0.25">
      <c r="A18" s="33"/>
      <c r="B18" s="17"/>
      <c r="D18" s="8" t="s">
        <v>8</v>
      </c>
      <c r="E18" s="9">
        <v>3990</v>
      </c>
      <c r="G18">
        <v>0</v>
      </c>
      <c r="I18" s="17"/>
    </row>
    <row r="19" spans="1:10" s="21" customFormat="1" x14ac:dyDescent="0.25">
      <c r="A19" s="33"/>
      <c r="B19" s="17"/>
      <c r="D19" s="8" t="s">
        <v>9</v>
      </c>
      <c r="E19" s="9">
        <v>5029</v>
      </c>
      <c r="G19">
        <v>0</v>
      </c>
      <c r="I19" s="17"/>
    </row>
    <row r="20" spans="1:10" s="21" customFormat="1" x14ac:dyDescent="0.25">
      <c r="A20" s="33"/>
      <c r="B20" s="17"/>
      <c r="D20" s="8" t="s">
        <v>10</v>
      </c>
      <c r="E20" s="9">
        <v>4752</v>
      </c>
      <c r="F20" s="2">
        <f>AVERAGE(E17:E20)</f>
        <v>4320.25</v>
      </c>
      <c r="G20">
        <v>5170</v>
      </c>
      <c r="H20" s="2"/>
      <c r="I20" s="17"/>
      <c r="J20" s="21">
        <v>7840</v>
      </c>
    </row>
    <row r="21" spans="1:10" s="21" customFormat="1" x14ac:dyDescent="0.25">
      <c r="A21" s="33"/>
      <c r="B21" s="17"/>
      <c r="D21" s="8" t="s">
        <v>11</v>
      </c>
      <c r="E21" s="43">
        <v>4633</v>
      </c>
      <c r="G21" s="12">
        <v>0</v>
      </c>
      <c r="I21" s="17"/>
    </row>
    <row r="22" spans="1:10" s="21" customFormat="1" x14ac:dyDescent="0.25">
      <c r="A22" s="33"/>
      <c r="B22" s="17"/>
      <c r="D22" s="8" t="s">
        <v>12</v>
      </c>
      <c r="E22" s="43">
        <v>4237</v>
      </c>
      <c r="G22" s="12">
        <v>2670</v>
      </c>
      <c r="I22" s="41" t="s">
        <v>68</v>
      </c>
    </row>
    <row r="23" spans="1:10" s="21" customFormat="1" x14ac:dyDescent="0.25">
      <c r="A23" s="33"/>
      <c r="B23" s="17"/>
      <c r="D23" s="8" t="s">
        <v>13</v>
      </c>
      <c r="E23" s="43">
        <v>4125</v>
      </c>
      <c r="F23" s="21">
        <f>AVERAGE(E21:E23)</f>
        <v>4331.666666666667</v>
      </c>
      <c r="G23" s="12">
        <v>0</v>
      </c>
      <c r="I23" s="17"/>
      <c r="J23" s="21">
        <f>+G24+G26</f>
        <v>10780</v>
      </c>
    </row>
    <row r="24" spans="1:10" s="21" customFormat="1" x14ac:dyDescent="0.25">
      <c r="A24" s="33"/>
      <c r="B24" s="17"/>
      <c r="D24" s="8" t="s">
        <v>14</v>
      </c>
      <c r="E24" s="10">
        <v>4331.67</v>
      </c>
      <c r="G24" s="12">
        <v>5390</v>
      </c>
      <c r="I24" s="17"/>
    </row>
    <row r="25" spans="1:10" s="21" customFormat="1" x14ac:dyDescent="0.25">
      <c r="A25" s="33"/>
      <c r="B25" s="17"/>
      <c r="D25" s="8" t="s">
        <v>15</v>
      </c>
      <c r="E25" s="10">
        <v>4331.67</v>
      </c>
      <c r="G25" s="12">
        <v>0</v>
      </c>
      <c r="I25" s="17"/>
    </row>
    <row r="26" spans="1:10" s="21" customFormat="1" x14ac:dyDescent="0.25">
      <c r="A26" s="33"/>
      <c r="B26" s="17"/>
      <c r="D26" s="8" t="s">
        <v>16</v>
      </c>
      <c r="E26" s="10">
        <v>4331.67</v>
      </c>
      <c r="G26" s="12">
        <v>5390</v>
      </c>
      <c r="I26" s="17"/>
    </row>
    <row r="27" spans="1:10" s="21" customFormat="1" x14ac:dyDescent="0.25">
      <c r="A27" s="33"/>
      <c r="B27" s="17"/>
      <c r="D27" s="8" t="s">
        <v>23</v>
      </c>
      <c r="E27" s="10">
        <v>4331.67</v>
      </c>
      <c r="G27" s="12">
        <v>0</v>
      </c>
      <c r="I27" s="17"/>
    </row>
    <row r="28" spans="1:10" s="21" customFormat="1" x14ac:dyDescent="0.25">
      <c r="A28" s="33"/>
      <c r="B28" s="17"/>
      <c r="D28" s="8" t="s">
        <v>18</v>
      </c>
      <c r="E28" s="10">
        <v>4331.67</v>
      </c>
      <c r="G28" s="13">
        <v>0</v>
      </c>
      <c r="I28" s="17"/>
    </row>
    <row r="29" spans="1:10" s="21" customFormat="1" x14ac:dyDescent="0.25">
      <c r="A29" s="33"/>
      <c r="B29" s="17"/>
      <c r="C29" s="17"/>
      <c r="D29" s="8"/>
      <c r="E29" s="34">
        <f>SUM(E17:E28)</f>
        <v>51934.349999999991</v>
      </c>
      <c r="G29" s="27">
        <f>SUM(G17:G28)</f>
        <v>18620</v>
      </c>
      <c r="I29" s="17"/>
    </row>
    <row r="30" spans="1:10" s="21" customFormat="1" x14ac:dyDescent="0.25">
      <c r="A30" s="33"/>
      <c r="B30" s="17"/>
      <c r="C30" s="17"/>
      <c r="D30" s="8"/>
      <c r="E30" s="30"/>
      <c r="I30" s="17"/>
    </row>
    <row r="31" spans="1:10" s="21" customFormat="1" x14ac:dyDescent="0.25">
      <c r="A31" s="33"/>
      <c r="B31" s="4" t="s">
        <v>60</v>
      </c>
      <c r="C31" s="17"/>
      <c r="D31" s="17"/>
      <c r="E31" s="26">
        <f>+E15+E29+G29</f>
        <v>215267.20000000001</v>
      </c>
      <c r="I31" s="17"/>
    </row>
    <row r="32" spans="1:10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+E31+E32</f>
        <v>184467.20000000001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66000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66000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30467.200000000012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9240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11220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6093.4400000000023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E49" s="25">
        <f>SUM(E43:E48)</f>
        <v>28313.440000000002</v>
      </c>
      <c r="H49" s="21">
        <f>+E49/12</f>
        <v>2359.4533333333334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 s="5">
        <v>-1792</v>
      </c>
    </row>
    <row r="52" spans="1:9" x14ac:dyDescent="0.25">
      <c r="D52" s="17" t="s">
        <v>8</v>
      </c>
      <c r="E52" s="5">
        <v>-1792</v>
      </c>
      <c r="G52" s="26"/>
      <c r="H52" s="27"/>
    </row>
    <row r="53" spans="1:9" x14ac:dyDescent="0.25">
      <c r="D53" s="17" t="s">
        <v>9</v>
      </c>
      <c r="E53" s="5">
        <v>-1792</v>
      </c>
    </row>
    <row r="54" spans="1:9" x14ac:dyDescent="0.25">
      <c r="D54" s="17" t="s">
        <v>10</v>
      </c>
      <c r="E54" s="5">
        <v>-2000</v>
      </c>
    </row>
    <row r="55" spans="1:9" x14ac:dyDescent="0.25">
      <c r="D55" s="17" t="s">
        <v>11</v>
      </c>
      <c r="E55" s="5">
        <f>-2000</f>
        <v>-2000</v>
      </c>
    </row>
    <row r="56" spans="1:9" x14ac:dyDescent="0.25">
      <c r="D56" s="17" t="s">
        <v>12</v>
      </c>
      <c r="E56" s="5">
        <f>-2000</f>
        <v>-2000</v>
      </c>
    </row>
    <row r="57" spans="1:9" x14ac:dyDescent="0.25">
      <c r="D57" s="17" t="s">
        <v>13</v>
      </c>
      <c r="E57" s="47">
        <v>-3468.72</v>
      </c>
    </row>
    <row r="58" spans="1:9" x14ac:dyDescent="0.25">
      <c r="D58" s="17" t="s">
        <v>14</v>
      </c>
      <c r="E58" s="5">
        <v>-2500</v>
      </c>
    </row>
    <row r="59" spans="1:9" x14ac:dyDescent="0.25">
      <c r="D59" s="17" t="s">
        <v>15</v>
      </c>
      <c r="E59" s="5">
        <v>-2500</v>
      </c>
    </row>
    <row r="60" spans="1:9" x14ac:dyDescent="0.25">
      <c r="D60" s="17" t="s">
        <v>16</v>
      </c>
      <c r="E60" s="5">
        <v>-2500</v>
      </c>
    </row>
    <row r="61" spans="1:9" x14ac:dyDescent="0.25">
      <c r="D61" s="17" t="s">
        <v>17</v>
      </c>
      <c r="E61" s="5">
        <v>-2500</v>
      </c>
    </row>
    <row r="62" spans="1:9" x14ac:dyDescent="0.25">
      <c r="D62" s="17" t="s">
        <v>18</v>
      </c>
      <c r="E62" s="5">
        <v>-3468.72</v>
      </c>
    </row>
    <row r="63" spans="1:9" x14ac:dyDescent="0.25">
      <c r="E63" s="22"/>
    </row>
    <row r="64" spans="1:9" x14ac:dyDescent="0.25">
      <c r="E64" s="21">
        <f>SUM(E51:E63)</f>
        <v>-28313.440000000002</v>
      </c>
    </row>
    <row r="65" spans="5:5" x14ac:dyDescent="0.25">
      <c r="E65" s="21">
        <f>+E49+E64</f>
        <v>0</v>
      </c>
    </row>
  </sheetData>
  <mergeCells count="1">
    <mergeCell ref="A49:C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8265-CA61-495D-8312-D7D945028049}">
  <dimension ref="A1:I65"/>
  <sheetViews>
    <sheetView topLeftCell="A13" workbookViewId="0">
      <selection activeCell="G24" sqref="G24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25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>
        <v>2000</v>
      </c>
    </row>
    <row r="5" spans="1:9" x14ac:dyDescent="0.25">
      <c r="A5" s="33"/>
      <c r="D5" s="17" t="s">
        <v>1</v>
      </c>
      <c r="E5" s="3">
        <v>93</v>
      </c>
    </row>
    <row r="6" spans="1:9" x14ac:dyDescent="0.25">
      <c r="A6" s="33"/>
      <c r="B6" s="4" t="s">
        <v>59</v>
      </c>
      <c r="E6" s="27">
        <f>+E4+E5</f>
        <v>2093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23023</v>
      </c>
    </row>
    <row r="10" spans="1:9" x14ac:dyDescent="0.25">
      <c r="A10" s="33"/>
      <c r="D10" s="17" t="s">
        <v>69</v>
      </c>
      <c r="E10" s="21">
        <v>4155.21</v>
      </c>
    </row>
    <row r="11" spans="1:9" x14ac:dyDescent="0.25">
      <c r="A11" s="33"/>
      <c r="D11" s="17" t="s">
        <v>70</v>
      </c>
      <c r="E11" s="21">
        <v>2093</v>
      </c>
    </row>
    <row r="12" spans="1:9" x14ac:dyDescent="0.25">
      <c r="A12" s="33"/>
      <c r="D12" s="17" t="s">
        <v>75</v>
      </c>
      <c r="E12" s="21">
        <f>+E10*6.75%</f>
        <v>280.476675</v>
      </c>
    </row>
    <row r="13" spans="1:9" x14ac:dyDescent="0.25">
      <c r="A13" s="33"/>
      <c r="D13" s="17" t="s">
        <v>72</v>
      </c>
      <c r="E13" s="21">
        <f>+E11*9%</f>
        <v>188.37</v>
      </c>
    </row>
    <row r="14" spans="1:9" x14ac:dyDescent="0.25">
      <c r="A14" s="20" t="s">
        <v>55</v>
      </c>
      <c r="D14" s="17" t="s">
        <v>6</v>
      </c>
      <c r="E14" s="22">
        <v>558.13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30298.186675000001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3566.41</v>
      </c>
      <c r="G17" s="21">
        <v>0</v>
      </c>
      <c r="I17" s="17"/>
    </row>
    <row r="18" spans="1:9" s="21" customFormat="1" x14ac:dyDescent="0.25">
      <c r="A18" s="33"/>
      <c r="B18" s="17"/>
      <c r="D18" s="8" t="s">
        <v>8</v>
      </c>
      <c r="E18" s="9">
        <v>498.55</v>
      </c>
      <c r="G18" s="21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3675.82</v>
      </c>
      <c r="G19" s="21">
        <v>0</v>
      </c>
      <c r="I19" s="17"/>
    </row>
    <row r="20" spans="1:9" s="21" customFormat="1" x14ac:dyDescent="0.25">
      <c r="A20" s="33"/>
      <c r="B20" s="17"/>
      <c r="D20" s="8" t="s">
        <v>10</v>
      </c>
      <c r="E20" s="9">
        <v>3454.17</v>
      </c>
      <c r="F20" s="2">
        <f>AVERAGE(E17,E19,E20)</f>
        <v>3565.4666666666667</v>
      </c>
      <c r="G20" s="21">
        <v>0</v>
      </c>
      <c r="I20" s="17"/>
    </row>
    <row r="21" spans="1:9" s="21" customFormat="1" x14ac:dyDescent="0.25">
      <c r="A21" s="33"/>
      <c r="B21" s="17"/>
      <c r="D21" s="8" t="s">
        <v>11</v>
      </c>
      <c r="E21" s="43">
        <v>3102.3</v>
      </c>
      <c r="G21" s="31">
        <v>0</v>
      </c>
      <c r="I21" s="17"/>
    </row>
    <row r="22" spans="1:9" s="21" customFormat="1" x14ac:dyDescent="0.25">
      <c r="A22" s="33"/>
      <c r="B22" s="17"/>
      <c r="D22" s="8" t="s">
        <v>12</v>
      </c>
      <c r="E22" s="43">
        <v>3062.25</v>
      </c>
      <c r="G22" s="31">
        <v>0</v>
      </c>
      <c r="I22" s="17"/>
    </row>
    <row r="23" spans="1:9" s="21" customFormat="1" x14ac:dyDescent="0.25">
      <c r="A23" s="33"/>
      <c r="B23" s="17"/>
      <c r="D23" s="8" t="s">
        <v>13</v>
      </c>
      <c r="E23" s="43">
        <v>3002.17</v>
      </c>
      <c r="F23" s="21">
        <f>AVERAGE(E21:E23)</f>
        <v>3055.5733333333337</v>
      </c>
      <c r="G23" s="31">
        <v>139.53</v>
      </c>
      <c r="I23" s="17"/>
    </row>
    <row r="24" spans="1:9" s="21" customFormat="1" x14ac:dyDescent="0.25">
      <c r="A24" s="33"/>
      <c r="B24" s="17"/>
      <c r="D24" s="8" t="s">
        <v>14</v>
      </c>
      <c r="E24" s="10">
        <v>3055.57</v>
      </c>
      <c r="G24" s="31">
        <v>0</v>
      </c>
      <c r="I24" s="17"/>
    </row>
    <row r="25" spans="1:9" s="21" customFormat="1" x14ac:dyDescent="0.25">
      <c r="A25" s="33"/>
      <c r="B25" s="17"/>
      <c r="D25" s="8" t="s">
        <v>15</v>
      </c>
      <c r="E25" s="10">
        <v>3055.57</v>
      </c>
      <c r="G25" s="31">
        <v>0</v>
      </c>
      <c r="I25" s="17"/>
    </row>
    <row r="26" spans="1:9" s="21" customFormat="1" x14ac:dyDescent="0.25">
      <c r="A26" s="33"/>
      <c r="B26" s="17"/>
      <c r="D26" s="8" t="s">
        <v>16</v>
      </c>
      <c r="E26" s="10">
        <v>3055.57</v>
      </c>
      <c r="G26" s="31">
        <v>0</v>
      </c>
      <c r="I26" s="17"/>
    </row>
    <row r="27" spans="1:9" s="21" customFormat="1" x14ac:dyDescent="0.25">
      <c r="A27" s="33"/>
      <c r="B27" s="17"/>
      <c r="D27" s="8" t="s">
        <v>23</v>
      </c>
      <c r="E27" s="10">
        <v>3055.57</v>
      </c>
      <c r="G27" s="31">
        <v>0</v>
      </c>
      <c r="I27" s="17"/>
    </row>
    <row r="28" spans="1:9" s="21" customFormat="1" x14ac:dyDescent="0.25">
      <c r="A28" s="33"/>
      <c r="B28" s="17"/>
      <c r="D28" s="8" t="s">
        <v>18</v>
      </c>
      <c r="E28" s="11">
        <v>3055.57</v>
      </c>
      <c r="G28" s="32">
        <v>0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35639.519999999997</v>
      </c>
      <c r="G29" s="27">
        <f>SUM(G17:G28)</f>
        <v>139.53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66077.236674999993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+E31+E32</f>
        <v>35277.236674999993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13277.236674999993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1858.8131344999993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E49" s="25">
        <f>SUM(E43:E48)</f>
        <v>3618.8131344999993</v>
      </c>
      <c r="H49" s="21">
        <f>+E49/12</f>
        <v>301.56776120833325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-372</v>
      </c>
    </row>
    <row r="52" spans="1:9" x14ac:dyDescent="0.25">
      <c r="D52" s="17" t="s">
        <v>8</v>
      </c>
      <c r="E52">
        <v>-372</v>
      </c>
      <c r="G52" s="26"/>
      <c r="H52" s="27"/>
    </row>
    <row r="53" spans="1:9" x14ac:dyDescent="0.25">
      <c r="D53" s="17" t="s">
        <v>9</v>
      </c>
      <c r="E53">
        <v>-372</v>
      </c>
    </row>
    <row r="54" spans="1:9" x14ac:dyDescent="0.25">
      <c r="D54" s="17" t="s">
        <v>10</v>
      </c>
      <c r="E54">
        <v>-305</v>
      </c>
    </row>
    <row r="55" spans="1:9" x14ac:dyDescent="0.25">
      <c r="D55" s="17" t="s">
        <v>11</v>
      </c>
      <c r="E55">
        <v>-305</v>
      </c>
    </row>
    <row r="56" spans="1:9" x14ac:dyDescent="0.25">
      <c r="D56" s="17" t="s">
        <v>12</v>
      </c>
      <c r="E56">
        <v>-305</v>
      </c>
    </row>
    <row r="57" spans="1:9" x14ac:dyDescent="0.25">
      <c r="D57" s="17" t="s">
        <v>13</v>
      </c>
      <c r="E57" s="45">
        <v>-272</v>
      </c>
    </row>
    <row r="58" spans="1:9" x14ac:dyDescent="0.25">
      <c r="D58" s="17" t="s">
        <v>14</v>
      </c>
      <c r="E58">
        <v>-260.95</v>
      </c>
    </row>
    <row r="59" spans="1:9" x14ac:dyDescent="0.25">
      <c r="D59" s="17" t="s">
        <v>15</v>
      </c>
      <c r="E59">
        <v>-260.95</v>
      </c>
    </row>
    <row r="60" spans="1:9" x14ac:dyDescent="0.25">
      <c r="D60" s="17" t="s">
        <v>16</v>
      </c>
      <c r="E60">
        <v>-260.95</v>
      </c>
    </row>
    <row r="61" spans="1:9" x14ac:dyDescent="0.25">
      <c r="D61" s="17" t="s">
        <v>17</v>
      </c>
      <c r="E61">
        <v>-260.95999999999998</v>
      </c>
    </row>
    <row r="62" spans="1:9" x14ac:dyDescent="0.25">
      <c r="D62" s="17" t="s">
        <v>18</v>
      </c>
      <c r="E62">
        <v>-272</v>
      </c>
    </row>
    <row r="63" spans="1:9" x14ac:dyDescent="0.25">
      <c r="E63" s="22"/>
    </row>
    <row r="64" spans="1:9" x14ac:dyDescent="0.25">
      <c r="E64" s="21">
        <f>SUM(E51:E63)</f>
        <v>-3618.8099999999995</v>
      </c>
    </row>
    <row r="65" spans="5:5" x14ac:dyDescent="0.25">
      <c r="E65" s="21">
        <f>+E49+E64</f>
        <v>3.1344999997600098E-3</v>
      </c>
    </row>
  </sheetData>
  <mergeCells count="1">
    <mergeCell ref="A49:C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B20B-C998-4B49-83A6-49F06D4CA470}">
  <dimension ref="A1:I65"/>
  <sheetViews>
    <sheetView workbookViewId="0">
      <pane ySplit="1" topLeftCell="A14" activePane="bottomLeft" state="frozen"/>
      <selection pane="bottomLeft" activeCell="E58" sqref="E58"/>
    </sheetView>
  </sheetViews>
  <sheetFormatPr baseColWidth="10" defaultRowHeight="15" x14ac:dyDescent="0.25"/>
  <cols>
    <col min="1" max="1" width="22" style="17" customWidth="1"/>
    <col min="2" max="2" width="16.42578125" style="17" customWidth="1"/>
    <col min="3" max="4" width="11.42578125" style="17"/>
    <col min="5" max="8" width="11.42578125" style="21"/>
    <col min="9" max="16384" width="11.42578125" style="17"/>
  </cols>
  <sheetData>
    <row r="1" spans="1:9" x14ac:dyDescent="0.25">
      <c r="A1" s="4" t="s">
        <v>26</v>
      </c>
    </row>
    <row r="2" spans="1:9" x14ac:dyDescent="0.25">
      <c r="A2" s="4"/>
    </row>
    <row r="3" spans="1:9" x14ac:dyDescent="0.25">
      <c r="A3" s="33" t="s">
        <v>48</v>
      </c>
    </row>
    <row r="4" spans="1:9" x14ac:dyDescent="0.25">
      <c r="A4" s="33"/>
      <c r="D4" s="17" t="s">
        <v>0</v>
      </c>
      <c r="E4">
        <v>2000</v>
      </c>
    </row>
    <row r="5" spans="1:9" x14ac:dyDescent="0.25">
      <c r="A5" s="33"/>
      <c r="D5" s="17" t="s">
        <v>1</v>
      </c>
      <c r="E5" s="3">
        <v>93</v>
      </c>
    </row>
    <row r="6" spans="1:9" x14ac:dyDescent="0.25">
      <c r="A6" s="33"/>
      <c r="B6" s="4" t="s">
        <v>59</v>
      </c>
      <c r="E6" s="27">
        <f>+E4+E5</f>
        <v>2093</v>
      </c>
    </row>
    <row r="7" spans="1:9" x14ac:dyDescent="0.25">
      <c r="A7" s="33"/>
    </row>
    <row r="8" spans="1:9" x14ac:dyDescent="0.25">
      <c r="A8" s="33" t="s">
        <v>49</v>
      </c>
    </row>
    <row r="9" spans="1:9" x14ac:dyDescent="0.25">
      <c r="A9" s="33"/>
      <c r="D9" s="17" t="s">
        <v>3</v>
      </c>
      <c r="E9" s="21">
        <f>+E6*11</f>
        <v>23023</v>
      </c>
    </row>
    <row r="10" spans="1:9" x14ac:dyDescent="0.25">
      <c r="A10" s="33"/>
      <c r="D10" s="17" t="s">
        <v>69</v>
      </c>
      <c r="E10" s="21">
        <v>4675.1099999999997</v>
      </c>
    </row>
    <row r="11" spans="1:9" x14ac:dyDescent="0.25">
      <c r="A11" s="33"/>
      <c r="D11" s="17" t="s">
        <v>70</v>
      </c>
      <c r="E11" s="21">
        <v>2093</v>
      </c>
    </row>
    <row r="12" spans="1:9" x14ac:dyDescent="0.25">
      <c r="A12" s="33"/>
      <c r="D12" s="17" t="s">
        <v>76</v>
      </c>
      <c r="E12" s="21">
        <v>420.76</v>
      </c>
    </row>
    <row r="13" spans="1:9" x14ac:dyDescent="0.25">
      <c r="A13" s="33"/>
      <c r="D13" s="17" t="s">
        <v>72</v>
      </c>
      <c r="E13" s="21">
        <f>+E11*9%</f>
        <v>188.37</v>
      </c>
    </row>
    <row r="14" spans="1:9" x14ac:dyDescent="0.25">
      <c r="A14" s="20" t="s">
        <v>55</v>
      </c>
      <c r="D14" s="17" t="s">
        <v>6</v>
      </c>
      <c r="E14" s="3">
        <v>1088.17</v>
      </c>
    </row>
    <row r="15" spans="1:9" s="21" customFormat="1" x14ac:dyDescent="0.25">
      <c r="A15" s="29"/>
      <c r="B15" s="4" t="s">
        <v>61</v>
      </c>
      <c r="C15" s="17"/>
      <c r="D15" s="17"/>
      <c r="E15" s="26">
        <f>SUM(E9:E14)</f>
        <v>31488.409999999996</v>
      </c>
      <c r="I15" s="17"/>
    </row>
    <row r="16" spans="1:9" s="21" customFormat="1" x14ac:dyDescent="0.25">
      <c r="A16" s="17" t="s">
        <v>56</v>
      </c>
      <c r="B16" s="17"/>
      <c r="C16" s="17" t="s">
        <v>57</v>
      </c>
      <c r="D16" s="17"/>
      <c r="E16" s="6"/>
      <c r="G16" s="21" t="s">
        <v>58</v>
      </c>
      <c r="I16" s="17"/>
    </row>
    <row r="17" spans="1:9" s="21" customFormat="1" x14ac:dyDescent="0.25">
      <c r="A17" s="33"/>
      <c r="B17" s="17"/>
      <c r="D17" s="8" t="s">
        <v>7</v>
      </c>
      <c r="E17" s="9">
        <v>3635.56</v>
      </c>
      <c r="G17">
        <v>712.06</v>
      </c>
      <c r="I17" s="17"/>
    </row>
    <row r="18" spans="1:9" s="21" customFormat="1" x14ac:dyDescent="0.25">
      <c r="A18" s="33"/>
      <c r="B18" s="17"/>
      <c r="D18" s="8" t="s">
        <v>8</v>
      </c>
      <c r="E18" s="9">
        <v>729.55</v>
      </c>
      <c r="G18">
        <v>0</v>
      </c>
      <c r="I18" s="17"/>
    </row>
    <row r="19" spans="1:9" s="21" customFormat="1" x14ac:dyDescent="0.25">
      <c r="A19" s="33"/>
      <c r="B19" s="17"/>
      <c r="D19" s="8" t="s">
        <v>9</v>
      </c>
      <c r="E19" s="9">
        <v>4094.23</v>
      </c>
      <c r="G19">
        <v>327.02999999999997</v>
      </c>
      <c r="I19" s="17"/>
    </row>
    <row r="20" spans="1:9" s="21" customFormat="1" x14ac:dyDescent="0.25">
      <c r="A20" s="33"/>
      <c r="B20" s="17"/>
      <c r="D20" s="8" t="s">
        <v>10</v>
      </c>
      <c r="E20" s="9">
        <v>3821.89</v>
      </c>
      <c r="F20" s="2">
        <f>AVERAGE(E17,E19,E20)</f>
        <v>3850.56</v>
      </c>
      <c r="G20">
        <v>329.65</v>
      </c>
      <c r="H20" s="2">
        <f>AVERAGE(G19:G20)</f>
        <v>328.34</v>
      </c>
      <c r="I20" s="17"/>
    </row>
    <row r="21" spans="1:9" s="21" customFormat="1" x14ac:dyDescent="0.25">
      <c r="A21" s="33"/>
      <c r="B21" s="17"/>
      <c r="D21" s="8" t="s">
        <v>11</v>
      </c>
      <c r="E21" s="43">
        <v>3503.5</v>
      </c>
      <c r="G21" s="44">
        <v>469.18</v>
      </c>
      <c r="I21" s="17"/>
    </row>
    <row r="22" spans="1:9" s="21" customFormat="1" x14ac:dyDescent="0.25">
      <c r="A22" s="33"/>
      <c r="B22" s="17"/>
      <c r="D22" s="8" t="s">
        <v>12</v>
      </c>
      <c r="E22" s="43">
        <v>3008.33</v>
      </c>
      <c r="G22" s="44">
        <v>471.8</v>
      </c>
      <c r="I22" s="17"/>
    </row>
    <row r="23" spans="1:9" s="21" customFormat="1" x14ac:dyDescent="0.25">
      <c r="A23" s="33"/>
      <c r="B23" s="17"/>
      <c r="D23" s="8" t="s">
        <v>13</v>
      </c>
      <c r="E23" s="43">
        <v>4356.97</v>
      </c>
      <c r="F23" s="21">
        <f>AVERAGE(E21:E23)</f>
        <v>3622.9333333333329</v>
      </c>
      <c r="G23" s="44">
        <v>611.33000000000004</v>
      </c>
      <c r="H23" s="21">
        <f>AVERAGE(G21:G23)</f>
        <v>517.43666666666661</v>
      </c>
      <c r="I23" s="17"/>
    </row>
    <row r="24" spans="1:9" s="21" customFormat="1" x14ac:dyDescent="0.25">
      <c r="A24" s="33"/>
      <c r="B24" s="17"/>
      <c r="D24" s="8" t="s">
        <v>14</v>
      </c>
      <c r="E24" s="10">
        <v>3622.93</v>
      </c>
      <c r="G24" s="12">
        <v>517.44000000000005</v>
      </c>
      <c r="I24" s="17"/>
    </row>
    <row r="25" spans="1:9" s="21" customFormat="1" x14ac:dyDescent="0.25">
      <c r="A25" s="33"/>
      <c r="B25" s="17"/>
      <c r="D25" s="8" t="s">
        <v>15</v>
      </c>
      <c r="E25" s="10">
        <v>3622.93</v>
      </c>
      <c r="G25" s="12">
        <v>517.44000000000005</v>
      </c>
      <c r="I25" s="17"/>
    </row>
    <row r="26" spans="1:9" s="21" customFormat="1" x14ac:dyDescent="0.25">
      <c r="A26" s="33"/>
      <c r="B26" s="17"/>
      <c r="D26" s="8" t="s">
        <v>16</v>
      </c>
      <c r="E26" s="10">
        <v>3622.93</v>
      </c>
      <c r="G26" s="12">
        <v>517.44000000000005</v>
      </c>
      <c r="I26" s="17"/>
    </row>
    <row r="27" spans="1:9" s="21" customFormat="1" x14ac:dyDescent="0.25">
      <c r="A27" s="33"/>
      <c r="B27" s="17"/>
      <c r="D27" s="8" t="s">
        <v>23</v>
      </c>
      <c r="E27" s="10">
        <v>3622.93</v>
      </c>
      <c r="G27" s="12">
        <v>517.44000000000005</v>
      </c>
      <c r="I27" s="17"/>
    </row>
    <row r="28" spans="1:9" s="21" customFormat="1" x14ac:dyDescent="0.25">
      <c r="A28" s="33"/>
      <c r="B28" s="17"/>
      <c r="D28" s="8" t="s">
        <v>18</v>
      </c>
      <c r="E28" s="11">
        <v>3622.93</v>
      </c>
      <c r="G28" s="13">
        <v>517.44000000000005</v>
      </c>
      <c r="I28" s="17"/>
    </row>
    <row r="29" spans="1:9" s="21" customFormat="1" x14ac:dyDescent="0.25">
      <c r="A29" s="33"/>
      <c r="B29" s="17"/>
      <c r="C29" s="17"/>
      <c r="D29" s="8"/>
      <c r="E29" s="34">
        <f>SUM(E17:E28)</f>
        <v>41264.68</v>
      </c>
      <c r="G29" s="27">
        <f>SUM(G17:G28)</f>
        <v>5508.25</v>
      </c>
      <c r="I29" s="17"/>
    </row>
    <row r="30" spans="1:9" s="21" customFormat="1" x14ac:dyDescent="0.25">
      <c r="A30" s="33"/>
      <c r="B30" s="17"/>
      <c r="C30" s="17"/>
      <c r="D30" s="8"/>
      <c r="E30" s="30"/>
      <c r="I30" s="17"/>
    </row>
    <row r="31" spans="1:9" s="21" customFormat="1" x14ac:dyDescent="0.25">
      <c r="A31" s="33"/>
      <c r="B31" s="4" t="s">
        <v>60</v>
      </c>
      <c r="C31" s="17"/>
      <c r="D31" s="17"/>
      <c r="E31" s="26">
        <f>+E15+E29+G29</f>
        <v>78261.34</v>
      </c>
      <c r="I31" s="17"/>
    </row>
    <row r="32" spans="1:9" s="21" customFormat="1" x14ac:dyDescent="0.25">
      <c r="A32" s="33" t="s">
        <v>54</v>
      </c>
      <c r="B32" s="17"/>
      <c r="C32" s="17"/>
      <c r="D32" s="28">
        <v>-7</v>
      </c>
      <c r="E32" s="22">
        <f>D32*Sunat!B4</f>
        <v>-30800</v>
      </c>
      <c r="I32" s="17"/>
    </row>
    <row r="33" spans="1:9" s="21" customFormat="1" x14ac:dyDescent="0.25">
      <c r="A33" s="17"/>
      <c r="B33" s="17"/>
      <c r="C33" s="17"/>
      <c r="E33" s="25">
        <f>+E31+E32</f>
        <v>47461.34</v>
      </c>
      <c r="I33" s="17"/>
    </row>
    <row r="34" spans="1:9" s="21" customFormat="1" x14ac:dyDescent="0.25">
      <c r="A34" s="17"/>
      <c r="B34" s="17"/>
      <c r="C34" s="17"/>
      <c r="D34" s="17"/>
      <c r="E34" s="17"/>
      <c r="I34" s="17"/>
    </row>
    <row r="35" spans="1:9" x14ac:dyDescent="0.25">
      <c r="A35" s="33" t="s">
        <v>53</v>
      </c>
      <c r="B35" s="18"/>
      <c r="C35" s="18"/>
      <c r="D35" s="18"/>
      <c r="E35" s="23"/>
    </row>
    <row r="36" spans="1:9" x14ac:dyDescent="0.25">
      <c r="A36" s="18" t="s">
        <v>43</v>
      </c>
      <c r="B36" s="18"/>
      <c r="C36" s="18"/>
      <c r="D36" s="19">
        <v>0.08</v>
      </c>
      <c r="E36" s="21">
        <f>IF($E$33&lt;Sunat!$E$7,$E$33,Sunat!$E$7)</f>
        <v>22000</v>
      </c>
    </row>
    <row r="37" spans="1:9" x14ac:dyDescent="0.25">
      <c r="A37" s="18" t="s">
        <v>44</v>
      </c>
      <c r="B37" s="18"/>
      <c r="C37" s="18"/>
      <c r="D37" s="19">
        <v>0.14000000000000001</v>
      </c>
      <c r="E37" s="21">
        <f>IF(E33&lt;=Sunat!$E$8,0,IF(AND(E33&gt;Sunat!$E$8,E33&lt;Sunat!$E$9)=TRUE,E33-(E36),Sunat!$E$9-(E36)))</f>
        <v>25461.339999999997</v>
      </c>
    </row>
    <row r="38" spans="1:9" x14ac:dyDescent="0.25">
      <c r="A38" s="18" t="s">
        <v>45</v>
      </c>
      <c r="B38" s="18"/>
      <c r="C38" s="18"/>
      <c r="D38" s="19">
        <v>0.17</v>
      </c>
      <c r="E38" s="21">
        <f>IF(E33&lt;=Sunat!$E$10,0,IF(AND(E33&gt;Sunat!$E$10,E33&lt;Sunat!$E$11)=TRUE,E33-(E36+E37),Sunat!$E$11-(E36+E37)))</f>
        <v>0</v>
      </c>
    </row>
    <row r="39" spans="1:9" x14ac:dyDescent="0.25">
      <c r="A39" s="18" t="s">
        <v>46</v>
      </c>
      <c r="B39" s="18"/>
      <c r="C39" s="18"/>
      <c r="D39" s="19">
        <v>0.2</v>
      </c>
      <c r="E39" s="21">
        <f>IF(E33&lt;=Sunat!$E$12,0,IF(AND(E33&gt;Sunat!$E$12,E33&lt;Sunat!$E$13)=TRUE,E33-(E36+E37+E38),Sunat!$E$13-(E36+E37+E38)))</f>
        <v>0</v>
      </c>
    </row>
    <row r="40" spans="1:9" x14ac:dyDescent="0.25">
      <c r="A40" s="18" t="s">
        <v>47</v>
      </c>
      <c r="B40" s="18"/>
      <c r="C40" s="18"/>
      <c r="D40" s="19">
        <v>0.3</v>
      </c>
      <c r="E40" s="21">
        <f>IF(E33&gt;Sunat!$E$14,E33-(E36+E37+E38+E39),0)</f>
        <v>0</v>
      </c>
      <c r="F40" s="24">
        <f>SUM(E36:E40)-E33</f>
        <v>0</v>
      </c>
    </row>
    <row r="41" spans="1:9" x14ac:dyDescent="0.25">
      <c r="E41" s="6"/>
    </row>
    <row r="42" spans="1:9" x14ac:dyDescent="0.25">
      <c r="A42" s="33" t="s">
        <v>50</v>
      </c>
      <c r="B42" s="18"/>
      <c r="E42" s="6"/>
    </row>
    <row r="43" spans="1:9" x14ac:dyDescent="0.25">
      <c r="A43" s="18" t="s">
        <v>43</v>
      </c>
      <c r="B43" s="18"/>
      <c r="D43" s="19">
        <v>0.08</v>
      </c>
      <c r="E43" s="6">
        <f>+E36*D43</f>
        <v>1760</v>
      </c>
    </row>
    <row r="44" spans="1:9" x14ac:dyDescent="0.25">
      <c r="A44" s="18" t="s">
        <v>44</v>
      </c>
      <c r="B44" s="18"/>
      <c r="D44" s="19">
        <v>0.14000000000000001</v>
      </c>
      <c r="E44" s="6">
        <f>+E37*D44</f>
        <v>3564.5875999999998</v>
      </c>
    </row>
    <row r="45" spans="1:9" x14ac:dyDescent="0.25">
      <c r="A45" s="18" t="s">
        <v>45</v>
      </c>
      <c r="B45" s="18"/>
      <c r="D45" s="19">
        <v>0.17</v>
      </c>
      <c r="E45" s="6">
        <f>+E38*D45</f>
        <v>0</v>
      </c>
    </row>
    <row r="46" spans="1:9" x14ac:dyDescent="0.25">
      <c r="A46" s="18" t="s">
        <v>46</v>
      </c>
      <c r="B46" s="18"/>
      <c r="D46" s="19">
        <v>0.2</v>
      </c>
      <c r="E46" s="6">
        <f>+E39*D46</f>
        <v>0</v>
      </c>
    </row>
    <row r="47" spans="1:9" x14ac:dyDescent="0.25">
      <c r="A47" s="18" t="s">
        <v>47</v>
      </c>
      <c r="B47" s="18"/>
      <c r="D47" s="19">
        <v>0.3</v>
      </c>
      <c r="E47" s="6">
        <f>+E40*D47</f>
        <v>0</v>
      </c>
    </row>
    <row r="48" spans="1:9" x14ac:dyDescent="0.25">
      <c r="E48" s="6"/>
    </row>
    <row r="49" spans="1:9" x14ac:dyDescent="0.25">
      <c r="A49" s="52" t="s">
        <v>51</v>
      </c>
      <c r="B49" s="52"/>
      <c r="C49" s="52"/>
      <c r="E49" s="25">
        <f>SUM(E43:E48)</f>
        <v>5324.5875999999998</v>
      </c>
      <c r="H49" s="21">
        <f>+E49/12</f>
        <v>443.7156333333333</v>
      </c>
      <c r="I49" s="17" t="s">
        <v>52</v>
      </c>
    </row>
    <row r="50" spans="1:9" x14ac:dyDescent="0.25">
      <c r="E50" s="6"/>
    </row>
    <row r="51" spans="1:9" x14ac:dyDescent="0.25">
      <c r="D51" s="17" t="s">
        <v>7</v>
      </c>
      <c r="E51">
        <v>-390</v>
      </c>
    </row>
    <row r="52" spans="1:9" x14ac:dyDescent="0.25">
      <c r="D52" s="17" t="s">
        <v>8</v>
      </c>
      <c r="E52">
        <v>-390</v>
      </c>
      <c r="G52" s="26"/>
      <c r="H52" s="27"/>
    </row>
    <row r="53" spans="1:9" x14ac:dyDescent="0.25">
      <c r="D53" s="17" t="s">
        <v>9</v>
      </c>
      <c r="E53">
        <v>-390</v>
      </c>
    </row>
    <row r="54" spans="1:9" x14ac:dyDescent="0.25">
      <c r="D54" s="17" t="s">
        <v>10</v>
      </c>
      <c r="E54">
        <v>-422</v>
      </c>
    </row>
    <row r="55" spans="1:9" x14ac:dyDescent="0.25">
      <c r="D55" s="17" t="s">
        <v>11</v>
      </c>
      <c r="E55">
        <v>-422</v>
      </c>
    </row>
    <row r="56" spans="1:9" x14ac:dyDescent="0.25">
      <c r="D56" s="17" t="s">
        <v>12</v>
      </c>
      <c r="E56">
        <v>-422</v>
      </c>
    </row>
    <row r="57" spans="1:9" x14ac:dyDescent="0.25">
      <c r="D57" s="17" t="s">
        <v>13</v>
      </c>
      <c r="E57" s="45">
        <v>-504.3</v>
      </c>
    </row>
    <row r="58" spans="1:9" x14ac:dyDescent="0.25">
      <c r="D58" s="17" t="s">
        <v>14</v>
      </c>
      <c r="E58">
        <v>-470</v>
      </c>
    </row>
    <row r="59" spans="1:9" x14ac:dyDescent="0.25">
      <c r="D59" s="17" t="s">
        <v>15</v>
      </c>
      <c r="E59">
        <v>-470</v>
      </c>
    </row>
    <row r="60" spans="1:9" x14ac:dyDescent="0.25">
      <c r="D60" s="17" t="s">
        <v>16</v>
      </c>
      <c r="E60">
        <v>-470</v>
      </c>
    </row>
    <row r="61" spans="1:9" x14ac:dyDescent="0.25">
      <c r="D61" s="17" t="s">
        <v>17</v>
      </c>
      <c r="E61">
        <v>-470</v>
      </c>
    </row>
    <row r="62" spans="1:9" x14ac:dyDescent="0.25">
      <c r="D62" s="17" t="s">
        <v>18</v>
      </c>
      <c r="E62">
        <v>-504.29</v>
      </c>
    </row>
    <row r="63" spans="1:9" x14ac:dyDescent="0.25">
      <c r="E63" s="22"/>
    </row>
    <row r="64" spans="1:9" x14ac:dyDescent="0.25">
      <c r="E64" s="21">
        <f>SUM(E51:E63)</f>
        <v>-5324.59</v>
      </c>
    </row>
    <row r="65" spans="5:5" x14ac:dyDescent="0.25">
      <c r="E65" s="21">
        <f>+E49+E64</f>
        <v>-2.4000000003070454E-3</v>
      </c>
    </row>
  </sheetData>
  <mergeCells count="1">
    <mergeCell ref="A49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Sunat</vt:lpstr>
      <vt:lpstr>KATHY</vt:lpstr>
      <vt:lpstr>MILAGROS</vt:lpstr>
      <vt:lpstr>PAOLA</vt:lpstr>
      <vt:lpstr>BETTY</vt:lpstr>
      <vt:lpstr>MAGALY</vt:lpstr>
      <vt:lpstr>ANDREA</vt:lpstr>
      <vt:lpstr>JOSE T.</vt:lpstr>
      <vt:lpstr>J.DEL ALCAZAR</vt:lpstr>
      <vt:lpstr>B.CAMPOS</vt:lpstr>
      <vt:lpstr>J.HIDALGO</vt:lpstr>
      <vt:lpstr>J.GUTIERREZ</vt:lpstr>
      <vt:lpstr>M.VALVERDE</vt:lpstr>
      <vt:lpstr>V.REITERER</vt:lpstr>
      <vt:lpstr>J.FAJARDO</vt:lpstr>
      <vt:lpstr>LIBRE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2021-03-31T06:44:38Z</dcterms:created>
  <dcterms:modified xsi:type="dcterms:W3CDTF">2021-08-09T15:48:40Z</dcterms:modified>
</cp:coreProperties>
</file>